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5.xml" ContentType="application/vnd.openxmlformats-officedocument.drawing+xml"/>
  <Override PartName="/xl/ctrlProps/ctrlProp32.xml" ContentType="application/vnd.ms-excel.controlproperties+xml"/>
  <Override PartName="/xl/ctrlProps/ctrlProp33.xml" ContentType="application/vnd.ms-excel.controlproperties+xml"/>
  <Override PartName="/xl/drawings/drawing6.xml" ContentType="application/vnd.openxmlformats-officedocument.drawing+xml"/>
  <Override PartName="/xl/ctrlProps/ctrlProp34.xml" ContentType="application/vnd.ms-excel.controlproperties+xml"/>
  <Override PartName="/xl/ctrlProps/ctrlProp35.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9.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10.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defaultThemeVersion="166925"/>
  <mc:AlternateContent xmlns:mc="http://schemas.openxmlformats.org/markup-compatibility/2006">
    <mc:Choice Requires="x15">
      <x15ac:absPath xmlns:x15ac="http://schemas.microsoft.com/office/spreadsheetml/2010/11/ac" url="https://floridahousing-my.sharepoint.com/personal/bryan_barber_floridahousing_org/Documents/Desktop/Old Working Documents/Issuing 2025-103/"/>
    </mc:Choice>
  </mc:AlternateContent>
  <xr:revisionPtr revIDLastSave="0" documentId="8_{6150568B-CA82-4270-971F-36DC3287E299}" xr6:coauthVersionLast="47" xr6:coauthVersionMax="47" xr10:uidLastSave="{00000000-0000-0000-0000-000000000000}"/>
  <workbookProtection workbookAlgorithmName="SHA-512" workbookHashValue="tq4eFNVMnP52ODd+LgIv6N6lYfAVKyBAJ3ECbZ/qbwZTiHwAQfhnFW44hfabhAPl2NXjqfqJ0AmH8v9zfL9gcg==" workbookSaltValue="6cU0cCgUqLuTXZ9ydd0g2g==" workbookSpinCount="100000" lockStructure="1"/>
  <bookViews>
    <workbookView xWindow="33465" yWindow="2985" windowWidth="21600" windowHeight="11295" tabRatio="781" firstSheet="3" activeTab="3" xr2:uid="{00000000-000D-0000-FFFF-FFFF00000000}"/>
  </bookViews>
  <sheets>
    <sheet name="Data1" sheetId="1" state="veryHidden" r:id="rId1"/>
    <sheet name="Data2" sheetId="19" state="veryHidden" r:id="rId2"/>
    <sheet name="Data3" sheetId="24" state="veryHidden" r:id="rId3"/>
    <sheet name="General Information" sheetId="2" r:id="rId4"/>
    <sheet name="Proposed Development Info" sheetId="3" r:id="rId5"/>
    <sheet name="Development Location" sheetId="4" r:id="rId6"/>
    <sheet name="Proximity, Mand.Dist., RECAP" sheetId="14" state="veryHidden" r:id="rId7"/>
    <sheet name="Units, Set-Asides, Bldgs" sheetId="5" r:id="rId8"/>
    <sheet name="Readiness to Proceed" sheetId="16" r:id="rId9"/>
    <sheet name="Construction Features" sheetId="7" r:id="rId10"/>
    <sheet name="Resident Programs" sheetId="8" state="veryHidden" r:id="rId11"/>
    <sheet name="Services" sheetId="35" r:id="rId12"/>
    <sheet name="Funding" sheetId="9" r:id="rId13"/>
    <sheet name="Pro Forma" sheetId="26" r:id="rId14"/>
    <sheet name="Local Gov't Contributions" sheetId="18" state="veryHidden" r:id="rId15"/>
    <sheet name="Urban Infill or Mixed-Use" sheetId="41" state="veryHidden" r:id="rId16"/>
    <sheet name="URA" sheetId="36" r:id="rId17"/>
    <sheet name="B. Other Information" sheetId="10" r:id="rId18"/>
    <sheet name="Certification" sheetId="20" r:id="rId19"/>
    <sheet name="Impact Scoring" sheetId="34" r:id="rId20"/>
    <sheet name="Goals" sheetId="38" state="veryHidden" r:id="rId21"/>
  </sheets>
  <definedNames>
    <definedName name="_xlnm._FilterDatabase" localSheetId="2" hidden="1">Data3!$A$4:$O$72</definedName>
    <definedName name="ACC_Units_Currently">'Proposed Development Info'!$F$97</definedName>
    <definedName name="ACC_Units_Future">'Proposed Development Info'!$G$97</definedName>
    <definedName name="Accessibility_Pref">'Construction Features'!$H$8</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ddress_of_Occupied">'Proposed Development Info'!$E$18</definedName>
    <definedName name="Affordable_Units_of_Occupied">'Proposed Development Info'!$H$22</definedName>
    <definedName name="Age_of_Development">'Proposed Development Info'!$G$93</definedName>
    <definedName name="AIT_HC_SA_Percent">'Units, Set-Asides, Bldgs'!$G$92</definedName>
    <definedName name="All_NC_Units">'Proposed Development Info'!$H$127:$H$135</definedName>
    <definedName name="All_Rehab_Units">'Proposed Development Info'!$H$136:$H$142</definedName>
    <definedName name="App_number_first_phase">Funding!$E$321</definedName>
    <definedName name="Application_Fee_Method">'B. Other Information'!$A$9</definedName>
    <definedName name="ARP_Request_Amount">Funding!$I$201</definedName>
    <definedName name="ARP_Total_Units_Funded">Data3!$H$143</definedName>
    <definedName name="Authorized_Contact_Address">'General Information'!$F$270</definedName>
    <definedName name="Authorized_Contact_City">'General Information'!$F$271</definedName>
    <definedName name="Authorized_Contact_EMail">'General Information'!$F$275</definedName>
    <definedName name="Authorized_Contact_First_Name">'General Information'!$F$267</definedName>
    <definedName name="Authorized_Contact_Last_Name">'General Information'!$F$268</definedName>
    <definedName name="Authorized_Contact_Middle_Initial">'General Information'!$H$267</definedName>
    <definedName name="Authorized_Contact_Phone">'General Information'!$F$274</definedName>
    <definedName name="Authorized_Contact_Phone_Ext">'General Information'!$H$274</definedName>
    <definedName name="Authorized_Contact_State">'General Information'!$F$272</definedName>
    <definedName name="Authorized_Contact_Zip">'General Information'!$F$273</definedName>
    <definedName name="avg_AMI_HC_Units_in_AIT_chart">'Units, Set-Asides, Bldgs'!$I$94</definedName>
    <definedName name="Boost_Points">'Proximity, Mand.Dist., RECAP'!$I$10</definedName>
    <definedName name="Build_Cost_Allo_DF">'Pro Forma'!$L$340</definedName>
    <definedName name="Building_Acq_elig">'Pro Forma'!$H$101</definedName>
    <definedName name="Building_Acq_inelig">'Pro Forma'!$K$101</definedName>
    <definedName name="Building_Acq_total">'Pro Forma'!$N$101</definedName>
    <definedName name="Calc_BusRapid">Data1!$D$477</definedName>
    <definedName name="Calc_BusStop1">Data1!$D$473</definedName>
    <definedName name="Calc_BusStop2">Data1!$D$474</definedName>
    <definedName name="Calc_BusStop3">Data1!$D$475</definedName>
    <definedName name="Calc_BusTransfer">Data1!$D$476</definedName>
    <definedName name="Calc_Rail">Data1!$D$478</definedName>
    <definedName name="CDBG_DR_Dev_Request_Amount">Funding!$I$262</definedName>
    <definedName name="CDBG_DR_Land_Request_Amount">Funding!$I$244</definedName>
    <definedName name="Cert_Signature">Certification!$K$43</definedName>
    <definedName name="Cert_Title_of_Signature">Certification!$C$45</definedName>
    <definedName name="Comment_DevCat_Test_HardCosts">'Proposed Development Info'!$C$74</definedName>
    <definedName name="Comment_DevCat_Test_QualBasis">'Proposed Development Info'!$C$72</definedName>
    <definedName name="Comment_DevCat_Test_RehabExps">'Proposed Development Info'!$C$70</definedName>
    <definedName name="Comment_DevExp_fifth_Dev_complete">'General Information'!$B$171</definedName>
    <definedName name="Comment_DevExp_fifth_Dev_units">'General Information'!$G$169</definedName>
    <definedName name="Comment_DevExp_fifth_Dev_year">'General Information'!$G$170</definedName>
    <definedName name="Comment_DevExp_first_Dev_complete">'General Information'!$B$131:$H$131</definedName>
    <definedName name="Comment_DevExp_first_Dev_units">'General Information'!$G$129</definedName>
    <definedName name="Comment_DevExp_first_Dev_year">'General Information'!$G$130</definedName>
    <definedName name="Comment_DevExp_fourth_Dev_complete">'General Information'!$B$161</definedName>
    <definedName name="Comment_DevExp_fourth_Dev_units">'General Information'!$G$159</definedName>
    <definedName name="Comment_DevExp_fourth_Dev_year">'General Information'!$G$160</definedName>
    <definedName name="Comment_DevExp_second_Dev_complete">'General Information'!$B$141:$H$141</definedName>
    <definedName name="Comment_DevExp_second_Dev_units">'General Information'!$G$139</definedName>
    <definedName name="Comment_DevExp_second_Dev_year">'General Information'!$G$140</definedName>
    <definedName name="Comment_DevExp_third_Dev_complete">'General Information'!$B$151:$H$151</definedName>
    <definedName name="Comment_DevExp_third_Dev_units">'General Information'!$G$149</definedName>
    <definedName name="Comment_DevExp_third_Dev_year">'General Information'!$G$150</definedName>
    <definedName name="Comment_GAO_Number1">Funding!$G$348</definedName>
    <definedName name="Comment_GAO_Number2">Funding!$G$349</definedName>
    <definedName name="Comment_GAO_Number3">Funding!$G$350</definedName>
    <definedName name="Comment_GCExp_DB_1">'General Information'!$F$198</definedName>
    <definedName name="Comment_GCExp_DB_2">'General Information'!$F$208</definedName>
    <definedName name="Comment_GCExp_Development_1_complete">'General Information'!$C$199</definedName>
    <definedName name="Comment_GCExp_Development_2_complete">'General Information'!$C$209</definedName>
    <definedName name="Comment_GCExp_Units_1">'General Information'!$G$196</definedName>
    <definedName name="Comment_GCExp_Units_2">'General Information'!$G$206</definedName>
    <definedName name="Comment_MgmtExp_first_complete">'General Information'!$B$249:$H$249</definedName>
    <definedName name="Comment_MgmtExp_first_time">'General Information'!$G$248</definedName>
    <definedName name="Comment_MgmtExp_first_units">'General Information'!$G$247</definedName>
    <definedName name="Comment_MgmtExp_second_complete">'General Information'!$B$259:$H$259</definedName>
    <definedName name="Comment_MgmtExp_second_time">'General Information'!$G$258</definedName>
    <definedName name="Comment_MgmtExp_second_units">'General Information'!$G$257</definedName>
    <definedName name="Comment_QCT_number_metro">Funding!$G$341</definedName>
    <definedName name="Comment_QCT_number_nonmetro">Funding!$G$342</definedName>
    <definedName name="Comment_RA_Level">'Proposed Development Info'!$E$103</definedName>
    <definedName name="Comment_SADDA_ZCTA_1">Funding!$G$326</definedName>
    <definedName name="Comment_SADDA_ZCTA_2">Funding!$G$327</definedName>
    <definedName name="Comment_SADDA_ZCTA_3">Funding!$G$328</definedName>
    <definedName name="Comment_UnitMix_0Bedroom">'Units, Set-Asides, Bldgs'!$D$163</definedName>
    <definedName name="Comment_UnitMix_1Bedroom">'Units, Set-Asides, Bldgs'!$D$164</definedName>
    <definedName name="Comment_UnitMix_3Bedroom">'Units, Set-Asides, Bldgs'!$D$165</definedName>
    <definedName name="Comment_UnitMix_MaxBedroom">'Units, Set-Asides, Bldgs'!$D$166</definedName>
    <definedName name="Comment_UnitMix_NumberOfUnits">'Units, Set-Asides, Bldgs'!$D$162:$K$162</definedName>
    <definedName name="Community_Based_Board">'General Information'!$C$263</definedName>
    <definedName name="community_service_points_achieved">'Proximity, Mand.Dist., RECAP'!$H$94</definedName>
    <definedName name="Company_Of_Authorized_Contact_Person">'General Information'!$F$269</definedName>
    <definedName name="Company_Of_Operational_Contact_Person">'General Information'!$F$282</definedName>
    <definedName name="Competitive_HC_Request_Amount">Funding!$I$298</definedName>
    <definedName name="Compliance_Period">'Units, Set-Asides, Bldgs'!$K$184</definedName>
    <definedName name="Constr_Commenced">'Proposed Development Info'!$I$157</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Funding!$I$490</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of_Occupied">'Proposed Development Info'!$H$16</definedName>
    <definedName name="County_Size">'Development Location'!$G$3</definedName>
    <definedName name="DDA_nonmetro">Funding!$E$332</definedName>
    <definedName name="DDA_nonmetro_name">Funding!$E$334</definedName>
    <definedName name="DDA_nonmetro_qualified">Data1!$B$746</definedName>
    <definedName name="Demographic">'General Information'!$F$32</definedName>
    <definedName name="Demographic_2">'General Information'!$F$39</definedName>
    <definedName name="Demographic_Area_of_Opp_boost">Funding!$E$370</definedName>
    <definedName name="Demographic_Area_of_Opp_boost_qualified">Data1!$B$754</definedName>
    <definedName name="Demographic_of_Occupied">'General Information'!$F$26</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Cat_Min_Occ">Data1!$M$229</definedName>
    <definedName name="DevCat_PHA_DOT_or_Rehabbed">'Proposed Development Info'!$I$66</definedName>
    <definedName name="DevCat_Preference_met">'Proposed Development Info'!$F$107</definedName>
    <definedName name="DevCat_Qualifications_Met">'Proposed Development Info'!$I$82</definedName>
    <definedName name="DevCat_Redev_FinProgram">'Proposed Development Info'!$I$64</definedName>
    <definedName name="DevCat_Test_HardCosts">'Proposed Development Info'!$I$73</definedName>
    <definedName name="DevCat_Test_QualBasis">'Proposed Development Info'!$I$71</definedName>
    <definedName name="DevCat_Test_RehabExps">'Proposed Development Info'!$I$69</definedName>
    <definedName name="DevCat_Test_Units">'Proposed Development Info'!$I$59</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Info'!$G$12</definedName>
    <definedName name="Development_Cost_eligible">'Pro Forma'!$H$108</definedName>
    <definedName name="Development_Cost_ineligible">'Pro Forma'!$K$108</definedName>
    <definedName name="Development_Cost_total">'Pro Forma'!$N$108</definedName>
    <definedName name="Development_Location">'Development Location'!$E$16</definedName>
    <definedName name="Development_Location_City">'Development Location'!$G$18</definedName>
    <definedName name="Development_Location_Zip">'Development Location'!$I$18</definedName>
    <definedName name="Development_SubCategory">'Proposed Development Info'!$G$55</definedName>
    <definedName name="DevExp_DevsWithSinceDate_Count">Data1!$H$96</definedName>
    <definedName name="DevExp_DevsWithSinceDate_Score">Data1!$G$96</definedName>
    <definedName name="DevExp_fifth_Dev_location">'General Information'!$F$165</definedName>
    <definedName name="DevExp_fifth_Dev_name">'General Information'!$F$164</definedName>
    <definedName name="DevExp_fifth_Dev_Principal">'General Information'!$F$166</definedName>
    <definedName name="DevExp_fifth_Dev_program">'General Information'!$F$167</definedName>
    <definedName name="DevExp_fifth_Dev_units">'General Information'!$F$169</definedName>
    <definedName name="DevExp_fifth_Dev_year">'General Information'!$F$170</definedName>
    <definedName name="DevExp_fifth_Other_program">'General Information'!$F$168</definedName>
    <definedName name="DevExp_first_Dev_location">'General Information'!$F$125</definedName>
    <definedName name="DevExp_first_Dev_name">'General Information'!$F$124</definedName>
    <definedName name="DevExp_first_Dev_Principal">'General Information'!$F$126</definedName>
    <definedName name="DevExp_first_Dev_program">'General Information'!$F$127</definedName>
    <definedName name="DevExp_first_Dev_units">'General Information'!$F$129</definedName>
    <definedName name="DevExp_first_Dev_year">'General Information'!$F$130</definedName>
    <definedName name="DevExp_first_Other_program">'General Information'!$F$128</definedName>
    <definedName name="DevExp_fourth_Dev_location">'General Information'!$F$155</definedName>
    <definedName name="DevExp_fourth_Dev_name">'General Information'!$F$154</definedName>
    <definedName name="DevExp_fourth_Dev_Principal">'General Information'!$F$156</definedName>
    <definedName name="DevExp_fourth_Dev_program">'General Information'!$F$157</definedName>
    <definedName name="DevExp_fourth_Dev_units">'General Information'!$F$159</definedName>
    <definedName name="DevExp_fourth_Dev_year">'General Information'!$F$160</definedName>
    <definedName name="DevExp_fourth_Other_program">'General Information'!$F$158</definedName>
    <definedName name="DevExp_MinDevs_List_Count">Data1!$H$94</definedName>
    <definedName name="DevExp_MinDevs_List_Score">Data1!$G$94</definedName>
    <definedName name="DevExp_MinUnits_Count">Data1!$H$103</definedName>
    <definedName name="DevExp_MinUnits_Score">Data1!$G$103</definedName>
    <definedName name="DevExp_natural_person">'General Information'!$G$117</definedName>
    <definedName name="DevExp_natural_person_additional">'General Information'!$G$119</definedName>
    <definedName name="DevExp_natural_person_entity">'General Information'!$G$118</definedName>
    <definedName name="DevExp_Natural_Person_Meets">'General Information'!$E$112</definedName>
    <definedName name="DevExp_PrgmMinDevs_Count">Data1!$H$99</definedName>
    <definedName name="DevExp_PrgmMinDevs_Score">Data1!$G$99</definedName>
    <definedName name="DevExp_second_Dev_location">'General Information'!$F$135</definedName>
    <definedName name="DevExp_second_Dev_name">'General Information'!$F$134</definedName>
    <definedName name="DevExp_second_Dev_Principal">'General Information'!$F$136</definedName>
    <definedName name="DevExp_second_Dev_program">'General Information'!$F$137</definedName>
    <definedName name="DevExp_second_Dev_units">'General Information'!$F$139</definedName>
    <definedName name="DevExp_second_Dev_year">'General Information'!$F$140</definedName>
    <definedName name="DevExp_second_Other_program">'General Information'!$F$138</definedName>
    <definedName name="DevExp_third_Dev_location">'General Information'!$F$145</definedName>
    <definedName name="DevExp_third_Dev_name">'General Information'!$F$144</definedName>
    <definedName name="DevExp_third_Dev_Principal">'General Information'!$F$146</definedName>
    <definedName name="DevExp_third_Dev_program">'General Information'!$F$147</definedName>
    <definedName name="DevExp_third_Dev_units">'General Information'!$F$149</definedName>
    <definedName name="DevExp_third_Dev_year">'General Information'!$F$150</definedName>
    <definedName name="DevExp_third_Other_program">'General Information'!$F$148</definedName>
    <definedName name="DevType">'Proposed Development Info'!$C$113</definedName>
    <definedName name="DevType_met">'Proposed Development Info'!$F$111</definedName>
    <definedName name="DLP_latitude">'Development Location'!$H$28</definedName>
    <definedName name="DLP_longitude">'Development Location'!$H$29</definedName>
    <definedName name="DLP_proper_format">'Development Location'!$J$27</definedName>
    <definedName name="DonationOfLand">Funding!$I$441</definedName>
    <definedName name="DS_100Percent_NC_Units">Data1!$B$196</definedName>
    <definedName name="DS_2022_County_GAOs">Data2!$Q$13:$Q$301</definedName>
    <definedName name="DS_2022_County_QCTs">Data2!$O$13:$O$171</definedName>
    <definedName name="DS_2022_GAO_Counties">Data2!$M$13:$M$2313</definedName>
    <definedName name="DS_2022_GAO_QCTs_Sorted">Data2!$AB$13:$AB$2313</definedName>
    <definedName name="DS_2022_Metro_QCT_Counties">Data2!$G$13:$G$738</definedName>
    <definedName name="DS_2022_Metro_QCTs_Sorted">Data2!$V$13:$W$738</definedName>
    <definedName name="DS_2022_NonMetro_QCT_Counties">Data2!$J$13:$J$42</definedName>
    <definedName name="DS_2022_NonMetro_QCTs_Sorted">Data2!$Y$13:$Z$42</definedName>
    <definedName name="DS_2022_ZCTAs_Sorted">Data2!$S$13:$T$360</definedName>
    <definedName name="DS_2023_County_GAOs">Data2!$AU$13:$AU$513</definedName>
    <definedName name="DS_2023_County_QCTs">Data2!$AS$13:$AS$235</definedName>
    <definedName name="DS_2023_GAO_Counties">Data2!$AQ$13:$AQ$2950</definedName>
    <definedName name="DS_2023_GAO_QCTs_Sorted">Data2!$BF$13:$BF$2950</definedName>
    <definedName name="DS_2023_Metro_QCT_Counties">Data2!$AK$13:$AK$814</definedName>
    <definedName name="DS_2023_Metro_QCTs_Sorted">Data2!$AZ$13:$BA$814</definedName>
    <definedName name="DS_2023_NonMetro_QCT_Counties">Data2!$AN$13:$AN$48</definedName>
    <definedName name="DS_2023_NonMetro_QCTs_Sorted">Data2!$BC$13:$BD$48</definedName>
    <definedName name="DS_2023_ZCTAs_Sorted">Data2!$AW$13:$AX$365</definedName>
    <definedName name="DS_2024_County_GAOs">Data2!$BY$13:$BY$513</definedName>
    <definedName name="DS_2024_County_QCTs">Data2!$BW$13:$BW$722</definedName>
    <definedName name="DS_2024_GAO_Counties">Data2!$BU$13:$BU$2943</definedName>
    <definedName name="DS_2024_GAO_QCTs_Sorted">Data2!$CJ$13:$CJ$2943</definedName>
    <definedName name="DS_2024_Metro_QCT_Counties">Data2!$BO$13:$BO$4972</definedName>
    <definedName name="DS_2024_Metro_QCTs_Sorted">Data2!$CD$13:$CE$4972</definedName>
    <definedName name="DS_2024_NonMetro_QCT_Counties">Data2!$BR$13:$BR$212</definedName>
    <definedName name="DS_2024_NonMetro_QCTs_Sorted">Data2!$CG$13:$CH$212</definedName>
    <definedName name="DS_2024_ZCTAs_Sorted">Data2!$CA$13:$CB$410</definedName>
    <definedName name="DS_2025_County_GAOs">Data2!$DC$13:$DC$513</definedName>
    <definedName name="DS_2025_County_QCTs">Data2!$DA$13:$DA$750</definedName>
    <definedName name="DS_2025_GAO_Counties">Data2!$CY$13:$CY$3000</definedName>
    <definedName name="DS_2025_GAO_QCTs_Sorted">Data2!$DN$13:$DN$3000</definedName>
    <definedName name="DS_2025_Metro_QCT_Counties">Data2!$CS$13:$CS$4972</definedName>
    <definedName name="DS_2025_Metro_QCTs_Sorted">Data2!$DH$13:$DH$4972</definedName>
    <definedName name="DS_2025_NonMetro_QCT_Counties">Data2!$CV$13:$CV$250</definedName>
    <definedName name="DS_2025_NonMetro_QCTs_Sorted">Data2!$DK$13:$DK$250</definedName>
    <definedName name="DS_2025_ZCTAs_Sorted">Data2!$DE$13:$DF$450</definedName>
    <definedName name="DS_Add_On_1_Y">Data3!$F$300</definedName>
    <definedName name="DS_AMI_List">Data1!$F$839:$F$853</definedName>
    <definedName name="DS_AppDeadline">Data1!$E$9</definedName>
    <definedName name="DS_ARP_AMI_Units_Opt">Data3!$C$144</definedName>
    <definedName name="DS_ARP_AMI_Units_Req">Data3!$C$143</definedName>
    <definedName name="DS_ARP_Max_Percent_Opt">Data3!$C$141</definedName>
    <definedName name="DS_ARP_Max_Percent_Opt_Active">Data3!$H$141</definedName>
    <definedName name="DS_ARP_Max_Percent_Total">Data3!$C$132</definedName>
    <definedName name="DS_ARP_Max_Percent_Total_Active">Data3!$H$132</definedName>
    <definedName name="DS_ARP_Max_Total_Units_Active">Data3!$I$132</definedName>
    <definedName name="DS_ARP_Max_Units_Opt">Data3!$C$142</definedName>
    <definedName name="DS_ARP_Max_Units_Opt_Active">Data3!$H$142</definedName>
    <definedName name="DS_ARP_Max_Units_Opt_Allowed">Data3!$H$144</definedName>
    <definedName name="DS_ARP_Max_Units_Req_Large">Data3!$C$138</definedName>
    <definedName name="DS_ARP_Max_Units_Req_Large_Active">Data3!$H$138</definedName>
    <definedName name="DS_ARP_Max_Units_Req_Medium">Data3!$C$139</definedName>
    <definedName name="DS_ARP_Max_Units_Req_Medium_Active">Data3!$H$139</definedName>
    <definedName name="DS_ARP_Max_Units_Req_Small">Data3!$C$140</definedName>
    <definedName name="DS_ARP_Max_Units_Req_Small_Active">Data3!$H$140</definedName>
    <definedName name="DS_ARP_Max_Units_Total">Data3!$C$133</definedName>
    <definedName name="DS_ARP_Max_Units_Total_Active">Data3!$H$133</definedName>
    <definedName name="DS_ARP_Min_Percent_Req_Active">Data3!$H$134</definedName>
    <definedName name="DS_ARP_Min_Percent_Required">Data3!$C$134</definedName>
    <definedName name="DS_ARP_Min_Units_Req_Large">Data3!$C$135</definedName>
    <definedName name="DS_ARP_Min_Units_Req_Large_Active">Data3!$H$135</definedName>
    <definedName name="DS_ARP_Min_Units_Req_Medium">Data3!$C$136</definedName>
    <definedName name="DS_ARP_Min_Units_Req_Medium_Active">Data3!$H$136</definedName>
    <definedName name="DS_ARP_Min_Units_Req_Small">Data3!$C$137</definedName>
    <definedName name="DS_ARP_Min_Units_Req_Small_Active">Data3!$H$137</definedName>
    <definedName name="DS_ARP_Opt_PU">Data3!$C$131</definedName>
    <definedName name="DS_ARP_PD">Data3!$C$129</definedName>
    <definedName name="DS_ARP_Req_PU">Data3!$C$130</definedName>
    <definedName name="DS_ARP22_PU">Data3!$G$130</definedName>
    <definedName name="DS_ARP30_PU">Data3!$H$130</definedName>
    <definedName name="DS_ARPMax_PU">Data3!$I$130</definedName>
    <definedName name="DS_Authorized_Contact_Full_Name">Data1!$F$184</definedName>
    <definedName name="DS_Bond_ADDON">Data3!$G$300</definedName>
    <definedName name="DS_BS_ML_1">Data1!$H$448</definedName>
    <definedName name="DS_BS_ML_2">Data1!$H$449</definedName>
    <definedName name="DS_BS_ML_3">Data1!$H$450</definedName>
    <definedName name="DS_BS_ML_4">Data1!$H$451</definedName>
    <definedName name="DS_BS_ML_5">Data1!$H$452</definedName>
    <definedName name="DS_BS_S_1">Data1!$G$448</definedName>
    <definedName name="DS_BS_S_2">Data1!$G$449</definedName>
    <definedName name="DS_BS_S_3">Data1!$G$450</definedName>
    <definedName name="DS_BS_S_4">Data1!$G$451</definedName>
    <definedName name="DS_BS_S_5">Data1!$G$452</definedName>
    <definedName name="DS_BS_Score1_1">Data1!$I$448</definedName>
    <definedName name="DS_BS_Score1_2">Data1!$I$449</definedName>
    <definedName name="DS_BS_Score1_3">Data1!$I$450</definedName>
    <definedName name="DS_BS_Score1_4">Data1!$I$451</definedName>
    <definedName name="DS_BS_Score1_5">Data1!$I$452</definedName>
    <definedName name="DS_BS_Score2_1">Data1!$J$448</definedName>
    <definedName name="DS_BS_Score2_2">Data1!$J$449</definedName>
    <definedName name="DS_BS_Score2_3">Data1!$J$450</definedName>
    <definedName name="DS_BS_Score2_4">Data1!$J$451</definedName>
    <definedName name="DS_BS_Score2_5">Data1!$J$452</definedName>
    <definedName name="DS_BS_Score3ML_1">Data1!$L$448</definedName>
    <definedName name="DS_BS_Score3ML_2">Data1!$L$449</definedName>
    <definedName name="DS_BS_Score3ML_3">Data1!$L$450</definedName>
    <definedName name="DS_BS_Score3ML_4">Data1!$L$451</definedName>
    <definedName name="DS_BS_Score3ML_5">Data1!$L$452</definedName>
    <definedName name="DS_BS_Score3S_1">Data1!$K$448</definedName>
    <definedName name="DS_BS_Score3S_2">Data1!$K$449</definedName>
    <definedName name="DS_BS_Score3S_3">Data1!$K$450</definedName>
    <definedName name="DS_BS_Score3S_4">Data1!$K$451</definedName>
    <definedName name="DS_BS_Score3S_5">Data1!$K$452</definedName>
    <definedName name="DS_CDBG_DR_PU_0Bd_Keys">Data3!$D$168</definedName>
    <definedName name="DS_CDBG_DR_PU_0Bd_NonKeys">Data3!$E$168</definedName>
    <definedName name="DS_CDBG_DR_PU_1Bd_Keys">Data3!$D$169</definedName>
    <definedName name="DS_CDBG_DR_PU_1Bd_NonKeys">Data3!$E$169</definedName>
    <definedName name="DS_CDBG_DR_PU_2Bd_Keys">Data3!$D$170</definedName>
    <definedName name="DS_CDBG_DR_PU_2Bd_NonKeys">Data3!$E$170</definedName>
    <definedName name="DS_CDBG_DR_PU_3Bd_Keys">Data3!$D$171</definedName>
    <definedName name="DS_CDBG_DR_PU_3Bd_NonKeys">Data3!$E$171</definedName>
    <definedName name="DS_CDBG_DR_PU_4Bd_Keys">Data3!$D$172</definedName>
    <definedName name="DS_CDBG_DR_PU_4Bd_NonKeys">Data3!$E$172</definedName>
    <definedName name="DS_Comment_LL_HC_SA_b">Data1!$B$664</definedName>
    <definedName name="DS_Comment_Max_Gap_SA">Data1!$B$669</definedName>
    <definedName name="DS_Comment_Min_ElderlyALF_SA_a">Data1!$B$652</definedName>
    <definedName name="DS_Comment_Min_ElderlyALF_SA_b">Data1!$B$661</definedName>
    <definedName name="DS_Comment_Min_ELI_SA_a">Data1!$B$654</definedName>
    <definedName name="DS_Comment_Min_ELI_SA_b">Data1!$B$663</definedName>
    <definedName name="DS_Comment_Min_Gap_ELI_SA">Data1!$B$671</definedName>
    <definedName name="DS_Comment_Min_Gap_SA">Data1!$B$668</definedName>
    <definedName name="DS_Comment_Min_Gap_SA_ALF">Data1!$B$670</definedName>
    <definedName name="DS_Comment_Min_Gap_SS_Below_50Percent_SA">Data1!$B$672</definedName>
    <definedName name="DS_Comment_Min_IRS_and_Loan_SA_a">Data1!$B$649</definedName>
    <definedName name="DS_Comment_Min_IRS_and_Loan_SA_b">Data1!$B$658</definedName>
    <definedName name="DS_Comment_Min_IRS_NonProfit_SA_a">Data1!$B$650</definedName>
    <definedName name="DS_Comment_Min_IRS_NonProfit_SA_b">Data1!$B$659</definedName>
    <definedName name="DS_Comment_Min_Max_Workforce_SA_a">Data1!$B$651</definedName>
    <definedName name="DS_Comment_Min_Max_Workforce_SA_b">Data1!$B$660</definedName>
    <definedName name="DS_Comment_Min_RFA_SA_a">Data1!$B$653</definedName>
    <definedName name="DS_Comment_Min_RFA_SA_b">Data1!$B$662</definedName>
    <definedName name="DS_Comment_Min_SS_Below_50Percent_SA_a">Data1!$B$655</definedName>
    <definedName name="DS_Comment_Min_SS_Below_50Percent_SA_b">Data1!$B$665</definedName>
    <definedName name="DS_Comment_Total_Units_a">Data1!$B$648</definedName>
    <definedName name="DS_Comment_Total_Units_b">Data1!$B$657</definedName>
    <definedName name="DS_Comment_Total_Units_Gap">Data1!$B$667</definedName>
    <definedName name="DS_Constr_Feat_Multiplier">Data3!$G$305</definedName>
    <definedName name="DS_Counties_DataNames">Data1!$A$354:$A$420</definedName>
    <definedName name="DS_Counties_DDMenu">Data1!$F$353:$F$420</definedName>
    <definedName name="DS_Counties_Sequence">Data1!$C$354:$C$420</definedName>
    <definedName name="DS_County_Classification_Active">Data1!$J$352</definedName>
    <definedName name="DS_County_Sizes">Data1!$A$354:$K$420</definedName>
    <definedName name="DS_CountyData">Data3!$A$5:$P$72</definedName>
    <definedName name="DS_Davis_Bacon_Multiplier">Data3!$G$307</definedName>
    <definedName name="DS_Demo_DataNames">Data1!$A$20:$A$33</definedName>
    <definedName name="DS_Demo_DDMenu">Data1!$F$19:$F$33</definedName>
    <definedName name="DS_Demo_Multiplier">Data3!$G$302</definedName>
    <definedName name="DS_Demo_Sequence">Data1!$C$20:$C$33</definedName>
    <definedName name="DS_Designation_DataNames">Data1!$A$14:$A$16</definedName>
    <definedName name="DS_Designation_DDMenu">Data1!$F$13:$F$16</definedName>
    <definedName name="DS_Designation_Sequence">Data1!$C$14:$C$16</definedName>
    <definedName name="DS_DevCat_DataNames">Data1!$A$188:$A$194</definedName>
    <definedName name="DS_DevCat_DDMenu">Data1!$F$187:$F$194</definedName>
    <definedName name="DS_DevCat_Note_01">Data1!$H$189</definedName>
    <definedName name="DS_DevCat_Note_02">Data1!$H$190</definedName>
    <definedName name="DS_DevCat_Note_03">Data1!$H$191</definedName>
    <definedName name="DS_DevCat_Note_04">Data1!$H$192</definedName>
    <definedName name="DS_DevCat_Note_05">Data1!$H$193</definedName>
    <definedName name="DS_DevCat_Note_06">Data1!$H$194</definedName>
    <definedName name="DS_DevCat_Note_07">Data1!$H$195</definedName>
    <definedName name="DS_DevCat_Note_08">Data1!$H$196</definedName>
    <definedName name="DS_DevCat_Note_09">Data1!$H$197</definedName>
    <definedName name="DS_DevCat_Note_10">Data1!$H$198</definedName>
    <definedName name="DS_DevCat_Note_11">Data1!$H$199</definedName>
    <definedName name="DS_DevCat_Note_12">Data1!$H$200</definedName>
    <definedName name="DS_DevCat_Note_13">Data1!$H$201</definedName>
    <definedName name="DS_DevCat_Note_14">Data1!$H$202</definedName>
    <definedName name="DS_DevCat_Note_15">Data1!$H$203</definedName>
    <definedName name="DS_DevCat_Note_16">Data1!$H$204</definedName>
    <definedName name="DS_DevCat_Note_R1">Data1!$H$205</definedName>
    <definedName name="DS_DevCat_Note_R2">Data1!$H$206</definedName>
    <definedName name="DS_DevCat_Note_R3">Data1!$H$207</definedName>
    <definedName name="DS_DevCat_Q_Basis_Pres_1">Data1!$G$249</definedName>
    <definedName name="DS_DevCat_Q_Basis_Pres_2">Data1!$G$250</definedName>
    <definedName name="DS_DevCat_Q_Basis_Rehab_1">Data1!$G$281</definedName>
    <definedName name="DS_DevCat_Q_Basis_Rehab_2">Data1!$G$282</definedName>
    <definedName name="DS_DevCat_Qual_Letter">Data1!$P$214</definedName>
    <definedName name="DS_DevCat_R_Exp_Pres_1">Data1!$G$242</definedName>
    <definedName name="DS_DevCat_R_Exp_Pres_2">Data1!$G$243</definedName>
    <definedName name="DS_DevCat_R_Exp_Rehab_1">Data1!$G$274</definedName>
    <definedName name="DS_DevCat_R_Exp_Rehab_2">Data1!$G$275</definedName>
    <definedName name="DS_DevCat_Rule_Def">Data1!$O$261</definedName>
    <definedName name="DS_DevCat_Sequence">Data1!$C$188:$C$194</definedName>
    <definedName name="DS_DevCat_Units_NC_1">Data1!$G$209</definedName>
    <definedName name="DS_DevCat_Units_NC_2">Data1!$G$210</definedName>
    <definedName name="DS_DevCat_Units_Pres_1">Data1!$G$232</definedName>
    <definedName name="DS_DevCat_Units_Pres_2">Data1!$G$233</definedName>
    <definedName name="DS_DevCat_Units_Redev_1">Data1!$G$217</definedName>
    <definedName name="DS_DevCat_Units_Redev_2">Data1!$G$218</definedName>
    <definedName name="DS_DevCat_Units_Rehab_1">Data1!$G$264</definedName>
    <definedName name="DS_DevCat_Units_Rehab_2">Data1!$G$265</definedName>
    <definedName name="DS_DevCatMatch">Data1!$E$347</definedName>
    <definedName name="DS_DevExp_DB_CDBG_DR">Data1!$B$107</definedName>
    <definedName name="DS_DevExp_DB_Federal">Data1!$B$108</definedName>
    <definedName name="DS_DevExp_DB_Federal_Units">Data1!$B$109</definedName>
    <definedName name="DS_DevExp_DB_HOME">Data1!$B$106</definedName>
    <definedName name="DS_DevExp_DB_Min_Units">Data1!$I$106</definedName>
    <definedName name="DS_DevExp_DB_Required">Data1!$B$105</definedName>
    <definedName name="DS_DevExp_DB_Sequence">Data1!$H$106</definedName>
    <definedName name="DS_DevExp_DevsWithSinceDate">Data1!$E$96</definedName>
    <definedName name="DS_DevExp_MinDevs_List">Data1!$E$94</definedName>
    <definedName name="DS_DevExp_MinUnits">Data1!$B$100</definedName>
    <definedName name="DS_DevExp_MinUnits_Criteria">Data1!$E$102</definedName>
    <definedName name="DS_DevExp_MinUnits_Devs">Data1!$E$103</definedName>
    <definedName name="DS_DevExp_MinUnits_Number">Data1!$E$101</definedName>
    <definedName name="DS_DevExp_MinUnits_Percent">Data1!$E$100</definedName>
    <definedName name="DS_DevExp_NonPrgmWording">Data1!$B$96</definedName>
    <definedName name="DS_DevExp_PrgmMinDevs">Data1!$E$99</definedName>
    <definedName name="DS_DevExp_PrgmReq">Data1!$C$97</definedName>
    <definedName name="DS_DevExp_PrgmSinceDate">Data1!$E$98</definedName>
    <definedName name="DS_DevExp_Shown">Data1!$K$104</definedName>
    <definedName name="DS_DevExp_SinceDate">Data1!$E$95</definedName>
    <definedName name="DS_DevExpDescription_DDMenu">Data1!$F$36:$F$39</definedName>
    <definedName name="DS_DevExpProgs_DataNames">Data1!$A$47:$A$90</definedName>
    <definedName name="DS_DevExpProgs_DDMenu">Data1!$F$46:$F$90</definedName>
    <definedName name="DS_DevExpProgs_Sequence">Data1!$C$47:$C$90</definedName>
    <definedName name="DS_DevSubCat_DataNames">Data1!$A$199:$A$201</definedName>
    <definedName name="DS_DevSubCat_DDMenu">Data1!$F$198:$F$201</definedName>
    <definedName name="DS_DevSubCat_Sequence">Data1!$C$199:$C$201</definedName>
    <definedName name="DS_DevType_DataNames">Data1!$A$326:$A$337</definedName>
    <definedName name="DS_DevType_DDMenu">Data1!$F$325:$F$337</definedName>
    <definedName name="DS_DevType_Sequence">Data1!$C$326:$C$337</definedName>
    <definedName name="DS_Dollar_PU_ODR_Active">Data3!$I$230</definedName>
    <definedName name="DS_Elderly_ALF_Multiplier">Data3!$G$301</definedName>
    <definedName name="DS_ELI_Data">Data3!$A$5:$N$72</definedName>
    <definedName name="DS_ELI_Funding_Total">'Units, Set-Asides, Bldgs'!$K$178</definedName>
    <definedName name="DS_ELI_PD">Data3!$C$105</definedName>
    <definedName name="DS_ELI_UnitLimit">Data1!$B$641</definedName>
    <definedName name="DS_ELI_UnitLimit_Exception">Data1!$B$643</definedName>
    <definedName name="DS_ELI_UnitLimit_Exception_Goal">Data1!$B$644</definedName>
    <definedName name="DS_ELI_UnitLimit_Exception_Goal_Met">Data1!$F$644</definedName>
    <definedName name="DS_ELI_UnitLimit_Units">Data1!$B$642</definedName>
    <definedName name="DS_ExcelCheckbox_After_School">Data1!$B$727</definedName>
    <definedName name="DS_ExcelCheckBox_AtLeast80">Data1!$B$38</definedName>
    <definedName name="DS_ExcelCheckbox_cabinets">Data1!$B$710</definedName>
    <definedName name="DS_ExcelCheckbox_Computer_Training">Data1!$B$734</definedName>
    <definedName name="DS_ExcelCheckbox_Coordination_Exp_3rd_party">Data1!$B$722</definedName>
    <definedName name="DS_ExcelCheckbox_Daily_Activities">Data1!$B$735</definedName>
    <definedName name="DS_ExcelCheckBox_DC_Impaired">Data1!$B$40</definedName>
    <definedName name="DS_ExcelCheckBox_DC_Not_Impaired">Data1!$B$42</definedName>
    <definedName name="DS_ExcelCheckBox_DevCat_CorpPortfolio">Data1!$B$300</definedName>
    <definedName name="DS_ExcelCheckBox_DevCat_RDPortfolio">Data1!$B$301</definedName>
    <definedName name="DS_ExcelCheckbox_dual_flush">Data1!$B$706</definedName>
    <definedName name="DS_ExcelCheckbox_Employment_Assistance_general">Data1!$B$729</definedName>
    <definedName name="DS_ExcelCheckbox_ES_roof_coating">Data1!$B$708</definedName>
    <definedName name="DS_ExcelCheckbox_ES_roof_materials">Data1!$B$709</definedName>
    <definedName name="DS_ExcelCheckbox_ExpApplicant">Data1!$B$723</definedName>
    <definedName name="DS_ExcelCheckbox_Financial_Counseling">Data1!$B$730</definedName>
    <definedName name="DS_ExcelCheckbox_FinMgmt">Data1!$B$733</definedName>
    <definedName name="DS_ExcelCheckbox_flooring">Data1!$B$711</definedName>
    <definedName name="DS_ExcelCheckBox_Goal_1">Data1!$B$810</definedName>
    <definedName name="DS_ExcelCheckBox_Goal_2">Data1!$B$811</definedName>
    <definedName name="DS_ExcelCheckBox_Goal_3">Data1!$B$812</definedName>
    <definedName name="DS_ExcelCheckBox_Goal_4">Data1!$B$813</definedName>
    <definedName name="DS_ExcelCheckBox_Goal_5">Data1!$B$814</definedName>
    <definedName name="DS_ExcelCheckbox_Health_Wellness">Data1!$B$728</definedName>
    <definedName name="DS_ExcelCheckbox_Homeownership_seminar">Data1!$B$731</definedName>
    <definedName name="DS_ExcelCheckbox_Housekeeping">Data1!$B$736</definedName>
    <definedName name="DS_ExcelCheckbox_Humidistat">Data1!$B$705</definedName>
    <definedName name="DS_ExcelCheckBox_LessThan80">Data1!$B$37</definedName>
    <definedName name="DS_ExcelCheckbox_LGAO_NoPref">Data1!$B$787</definedName>
    <definedName name="DS_ExcelCheckbox_LGAO_Prior_App_1YR">Data1!$B$785</definedName>
    <definedName name="DS_ExcelCheckbox_LGAO_Prior_App_2YR">Data1!$B$786</definedName>
    <definedName name="DS_ExcelCheckbox_light_pavement">Data1!$B$707</definedName>
    <definedName name="DS_ExcelCheckbox_MixedUse_Comm">Data1!$B$790</definedName>
    <definedName name="DS_ExcelCheckbox_MixedUse_Inst">Data1!$B$791</definedName>
    <definedName name="DS_ExcelCheckBox_RD514_516">Data1!$B$757</definedName>
    <definedName name="DS_ExcelCheckBox_RD515">Data1!$B$758</definedName>
    <definedName name="DS_ExcelCheckBox_RD538">Data1!$B$759</definedName>
    <definedName name="DS_ExcelCheckbox_Resident_checkin">Data1!$B$737</definedName>
    <definedName name="DS_ExcelCheckbox_SEER_for_AC">Data1!$B$712</definedName>
    <definedName name="DS_ExcelCheckbox_sensors">Data1!$B$719</definedName>
    <definedName name="DS_ExcelCheckBox_SSI">Data1!$B$41</definedName>
    <definedName name="DS_ExcelCheckBox_Survivors">Data1!$B$44</definedName>
    <definedName name="DS_ExcelCheckbox_thermostat">Data1!$B$704</definedName>
    <definedName name="DS_ExcelCheckbox_UrbanInfill">Data1!$B$792</definedName>
    <definedName name="DS_ExcelCheckbox_windows">Data1!$B$713</definedName>
    <definedName name="DS_ExcelCheckbox_Yards">Data1!$B$718</definedName>
    <definedName name="DS_ExcelCheckBox_YouthAgingOut">Data1!$B$43</definedName>
    <definedName name="DS_FF_DataNames">Data1!$A$568:$A$569</definedName>
    <definedName name="DS_FF_DDMenu">Data1!$F$567:$F$569</definedName>
    <definedName name="DS_FF_Sequence">Data1!$C$568:$C$569</definedName>
    <definedName name="DS_FHFC_9HC_Amt">Data3!$C$267</definedName>
    <definedName name="DS_FHFC_9HC_Label">Data3!$D$267</definedName>
    <definedName name="DS_FHFC_9HC_Max_Amt">Data3!$E$267</definedName>
    <definedName name="DS_FHFC_9HC_Name">Data3!$B$267</definedName>
    <definedName name="DS_FHFC_NonHC">Data1!$A$575</definedName>
    <definedName name="DS_FHFC_NonHC_Table">Data1!$B$622</definedName>
    <definedName name="DS_FHFC_Source_1_Amt">Data3!$C$262</definedName>
    <definedName name="DS_FHFC_Source_1_Label">Data3!$D$262</definedName>
    <definedName name="DS_FHFC_Source_1_Max_Amt">Data3!$E$262</definedName>
    <definedName name="DS_FHFC_Source_1_Name">Data3!$B$262</definedName>
    <definedName name="DS_FHFC_Source_2_Amt">Data3!$C$263</definedName>
    <definedName name="DS_FHFC_Source_2_Label">Data3!$D$263</definedName>
    <definedName name="DS_FHFC_Source_2_Max_Amt">Data3!$E$263</definedName>
    <definedName name="DS_FHFC_Source_2_Name">Data3!$B$263</definedName>
    <definedName name="DS_FHFC_Source_3_Amt">Data3!$C$264</definedName>
    <definedName name="DS_FHFC_Source_3_Label">Data3!$D$264</definedName>
    <definedName name="DS_FHFC_Source_3_Max_Amt">Data3!$E$264</definedName>
    <definedName name="DS_FHFC_Source_3_Name">Data3!$B$264</definedName>
    <definedName name="DS_FHFC_Source_4_Amt">Data3!$C$265</definedName>
    <definedName name="DS_FHFC_Source_4_Label">Data3!$D$265</definedName>
    <definedName name="DS_FHFC_Source_4_Max_Amt">Data3!$E$265</definedName>
    <definedName name="DS_FHFC_Source_4_Name">Data3!$B$265</definedName>
    <definedName name="DS_FLJobs_CDBG_DR">Data3!$G$217</definedName>
    <definedName name="DS_FLJobs_Grant">Data3!$G$215</definedName>
    <definedName name="DS_FLJobs_HC">Data3!$G$209</definedName>
    <definedName name="DS_FLJobs_HOME">Data3!$G$213</definedName>
    <definedName name="DS_FLJobs_HOME_ARP">Data3!$G$214</definedName>
    <definedName name="DS_FLJobs_MFAR">Data3!$G$204</definedName>
    <definedName name="DS_FLJobs_MFNC">Data3!$G$203</definedName>
    <definedName name="DS_FLJobs_MFRO">Data3!$G$206</definedName>
    <definedName name="DS_FLJobs_Min_Score1">Data3!$G$201</definedName>
    <definedName name="DS_FLJobs_Min_Score2">Data3!$G$202</definedName>
    <definedName name="DS_FLJobs_MP_HC">Data3!$G$207</definedName>
    <definedName name="DS_FLJobs_NHTF">Data3!$G$216</definedName>
    <definedName name="DS_FLJobs_RRLP">Data3!$G$212</definedName>
    <definedName name="DS_FLJobs_SAIL">Data3!$G$211</definedName>
    <definedName name="DS_FLJobs_SFNC">Data3!$G$205</definedName>
    <definedName name="DS_FLJobs_Workforce">Data3!$G$210</definedName>
    <definedName name="DS_GAOs_effective2.1.22">Data2!$L$13:$M$2313</definedName>
    <definedName name="DS_GAOs_effective2.1.23">Data2!$AP$13:$AQ$2950</definedName>
    <definedName name="DS_GAOs_effective2.1.24">Data2!$BT$13:$BU$2944</definedName>
    <definedName name="DS_GAOs_effective2.1.25">Data2!$CX$13:$CY$3000</definedName>
    <definedName name="DS_Gap_AMI_Auto">Data1!$B$598</definedName>
    <definedName name="DS_Gap_AMI_Auto_YN">Data1!$C$598</definedName>
    <definedName name="DS_Gap_AMI_AutoAvg_AIT">Data1!$B$600</definedName>
    <definedName name="DS_Gap_AMI_Max">Data1!$B$599</definedName>
    <definedName name="DS_Gap_Max_SA_Perc">Data1!$B$602</definedName>
    <definedName name="DS_Gap_Min_SA_ALF">Data1!$B$603</definedName>
    <definedName name="DS_Gap_Min_SA_Perc">Data1!$B$601</definedName>
    <definedName name="DS_Gap_Name">Data1!$B$597</definedName>
    <definedName name="DS_Gap_SS_Low_AMI_AIT">Data1!$B$607</definedName>
    <definedName name="DS_Gap_SS_Low_AMI_Non">Data1!$B$605</definedName>
    <definedName name="DS_Gap_SS_Low_SA_AIT">Data1!$B$606</definedName>
    <definedName name="DS_Gap_SS_Low_SA_Non">Data1!$B$604</definedName>
    <definedName name="DS_Gap_YN">Data1!$B$596</definedName>
    <definedName name="DS_GCExp_MinDevs_DB">Data1!$E$174</definedName>
    <definedName name="DS_GCExp_MinDevs_List">Data1!$E$172</definedName>
    <definedName name="DS_GCExp_MinUnits_Percent">Data1!$E$173</definedName>
    <definedName name="DS_GCExp_MinUnits_Percent_ActualUnits">Data1!$B$173</definedName>
    <definedName name="DS_GMP_ML_1">Data1!$H$463</definedName>
    <definedName name="DS_GMP_ML_2">Data1!$H$464</definedName>
    <definedName name="DS_GMP_ML_3">Data1!$H$465</definedName>
    <definedName name="DS_GMP_ML_4">Data1!$H$466</definedName>
    <definedName name="DS_GMP_ML_5">Data1!$H$467</definedName>
    <definedName name="DS_GMP_ML_6">Data1!$H$468</definedName>
    <definedName name="DS_GMP_ML_7">Data1!$H$469</definedName>
    <definedName name="DS_GMP_ML_8">Data1!$H$470</definedName>
    <definedName name="DS_GMP_S_1">Data1!$G$463</definedName>
    <definedName name="DS_GMP_S_2">Data1!$G$464</definedName>
    <definedName name="DS_GMP_S_3">Data1!$G$465</definedName>
    <definedName name="DS_GMP_S_4">Data1!$G$466</definedName>
    <definedName name="DS_GMP_S_5">Data1!$G$467</definedName>
    <definedName name="DS_GMP_S_6">Data1!$G$468</definedName>
    <definedName name="DS_GMP_S_7">Data1!$G$469</definedName>
    <definedName name="DS_GMP_S_8">Data1!$G$470</definedName>
    <definedName name="DS_GMP_Score_1">Data1!$I$463</definedName>
    <definedName name="DS_GMP_Score_2">Data1!$I$464</definedName>
    <definedName name="DS_GMP_Score_3">Data1!$I$465</definedName>
    <definedName name="DS_GMP_Score_4">Data1!$I$466</definedName>
    <definedName name="DS_GMP_Score_5">Data1!$I$467</definedName>
    <definedName name="DS_GMP_Score_6">Data1!$I$468</definedName>
    <definedName name="DS_GMP_Score_7">Data1!$I$469</definedName>
    <definedName name="DS_GMP_Score_8">Data1!$I$470</definedName>
    <definedName name="DS_GMPPS_Distance_Rank">Data1!$B$479</definedName>
    <definedName name="DS_GMPPS_Score_Rank">Data1!$C$479</definedName>
    <definedName name="DS_Goals_DataNames">Data1!$A$795:$A$807</definedName>
    <definedName name="DS_Goals_DDMenu">Data1!$F$794:$F$807</definedName>
    <definedName name="DS_Goals_Sequence">Data1!$C$795:$C$807</definedName>
    <definedName name="DS_Grant_PD">Data3!$C$163</definedName>
    <definedName name="DS_Green_DataNames">Data1!$A$697:$A$700</definedName>
    <definedName name="DS_Green_DDMenu">Data1!$F$696:$F$700</definedName>
    <definedName name="DS_Green_Sequence">Data1!$C$697:$C$700</definedName>
    <definedName name="DS_HC_Funding">Data1!$B$204</definedName>
    <definedName name="DS_HC_Min_SA_Perc">Data1!$B$578</definedName>
    <definedName name="DS_HC_PFNCGAE">Data3!$F$280</definedName>
    <definedName name="DS_HC_PFNCGAW">Data3!$F$281</definedName>
    <definedName name="DS_HC_PFNCHRE">Data3!$F$282</definedName>
    <definedName name="DS_HC_PFNCMRE">Data3!$F$283</definedName>
    <definedName name="DS_HC_PFNCMRW">Data3!$F$284</definedName>
    <definedName name="DS_HC_PFRCGA">Data3!$F$285</definedName>
    <definedName name="DS_HC_PFRCNG">Data3!$F$286</definedName>
    <definedName name="DS_HC_SFNCGAE">Data3!$F$287</definedName>
    <definedName name="DS_HC_SFNCGAW">Data3!$F$288</definedName>
    <definedName name="DS_HC_SFNCHRE">Data3!$F$289</definedName>
    <definedName name="DS_HC_SFNCMRE">Data3!$F$290</definedName>
    <definedName name="DS_HC_SFNCMRW">Data3!$F$291</definedName>
    <definedName name="DS_HC_SFRCGA">Data3!$F$292</definedName>
    <definedName name="DS_HC_SFRCNG">Data3!$F$293</definedName>
    <definedName name="DS_HOME_PD">Data3!$C$122</definedName>
    <definedName name="DS_HOME_PU_0Bd">Data3!$C$123</definedName>
    <definedName name="DS_HOME_PU_1Bd">Data3!$C$124</definedName>
    <definedName name="DS_HOME_PU_2Bd">Data3!$C$125</definedName>
    <definedName name="DS_HOME_PU_3Bd">Data3!$C$126</definedName>
    <definedName name="DS_HOME_PU_4Bd">Data3!$C$127</definedName>
    <definedName name="DS_HOMEARPMAX">Data3!$D$254</definedName>
    <definedName name="DS_HOMEARPRQST">Data3!$C$254</definedName>
    <definedName name="DS_HUDBoostYear_DDMenu">Data1!$F$743:$F$747</definedName>
    <definedName name="DS_IRS_2050">Data1!$A$572</definedName>
    <definedName name="DS_IRS_4060">Data1!$A$573</definedName>
    <definedName name="DS_IRS_AIT">Data1!$A$574</definedName>
    <definedName name="DS_IssueDate">Data1!$E$8</definedName>
    <definedName name="DS_KeysLocation_DDMenu">Data1!$F$422:$F$424</definedName>
    <definedName name="DS_LDA_Counties">Data1!$A$354:$M$420</definedName>
    <definedName name="DS_LDA_County_List">Data1!$L$411:$L$420</definedName>
    <definedName name="DS_LDA_Designation">Data1!$M$354:$M$420</definedName>
    <definedName name="DS_LDA_Listed">Data1!$O$354:$O$420</definedName>
    <definedName name="DS_Lev_MP_Broward">Data3!$G$191</definedName>
    <definedName name="DS_Lev_MP_ESS">Data3!$G$193</definedName>
    <definedName name="DS_Lev_MP_GA">Data3!$G$196</definedName>
    <definedName name="DS_Lev_MP_HC">Data3!$G$189</definedName>
    <definedName name="DS_Lev_MP_HR">Data3!$G$194</definedName>
    <definedName name="DS_Lev_MP_Loan">Data3!$G$190</definedName>
    <definedName name="DS_Lev_MP_MR">Data3!$G$195</definedName>
    <definedName name="DS_Lev_MP_Oth">Data3!$G$197</definedName>
    <definedName name="DS_Lev_MP_PHA">Data3!$G$192</definedName>
    <definedName name="DS_LGC_Type_DDMenu">Data1!$G$773:$G$775</definedName>
    <definedName name="DS_Limiting_DevCat_Menu">Data3!$N$76:$N$77</definedName>
    <definedName name="DS_LL_DevExpPrgms_Active">Data1!$B$93</definedName>
    <definedName name="DS_Loan_Min_SA_Perc">Data1!$B$592</definedName>
    <definedName name="DS_Loan_Name">Data1!$B$591</definedName>
    <definedName name="DS_Managing_DDMenu">Data1!$F$176:$F$178</definedName>
    <definedName name="DS_Mand_distance_auto">Data1!$B$525</definedName>
    <definedName name="DS_Max_ARP_Opt_Units">Data3!$J$141</definedName>
    <definedName name="DS_Max_ARP_Req_Units">Data3!$J$138</definedName>
    <definedName name="DS_Max_ARP_Req_Units_Active">Data3!$I$138</definedName>
    <definedName name="DS_Max_ARP_Units">Data3!$J$132</definedName>
    <definedName name="DS_Max_Dollar_PU_ODR">Data3!$G$230</definedName>
    <definedName name="DS_Max_NHTF">Data3!$C$279:$L$293</definedName>
    <definedName name="DS_Max_NHTF_Opt_Units">Data3!$J$158</definedName>
    <definedName name="DS_Max_NHTF_Req_Units">Data3!$J$155</definedName>
    <definedName name="DS_Max_NHTF_Req_Units_Active">Data3!$I$155</definedName>
    <definedName name="DS_Max_NHTF_Units">Data3!$J$149</definedName>
    <definedName name="DS_Max_ODR">Data3!$G$229</definedName>
    <definedName name="DS_Max_Units_1">Data1!$G$530</definedName>
    <definedName name="DS_Max_Units_2">Data1!$H$530</definedName>
    <definedName name="DS_MaxDevFeeAcq_Percent">Data3!$G$226</definedName>
    <definedName name="DS_MaxDevFeeNonAcq_Percent">Data3!$G$227</definedName>
    <definedName name="DS_MaxDevFeeODR_Percent">Data3!$G$228</definedName>
    <definedName name="DS_MaxGCFee">Data3!$G$222</definedName>
    <definedName name="DS_MaxHCCNC">Data3!$G$223</definedName>
    <definedName name="DS_MaxHCCR">Data3!$G$224</definedName>
    <definedName name="DS_MaxSCC">Data3!$G$225</definedName>
    <definedName name="DS_MaxUnits_AR_1">Data1!$B$554</definedName>
    <definedName name="DS_MaxUnits_AR_2">Data1!$K$554</definedName>
    <definedName name="DS_MaxUnits_Default_1">Data1!$B$558</definedName>
    <definedName name="DS_MaxUnits_Default_2">Data1!$K$558</definedName>
    <definedName name="DS_MaxUnits_E_NonOccRehab_1">Data1!$B$548</definedName>
    <definedName name="DS_MaxUnits_E_NonOccRehab_2">Data1!$K$548</definedName>
    <definedName name="DS_MaxUnits_E_OccRehab_1">Data1!$B$547</definedName>
    <definedName name="DS_MaxUnits_E_OccRehab_2">Data1!$K$547</definedName>
    <definedName name="DS_MaxUnits_Fam_1">Data1!$B$552</definedName>
    <definedName name="DS_MaxUnits_Fam_2">Data1!$K$552</definedName>
    <definedName name="DS_MaxUnits_General_Large_1">Data1!$B$557</definedName>
    <definedName name="DS_MaxUnits_General_Large_2">Data1!$K$557</definedName>
    <definedName name="DS_MaxUnits_General_Medium_1">Data1!$B$556</definedName>
    <definedName name="DS_MaxUnits_General_Medium_2">Data1!$K$556</definedName>
    <definedName name="DS_MaxUnits_General_Small_1">Data1!$B$555</definedName>
    <definedName name="DS_MaxUnits_General_Small_2">Data1!$K$555</definedName>
    <definedName name="DS_MaxUnits_NC_1">Data1!$B$553</definedName>
    <definedName name="DS_MaxUnits_NC_2">Data1!$K$553</definedName>
    <definedName name="DS_MaxUnits_NC_ALF_1">Data1!$B$544</definedName>
    <definedName name="DS_MaxUnits_NC_ALF_2">Data1!$K$544</definedName>
    <definedName name="DS_MaxUnits_NC_E_BMD_1">Data1!$B$550</definedName>
    <definedName name="DS_MaxUnits_NC_E_BMD_2">Data1!$K$550</definedName>
    <definedName name="DS_MaxUnits_NC_E_NonBMD_1">Data1!$B$551</definedName>
    <definedName name="DS_MaxUnits_NC_E_NonBMD_2">Data1!$K$551</definedName>
    <definedName name="DS_MaxUnits_NC_F_MMRB_1">Data1!$B$546</definedName>
    <definedName name="DS_MaxUnits_NC_F_MMRB_2">Data1!$K$546</definedName>
    <definedName name="DS_MaxUnits_NotNC_ALF_1">Data1!$B$545</definedName>
    <definedName name="DS_MaxUnits_NotNC_ALF_2">Data1!$K$545</definedName>
    <definedName name="DS_MaxUnits_PDC_1">Data1!$B$543</definedName>
    <definedName name="DS_MaxUnits_PDC_2">Data1!$K$543</definedName>
    <definedName name="DS_MaxUnits_PDD_1">Data1!$B$542</definedName>
    <definedName name="DS_MaxUnits_PDD_2">Data1!$K$542</definedName>
    <definedName name="DS_MaxUnits_Pres_1">Data1!$B$549</definedName>
    <definedName name="DS_MaxUnits_Pres_2">Data1!$K$549</definedName>
    <definedName name="DS_MDCounty_DDMenu">Data1!$F$426:$F$428</definedName>
    <definedName name="DS_Metro_QCTs_2022">Data2!$F$13:$G$738</definedName>
    <definedName name="DS_Metro_QCTs_2023">Data2!$AJ$13:$AK$814</definedName>
    <definedName name="DS_Metro_QCTs_2024">Data2!$BN$13:$BO$4972</definedName>
    <definedName name="DS_Metro_QCTs_2025">Data2!$CR$13:$CS$4972</definedName>
    <definedName name="DS_MgmtExp_MinDevs_List">Data1!$E$177</definedName>
    <definedName name="DS_MgmtExp_MinUnits">Data1!$B$179</definedName>
    <definedName name="DS_MgmtExp_MinUnits_Devs">Data1!$E$180</definedName>
    <definedName name="DS_MgmtExp_MinUnits_Percent">Data1!$E$179</definedName>
    <definedName name="DS_MgmtExp_Yrs">Data1!$E$178</definedName>
    <definedName name="DS_Military_DataNames">Data1!$A$432:$A$445</definedName>
    <definedName name="DS_Military_DDMenu">Data1!$F$431:$F$445</definedName>
    <definedName name="DS_Military_Region">Data1!$E$432:$E$445</definedName>
    <definedName name="DS_Military_Sequence">Data1!$C$432:$C$445</definedName>
    <definedName name="DS_Min_ARP_Req_Units">Data3!$J$134</definedName>
    <definedName name="DS_Min_ARP_Req_Units_Active">Data3!$I$134</definedName>
    <definedName name="DS_Min_ELI_AIT_Buy_NSS">Data1!$B$631</definedName>
    <definedName name="DS_Min_ELI_AIT_Buy_SS">Data1!$B$634</definedName>
    <definedName name="DS_Min_ELI_AIT_NSS">Data1!$B$630</definedName>
    <definedName name="DS_Min_ELI_AIT_SS">Data1!$B$633</definedName>
    <definedName name="DS_Min_ELI_LDA">Data1!$B$639</definedName>
    <definedName name="DS_Min_ELI_NonAIT_Buy_NSS">Data1!$B$625</definedName>
    <definedName name="DS_Min_ELI_NonAIT_Buy_SS">Data1!$B$628</definedName>
    <definedName name="DS_Min_ELI_NonAIT_NSS">Data1!$B$624</definedName>
    <definedName name="DS_Min_ELI_NonAIT_SS">Data1!$B$627</definedName>
    <definedName name="DS_Min_NHTF_Req_Units">Data3!$J$151</definedName>
    <definedName name="DS_Min_NHTF_Req_Units_Active">Data3!$I$151</definedName>
    <definedName name="DS_Min_Units_1">Data1!$G$528</definedName>
    <definedName name="DS_Min_Units_2">Data1!$H$528</definedName>
    <definedName name="DS_Min_Units_6Large_1">Data1!$B$534</definedName>
    <definedName name="DS_Min_Units_6Large_2">Data1!$K$534</definedName>
    <definedName name="DS_Min_Units_AR_1">Data1!$B$537</definedName>
    <definedName name="DS_Min_Units_AR_2">Data1!$K$537</definedName>
    <definedName name="DS_Min_Units_Bonds_1">Data1!$B$535</definedName>
    <definedName name="DS_Min_Units_Bonds_2">Data1!$K$535</definedName>
    <definedName name="DS_Min_Units_Default_1">Data1!$B$541</definedName>
    <definedName name="DS_Min_Units_Default_2">Data1!$K$541</definedName>
    <definedName name="DS_Min_Units_General_Large_1">Data1!$B$540</definedName>
    <definedName name="DS_Min_Units_General_Large_2">Data1!$K$540</definedName>
    <definedName name="DS_Min_Units_General_Medium_1">Data1!$B$539</definedName>
    <definedName name="DS_Min_Units_General_Medium_2">Data1!$K$539</definedName>
    <definedName name="DS_Min_Units_General_Small_1">Data1!$B$538</definedName>
    <definedName name="DS_Min_Units_General_Small_2">Data1!$K$538</definedName>
    <definedName name="DS_Min_Units_Keys_1">Data1!$B$530</definedName>
    <definedName name="DS_Min_Units_Keys_2">Data1!$K$530</definedName>
    <definedName name="DS_Min_Units_NC_1">Data1!$B$536</definedName>
    <definedName name="DS_Min_Units_NC_2">Data1!$K$536</definedName>
    <definedName name="DS_Min_Units_No_MiamiDade_1">Data1!$B$531</definedName>
    <definedName name="DS_Min_Units_No_MiamiDade_2">Data1!$K$531</definedName>
    <definedName name="DS_Min_Units_PDC_1">Data1!$B$529</definedName>
    <definedName name="DS_Min_Units_PDC_2">Data1!$K$529</definedName>
    <definedName name="DS_Min_Units_PDD_1">Data1!$B$528</definedName>
    <definedName name="DS_Min_Units_PDD_2">Data1!$K$528</definedName>
    <definedName name="DS_Min_Units_Pinellas_1">Data1!$B$533</definedName>
    <definedName name="DS_Min_Units_Pinellas_2">Data1!$K$533</definedName>
    <definedName name="DS_Min_Units_So_MiamiDade_1">Data1!$B$532</definedName>
    <definedName name="DS_Min_Units_So_MiamiDade_2">Data1!$K$532</definedName>
    <definedName name="DS_Minimum_ELI">Data1!$G$617</definedName>
    <definedName name="DS_MinIRS_DataNames">Data1!$A$572:$A$575</definedName>
    <definedName name="DS_MinIRS_DDMenu">Data1!$F$571:$F$575</definedName>
    <definedName name="DS_MinIRS_Sequence">Data1!$C$572:$C$575</definedName>
    <definedName name="DS_Multiplier_1_Y">Data3!$F$301</definedName>
    <definedName name="DS_Multiplier_2_Y">Data3!$F$302</definedName>
    <definedName name="DS_Multiplier_3_Y">Data3!$F$303</definedName>
    <definedName name="DS_Multiplier_4_Y">Data3!$F$304</definedName>
    <definedName name="DS_Multiplier_5_Y">Data3!$F$305</definedName>
    <definedName name="DS_Multiplier_6_Y">Data3!$F$306</definedName>
    <definedName name="DS_Multiplier_7_Y">Data3!$F$307</definedName>
    <definedName name="DS_Multiplier_8_Y">Data3!$F$308</definedName>
    <definedName name="DS_Multiplier_9_Y">Data3!$F$309</definedName>
    <definedName name="DS_N_Keys_Multiplier">Data3!$G$308</definedName>
    <definedName name="DS_NC_NP_Req">Data1!$B$206</definedName>
    <definedName name="DS_NHTF_AMI_Units_Opt">Data3!$C$161</definedName>
    <definedName name="DS_NHTF_AMI_Units_Req">Data3!$C$160</definedName>
    <definedName name="DS_NHTF_Max_Percent_Opt">Data3!$C$158</definedName>
    <definedName name="DS_NHTF_Max_Percent_Opt_Active">Data3!$H$158</definedName>
    <definedName name="DS_NHTF_Max_Percent_Total">Data3!$C$149</definedName>
    <definedName name="DS_NHTF_Max_Percent_Total_Active">Data3!$H$149</definedName>
    <definedName name="DS_NHTF_Max_Total_Units_Active">Data3!$I$149</definedName>
    <definedName name="DS_NHTF_Max_Units_Opt">Data3!$C$159</definedName>
    <definedName name="DS_NHTF_Max_Units_Opt_Active">Data3!$H$159</definedName>
    <definedName name="DS_NHTF_Max_Units_Opt_Allowed">Data3!$H$161</definedName>
    <definedName name="DS_NHTF_Max_Units_Req_Large">Data3!$C$155</definedName>
    <definedName name="DS_NHTF_Max_Units_Req_Large_Active">Data3!$H$155</definedName>
    <definedName name="DS_NHTF_Max_Units_Req_Medium">Data3!$C$156</definedName>
    <definedName name="DS_NHTF_Max_Units_Req_Medium_Active">Data3!$H$156</definedName>
    <definedName name="DS_NHTF_Max_Units_Req_Small">Data3!$C$157</definedName>
    <definedName name="DS_NHTF_Max_Units_Req_Small_Active">Data3!$H$157</definedName>
    <definedName name="DS_NHTF_Max_Units_Total">Data3!$C$150</definedName>
    <definedName name="DS_NHTF_Max_Units_Total_Active">Data3!$H$150</definedName>
    <definedName name="DS_NHTF_Min_Percent_Req_Active">Data3!$H$151</definedName>
    <definedName name="DS_NHTF_Min_Percent_Required">Data3!$C$151</definedName>
    <definedName name="DS_NHTF_Min_Units_Req_Large">Data3!$C$152</definedName>
    <definedName name="DS_NHTF_Min_Units_Req_Large_Active">Data3!$H$152</definedName>
    <definedName name="DS_NHTF_Min_Units_Req_Medium">Data3!$C$153</definedName>
    <definedName name="DS_NHTF_Min_Units_Req_Medium_Active">Data3!$H$153</definedName>
    <definedName name="DS_NHTF_Min_Units_Req_Small">Data3!$C$154</definedName>
    <definedName name="DS_NHTF_Min_Units_Req_Small_Active">Data3!$H$154</definedName>
    <definedName name="DS_NHTF_Opt_PU">Data3!$C$148</definedName>
    <definedName name="DS_NHTF_PD">Data3!$C$146</definedName>
    <definedName name="DS_NHTF_Req_PU">Data3!$C$147</definedName>
    <definedName name="DS_NHTF22_PU">Data3!$G$147</definedName>
    <definedName name="DS_NHTF30_PU">Data3!$H$147</definedName>
    <definedName name="DS_NHTFMax_PU">Data3!$I$147</definedName>
    <definedName name="DS_NonMetro_DDAs_2022">Data2!$D$13:$D$35</definedName>
    <definedName name="DS_NonMetro_DDAs_2023">Data2!$AH$13:$AH$35</definedName>
    <definedName name="DS_NonMetro_DDAs_2024">Data2!$BL$13:$BL$35</definedName>
    <definedName name="DS_NonMetro_DDAs_2025">Data2!$CP$13:$CP$35</definedName>
    <definedName name="DS_NonMetro_QCTs_2022">Data2!$I$13:$J$42</definedName>
    <definedName name="DS_NonMetro_QCTs_2023">Data2!$AM$13:$AN$48</definedName>
    <definedName name="DS_NonMetro_QCTs_2024">Data2!$BQ$13:$BR$212</definedName>
    <definedName name="DS_NonMetro_QCTs_2025">Data2!$CU$13:$CV$250</definedName>
    <definedName name="DS_Notes_New_Construction">Data1!$G$211</definedName>
    <definedName name="DS_Notes_Preservation">Data1!$G$258</definedName>
    <definedName name="DS_Notes_Redevelopment">Data1!$G$226</definedName>
    <definedName name="DS_Notes_Rehabilitation">Data1!$G$287</definedName>
    <definedName name="DS_Num_of_GAOs">Data1!$C$750</definedName>
    <definedName name="DS_NumOf_LDA_Counties">Data1!$L$409</definedName>
    <definedName name="DS_Occ_DataNames">Data1!$A$561:$A$563</definedName>
    <definedName name="DS_Occ_DDMenu">Data1!$F$560:$F$563</definedName>
    <definedName name="DS_Occ_Sequence">Data1!$C$561:$C$563</definedName>
    <definedName name="DS_Operational_Contact_Full_Name">Data1!$F$185</definedName>
    <definedName name="DS_PDDDC_51_Multiplier">Data3!$G$303</definedName>
    <definedName name="DS_PDDDC_81_Multiplier">Data3!$G$304</definedName>
    <definedName name="DS_PFNCGAE">Data3!$H$280</definedName>
    <definedName name="DS_PFNCGAW">Data3!$H$281</definedName>
    <definedName name="DS_PFNCHRE">Data3!$H$282</definedName>
    <definedName name="DS_PFNCMRE">Data3!$H$283</definedName>
    <definedName name="DS_PFNCMRW">Data3!$H$284</definedName>
    <definedName name="DS_PFRCGA">Data3!$H$285</definedName>
    <definedName name="DS_PFRCNG">Data3!$H$286</definedName>
    <definedName name="DS_PHA_Multiplier">Data3!$G$306</definedName>
    <definedName name="DS_Preserv_MinAge">Data1!$E$234</definedName>
    <definedName name="DS_Priority_DataNames">Data1!$A$114:$A$115</definedName>
    <definedName name="DS_Priority_DDMenu">Data1!$F$113:$F$115</definedName>
    <definedName name="DS_Priority_Sequence">Data1!$C$114:$C$115</definedName>
    <definedName name="DS_Pro_Forma_Dev_Cat">'Pro Forma'!$K$37</definedName>
    <definedName name="DS_ProAppSource_Name">Data3!$A$233:$A$246</definedName>
    <definedName name="DS_ProAppSource_Sequence">Data3!$G$233:$G$246</definedName>
    <definedName name="DS_ProAppSources_DDMenu">Data3!$J$232:$J$246</definedName>
    <definedName name="DS_Prox_List">Data2!$EA$13:$ED$77</definedName>
    <definedName name="DS_Proximity_DDMenu">Data2!$EA$12:$EA$78</definedName>
    <definedName name="DS_PS_ML_1">Data1!$H$472</definedName>
    <definedName name="DS_PS_ML_2">Data1!$H$473</definedName>
    <definedName name="DS_PS_ML_3">Data1!$H$474</definedName>
    <definedName name="DS_PS_ML_4">Data1!$H$475</definedName>
    <definedName name="DS_PS_ML_5">Data1!$H$476</definedName>
    <definedName name="DS_PS_ML_6">Data1!$H$477</definedName>
    <definedName name="DS_PS_ML_7">Data1!$H$478</definedName>
    <definedName name="DS_PS_S_1">Data1!$G$472</definedName>
    <definedName name="DS_PS_S_2">Data1!$G$473</definedName>
    <definedName name="DS_PS_S_3">Data1!$G$474</definedName>
    <definedName name="DS_PS_S_4">Data1!$G$475</definedName>
    <definedName name="DS_PS_S_5">Data1!$G$476</definedName>
    <definedName name="DS_PS_S_6">Data1!$G$477</definedName>
    <definedName name="DS_PS_S_7">Data1!$G$478</definedName>
    <definedName name="DS_PS_Score_1">Data1!$I$472</definedName>
    <definedName name="DS_PS_Score_2">Data1!$I$473</definedName>
    <definedName name="DS_PS_Score_3">Data1!$I$474</definedName>
    <definedName name="DS_PS_Score_4">Data1!$I$475</definedName>
    <definedName name="DS_PS_Score_5">Data1!$I$476</definedName>
    <definedName name="DS_PS_Score_6">Data1!$I$477</definedName>
    <definedName name="DS_PS_Score_7">Data1!$I$478</definedName>
    <definedName name="DS_PU_Constr_Fund_Pref_Dollar">Data1!$F$770</definedName>
    <definedName name="DS_QualFin_DDMenu">Data1!$F$761:$F$767</definedName>
    <definedName name="DS_Qualifying_FAFP_Basis">Data1!$B$763</definedName>
    <definedName name="DS_Qualifying_FAFP_Basis_Code">Data1!$E$763</definedName>
    <definedName name="DS_Qualifying_FAFP_Percent">Data1!$B$762</definedName>
    <definedName name="DS_RA_Source_DataNames">Data1!$A$304:$A$310</definedName>
    <definedName name="DS_RA_Source_DDMenu">Data1!$F$303:$F$310</definedName>
    <definedName name="DS_RA_Source_Sequence">Data1!$C$304:$C$310</definedName>
    <definedName name="DS_RBR_ML_1">Data1!$H$454</definedName>
    <definedName name="DS_RBR_ML_2">Data1!$H$455</definedName>
    <definedName name="DS_RBR_ML_3">Data1!$H$456</definedName>
    <definedName name="DS_RBR_ML_4">Data1!$H$457</definedName>
    <definedName name="DS_RBR_ML_5">Data1!$H$458</definedName>
    <definedName name="DS_RBR_ML_6">Data1!$H$459</definedName>
    <definedName name="DS_RBR_ML_7">Data1!$H$460</definedName>
    <definedName name="DS_RBR_ML_8">Data1!$H$461</definedName>
    <definedName name="DS_RBR_S_1">Data1!$G$454</definedName>
    <definedName name="DS_RBR_S_2">Data1!$G$455</definedName>
    <definedName name="DS_RBR_S_3">Data1!$G$456</definedName>
    <definedName name="DS_RBR_S_4">Data1!$G$457</definedName>
    <definedName name="DS_RBR_S_5">Data1!$G$458</definedName>
    <definedName name="DS_RBR_S_6">Data1!$G$459</definedName>
    <definedName name="DS_RBR_S_7">Data1!$G$460</definedName>
    <definedName name="DS_RBR_S_8">Data1!$G$461</definedName>
    <definedName name="DS_RBR_Score_1">Data1!$I$454</definedName>
    <definedName name="DS_RBR_Score_2">Data1!$I$455</definedName>
    <definedName name="DS_RBR_Score_3">Data1!$I$456</definedName>
    <definedName name="DS_RBR_Score_4">Data1!$I$457</definedName>
    <definedName name="DS_RBR_Score_5">Data1!$I$458</definedName>
    <definedName name="DS_RBR_Score_6">Data1!$I$459</definedName>
    <definedName name="DS_RBR_Score_7">Data1!$I$460</definedName>
    <definedName name="DS_RBR_Score_8">Data1!$I$461</definedName>
    <definedName name="DS_Redev_MinAge">Data1!$E$219</definedName>
    <definedName name="DS_RedevCat_DOT_DDMenu">Data1!$G$289:$G$291</definedName>
    <definedName name="DS_RedevCat_Financing_DataNames">Data1!$A$290:$A$297</definedName>
    <definedName name="DS_RedevCat_Financing_DDMenu">Data1!$F$289:$F$297</definedName>
    <definedName name="DS_RedevCat_Financing_Sequence">Data1!$C$290:$C$297</definedName>
    <definedName name="DS_Request_Maximum">Data1!$F$741</definedName>
    <definedName name="DS_Request_Minimum">Data1!$F$740</definedName>
    <definedName name="DS_RRLP_ELI_Inclusive_PD">Data3!$C$118</definedName>
    <definedName name="DS_RRLP_ELI_PD">Data3!$C$119</definedName>
    <definedName name="DS_RRLP_PD_wHCs">Data3!$C$114</definedName>
    <definedName name="DS_RRLP_PD_woHCs">Data3!$C$116</definedName>
    <definedName name="DS_RRLP_PU_wHCs">Data3!$C$115</definedName>
    <definedName name="DS_S_Keys_Multiplier">Data3!$G$309</definedName>
    <definedName name="DS_SAIL_ELI_Inclusive_LTC">Data3!$C$112</definedName>
    <definedName name="DS_SAIL_ELI_Inclusive_PD">Data3!$C$110</definedName>
    <definedName name="DS_SAIL_ELI_Inclusive_PU">Data3!$C$111</definedName>
    <definedName name="DS_SAIL_PD_Demo">Data3!$C$86</definedName>
    <definedName name="DS_SAIL_PD_Large">Data3!$C$82</definedName>
    <definedName name="DS_SAIL_PD_Large_DevCat">Data3!$J$82</definedName>
    <definedName name="DS_SAIL_PD_Max_Gross">Data3!$C$100</definedName>
    <definedName name="DS_SAIL_PD_Max_Net">Data3!$C$101</definedName>
    <definedName name="DS_SAIL_PD_Med">Data3!$C$83</definedName>
    <definedName name="DS_SAIL_PD_Med_DevCat">Data3!$J$83</definedName>
    <definedName name="DS_SAIL_PD_Min_MD">Data3!$C$87</definedName>
    <definedName name="DS_SAIL_PD_NC">Data3!$C$88</definedName>
    <definedName name="DS_SAIL_PD_Pres">Data3!$C$85</definedName>
    <definedName name="DS_SAIL_PD_Small">Data3!$C$84</definedName>
    <definedName name="DS_SAIL_PD_Small_DevCat">Data3!$J$84</definedName>
    <definedName name="DS_SAIL_Percent_TDC_1">Data3!$C$108</definedName>
    <definedName name="DS_SAIL_Percent_TDC_2">Data3!$C$109</definedName>
    <definedName name="DS_SAIL_PU_LL_HC_60">Data3!$C$91</definedName>
    <definedName name="DS_SAIL_PU_LL_HC_80">Data3!$C$92</definedName>
    <definedName name="DS_SAIL_PU_LL_NonHC_100">Data3!$C$95</definedName>
    <definedName name="DS_SAIL_PU_LL_NonHC_110">Data3!$C$96</definedName>
    <definedName name="DS_SAIL_PU_LL_NonHC_120">Data3!$C$97</definedName>
    <definedName name="DS_SAIL_PU_LL_NonHC_80">Data3!$C$93</definedName>
    <definedName name="DS_SAIL_PU_LL_NonHC_90">Data3!$C$94</definedName>
    <definedName name="DS_SAIL_PU_Max_Gross">Data3!$C$102</definedName>
    <definedName name="DS_SAIL_PU_Max_Net">Data3!$C$103</definedName>
    <definedName name="DS_SAIL_PU_NC">Data3!$C$89</definedName>
    <definedName name="DS_SAIL_PU_Not_SS">Data3!$C$99</definedName>
    <definedName name="DS_SAIL_PU_SR">Data3!$C$90</definedName>
    <definedName name="DS_SAIL_PU_SS">Data3!$C$98</definedName>
    <definedName name="DS_Select_One">Data1!$F$353</definedName>
    <definedName name="DS_Serv_DataNames">Data1!$A$861:$A$864</definedName>
    <definedName name="DS_Serv_DDMenu">Data1!$F$860:$F$864</definedName>
    <definedName name="DS_Serv_Sequence">Data1!$C$861:$C$864</definedName>
    <definedName name="DS_SFNCGAE">Data3!$H$287</definedName>
    <definedName name="DS_SFNCGAW">Data3!$H$288</definedName>
    <definedName name="DS_SFNCHRE">Data3!$H$289</definedName>
    <definedName name="DS_SFNCMRE">Data3!$H$290</definedName>
    <definedName name="DS_SFNCMRW">Data3!$H$291</definedName>
    <definedName name="DS_SFRCGA">Data3!$H$292</definedName>
    <definedName name="DS_SFRCNG">Data3!$H$293</definedName>
    <definedName name="DS_States_DataNames">Data1!$A$118:$A$169</definedName>
    <definedName name="DS_States_DDMenu">Data1!$F$117:$F$169</definedName>
    <definedName name="DS_States_Sequence">Data1!$C$118:$C$169</definedName>
    <definedName name="DS_SunRail_DataNames">Data1!$A$494:$A$510</definedName>
    <definedName name="DS_SunRail_DDMenu">Data1!$F$493:$F$509</definedName>
    <definedName name="DS_SunRail_Sequence">Data1!$D$494:$D$509</definedName>
    <definedName name="DS_TabHeader">Data1!$A$4</definedName>
    <definedName name="DS_TabLeftFooter">Data1!$A$7</definedName>
    <definedName name="DS_Unit_Limit_Menu">Data1!$I$534:$I$535</definedName>
    <definedName name="DS_UnitTypeMatch">Data1!$C$347</definedName>
    <definedName name="DS_W_SAIL_PD">Data3!$C$79</definedName>
    <definedName name="DS_W_SAIL_PD_FLKeys">Data3!$C$76</definedName>
    <definedName name="DS_W_SAIL_PU">Data3!$C$80</definedName>
    <definedName name="DS_W_SAIL_PU_FLKeys_80Plus">Data3!$C$77</definedName>
    <definedName name="DS_W_SAIL_PU_FLKeys_No80Plus">Data3!$C$78</definedName>
    <definedName name="DS_ZCTAs_2022">Data2!$A$13:$B$360</definedName>
    <definedName name="DS_ZCTAs_2023">Data2!$AE$13:$AF$365</definedName>
    <definedName name="DS_ZCTAs_2024">Data2!$BI$13:$BJ$410</definedName>
    <definedName name="DS_ZCTAs_2025">Data2!$CM$13:$CN$450</definedName>
    <definedName name="Earned_HUD_Boost">Data1!$D$747</definedName>
    <definedName name="Earned_QAP_Boost">Data1!$D$753</definedName>
    <definedName name="Effective_Total_HOME_Match">Funding!$I$468</definedName>
    <definedName name="eighty_AMI_AIT_Units">'Units, Set-Asides, Bldgs'!$F$85</definedName>
    <definedName name="eighty_AMI_SAIL">'Units, Set-Asides, Bldgs'!$G$130</definedName>
    <definedName name="ELI_Request_Amount">Funding!$I$65</definedName>
    <definedName name="Eligible_ARP_Request_Amount">Funding!$I$203</definedName>
    <definedName name="Eligible_CDBG_DR_Dev_Request_Amount">Funding!$I$264</definedName>
    <definedName name="Eligible_CDBG_DR_Land_Request_Amount">Funding!$I$246</definedName>
    <definedName name="Eligible_Competitive_HC_Request_Amount">Funding!$I$300</definedName>
    <definedName name="Eligible_ELI_Request_Amount">Funding!$I$67</definedName>
    <definedName name="Eligible_Grant_Request_Amount">Funding!$I$211</definedName>
    <definedName name="Eligible_HOME_ARP_Request_Amount">Funding!$I$177</definedName>
    <definedName name="Eligible_HOME_Request_Amount">Funding!$I$135</definedName>
    <definedName name="Eligible_NHTF_Request_Amount">Funding!$I$224</definedName>
    <definedName name="Eligible_RRLP_Base_Request_Amount">Funding!$I$99</definedName>
    <definedName name="Eligible_RRLP_ELI_Request_Amount">Funding!$I$109</definedName>
    <definedName name="Eligible_RRLP_Request_Amount">Funding!$I$112</definedName>
    <definedName name="Eligible_SAIL_Request_Amount">Funding!$I$57</definedName>
    <definedName name="Eligible_TBD_Request_Amount">Funding!$I$277</definedName>
    <definedName name="Eligible_Workforce_Request_Amount">Funding!$I$17</definedName>
    <definedName name="eminentdomain">URA!$F$25</definedName>
    <definedName name="Esc_Factor">Data3!$G$312</definedName>
    <definedName name="Escalated_DF">'Pro Forma'!$L$334</definedName>
    <definedName name="ESS_Constr_Pref">'Proposed Development Info'!$C$120</definedName>
    <definedName name="Excel_RFA_Number">Data1!$F$7</definedName>
    <definedName name="ExcelCheckbox_After_School">'Resident Programs'!$A$5</definedName>
    <definedName name="ExcelCheckBox_AtLeast80">'General Information'!$A$44</definedName>
    <definedName name="ExcelCheckbox_cabinets">'Construction Features'!$A$23</definedName>
    <definedName name="ExcelCheckbox_Computer_Training">'Resident Programs'!$A$17</definedName>
    <definedName name="ExcelCheckbox_Coordination_Exp_3rd_party">Services!$A$7</definedName>
    <definedName name="ExcelCheckbox_Daily_Activities">'Resident Programs'!$A$18</definedName>
    <definedName name="ExcelCheckBox_DC_Impaired">'General Information'!$A$48</definedName>
    <definedName name="ExcelCheckBox_DC_Not_Impaired">'General Information'!$A$50</definedName>
    <definedName name="ExcelCheckBox_DevCat_CorpPortfolio">'Proposed Development Info'!$B$77</definedName>
    <definedName name="ExcelCheckBox_DevCat_RDPortfolio">'Proposed Development Info'!$B$79</definedName>
    <definedName name="ExcelCheckbox_dual_flush">'Construction Features'!$A$19</definedName>
    <definedName name="ExcelCheckbox_Employment_Assistance_general">'Resident Programs'!$A$7</definedName>
    <definedName name="ExcelCheckbox_ES_roof_coating">'Construction Features'!$A$21</definedName>
    <definedName name="ExcelCheckbox_ES_roof_materials">'Construction Features'!$A$22</definedName>
    <definedName name="ExcelCheckbox_ExpApplicant">Services!$A$8</definedName>
    <definedName name="ExcelCheckbox_Financial_Counseling">'Resident Programs'!$A$8</definedName>
    <definedName name="ExcelCheckbox_FinMgmt">'Resident Programs'!$A$16</definedName>
    <definedName name="ExcelCheckbox_flooring">'Construction Features'!$A$24</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Programs'!$A$9</definedName>
    <definedName name="ExcelCheckbox_Housekeeping">'Resident Programs'!$A$19</definedName>
    <definedName name="ExcelCheckbox_Humidistat">'Construction Features'!$A$18</definedName>
    <definedName name="ExcelCheckBox_LessThan80">'General Information'!$A$43</definedName>
    <definedName name="ExcelCheckbox_LGAO_NoPref">'Local Gov''t Contributions'!$A$49</definedName>
    <definedName name="ExcelCheckbox_LGAO_Prior_App_1YR">'Local Gov''t Contributions'!$A$45</definedName>
    <definedName name="ExcelCheckbox_LGAO_Prior_App_2YR">'Local Gov''t Contributions'!$A$47</definedName>
    <definedName name="ExcelCheckbox_light_pavement">'Construction Features'!$A$20</definedName>
    <definedName name="ExcelCheckbox_MixedUse_Comm">'Urban Infill or Mixed-Use'!$A$7</definedName>
    <definedName name="ExcelCheckbox_MixedUse_Inst">'Urban Infill or Mixed-Use'!$A$8</definedName>
    <definedName name="ExcelCheckBox_RD515">Funding!$C$407</definedName>
    <definedName name="ExcelCheckBox_RD538">Funding!$C$408</definedName>
    <definedName name="ExcelCheckbox_Resident_checkin">'Resident Programs'!$A$20</definedName>
    <definedName name="ExcelCheckbox_SEER_for_AC">'Construction Features'!$A$25</definedName>
    <definedName name="ExcelCheckbox_sensors">'Construction Features'!$A$32</definedName>
    <definedName name="ExcelCheckBox_SSI">'General Information'!$A$49</definedName>
    <definedName name="ExcelCheckBox_Survivors">'General Information'!$A$52</definedName>
    <definedName name="ExcelCheckbox_thermostat">'Construction Features'!$A$17</definedName>
    <definedName name="ExcelCheckbox_UrbanInfill">'Urban Infill or Mixed-Use'!$A$17</definedName>
    <definedName name="ExcelCheckbox_windows">'Construction Features'!$A$26</definedName>
    <definedName name="ExcelCheckbox_Yards">'Construction Features'!$A$31</definedName>
    <definedName name="ExcelCheckBox_YouthAgingOut">'General Information'!$A$51</definedName>
    <definedName name="ExhibitA_IssueDate">Data1!$E$10</definedName>
    <definedName name="Existing_Units">'Units, Set-Asides, Bldgs'!$K$28</definedName>
    <definedName name="expected_PIS_date">'Proposed Development Info'!$H$121</definedName>
    <definedName name="FarmFish_Waivers">'Proposed Development Info'!$I$80</definedName>
    <definedName name="Federal_Funding_Exp_Pref">'General Information'!$E$183</definedName>
    <definedName name="Fee_Pmt_Information">'B. Other Information'!$A$8</definedName>
    <definedName name="FF_Demo_Commitment">'Units, Set-Asides, Bldgs'!$C$45</definedName>
    <definedName name="FHFC_9HC_Adj_Rqst_Amt">Data3!$F$267</definedName>
    <definedName name="FHFC_9HC_Adj_Rqst_Label">Data3!$M$267</definedName>
    <definedName name="FHFC_Costs_Fees_Eligible">'Pro Forma'!$H$78</definedName>
    <definedName name="FHFC_Costs_Fees_ineligible">'Pro Forma'!$K$78</definedName>
    <definedName name="FHFC_Costs_Fees_total">'Pro Forma'!$N$78</definedName>
    <definedName name="FHFC_Source_1_Adj_Rqst_Amt">Data3!$F$262</definedName>
    <definedName name="FHFC_Source_1_Adj_Rqst_Label">Data3!$M$262</definedName>
    <definedName name="FHFC_Source_2_Adj_Rqst_Amt">Data3!$F$263</definedName>
    <definedName name="FHFC_Source_2_Adj_Rqst_Label">Data3!$M$263</definedName>
    <definedName name="FHFC_Source_3_Adj_Rqst_Amt">Data3!$F$264</definedName>
    <definedName name="FHFC_Source_3_Adj_Rqst_Label">Data3!$M$264</definedName>
    <definedName name="FHFC_Source_4_Adj_Rqst_Amt">Data3!$F$265</definedName>
    <definedName name="FHFC_Source_4_Adj_Rqst_Label">Data3!$M$265</definedName>
    <definedName name="fifty_AMI_AIT_Units">'Units, Set-Asides, Bldgs'!$F$82</definedName>
    <definedName name="fifty_AMI_HC">'Units, Set-Asides, Bldgs'!$G$59</definedName>
    <definedName name="fifty_AMI_SAIL">'Units, Set-Asides, Bldgs'!$G$127</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Data3!$G$218</definedName>
    <definedName name="FLKeys_N_S">'Development Location'!$H$5</definedName>
    <definedName name="forty_AMI_AIT_Units">'Units, Set-Asides, Bldgs'!$F$81</definedName>
    <definedName name="forty_AMI_HC">'Units, Set-Asides, Bldgs'!$G$57</definedName>
    <definedName name="forty_AMI_SAIL">'Units, Set-Asides, Bldgs'!$G$125</definedName>
    <definedName name="fortyfive_AMI_HC">'Units, Set-Asides, Bldgs'!$G$58</definedName>
    <definedName name="fortyfive_AMI_SAIL">'Units, Set-Asides, Bldgs'!$G$126</definedName>
    <definedName name="Four_Bed_Four_Bath_Total_Units">'Units, Set-Asides, Bldgs'!$H$159</definedName>
    <definedName name="Four_Bed_One_and_half_Bath_Total_Units">'Units, Set-Asides, Bldgs'!$H$154</definedName>
    <definedName name="Four_Bed_One_Bath_Total_Units">'Units, Set-Asides, Bldgs'!$H$153</definedName>
    <definedName name="Four_Bed_Three_and_half_Bath_Total_Units">'Units, Set-Asides, Bldgs'!$H$158</definedName>
    <definedName name="Four_Bed_Three_Bath_Total_Units">'Units, Set-Asides, Bldgs'!$H$157</definedName>
    <definedName name="Four_Bed_Two_and_half_Bath_Total_Units">'Units, Set-Asides, Bldgs'!$H$156</definedName>
    <definedName name="Four_Bed_Two_Bath_Total_Units">'Units, Set-Asides, Bldgs'!$H$155</definedName>
    <definedName name="GAO_Number1">Funding!$E$348</definedName>
    <definedName name="GAO_Number2">Funding!$E$349</definedName>
    <definedName name="GAO_Number3">Funding!$E$350</definedName>
    <definedName name="Garden_ESS_AR_units">'Proposed Development Info'!$H$136</definedName>
    <definedName name="Garden_ESS_NC_units">'Proposed Development Info'!$H$127</definedName>
    <definedName name="Garden_ESS_Rehab_units">'Proposed Development Info'!$H$143</definedName>
    <definedName name="Garden_non_ESS_AR_units">'Proposed Development Info'!$H$137</definedName>
    <definedName name="Garden_non_ESS_NC_units">'Proposed Development Info'!$H$128</definedName>
    <definedName name="Garden_non_ESS_Rehab_units">'Proposed Development Info'!$H$144</definedName>
    <definedName name="GCExp_Davis_Bacon_1">'General Information'!$E$198</definedName>
    <definedName name="GCExp_Davis_Bacon_2">'General Information'!$E$208</definedName>
    <definedName name="GCExp_Development_Total_Units_1">'General Information'!$F$196</definedName>
    <definedName name="GCExp_Development_Total_Units_2">'General Information'!$F$206</definedName>
    <definedName name="GCExp_Location_of_Development_1">'General Information'!$F$193</definedName>
    <definedName name="GCExp_Location_of_Development_2">'General Information'!$F$203</definedName>
    <definedName name="GCExp_MinDevs_DB_Count">Data1!$H$174</definedName>
    <definedName name="GCExp_MinDevs_DB_Score">Data1!$G$174</definedName>
    <definedName name="GCExp_MinDevs_List_Count">Data1!$H$172</definedName>
    <definedName name="GCExp_MinDevs_List_Score">Data1!$G$172</definedName>
    <definedName name="GCExp_MinUnits_Percent_Count">Data1!$H$173</definedName>
    <definedName name="GCExp_MinUnits_Percent_Score">Data1!$G$173</definedName>
    <definedName name="GCExp_Name_of_Development_1">'General Information'!$F$192</definedName>
    <definedName name="GCExp_Name_of_Development_2">'General Information'!$F$202</definedName>
    <definedName name="GCExp_Other_Program_1">'General Information'!$F$195</definedName>
    <definedName name="GCExp_Other_Program_2">'General Information'!$F$205</definedName>
    <definedName name="GCExp_Selected_Program_1">'General Information'!$F$194</definedName>
    <definedName name="GCExp_Selected_Program_2">'General Information'!$F$204</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Funding!$E$346</definedName>
    <definedName name="Geo_Area_of_Opp_boost_qualified">Data1!$B$750</definedName>
    <definedName name="Geo_Area_of_Opp_boost_qualified_comment">Funding!$G$346</definedName>
    <definedName name="GeoAofO_SADDA_Goal">Funding!$E$374</definedName>
    <definedName name="GeoAofO_SADDA_Goal_EntireSite">Funding!$E$376</definedName>
    <definedName name="govt_app">URA!$F$22</definedName>
    <definedName name="Grant_Request_Amount">Funding!$I$209</definedName>
    <definedName name="Greatest_distance_for_PBS">Data1!$B$487</definedName>
    <definedName name="Green_cert">'Construction Features'!$C$15</definedName>
    <definedName name="Green_total_points">'Construction Features'!$H$34</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Forma'!$L$324</definedName>
    <definedName name="HardCC_DollarMax">'Pro Forma'!$V$63</definedName>
    <definedName name="HardCC_Pass">'Pro Forma'!$Q$64</definedName>
    <definedName name="HardCC_PercentMax">'Pro Forma'!$Q$63</definedName>
    <definedName name="HCC_DollarMax">'Pro Forma'!$F$65</definedName>
    <definedName name="High_HOME_Rent_Units">Funding!$I$161</definedName>
    <definedName name="HOME_ARP_Additional_Units">Funding!$I$183</definedName>
    <definedName name="HOME_ARP_Funding_Additional_Units">Funding!$I$186</definedName>
    <definedName name="HOME_ARP_Funding_Combined_Units">Funding!$I$188</definedName>
    <definedName name="HOME_ARP_Funding_Required_Units">Funding!$I$181</definedName>
    <definedName name="HOME_ARP_Indicator">Funding!$I$179</definedName>
    <definedName name="HOME_ARP_Request_Amount">Funding!$I$175</definedName>
    <definedName name="HOME_Assisted_0Beds">Funding!$F$121</definedName>
    <definedName name="HOME_Assisted_1Beds">Funding!$F$122</definedName>
    <definedName name="HOME_Assisted_2Beds">Funding!$F$123</definedName>
    <definedName name="HOME_Assisted_3Beds">Funding!$F$124</definedName>
    <definedName name="HOME_Assisted_4Beds">Funding!$F$125</definedName>
    <definedName name="HOME_Match_Source_1_Amount">Funding!$I$456</definedName>
    <definedName name="HOME_Match_Source_1_Face">Funding!$G$456</definedName>
    <definedName name="HOME_Match_Source_1_Name">Funding!$C$456</definedName>
    <definedName name="HOME_Match_Source_1_NPV">Funding!$H$456</definedName>
    <definedName name="HOME_Match_Source_2_Amount">Funding!$I$457</definedName>
    <definedName name="HOME_Match_Source_2_Face">Funding!$G$457</definedName>
    <definedName name="HOME_Match_Source_2_Name">Funding!$C$457</definedName>
    <definedName name="HOME_Match_Source_2_NPV">Funding!$H$457</definedName>
    <definedName name="HOME_Match_Source_3_Amount">Funding!$I$458</definedName>
    <definedName name="HOME_Match_Source_3_Face">Funding!$G$458</definedName>
    <definedName name="HOME_Match_Source_3_Name">Funding!$C$458</definedName>
    <definedName name="HOME_Match_Source_3_NPV">Funding!$H$458</definedName>
    <definedName name="HOME_Match_Source_4_Amount">Funding!$I$459</definedName>
    <definedName name="HOME_Match_Source_4_Face">Funding!$G$459</definedName>
    <definedName name="HOME_Match_Source_4_Name">Funding!$C$459</definedName>
    <definedName name="HOME_Match_Source_4_NPV">Funding!$H$459</definedName>
    <definedName name="HOME_Match_Source_5_Amount">Funding!$I$460</definedName>
    <definedName name="HOME_Match_Source_5_Face">Funding!$G$460</definedName>
    <definedName name="HOME_Match_Source_5_Name">Funding!$C$460</definedName>
    <definedName name="HOME_Match_Source_5_NPV">Funding!$H$460</definedName>
    <definedName name="HOME_Request_Amount">Funding!$I$133</definedName>
    <definedName name="Homeless_Region">'Development Location'!$G$9</definedName>
    <definedName name="HR_ESS_AR_units">'Proposed Development Info'!$H$140</definedName>
    <definedName name="HR_ESS_NC_units">'Proposed Development Info'!$H$131</definedName>
    <definedName name="HR_ESS_Rehab_units">'Proposed Development Info'!$H$147</definedName>
    <definedName name="HUD_CNI_Goal">Funding!$D$486</definedName>
    <definedName name="Inclusive_of_ELI">Data3!$G$208</definedName>
    <definedName name="Insurances_eligible">'Pro Forma'!$H$74</definedName>
    <definedName name="Insurances_ineligible">'Pro Forma'!$K$74</definedName>
    <definedName name="Insurances_total">'Pro Forma'!$N$74</definedName>
    <definedName name="Is_HC_ELI_at_least_30Percent">Data1!$B$514</definedName>
    <definedName name="Land_ineligible">'Pro Forma'!$K$123</definedName>
    <definedName name="Land_total">'Pro Forma'!$N$123</definedName>
    <definedName name="LDA_Notice">'Development Location'!$J$3</definedName>
    <definedName name="LDA_Selection_Location">'Development Location'!$I$49</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'Local Gov''t Contributions'!$B$24</definedName>
    <definedName name="LG_Name1_Type">'Local Gov''t Contributions'!$J$24</definedName>
    <definedName name="LG_Name2">'Local Gov''t Contributions'!$B$25</definedName>
    <definedName name="LG_Name2_Type">'Local Gov''t Contributions'!$J$25</definedName>
    <definedName name="LG_Name3">'Local Gov''t Contributions'!$B$26</definedName>
    <definedName name="LG_Name3_Type">'Local Gov''t Contributions'!$J$26</definedName>
    <definedName name="LG_Name4">'Local Gov''t Contributions'!$B$27</definedName>
    <definedName name="LG_Name4_Type">'Local Gov''t Contributions'!$J$27</definedName>
    <definedName name="LG_Name5">'Local Gov''t Contributions'!$B$28</definedName>
    <definedName name="LG_Name5_Type">'Local Gov''t Contributions'!$J$28</definedName>
    <definedName name="LGAO_Designation">'Local Gov''t Contributions'!$J$35</definedName>
    <definedName name="LGAO_Designation_Prox_Score">'Proximity, Mand.Dist., RECAP'!$H$99</definedName>
    <definedName name="LGAO_Documentation">'Local Gov''t Contributions'!$J$40</definedName>
    <definedName name="LGAO_Min_Amt">Data1!$B$782</definedName>
    <definedName name="LGAO_Number">Funding!$E$364</definedName>
    <definedName name="LGAO_Number_qualified">Data1!$B$752</definedName>
    <definedName name="LGAO_Number_qualified_Comment">Funding!$G$364</definedName>
    <definedName name="LGAO_Prior_App_Number_1YR">'Local Gov''t Contributions'!$J$45</definedName>
    <definedName name="LGAO_Prior_App_Number_2YR">'Local Gov''t Contributions'!$J$47</definedName>
    <definedName name="LGAO_Revite_Prox_Score">'Proximity, Mand.Dist., RECAP'!$H$101</definedName>
    <definedName name="LGC_Amount_Miami_Dade">'Local Gov''t Contributions'!$J$19</definedName>
    <definedName name="LGC_FD_Face">'Local Gov''t Contributions'!$G$17</definedName>
    <definedName name="LGC_FD_NPV">'Local Gov''t Contributions'!$H$17</definedName>
    <definedName name="LGC_FD_ValueOfContribution">'Local Gov''t Contributions'!$I$17</definedName>
    <definedName name="LGC_FW1_Face">'Local Gov''t Contributions'!$G$15</definedName>
    <definedName name="LGC_FW1_ValueOfContribution">'Local Gov''t Contributions'!$I$15</definedName>
    <definedName name="LGC_FW2_Face">'Local Gov''t Contributions'!$G$16</definedName>
    <definedName name="LGC_FW2_ValueOfContribution">'Local Gov''t Contributions'!$I$16</definedName>
    <definedName name="LGC_Grant_Face">'Local Gov''t Contributions'!$G$14</definedName>
    <definedName name="LGC_Grant_ValueOfContribution">'Local Gov''t Contributions'!$I$14</definedName>
    <definedName name="LGC_Loan_Face">'Local Gov''t Contributions'!$G$13</definedName>
    <definedName name="LGC_Loan_NPV">'Local Gov''t Contributions'!$H$13</definedName>
    <definedName name="LGC_Loan_ValueOfContribution">'Local Gov''t Contributions'!$I$13</definedName>
    <definedName name="LGC_Points_Earned">Data1!$B$780</definedName>
    <definedName name="LGC_Points_Min_Amt">Data1!$B$781</definedName>
    <definedName name="LGC_Total_Face">'Local Gov''t Contributions'!$G$19</definedName>
    <definedName name="LGC_Total_NPV">'Local Gov''t Contributions'!$H$19</definedName>
    <definedName name="LGC_Total_ValueOfContribution">'Local Gov''t Contributions'!$I$19</definedName>
    <definedName name="Link_Classification">'General Information'!$F$18</definedName>
    <definedName name="List_of_Named_Ranges">#REF!</definedName>
    <definedName name="Local_govt_contribution">'Local Gov''t Contributions'!$J$4</definedName>
    <definedName name="LocalHFA_App_Year">Funding!$E$316</definedName>
    <definedName name="Low_HOME_Rent_Units">Funding!$I$158</definedName>
    <definedName name="Mand_dist_30PercentELI">Data1!$B$517</definedName>
    <definedName name="Mand_distance">'Proximity, Mand.Dist., RECAP'!$B$55</definedName>
    <definedName name="Market_AIT_Units">'Units, Set-Asides, Bldgs'!$F$91</definedName>
    <definedName name="Market_AMI_NonAIT">'Units, Set-Asides, Bldgs'!$G$66</definedName>
    <definedName name="Master_Plan_Affordable_Units">'Units, Set-Asides, Bldgs'!$K$6</definedName>
    <definedName name="Max_ARP">Funding!$I$199</definedName>
    <definedName name="Max_CDBG_DR_Dev">Funding!$I$260</definedName>
    <definedName name="Max_CDBG_DR_Land">Funding!$H$242</definedName>
    <definedName name="Max_Competitive_HC">Funding!$I$296</definedName>
    <definedName name="Max_ELI">Funding!$I$63</definedName>
    <definedName name="Max_Grant">Funding!$H$207</definedName>
    <definedName name="Max_HOME">Funding!$I$129</definedName>
    <definedName name="Max_HOME_ARP">Funding!$I$173</definedName>
    <definedName name="Max_NHTF">Funding!$I$220</definedName>
    <definedName name="Max_RRLP_Base">Funding!$I$95</definedName>
    <definedName name="Max_RRLP_Base_1">Funding!$I$79</definedName>
    <definedName name="Max_RRLP_Base_2">Funding!$I$93</definedName>
    <definedName name="Max_RRLP_ELI">Funding!$I$105</definedName>
    <definedName name="Max_SAIL">Funding!$I$53</definedName>
    <definedName name="Max_TBD">Funding!$I$273</definedName>
    <definedName name="Max_TDC_Component">'Pro Forma'!$L$350</definedName>
    <definedName name="Max_Tot_DF">'Pro Forma'!$L$346</definedName>
    <definedName name="Max_Workforce">Funding!$I$13</definedName>
    <definedName name="Maximum_DevCost">'Pro Forma'!$L$330</definedName>
    <definedName name="Maximum_DevCost_PU">'Pro Forma'!$L$326</definedName>
    <definedName name="MD_N_S">'Development Location'!$H$7</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Area_of_Opp_boost">Funding!$I$361</definedName>
    <definedName name="MetroRail_Name">'Proximity, Mand.Dist., RECAP'!$H$87</definedName>
    <definedName name="MetroRail_Tier">'Proximity, Mand.Dist., RECAP'!$I$87</definedName>
    <definedName name="Mgmt_InputTracking">'General Information'!$N$230:$N$236</definedName>
    <definedName name="MgmtExp_Address">'General Information'!$F$231</definedName>
    <definedName name="MgmtExp_City">'General Information'!$F$232</definedName>
    <definedName name="MgmtExp_Contact_First_Name">'General Information'!$F$228</definedName>
    <definedName name="MgmtExp_Contact_Last_Name">'General Information'!$F$229</definedName>
    <definedName name="MgmtExp_Contact_Middle_Initial">'General Information'!$H$228</definedName>
    <definedName name="MgmtExp_Email">'General Information'!$F$236</definedName>
    <definedName name="MgmtExp_Experienced_entity">'General Information'!$G$239</definedName>
    <definedName name="MgmtExp_first_currently_or_formerly_managed">'General Information'!$F$244</definedName>
    <definedName name="MgmtExp_first_Dev_name">'General Information'!$F$242</definedName>
    <definedName name="MgmtExp_first_location">'General Information'!$F$243</definedName>
    <definedName name="MgmtExp_first_other_program">'General Information'!$F$246</definedName>
    <definedName name="MgmtExp_first_selected_program">'General Information'!$F$245</definedName>
    <definedName name="MgmtExp_first_time">'General Information'!$F$248</definedName>
    <definedName name="MgmtExp_first_units">'General Information'!$F$247</definedName>
    <definedName name="MgmtExp_MinDevs_List_Count">Data1!$H$177</definedName>
    <definedName name="MgmtExp_MinDevs_List_Score">Data1!$G$177</definedName>
    <definedName name="MgmtExp_MinDevs_time_Count">Data1!$H$178</definedName>
    <definedName name="MgmtExp_MinDevs_time_Score">Data1!$G$178</definedName>
    <definedName name="MgmtExp_MinUnits_Count">Data1!$H$180</definedName>
    <definedName name="MgmtExp_MinUnits_Score">Data1!$G$180</definedName>
    <definedName name="MgmtExp_Phone">'General Information'!$F$235</definedName>
    <definedName name="MgmtExp_Phone_ext">'General Information'!$H$235</definedName>
    <definedName name="MgmtExp_second_currently_or_formerly_managed">'General Information'!$F$254</definedName>
    <definedName name="MgmtExp_second_Dev_name">'General Information'!$F$252</definedName>
    <definedName name="MgmtExp_second_location">'General Information'!$F$253</definedName>
    <definedName name="MgmtExp_second_other_program">'General Information'!$F$256</definedName>
    <definedName name="MgmtExp_second_selected_program">'General Information'!$F$255</definedName>
    <definedName name="MgmtExp_second_time">'General Information'!$F$258</definedName>
    <definedName name="MgmtExp_second_units">'General Information'!$F$257</definedName>
    <definedName name="MgmtExp_State">'General Information'!$F$233</definedName>
    <definedName name="MgmtExp_Zip_Code">'General Information'!$F$234</definedName>
    <definedName name="Miin_HOME_Assisted_Units">Funding!$I$151</definedName>
    <definedName name="Military_Installation">'Development Location'!$G$10</definedName>
    <definedName name="Military_Region">'Development Location'!$G$11</definedName>
    <definedName name="Min_and_max_units_met">'Units, Set-Asides, Bldgs'!$C$4</definedName>
    <definedName name="Min_and_max_units_met_1">'Units, Set-Asides, Bldgs'!$C$13</definedName>
    <definedName name="Min_and_max_units_met_2">'Units, Set-Asides, Bldgs'!$C$19</definedName>
    <definedName name="Minimum_SetAside_per_Sec_42">'Units, Set-Asides, Bldgs'!$C$37</definedName>
    <definedName name="MixedUse_Description">'Urban Infill or Mixed-Use'!$B$11</definedName>
    <definedName name="MMRB_Request_Amount">Funding!$I$382</definedName>
    <definedName name="MR_ESS_AR_units">'Proposed Development Info'!$H$138</definedName>
    <definedName name="MR_ESS_NC_units">'Proposed Development Info'!$H$129</definedName>
    <definedName name="MR_ESS_Rehab_units">'Proposed Development Info'!$H$145</definedName>
    <definedName name="MR_non_ESS_AR_units">'Proposed Development Info'!$H$139</definedName>
    <definedName name="MR_Non_ESS_NC_units">'Proposed Development Info'!$H$130</definedName>
    <definedName name="MR_non_ESS_Rehab_units">'Proposed Development Info'!$H$146</definedName>
    <definedName name="Multiphase_firstphase">Funding!$E$312</definedName>
    <definedName name="Multiphase_subsequent">Funding!$E$319</definedName>
    <definedName name="Multiphase_subsequent_qualified">Data1!$B$744</definedName>
    <definedName name="Multiplier_1">Data3!$L$301</definedName>
    <definedName name="Multiplier_1_Value">Data3!$M$301</definedName>
    <definedName name="Multiplier_2">Data3!$L$302</definedName>
    <definedName name="Multiplier_2_Value">Data3!$M$302</definedName>
    <definedName name="Multiplier_3">Data3!$L$303</definedName>
    <definedName name="Multiplier_3_Value">Data3!$M$303</definedName>
    <definedName name="Name_of_Applicant">'General Information'!$F$65</definedName>
    <definedName name="Name_of_CHDO">'General Information'!$E$92</definedName>
    <definedName name="Name_of_Developer_1">'General Information'!$D$103</definedName>
    <definedName name="Name_of_Developer_2">'General Information'!$D$104</definedName>
    <definedName name="Name_of_Developer_3">'General Information'!$D$105</definedName>
    <definedName name="Name_of_Linked_Development">'Proposed Development Info'!$G$7</definedName>
    <definedName name="Name_of_Mgmt_Co">'General Information'!$F$230</definedName>
    <definedName name="Name_of_proposed_Development">'Proposed Development Info'!$G$3</definedName>
    <definedName name="Net_TDC">'Pro Forma'!$L$371</definedName>
    <definedName name="New_Development_Land">'Proposed Development Info'!$H$34</definedName>
    <definedName name="NHTF_Additional_Units">Funding!$I$230</definedName>
    <definedName name="NHTF_Funding_Additional_Units">Funding!$I$233</definedName>
    <definedName name="NHTF_Funding_Combined_Units">Funding!$I$235</definedName>
    <definedName name="NHTF_Funding_Required_Units">Funding!$I$228</definedName>
    <definedName name="NHTF_Indicator">Funding!$I$226</definedName>
    <definedName name="NHTF_Request_Amount">Funding!$I$222</definedName>
    <definedName name="NHTF_Total_Units_Funded">Data3!$H$160</definedName>
    <definedName name="NOAH_Confirmation">'Units, Set-Asides, Bldgs'!#REF!</definedName>
    <definedName name="Non_Comp_App_4HC">Funding!$E$303</definedName>
    <definedName name="Non_Comp_App_4HC_AppNumber">Funding!$I$305</definedName>
    <definedName name="Non_Comp_App_4HC_Boost">Funding!$I$307</definedName>
    <definedName name="Non_Competitive_HC_Request_Amount">Funding!$I$309</definedName>
    <definedName name="NonAIT_HC_SA_Percent">'Units, Set-Asides, Bldgs'!$G$67</definedName>
    <definedName name="NonProfit_Applicant">'General Information'!$D$73</definedName>
    <definedName name="NonProfit_DevFee_Percentage">'General Information'!$H$84</definedName>
    <definedName name="NR_Optional_CF">Data1!$H$823</definedName>
    <definedName name="NR_Optional_DL">Data1!$H$819</definedName>
    <definedName name="NR_Optional_Fund">Data1!$H$826</definedName>
    <definedName name="NR_Optional_GI">Data1!$H$817</definedName>
    <definedName name="NR_Optional_HOME">Data1!$H$831</definedName>
    <definedName name="NR_Optional_PDI">Data1!$H$818</definedName>
    <definedName name="NR_Optional_Prox">Data1!$H$820</definedName>
    <definedName name="NR_Optional_RP">Data1!$H$825</definedName>
    <definedName name="NR_Optional_Serv">Data1!$H$824</definedName>
    <definedName name="NR_Optional_USAB">Data1!$H$821</definedName>
    <definedName name="NR_Required_CF">Data1!$G$823</definedName>
    <definedName name="NR_Required_DL">Data1!$G$819</definedName>
    <definedName name="NR_Required_Fund">Data1!$G$826</definedName>
    <definedName name="NR_Required_GI">Data1!$G$817</definedName>
    <definedName name="NR_Required_HOME">Data1!$G$831</definedName>
    <definedName name="NR_Required_PDI">Data1!$G$818</definedName>
    <definedName name="NR_Required_Prox">Data1!$G$820</definedName>
    <definedName name="NR_Required_RP">Data1!$G$825</definedName>
    <definedName name="NR_Required_Serv">Data1!$G$824</definedName>
    <definedName name="NR_Required_USAB">Data1!$G$821</definedName>
    <definedName name="number_of_PBS">Data1!$B$486</definedName>
    <definedName name="Number_of_Units_Preference_met">'Units, Set-Asides, Bldgs'!$J$21</definedName>
    <definedName name="Occ_Confirmation_of_Occupied">'Proposed Development Info'!$H$24</definedName>
    <definedName name="occupancy_status">'Units, Set-Asides, Bldgs'!$C$26</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Bldgs'!$H$144</definedName>
    <definedName name="One_type_of_transit">'Proximity, Mand.Dist., RECAP'!$E$31</definedName>
    <definedName name="onehundred_AMI_SAIL">'Units, Set-Asides, Bldgs'!$G$131</definedName>
    <definedName name="onetwenty_AMI_SAIL">'Units, Set-Asides, Bldgs'!$G$132</definedName>
    <definedName name="Operational_Contact_Address">'General Information'!$F$283</definedName>
    <definedName name="Operational_Contact_City">'General Information'!$F$284</definedName>
    <definedName name="Operational_Contact_EMail">'General Information'!$F$288</definedName>
    <definedName name="Operational_Contact_First_Name">'General Information'!$F$280</definedName>
    <definedName name="Operational_Contact_Last_Name">'General Information'!$F$281</definedName>
    <definedName name="Operational_Contact_Middle_Initial">'General Information'!$H$280</definedName>
    <definedName name="Operational_Contact_Phone">'General Information'!$F$287</definedName>
    <definedName name="Operational_Contact_Phone_Ext">'General Information'!$H$287</definedName>
    <definedName name="Operational_Contact_State">'General Information'!$F$285</definedName>
    <definedName name="Operational_Contact_Zip_Code">'General Information'!$F$286</definedName>
    <definedName name="Other_eligible">'Pro Forma'!$H$103</definedName>
    <definedName name="Other_ESS_AR_units">'Proposed Development Info'!$H$141</definedName>
    <definedName name="Other_ESS_NC_units">'Proposed Development Info'!$H$134</definedName>
    <definedName name="Other_ESS_Rehab_units">'Proposed Development Info'!$H$148</definedName>
    <definedName name="Other_Federal_assist_units_currently">'Proposed Development Info'!$F$98</definedName>
    <definedName name="Other_Federal_assist_units_currently_identified">'Proposed Development Info'!$F$99</definedName>
    <definedName name="Other_Federal_assist_units_future">'Proposed Development Info'!$G$98</definedName>
    <definedName name="Other_Federal_assist_units_future_identified">'Proposed Development Info'!$G$99</definedName>
    <definedName name="Other_ineligible">'Pro Forma'!$K$103</definedName>
    <definedName name="Other_non_ESS_AR_units">'Proposed Development Info'!$H$142</definedName>
    <definedName name="Other_Non_ESS_NC_units">'Proposed Development Info'!$H$135</definedName>
    <definedName name="Other_non_ESS_Rehab_units">'Proposed Development Info'!$H$149</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Info'!$F$96</definedName>
    <definedName name="PBRA_Units_Future">'Proposed Development Info'!$G$96</definedName>
    <definedName name="pct_units_in_NonAIT_setaside_chart">'Units, Set-Asides, Bldgs'!$G$68</definedName>
    <definedName name="Percent_Credits_Purchased">'Pro Forma'!$L$422</definedName>
    <definedName name="Percent_HOME_Assisted_Units">Funding!$I$466</definedName>
    <definedName name="Percentage_HOME_Match_Funds">Funding!$I$472</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it_Ready_Goal">'Readiness to Proceed'!$N$12</definedName>
    <definedName name="PermSource_Use_Ratio">'Pro Forma'!$M$278</definedName>
    <definedName name="Perpetuity_Election">'Units, Set-Asides, Bldgs'!$K$186</definedName>
    <definedName name="PerUnitConstFundingPref">Funding!$I$447</definedName>
    <definedName name="PHA">Funding!$E$483</definedName>
    <definedName name="PHA_Area_of_Opp_boost">Funding!$E$367</definedName>
    <definedName name="PHA_Area_of_Opp_boost_qualified">Data1!$B$753</definedName>
    <definedName name="PHA_Area_of_Opp_boost_qualified_comment">Funding!$G$367</definedName>
    <definedName name="PHA_as_Principal">Funding!$D$480</definedName>
    <definedName name="PHA_land_lease">Funding!$D$477</definedName>
    <definedName name="PHA_Name">Funding!$D$483</definedName>
    <definedName name="PHA_or_RD_points_achieved">'Proximity, Mand.Dist., RECAP'!$H$95</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Funding!$G$394</definedName>
    <definedName name="PLP_File_number">Funding!$G$393</definedName>
    <definedName name="Pres_def">'Proposed Development Info'!$D$107</definedName>
    <definedName name="Pres_Dev_Goal_Qualifying">'Proposed Development Info'!$I$86</definedName>
    <definedName name="Prev_Submission_Pref">'General Information'!$D$220</definedName>
    <definedName name="previous_EHCL_award">Funding!$H$402</definedName>
    <definedName name="previous_EHCL_File_number">Funding!$G$402</definedName>
    <definedName name="previous_HOME_award">Funding!$H$400</definedName>
    <definedName name="previous_HOME_File_number">Funding!$G$400</definedName>
    <definedName name="previous_MMRB_award">Funding!$H$401</definedName>
    <definedName name="previous_MMRB_File_number">Funding!$G$401</definedName>
    <definedName name="previous_SAIL_award">Funding!$H$399</definedName>
    <definedName name="previous_SAIL_File_number">Funding!$G$399</definedName>
    <definedName name="_xlnm.Print_Area" localSheetId="17">'B. Other Information'!$A$1:$J$19</definedName>
    <definedName name="_xlnm.Print_Area" localSheetId="18">Certification!$A$3:$M$48</definedName>
    <definedName name="_xlnm.Print_Area" localSheetId="9">'Construction Features'!$A$1:$I$38</definedName>
    <definedName name="_xlnm.Print_Area" localSheetId="5">'Development Location'!$A$1:$J$55</definedName>
    <definedName name="_xlnm.Print_Area" localSheetId="12">Funding!$A$3:$I$547</definedName>
    <definedName name="_xlnm.Print_Area" localSheetId="3">'General Information'!$A$1:$H$301</definedName>
    <definedName name="_xlnm.Print_Area" localSheetId="20">Goals!$A$1:$K$14</definedName>
    <definedName name="_xlnm.Print_Area" localSheetId="14">'Local Gov''t Contributions'!$A$1:$J$51</definedName>
    <definedName name="_xlnm.Print_Area" localSheetId="13">'Pro Forma'!$A$1:$P$380</definedName>
    <definedName name="_xlnm.Print_Area" localSheetId="4">'Proposed Development Info'!$A$3:$I$160</definedName>
    <definedName name="_xlnm.Print_Area" localSheetId="6">'Proximity, Mand.Dist., RECAP'!$A$1:$I$109</definedName>
    <definedName name="_xlnm.Print_Area" localSheetId="8">'Readiness to Proceed'!$A$1:$O$21</definedName>
    <definedName name="_xlnm.Print_Area" localSheetId="10">'Resident Programs'!$A$1:$H$23</definedName>
    <definedName name="_xlnm.Print_Area" localSheetId="11">Services!$A$3:$H$42</definedName>
    <definedName name="_xlnm.Print_Area" localSheetId="7">'Units, Set-Asides, Bldgs'!$A$1:$K$201</definedName>
    <definedName name="_xlnm.Print_Area" localSheetId="16">URA!$A$2:$I$26</definedName>
    <definedName name="_xlnm.Print_Area" localSheetId="15">'Urban Infill or Mixed-Use'!$A$1:$J$18</definedName>
    <definedName name="_xlnm.Print_Titles" localSheetId="18">Certification!$1:$2</definedName>
    <definedName name="_xlnm.Print_Titles" localSheetId="12">Funding!$1:$2</definedName>
    <definedName name="_xlnm.Print_Titles" localSheetId="4">'Proposed Development Info'!$1:$2</definedName>
    <definedName name="_xlnm.Print_Titles" localSheetId="11">Services!$1:$2</definedName>
    <definedName name="_xlnm.Print_Titles" localSheetId="16">URA!$1:$2</definedName>
    <definedName name="Priority_Level">'General Information'!$D$224</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Certification!$N$43</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Funding!$E$337</definedName>
    <definedName name="QCT_metro_or_nonmetro">Funding!$E$339</definedName>
    <definedName name="QCT_number">Funding!$E$341</definedName>
    <definedName name="QCT_qualified">Data1!$B$747</definedName>
    <definedName name="Qualified_Fin_Assist_Pref_Met">Funding!$I$443</definedName>
    <definedName name="Qualify_as_CHDO">'General Information'!$E$90</definedName>
    <definedName name="RA_Level">Data1!$F$314</definedName>
    <definedName name="RAO_Region">'Development Location'!$G$12</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Bldgs'!$H$181</definedName>
    <definedName name="RRLP_Base_Request_Amount">Funding!$I$97</definedName>
    <definedName name="RRLP_ELI_Request_Amount">Funding!$I$107</definedName>
    <definedName name="SADDA_ZCTA_1">Funding!$E$326</definedName>
    <definedName name="SADDA_ZCTA_2">Funding!$E$327</definedName>
    <definedName name="SADDA_ZCTA_3">Funding!$E$328</definedName>
    <definedName name="SAIL_CorpPortfolio_AppNumber">'Proposed Development Info'!$I$78</definedName>
    <definedName name="SAIL_Request_Amount">Funding!$I$55</definedName>
    <definedName name="SAIL_SA_Percent">'Units, Set-Asides, Bldgs'!$G$134</definedName>
    <definedName name="Scattered_Sites">'Development Location'!$G$23</definedName>
    <definedName name="Scattered_Sites_lat_long">'Development Location'!$E$33</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Information'!$G$67</definedName>
    <definedName name="Set_Aside_Units_1">'Units, Set-Asides, Bldgs'!$K$12</definedName>
    <definedName name="Set_Aside_Units_2">'Units, Set-Asides, Bldgs'!$K$18</definedName>
    <definedName name="Set_Asides_from_Charts">Data1!$G$533</definedName>
    <definedName name="seventy_AMI_AIT_Units">'Units, Set-Asides, Bldgs'!$F$84</definedName>
    <definedName name="seventy_AMI_SAIL">'Units, Set-Asides, Bldgs'!$G$129</definedName>
    <definedName name="SiF_ESS_NC_Units">'Proposed Development Info'!$H$132</definedName>
    <definedName name="SiF_Non_ESS_NC_Units">'Proposed Development Info'!$H$133</definedName>
    <definedName name="sixty_AMI_AIT_Units">'Units, Set-Asides, Bldgs'!$F$83</definedName>
    <definedName name="sixty_AMI_HC">'Units, Set-Asides, Bldgs'!$G$60</definedName>
    <definedName name="sixty_AMI_SAIL">'Units, Set-Asides, Bldgs'!$G$128</definedName>
    <definedName name="Small_Area_DDA">Funding!$E$324</definedName>
    <definedName name="Small_Area_DDA_qualified">Data1!$B$745</definedName>
    <definedName name="SS_Compliance_Commitment">'Units, Set-Asides, Bldgs'!$K$200</definedName>
    <definedName name="SS_Compliance_Period">'Units, Set-Asides, Bldgs'!$K$196</definedName>
    <definedName name="SS_Higher_Percentage">Funding!$I$424</definedName>
    <definedName name="SS_Waive_the_Option">'Units, Set-Asides, Bldgs'!$K$198</definedName>
    <definedName name="Submission_Goal_1">'General Information'!$C$292</definedName>
    <definedName name="Submission_Goal_2">'General Information'!$C$296</definedName>
    <definedName name="Submission_Goal_3">'General Information'!$C$300</definedName>
    <definedName name="SunRail_Goal">'Proximity, Mand.Dist., RECAP'!$D$37</definedName>
    <definedName name="SunRail_Name">'Proximity, Mand.Dist., RECAP'!$D$40</definedName>
    <definedName name="SunRail_Prox_Score">'Proximity, Mand.Dist., RECAP'!$H$100</definedName>
    <definedName name="TB_90Pct_TDC">Data3!$J$323</definedName>
    <definedName name="TB_Corp_Fund_PSAU">Data3!$J$324</definedName>
    <definedName name="TB_Extra_1">Data3!$J$330</definedName>
    <definedName name="TB_Extra_2">Data3!$J$331</definedName>
    <definedName name="TB_Extra_3">Data3!$J$332</definedName>
    <definedName name="TB_Extra_4">Data3!$J$333</definedName>
    <definedName name="TB_Extra_5">Data3!$J$334</definedName>
    <definedName name="TB_FL_JobCreat_Pref_Met">Data3!$J$319</definedName>
    <definedName name="TB_HOME_Match_Pct">Data3!$J$328</definedName>
    <definedName name="TB_HOME_PctMax">Data3!$J$327</definedName>
    <definedName name="TB_Leveraging_Level">Data3!$J$329</definedName>
    <definedName name="TB_PUConst_Pref_Met">Data3!$J$321</definedName>
    <definedName name="TB_QFA_Pref_Met">Data3!$J$320</definedName>
    <definedName name="TB_Request_Percent_TDC">Data3!$J$326</definedName>
    <definedName name="TB_Request_PSAU">Data3!$J$325</definedName>
    <definedName name="TB_SAIL_Per_SAU">Data3!$J$322</definedName>
    <definedName name="TBD_Request_Amount">Funding!$I$275</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Bldgs'!$F$80</definedName>
    <definedName name="thirty_AMI_HC">'Units, Set-Asides, Bldgs'!$G$54</definedName>
    <definedName name="thirty_AMI_SAIL">'Units, Set-Asides, Bldgs'!$G$122</definedName>
    <definedName name="thirtyfive_AMI_HC">'Units, Set-Asides, Bldgs'!$G$56</definedName>
    <definedName name="thirtyfive_AMI_SAIL">'Units, Set-Asides, Bldgs'!$G$124</definedName>
    <definedName name="thirtythree_AMI_HC">'Units, Set-Asides, Bldgs'!$G$55</definedName>
    <definedName name="thirtythree_AMI_SAIL">'Units, Set-Asides, Bldgs'!$G$123</definedName>
    <definedName name="Three_Bed_One_and_half_Bath_Total_Units">'Units, Set-Asides, Bldgs'!$H$149</definedName>
    <definedName name="Three_Bed_One_Bath_Total_Units">'Units, Set-Asides, Bldgs'!$H$148</definedName>
    <definedName name="Three_Bed_Three_Bath_Total_Units">'Units, Set-Asides, Bldgs'!$H$152</definedName>
    <definedName name="Three_Bed_Two_and_half_Bath_Total_Units">'Units, Set-Asides, Bldgs'!$H$151</definedName>
    <definedName name="Three_Bed_Two_Bath_Total_Units">'Units, Set-Asides, Bldgs'!$H$150</definedName>
    <definedName name="Total_AIT_Chart_Units">'Units, Set-Asides, Bldgs'!$F$93</definedName>
    <definedName name="Total_Cash_Funding">Funding!$I$435</definedName>
    <definedName name="Total_Cash_Funding_Met">Funding!$I$437</definedName>
    <definedName name="Total_Cash_Funding_Min">Funding!$I$436</definedName>
    <definedName name="Total_CDBG_DR_Assisted_Units">Funding!$H$257</definedName>
    <definedName name="Total_Corp_Funding">Funding!$I$535</definedName>
    <definedName name="Total_Corp_Funding_PSAU">Funding!$I$536</definedName>
    <definedName name="Total_Eligible_SAIL_Request_Amount">Data3!$E$250</definedName>
    <definedName name="Total_Existing_Units">URA!$F$7</definedName>
    <definedName name="Total_Gap_Chart_Units">'Units, Set-Asides, Bldgs'!$F$135</definedName>
    <definedName name="total_HC_units_AIT">'Units, Set-Asides, Bldgs'!$F$92</definedName>
    <definedName name="total_HC_units_NonAIT">'Units, Set-Asides, Bldgs'!$F$67</definedName>
    <definedName name="Total_HOME_Assisted_Units">Funding!$H$126</definedName>
    <definedName name="Total_HOME_Match">Funding!$I$462</definedName>
    <definedName name="Total_NonGrant_Mtg">'Pro Forma'!$X$272</definedName>
    <definedName name="Total_Percent_RA_Units_Currently">'Proposed Development Info'!$F$101</definedName>
    <definedName name="Total_Percent_RA_Units_Future">'Proposed Development Info'!$G$101</definedName>
    <definedName name="total_proximity_points_achieved">'Proximity, Mand.Dist., RECAP'!$H$97</definedName>
    <definedName name="total_proximity_points_min_met">'Proximity, Mand.Dist., RECAP'!$H$106</definedName>
    <definedName name="total_proximity_points_pref_met">'Proximity, Mand.Dist., RECAP'!$H$107</definedName>
    <definedName name="total_proximity_points_without_boost">'Proximity, Mand.Dist., RECAP'!$H$108</definedName>
    <definedName name="Total_RA_Units_Currently">'Proposed Development Info'!$F$100</definedName>
    <definedName name="Total_RA_Units_Future">'Proposed Development Info'!$G$100</definedName>
    <definedName name="Total_Units">'Units, Set-Asides, Bldgs'!$K$3</definedName>
    <definedName name="Total_Units_1">'Units, Set-Asides, Bldgs'!$K$10</definedName>
    <definedName name="Total_Units_2">'Units, Set-Asides, Bldgs'!$K$16</definedName>
    <definedName name="total_units_in_NonAIT_setaside_chart">'Units, Set-Asides, Bldgs'!$F$68</definedName>
    <definedName name="total_units_in_unit_desc_chart">'Proposed Development Info'!$H$150</definedName>
    <definedName name="Total_Units_of_Occupied">'Proposed Development Info'!$H$20</definedName>
    <definedName name="Track_Funding">Data3!$G$250:$H$257</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RECAP'!$H$93</definedName>
    <definedName name="transit_points_min_met">'Proximity, Mand.Dist., RECAP'!$H$105</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Bldgs'!$F$79</definedName>
    <definedName name="twentyeight_AMI_HC">'Units, Set-Asides, Bldgs'!$G$53</definedName>
    <definedName name="twentyeight_AMI_SAIL">'Units, Set-Asides, Bldgs'!$G$121</definedName>
    <definedName name="twentyfive_AMI_HC">'Units, Set-Asides, Bldgs'!$G$52</definedName>
    <definedName name="twentyfive_AMI_SAIL">'Units, Set-Asides, Bldgs'!$G$120</definedName>
    <definedName name="Two_Bed_One_and_half_Bath_Total_Units">'Units, Set-Asides, Bldgs'!$H$146</definedName>
    <definedName name="Two_Bed_One_Bath_Total_Units">'Units, Set-Asides, Bldgs'!$H$145</definedName>
    <definedName name="Two_Bed_Two_Bath_Total_Units">'Units, Set-Asides, Bldgs'!$H$147</definedName>
    <definedName name="Unit_Count">'Pro Forma'!$G$304</definedName>
    <definedName name="Unit_Max_Limit_Basis">Data1!$G$535</definedName>
    <definedName name="Unit_Min_Limit_Basis">Data1!$G$534</definedName>
    <definedName name="UnitMix_Score_Comment">Data1!$C$694</definedName>
    <definedName name="UnitMix_Score_Response">Data1!$B$694</definedName>
    <definedName name="Urban_Center_Area_of_Opp_boost">Funding!$G$361</definedName>
    <definedName name="Urban_Center_Area_of_Opp_boost_qualified">Data1!$B$751</definedName>
    <definedName name="Urban_Metro_Prox_Score">'Proximity, Mand.Dist., RECAP'!$H$102</definedName>
    <definedName name="UrbanCenter">'Proximity, Mand.Dist., RECAP'!$H$79</definedName>
    <definedName name="UrbanCenter_identified">Funding!$F$358</definedName>
    <definedName name="UrbanCenter_indication">Funding!$F$355</definedName>
    <definedName name="UrbanCenter_Name">'Proximity, Mand.Dist., RECAP'!$H$81</definedName>
    <definedName name="UrbanCenter_Tier">'Proximity, Mand.Dist., RECAP'!$I$81</definedName>
    <definedName name="Veteran_Elderly_Pref">'General Information'!$H$60</definedName>
    <definedName name="What_Is_HC_ELI_commitment">Data1!$C$514</definedName>
    <definedName name="Workforce_100_AIT_Units">'Units, Set-Asides, Bldgs'!$F$88</definedName>
    <definedName name="Workforce_110_AIT_Units">'Units, Set-Asides, Bldgs'!$F$89</definedName>
    <definedName name="Workforce_120_AIT_Units">'Units, Set-Asides, Bldgs'!$F$90</definedName>
    <definedName name="Workforce_80_AIT_Units">'Units, Set-Asides, Bldgs'!$F$86</definedName>
    <definedName name="Workforce_90_AIT_Units">'Units, Set-Asides, Bldgs'!$F$87</definedName>
    <definedName name="Workforce_AMI_100_NonAIT">'Units, Set-Asides, Bldgs'!$G$63</definedName>
    <definedName name="Workforce_AMI_110_NonAIT">'Units, Set-Asides, Bldgs'!$G$64</definedName>
    <definedName name="Workforce_AMI_120_NonAIT">'Units, Set-Asides, Bldgs'!$G$65</definedName>
    <definedName name="Workforce_AMI_80_NonAIT">'Units, Set-Asides, Bldgs'!$G$61</definedName>
    <definedName name="Workforce_AMI_90_NonAIT">'Units, Set-Asides, Bldgs'!$G$62</definedName>
    <definedName name="Workforce_Request_Amount">Funding!$I$15</definedName>
    <definedName name="year_built">'Proposed Development Info'!$F$93</definedName>
    <definedName name="Year_Built_of_Occupied">'Proposed Development Info'!$H$26</definedName>
    <definedName name="Youth_Aging_Out_Goal">'General Information'!$H$56</definedName>
    <definedName name="Zero_Bed_One_Bath_Total_Units">'Units, Set-Asides, Bldgs'!$H$143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 i="7" l="1"/>
  <c r="B32" i="35"/>
  <c r="B26" i="35"/>
  <c r="B20" i="35"/>
  <c r="B14" i="35"/>
  <c r="H304" i="24"/>
  <c r="H303" i="24"/>
  <c r="A41" i="2"/>
  <c r="A46" i="2"/>
  <c r="J132" i="24"/>
  <c r="D131" i="24"/>
  <c r="N370" i="9"/>
  <c r="N86" i="3" l="1"/>
  <c r="M86" i="3"/>
  <c r="C297" i="1"/>
  <c r="C290" i="1"/>
  <c r="L226" i="9"/>
  <c r="J149" i="24"/>
  <c r="J160" i="24"/>
  <c r="I158" i="24"/>
  <c r="I155" i="24"/>
  <c r="I151" i="24"/>
  <c r="I149" i="24"/>
  <c r="B158" i="24"/>
  <c r="B149" i="24"/>
  <c r="B151" i="24"/>
  <c r="D183" i="9"/>
  <c r="J143" i="24"/>
  <c r="I141" i="24"/>
  <c r="I138" i="24"/>
  <c r="I134" i="24"/>
  <c r="I132" i="24"/>
  <c r="B132" i="24"/>
  <c r="B134" i="24"/>
  <c r="B141" i="24"/>
  <c r="Q106" i="1" l="1"/>
  <c r="AE420" i="1"/>
  <c r="AD420" i="1"/>
  <c r="AC420" i="1"/>
  <c r="AB420" i="1"/>
  <c r="AE419" i="1"/>
  <c r="AD419" i="1"/>
  <c r="AC419" i="1"/>
  <c r="AB419" i="1"/>
  <c r="AE418" i="1"/>
  <c r="AD418" i="1"/>
  <c r="AC418" i="1"/>
  <c r="AB418" i="1"/>
  <c r="AE417" i="1"/>
  <c r="AD417" i="1"/>
  <c r="AC417" i="1"/>
  <c r="AB417" i="1"/>
  <c r="AE416" i="1"/>
  <c r="AD416" i="1"/>
  <c r="AC416" i="1"/>
  <c r="AB416" i="1"/>
  <c r="AE415" i="1"/>
  <c r="AD415" i="1"/>
  <c r="AC415" i="1"/>
  <c r="AB415" i="1"/>
  <c r="AE414" i="1"/>
  <c r="AD414" i="1"/>
  <c r="AC414" i="1"/>
  <c r="AB414" i="1"/>
  <c r="AE413" i="1"/>
  <c r="AD413" i="1"/>
  <c r="AC413" i="1"/>
  <c r="AB413" i="1"/>
  <c r="AE412" i="1"/>
  <c r="AD412" i="1"/>
  <c r="AC412" i="1"/>
  <c r="AB412" i="1"/>
  <c r="AE411" i="1"/>
  <c r="AD411" i="1"/>
  <c r="AC411" i="1"/>
  <c r="AB411" i="1"/>
  <c r="AE410" i="1"/>
  <c r="AD410" i="1"/>
  <c r="AC410" i="1"/>
  <c r="AB410" i="1"/>
  <c r="AE409" i="1"/>
  <c r="AD409" i="1"/>
  <c r="AC409" i="1"/>
  <c r="AB409" i="1"/>
  <c r="AE408" i="1"/>
  <c r="AD408" i="1"/>
  <c r="AC408" i="1"/>
  <c r="AB408" i="1"/>
  <c r="AE407" i="1"/>
  <c r="AD407" i="1"/>
  <c r="AC407" i="1"/>
  <c r="AB407" i="1"/>
  <c r="AE406" i="1"/>
  <c r="AD406" i="1"/>
  <c r="AC406" i="1"/>
  <c r="AB406" i="1"/>
  <c r="AE405" i="1"/>
  <c r="AD405" i="1"/>
  <c r="AC405" i="1"/>
  <c r="AB405" i="1"/>
  <c r="AE404" i="1"/>
  <c r="AD404" i="1"/>
  <c r="AC404" i="1"/>
  <c r="AB404" i="1"/>
  <c r="AE403" i="1"/>
  <c r="AD403" i="1"/>
  <c r="AC403" i="1"/>
  <c r="AB403" i="1"/>
  <c r="AE402" i="1"/>
  <c r="AD402" i="1"/>
  <c r="AC402" i="1"/>
  <c r="AB402" i="1"/>
  <c r="AE401" i="1"/>
  <c r="AD401" i="1"/>
  <c r="AC401" i="1"/>
  <c r="AB401" i="1"/>
  <c r="AE400" i="1"/>
  <c r="AD400" i="1"/>
  <c r="AC400" i="1"/>
  <c r="AB400" i="1"/>
  <c r="AE399" i="1"/>
  <c r="AD399" i="1"/>
  <c r="AC399" i="1"/>
  <c r="AB399" i="1"/>
  <c r="AE398" i="1"/>
  <c r="AD398" i="1"/>
  <c r="AC398" i="1"/>
  <c r="AB398" i="1"/>
  <c r="AE397" i="1"/>
  <c r="AD397" i="1"/>
  <c r="AC397" i="1"/>
  <c r="AB397" i="1"/>
  <c r="AE396" i="1"/>
  <c r="AD396" i="1"/>
  <c r="AC396" i="1"/>
  <c r="AB396" i="1"/>
  <c r="AE395" i="1"/>
  <c r="AD395" i="1"/>
  <c r="AC395" i="1"/>
  <c r="AB395" i="1"/>
  <c r="AE394" i="1"/>
  <c r="AD394" i="1"/>
  <c r="AC394" i="1"/>
  <c r="AB394" i="1"/>
  <c r="AE393" i="1"/>
  <c r="AD393" i="1"/>
  <c r="AC393" i="1"/>
  <c r="AB393" i="1"/>
  <c r="AE392" i="1"/>
  <c r="AD392" i="1"/>
  <c r="AC392" i="1"/>
  <c r="AB392" i="1"/>
  <c r="AE391" i="1"/>
  <c r="AD391" i="1"/>
  <c r="AC391" i="1"/>
  <c r="AB391" i="1"/>
  <c r="AE390" i="1"/>
  <c r="AD390" i="1"/>
  <c r="AC390" i="1"/>
  <c r="AB390" i="1"/>
  <c r="AE389" i="1"/>
  <c r="AD389" i="1"/>
  <c r="AC389" i="1"/>
  <c r="AB389" i="1"/>
  <c r="AE388" i="1"/>
  <c r="AD388" i="1"/>
  <c r="AC388" i="1"/>
  <c r="AB388" i="1"/>
  <c r="AE387" i="1"/>
  <c r="AD387" i="1"/>
  <c r="AC387" i="1"/>
  <c r="AB387" i="1"/>
  <c r="AE386" i="1"/>
  <c r="AD386" i="1"/>
  <c r="AC386" i="1"/>
  <c r="AB386" i="1"/>
  <c r="AE385" i="1"/>
  <c r="AD385" i="1"/>
  <c r="AC385" i="1"/>
  <c r="AB385" i="1"/>
  <c r="AE384" i="1"/>
  <c r="AD384" i="1"/>
  <c r="AC384" i="1"/>
  <c r="AB384" i="1"/>
  <c r="AE383" i="1"/>
  <c r="AD383" i="1"/>
  <c r="AC383" i="1"/>
  <c r="AB383" i="1"/>
  <c r="AE382" i="1"/>
  <c r="AD382" i="1"/>
  <c r="AC382" i="1"/>
  <c r="AB382" i="1"/>
  <c r="AE381" i="1"/>
  <c r="AD381" i="1"/>
  <c r="AC381" i="1"/>
  <c r="AB381" i="1"/>
  <c r="AE380" i="1"/>
  <c r="AD380" i="1"/>
  <c r="AC380" i="1"/>
  <c r="AB380" i="1"/>
  <c r="AE379" i="1"/>
  <c r="AD379" i="1"/>
  <c r="AC379" i="1"/>
  <c r="AB379" i="1"/>
  <c r="AE378" i="1"/>
  <c r="AD378" i="1"/>
  <c r="AC378" i="1"/>
  <c r="AB378" i="1"/>
  <c r="AE377" i="1"/>
  <c r="AD377" i="1"/>
  <c r="AC377" i="1"/>
  <c r="AB377" i="1"/>
  <c r="AE376" i="1"/>
  <c r="AD376" i="1"/>
  <c r="AC376" i="1"/>
  <c r="AB376" i="1"/>
  <c r="AE375" i="1"/>
  <c r="AD375" i="1"/>
  <c r="AC375" i="1"/>
  <c r="AB375" i="1"/>
  <c r="AE374" i="1"/>
  <c r="AD374" i="1"/>
  <c r="AC374" i="1"/>
  <c r="AB374" i="1"/>
  <c r="AE373" i="1"/>
  <c r="AD373" i="1"/>
  <c r="AC373" i="1"/>
  <c r="AB373" i="1"/>
  <c r="AE372" i="1"/>
  <c r="AD372" i="1"/>
  <c r="AC372" i="1"/>
  <c r="AB372" i="1"/>
  <c r="AE371" i="1"/>
  <c r="AD371" i="1"/>
  <c r="AC371" i="1"/>
  <c r="AB371" i="1"/>
  <c r="AE370" i="1"/>
  <c r="AD370" i="1"/>
  <c r="AC370" i="1"/>
  <c r="AB370" i="1"/>
  <c r="AE369" i="1"/>
  <c r="AD369" i="1"/>
  <c r="AC369" i="1"/>
  <c r="AB369" i="1"/>
  <c r="AE368" i="1"/>
  <c r="AD368" i="1"/>
  <c r="AC368" i="1"/>
  <c r="AB368" i="1"/>
  <c r="AE367" i="1"/>
  <c r="AD367" i="1"/>
  <c r="AC367" i="1"/>
  <c r="AB367" i="1"/>
  <c r="AE366" i="1"/>
  <c r="AD366" i="1"/>
  <c r="AC366" i="1"/>
  <c r="AB366" i="1"/>
  <c r="AE365" i="1"/>
  <c r="AD365" i="1"/>
  <c r="AC365" i="1"/>
  <c r="AB365" i="1"/>
  <c r="AE364" i="1"/>
  <c r="AD364" i="1"/>
  <c r="AC364" i="1"/>
  <c r="AB364" i="1"/>
  <c r="AE363" i="1"/>
  <c r="AD363" i="1"/>
  <c r="AC363" i="1"/>
  <c r="AB363" i="1"/>
  <c r="AE362" i="1"/>
  <c r="AD362" i="1"/>
  <c r="AC362" i="1"/>
  <c r="AB362" i="1"/>
  <c r="AE361" i="1"/>
  <c r="AD361" i="1"/>
  <c r="AC361" i="1"/>
  <c r="AB361" i="1"/>
  <c r="AE360" i="1"/>
  <c r="AD360" i="1"/>
  <c r="AC360" i="1"/>
  <c r="AB360" i="1"/>
  <c r="AE359" i="1"/>
  <c r="AD359" i="1"/>
  <c r="AC359" i="1"/>
  <c r="AB359" i="1"/>
  <c r="AE358" i="1"/>
  <c r="AD358" i="1"/>
  <c r="AC358" i="1"/>
  <c r="AB358" i="1"/>
  <c r="AE357" i="1"/>
  <c r="AD357" i="1"/>
  <c r="AC357" i="1"/>
  <c r="AB357" i="1"/>
  <c r="AE356" i="1"/>
  <c r="AD356" i="1"/>
  <c r="AC356" i="1"/>
  <c r="AB356" i="1"/>
  <c r="AE355" i="1"/>
  <c r="AD355" i="1"/>
  <c r="AC355" i="1"/>
  <c r="AB355" i="1"/>
  <c r="AE354" i="1"/>
  <c r="AD354" i="1"/>
  <c r="AC354" i="1"/>
  <c r="AB354" i="1"/>
  <c r="BU7" i="19" a="1"/>
  <c r="BU7" i="19" s="1"/>
  <c r="BR7" i="19" a="1"/>
  <c r="BR7" i="19" s="1"/>
  <c r="BO7" i="19" a="1"/>
  <c r="BO7" i="19" s="1"/>
  <c r="BJ7" i="19" a="1"/>
  <c r="BJ7" i="19" s="1"/>
  <c r="AQ7" i="19" a="1"/>
  <c r="AQ7" i="19" s="1"/>
  <c r="AN7" i="19" a="1"/>
  <c r="AN7" i="19" s="1"/>
  <c r="AK7" i="19" a="1"/>
  <c r="AK7" i="19" s="1"/>
  <c r="AF7" i="19" a="1"/>
  <c r="AF7" i="19" s="1"/>
  <c r="M7" i="19" a="1"/>
  <c r="M7" i="19" s="1"/>
  <c r="J7" i="19" a="1"/>
  <c r="J7" i="19" s="1"/>
  <c r="G7" i="19" a="1"/>
  <c r="G7" i="19" s="1"/>
  <c r="B7" i="19" a="1"/>
  <c r="B7" i="19" s="1"/>
  <c r="CX12" i="19"/>
  <c r="CY7" i="19" a="1"/>
  <c r="CY7" i="19" s="1"/>
  <c r="CX7" i="19" s="1" a="1"/>
  <c r="CX7" i="19" s="1"/>
  <c r="CV7" i="19" a="1"/>
  <c r="CV7" i="19" s="1"/>
  <c r="CN7" i="19" a="1"/>
  <c r="CN7" i="19" s="1"/>
  <c r="CS7" i="19" a="1"/>
  <c r="CS7" i="19" s="1"/>
  <c r="G376" i="9"/>
  <c r="G326" i="9"/>
  <c r="DE4" i="19" l="1"/>
  <c r="DC4" i="19"/>
  <c r="DA4" i="19"/>
  <c r="DC12" i="19"/>
  <c r="DA12" i="19"/>
  <c r="CU12" i="19"/>
  <c r="CR12" i="19"/>
  <c r="CP12" i="19"/>
  <c r="CM12" i="19"/>
  <c r="BT12" i="19"/>
  <c r="BQ12" i="19"/>
  <c r="BN12" i="19"/>
  <c r="BL12" i="19"/>
  <c r="BI12" i="19"/>
  <c r="AP12" i="19"/>
  <c r="AM12" i="19"/>
  <c r="AJ12" i="19"/>
  <c r="AH12" i="19"/>
  <c r="AE12" i="19"/>
  <c r="L12" i="19"/>
  <c r="I12" i="19"/>
  <c r="F12" i="19"/>
  <c r="D12" i="19"/>
  <c r="A12" i="19"/>
  <c r="CM7" i="19" l="1"/>
  <c r="DA11" i="19"/>
  <c r="DN4" i="19"/>
  <c r="DK4" i="19"/>
  <c r="DH4" i="19"/>
  <c r="DC11" i="19"/>
  <c r="CU7" i="19"/>
  <c r="CR7" i="19"/>
  <c r="E332" i="9"/>
  <c r="E339" i="9"/>
  <c r="G321" i="9"/>
  <c r="G328" i="9"/>
  <c r="G327" i="9"/>
  <c r="A632" i="1" l="1"/>
  <c r="A629" i="1"/>
  <c r="A626" i="1"/>
  <c r="J36" i="5"/>
  <c r="F65" i="5"/>
  <c r="F64" i="5"/>
  <c r="F63" i="5"/>
  <c r="F62" i="5"/>
  <c r="F61" i="5"/>
  <c r="N91" i="24"/>
  <c r="B650" i="1"/>
  <c r="J634" i="1"/>
  <c r="B514" i="1"/>
  <c r="C514" i="1" s="1"/>
  <c r="H586" i="1"/>
  <c r="G586" i="1"/>
  <c r="D584" i="1"/>
  <c r="B584" i="1" s="1"/>
  <c r="B583" i="1"/>
  <c r="B582" i="1"/>
  <c r="G583" i="1" l="1"/>
  <c r="L633" i="1" l="1"/>
  <c r="L634" i="1" s="1"/>
  <c r="K634" i="1"/>
  <c r="K628" i="1"/>
  <c r="K633" i="1"/>
  <c r="K630" i="1"/>
  <c r="J633" i="1"/>
  <c r="K624" i="1"/>
  <c r="J628" i="1"/>
  <c r="J627" i="1"/>
  <c r="L627" i="1"/>
  <c r="L628" i="1" s="1"/>
  <c r="I627" i="1"/>
  <c r="I628" i="1" s="1"/>
  <c r="I634" i="1"/>
  <c r="I633" i="1"/>
  <c r="C622" i="1"/>
  <c r="C621" i="1"/>
  <c r="W630" i="1" l="1"/>
  <c r="C625" i="1"/>
  <c r="C624" i="1"/>
  <c r="Q110" i="1" l="1"/>
  <c r="Q109" i="1"/>
  <c r="Q108" i="1"/>
  <c r="F355" i="9"/>
  <c r="F358" i="9"/>
  <c r="E360" i="9"/>
  <c r="H34" i="7"/>
  <c r="A660" i="1" l="1"/>
  <c r="E27" i="3" l="1"/>
  <c r="B659" i="1" l="1"/>
  <c r="P25" i="7" l="1"/>
  <c r="P21" i="7"/>
  <c r="A22" i="7"/>
  <c r="N30" i="3"/>
  <c r="N14" i="3"/>
  <c r="G90" i="5"/>
  <c r="G89" i="5"/>
  <c r="G88" i="5"/>
  <c r="G87" i="5"/>
  <c r="G86" i="5"/>
  <c r="K65" i="5" l="1"/>
  <c r="K64" i="5"/>
  <c r="K63" i="5"/>
  <c r="K62" i="5"/>
  <c r="K61" i="5"/>
  <c r="I26" i="3"/>
  <c r="N51" i="3"/>
  <c r="I5" i="14"/>
  <c r="I49" i="4"/>
  <c r="M35" i="2"/>
  <c r="A36" i="2"/>
  <c r="L53" i="3" l="1"/>
  <c r="L52" i="3"/>
  <c r="L34" i="3"/>
  <c r="N6" i="3"/>
  <c r="L55" i="3" s="1"/>
  <c r="H361" i="9"/>
  <c r="B76" i="14"/>
  <c r="B74" i="14"/>
  <c r="B81" i="14"/>
  <c r="B79" i="14"/>
  <c r="B87" i="14"/>
  <c r="B85" i="14"/>
  <c r="G11" i="4" l="1"/>
  <c r="O10" i="4"/>
  <c r="N10" i="4"/>
  <c r="C438" i="1"/>
  <c r="C442" i="1"/>
  <c r="C441" i="1"/>
  <c r="C440" i="1"/>
  <c r="C439" i="1"/>
  <c r="C445" i="1"/>
  <c r="C444" i="1"/>
  <c r="C443" i="1"/>
  <c r="C437" i="1"/>
  <c r="C433" i="1"/>
  <c r="C432" i="1"/>
  <c r="C436" i="1"/>
  <c r="C435" i="1"/>
  <c r="C434" i="1"/>
  <c r="F445" i="1" l="1"/>
  <c r="F437" i="1"/>
  <c r="F433" i="1"/>
  <c r="F434" i="1"/>
  <c r="F436" i="1"/>
  <c r="F440" i="1"/>
  <c r="F439" i="1"/>
  <c r="F441" i="1"/>
  <c r="F442" i="1"/>
  <c r="F443" i="1"/>
  <c r="F438" i="1"/>
  <c r="F432" i="1"/>
  <c r="F444" i="1"/>
  <c r="F435" i="1"/>
  <c r="K16" i="8" l="1"/>
  <c r="P186" i="5"/>
  <c r="O186" i="5"/>
  <c r="P6" i="5"/>
  <c r="O6" i="5"/>
  <c r="G303" i="9"/>
  <c r="C302" i="9"/>
  <c r="C309" i="9"/>
  <c r="N309" i="9"/>
  <c r="M309" i="9"/>
  <c r="L303" i="9"/>
  <c r="N303" i="9" s="1"/>
  <c r="K17" i="8" l="1"/>
  <c r="K18" i="8"/>
  <c r="K19" i="8" s="1"/>
  <c r="K20" i="8" s="1"/>
  <c r="M303" i="9"/>
  <c r="L305" i="9"/>
  <c r="L307" i="9"/>
  <c r="M305" i="9" l="1"/>
  <c r="N305" i="9"/>
  <c r="N307" i="9"/>
  <c r="M307" i="9"/>
  <c r="O54" i="4" l="1"/>
  <c r="N54" i="4"/>
  <c r="C130" i="2"/>
  <c r="J343" i="1"/>
  <c r="J345" i="1" l="1"/>
  <c r="J342" i="1"/>
  <c r="I345" i="1"/>
  <c r="I342" i="1"/>
  <c r="I343" i="1"/>
  <c r="D344" i="1"/>
  <c r="D343" i="1"/>
  <c r="B344" i="1"/>
  <c r="B343" i="1"/>
  <c r="H196" i="24" l="1"/>
  <c r="H195" i="24"/>
  <c r="H194" i="24"/>
  <c r="B149" i="3" l="1"/>
  <c r="B148" i="3"/>
  <c r="B146" i="3"/>
  <c r="B145" i="3"/>
  <c r="B144" i="3"/>
  <c r="B143" i="3"/>
  <c r="G303" i="26" l="1"/>
  <c r="G302" i="26"/>
  <c r="A35" i="18" l="1"/>
  <c r="O13" i="18"/>
  <c r="B8" i="18"/>
  <c r="G160" i="2" l="1"/>
  <c r="G170" i="2"/>
  <c r="G150" i="2"/>
  <c r="I93" i="1"/>
  <c r="J93" i="1" l="1"/>
  <c r="K93" i="1" s="1"/>
  <c r="B345" i="1"/>
  <c r="B342" i="1"/>
  <c r="N152" i="3"/>
  <c r="F347" i="1"/>
  <c r="L93" i="1" l="1"/>
  <c r="M93" i="1" s="1"/>
  <c r="H305" i="24" l="1"/>
  <c r="H302" i="24" s="1"/>
  <c r="BT7" i="19"/>
  <c r="A14" i="16"/>
  <c r="A6" i="16"/>
  <c r="A10" i="16"/>
  <c r="C109" i="1"/>
  <c r="A1" i="24"/>
  <c r="N18" i="5"/>
  <c r="O18" i="5" s="1"/>
  <c r="N16" i="5"/>
  <c r="N12" i="5"/>
  <c r="O12" i="5" s="1"/>
  <c r="N10" i="5"/>
  <c r="P10" i="5" s="1"/>
  <c r="G350" i="9"/>
  <c r="G349" i="9"/>
  <c r="CJ4" i="19"/>
  <c r="AA420" i="1"/>
  <c r="AA419" i="1"/>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AA378" i="1"/>
  <c r="AA377" i="1"/>
  <c r="AA376" i="1"/>
  <c r="AA375" i="1"/>
  <c r="AA374" i="1"/>
  <c r="AA373" i="1"/>
  <c r="AA372" i="1"/>
  <c r="AA371" i="1"/>
  <c r="AA370" i="1"/>
  <c r="AA369" i="1"/>
  <c r="AA368" i="1"/>
  <c r="AA367" i="1"/>
  <c r="AA366" i="1"/>
  <c r="AA365" i="1"/>
  <c r="AA364" i="1"/>
  <c r="AA363" i="1"/>
  <c r="AA362" i="1"/>
  <c r="AA361" i="1"/>
  <c r="AA360" i="1"/>
  <c r="AA359" i="1"/>
  <c r="AA358" i="1"/>
  <c r="AA357" i="1"/>
  <c r="AA356" i="1"/>
  <c r="AA355" i="1"/>
  <c r="AA354" i="1"/>
  <c r="L179" i="9"/>
  <c r="N179" i="9" s="1"/>
  <c r="H308" i="24"/>
  <c r="H306" i="24"/>
  <c r="H301" i="24"/>
  <c r="I301" i="24" s="1"/>
  <c r="H309" i="24"/>
  <c r="I315" i="26"/>
  <c r="C315" i="26"/>
  <c r="B267" i="24"/>
  <c r="K128" i="2"/>
  <c r="M128" i="2" s="1"/>
  <c r="K256" i="2"/>
  <c r="M256" i="2" s="1"/>
  <c r="K255" i="2"/>
  <c r="M255" i="2" s="1"/>
  <c r="K246" i="2"/>
  <c r="M246" i="2" s="1"/>
  <c r="L246" i="2"/>
  <c r="K245" i="2"/>
  <c r="M245" i="2" s="1"/>
  <c r="L245" i="2"/>
  <c r="H36" i="9"/>
  <c r="D487" i="9"/>
  <c r="J21" i="5"/>
  <c r="I181" i="5"/>
  <c r="J3" i="4"/>
  <c r="L133" i="3"/>
  <c r="N133" i="3" s="1"/>
  <c r="L132" i="3"/>
  <c r="M132" i="3" s="1"/>
  <c r="C120" i="3"/>
  <c r="M120" i="3" s="1"/>
  <c r="H96" i="3"/>
  <c r="D15" i="3"/>
  <c r="C40" i="3"/>
  <c r="K39" i="2"/>
  <c r="M39" i="2" s="1"/>
  <c r="K32" i="2"/>
  <c r="L32" i="2" s="1"/>
  <c r="B38" i="2"/>
  <c r="B30" i="2"/>
  <c r="B27" i="2"/>
  <c r="B24" i="2"/>
  <c r="B16" i="2"/>
  <c r="I22" i="3"/>
  <c r="K536" i="1"/>
  <c r="B536" i="1"/>
  <c r="A36" i="20"/>
  <c r="A35" i="20"/>
  <c r="A34" i="20"/>
  <c r="A27" i="20"/>
  <c r="P20" i="5"/>
  <c r="B3" i="5" s="1"/>
  <c r="O3" i="5"/>
  <c r="M53" i="3"/>
  <c r="P3" i="5"/>
  <c r="N53" i="3"/>
  <c r="E41" i="26"/>
  <c r="K41" i="26" s="1"/>
  <c r="K70" i="26" s="1"/>
  <c r="H56" i="26"/>
  <c r="L412" i="26"/>
  <c r="L423" i="26" s="1"/>
  <c r="L424" i="26" s="1"/>
  <c r="L425" i="26" s="1"/>
  <c r="L430" i="26" s="1"/>
  <c r="I24" i="3"/>
  <c r="I16" i="3"/>
  <c r="K548" i="1"/>
  <c r="L532" i="1"/>
  <c r="E26" i="2"/>
  <c r="D34" i="3"/>
  <c r="K26" i="2"/>
  <c r="M26" i="2" s="1"/>
  <c r="C6" i="3"/>
  <c r="C9" i="3"/>
  <c r="E39" i="2"/>
  <c r="C16" i="1"/>
  <c r="H208" i="24"/>
  <c r="H150" i="3"/>
  <c r="C152" i="3" s="1"/>
  <c r="C592" i="1"/>
  <c r="B266" i="2"/>
  <c r="B227" i="2"/>
  <c r="B109" i="2"/>
  <c r="B107" i="2"/>
  <c r="B102" i="2"/>
  <c r="C44" i="2"/>
  <c r="C43" i="2"/>
  <c r="B12" i="36"/>
  <c r="B9" i="36"/>
  <c r="B8" i="36"/>
  <c r="B7" i="36"/>
  <c r="A575" i="1"/>
  <c r="N61" i="3"/>
  <c r="E584" i="1"/>
  <c r="A651" i="1"/>
  <c r="A585" i="1"/>
  <c r="A584" i="1"/>
  <c r="A583" i="1"/>
  <c r="B26" i="4"/>
  <c r="B23" i="4"/>
  <c r="B222" i="2"/>
  <c r="B218" i="2"/>
  <c r="B215" i="2"/>
  <c r="B212" i="2"/>
  <c r="B30" i="3"/>
  <c r="B6" i="3"/>
  <c r="B11" i="3"/>
  <c r="D116" i="2"/>
  <c r="A28" i="2"/>
  <c r="K18" i="2"/>
  <c r="L18" i="2" s="1"/>
  <c r="B35" i="5"/>
  <c r="B44" i="5"/>
  <c r="F569" i="1"/>
  <c r="F568" i="1"/>
  <c r="B20" i="5"/>
  <c r="C15" i="1"/>
  <c r="C14" i="1"/>
  <c r="B12" i="1"/>
  <c r="N8" i="7"/>
  <c r="M8" i="7"/>
  <c r="J84" i="5"/>
  <c r="Q72" i="5"/>
  <c r="P73" i="5"/>
  <c r="L3" i="36"/>
  <c r="N3" i="36" s="1"/>
  <c r="L13" i="36"/>
  <c r="N13" i="36" s="1"/>
  <c r="L16" i="36"/>
  <c r="N16" i="36" s="1"/>
  <c r="L25" i="36"/>
  <c r="N25" i="36" s="1"/>
  <c r="L22" i="36"/>
  <c r="N22" i="36" s="1"/>
  <c r="L19" i="36"/>
  <c r="N19" i="36" s="1"/>
  <c r="L9" i="36"/>
  <c r="L8" i="36"/>
  <c r="L7" i="36"/>
  <c r="L11" i="36"/>
  <c r="H106" i="1"/>
  <c r="I106" i="1" s="1"/>
  <c r="G108" i="1"/>
  <c r="K104" i="1"/>
  <c r="H21" i="9"/>
  <c r="H59" i="9"/>
  <c r="B185" i="2"/>
  <c r="B181" i="2"/>
  <c r="L183" i="2"/>
  <c r="M183" i="2"/>
  <c r="K220" i="2"/>
  <c r="M220" i="2" s="1"/>
  <c r="C65" i="1"/>
  <c r="C64" i="1"/>
  <c r="C63" i="1"/>
  <c r="O34" i="9"/>
  <c r="Q34" i="9" s="1"/>
  <c r="E33" i="9"/>
  <c r="G824" i="1"/>
  <c r="H824" i="1"/>
  <c r="D117" i="5"/>
  <c r="J120" i="5" s="1"/>
  <c r="D99" i="5"/>
  <c r="H198" i="1"/>
  <c r="H194" i="1" a="1"/>
  <c r="H194" i="1" s="1"/>
  <c r="E334" i="9"/>
  <c r="E82" i="9"/>
  <c r="E75" i="9"/>
  <c r="A2" i="24"/>
  <c r="E76" i="9"/>
  <c r="H75" i="9"/>
  <c r="H102" i="9"/>
  <c r="H82" i="9"/>
  <c r="H76" i="9"/>
  <c r="E77" i="9" s="1"/>
  <c r="H35" i="9"/>
  <c r="B236" i="1"/>
  <c r="F298" i="1"/>
  <c r="G292" i="1"/>
  <c r="G12" i="4"/>
  <c r="I12" i="4" s="1"/>
  <c r="G9" i="4"/>
  <c r="O51" i="9"/>
  <c r="Q51" i="9" s="1"/>
  <c r="E48" i="9"/>
  <c r="E36" i="9"/>
  <c r="E35" i="9"/>
  <c r="C166" i="2"/>
  <c r="C156" i="2"/>
  <c r="C146" i="2"/>
  <c r="C136" i="2"/>
  <c r="C126" i="2"/>
  <c r="L126" i="5"/>
  <c r="L125" i="5"/>
  <c r="L124" i="5"/>
  <c r="L123" i="5"/>
  <c r="L122" i="5"/>
  <c r="L121" i="5"/>
  <c r="L120" i="5"/>
  <c r="H173" i="2"/>
  <c r="K166" i="2"/>
  <c r="M166" i="2" s="1"/>
  <c r="K156" i="2"/>
  <c r="L156" i="2" s="1"/>
  <c r="K146" i="2"/>
  <c r="M146" i="2" s="1"/>
  <c r="K136" i="2"/>
  <c r="L136" i="2" s="1"/>
  <c r="K126" i="2"/>
  <c r="L126" i="2" s="1"/>
  <c r="D122" i="2"/>
  <c r="K120" i="2"/>
  <c r="L120" i="2" s="1"/>
  <c r="M120" i="2"/>
  <c r="K119" i="2"/>
  <c r="M119" i="2" s="1"/>
  <c r="D83" i="2"/>
  <c r="D82" i="2"/>
  <c r="K73" i="2" a="1"/>
  <c r="K73" i="2" s="1"/>
  <c r="L96" i="3"/>
  <c r="M96" i="3" s="1"/>
  <c r="O93" i="3"/>
  <c r="B237" i="1"/>
  <c r="L64" i="3"/>
  <c r="M64" i="3" s="1"/>
  <c r="C64" i="3"/>
  <c r="C57" i="3"/>
  <c r="F644" i="1"/>
  <c r="E44" i="9"/>
  <c r="E42" i="9"/>
  <c r="Q43" i="9"/>
  <c r="Q41" i="9"/>
  <c r="J89" i="5"/>
  <c r="J87" i="5"/>
  <c r="J90" i="5"/>
  <c r="J88" i="5"/>
  <c r="J86" i="5"/>
  <c r="C53" i="1"/>
  <c r="C54" i="1"/>
  <c r="C55" i="1"/>
  <c r="B136" i="3"/>
  <c r="B135" i="3"/>
  <c r="H174" i="1"/>
  <c r="G174" i="1" s="1"/>
  <c r="H173" i="1"/>
  <c r="G173" i="1" s="1"/>
  <c r="H172" i="1"/>
  <c r="G172" i="1" s="1"/>
  <c r="Q114" i="1"/>
  <c r="Q115" i="1"/>
  <c r="Q116" i="1"/>
  <c r="A104" i="1"/>
  <c r="Q100" i="1"/>
  <c r="Q101" i="1"/>
  <c r="Q102" i="1"/>
  <c r="K97" i="1" s="1"/>
  <c r="O150" i="2" s="1"/>
  <c r="Q103" i="1"/>
  <c r="E163" i="2"/>
  <c r="E153" i="2"/>
  <c r="E143" i="2"/>
  <c r="E133" i="2"/>
  <c r="E123" i="2"/>
  <c r="K170" i="2"/>
  <c r="L170" i="2" s="1"/>
  <c r="M170" i="2"/>
  <c r="K169" i="2"/>
  <c r="L169" i="2" s="1"/>
  <c r="K168" i="2"/>
  <c r="M168" i="2" s="1"/>
  <c r="K165" i="2"/>
  <c r="M165" i="2" s="1"/>
  <c r="L165" i="2"/>
  <c r="K164" i="2"/>
  <c r="L164" i="2" s="1"/>
  <c r="M164" i="2"/>
  <c r="K160" i="2"/>
  <c r="L160" i="2" s="1"/>
  <c r="M160" i="2"/>
  <c r="K159" i="2"/>
  <c r="L159" i="2" s="1"/>
  <c r="M159" i="2"/>
  <c r="K158" i="2"/>
  <c r="L158" i="2" s="1"/>
  <c r="K155" i="2"/>
  <c r="M155" i="2" s="1"/>
  <c r="K154" i="2"/>
  <c r="L154" i="2" s="1"/>
  <c r="M154" i="2"/>
  <c r="C170" i="2"/>
  <c r="C160" i="2"/>
  <c r="L97" i="1"/>
  <c r="O160" i="2" s="1"/>
  <c r="L168" i="2"/>
  <c r="K7" i="35"/>
  <c r="M7" i="35" s="1"/>
  <c r="B47" i="5"/>
  <c r="B40" i="5"/>
  <c r="G175" i="5"/>
  <c r="G174" i="5"/>
  <c r="D162" i="5"/>
  <c r="H160" i="5"/>
  <c r="V693" i="1" s="1"/>
  <c r="P150" i="5"/>
  <c r="O150" i="5"/>
  <c r="A17" i="41"/>
  <c r="A8" i="41"/>
  <c r="A12" i="38"/>
  <c r="J17" i="41"/>
  <c r="C90" i="1"/>
  <c r="C89" i="1"/>
  <c r="C88" i="1"/>
  <c r="C87" i="1"/>
  <c r="C86" i="1"/>
  <c r="C85" i="1"/>
  <c r="C84" i="1"/>
  <c r="C83" i="1"/>
  <c r="C82" i="1"/>
  <c r="C81" i="1"/>
  <c r="C80" i="1"/>
  <c r="C79" i="1"/>
  <c r="C78" i="1"/>
  <c r="C77" i="1"/>
  <c r="C76" i="1"/>
  <c r="C75" i="1"/>
  <c r="C74" i="1"/>
  <c r="C73" i="1"/>
  <c r="C72" i="1"/>
  <c r="C71" i="1"/>
  <c r="C70" i="1"/>
  <c r="C69" i="1"/>
  <c r="C68" i="1"/>
  <c r="C67" i="1"/>
  <c r="C66" i="1"/>
  <c r="C62" i="1"/>
  <c r="C61" i="1"/>
  <c r="C60" i="1"/>
  <c r="C59" i="1"/>
  <c r="C58" i="1"/>
  <c r="C57" i="1"/>
  <c r="C56" i="1"/>
  <c r="C807" i="1"/>
  <c r="C806" i="1"/>
  <c r="C805" i="1"/>
  <c r="C804" i="1"/>
  <c r="A7" i="41"/>
  <c r="A6" i="8"/>
  <c r="C396" i="9"/>
  <c r="C391" i="9"/>
  <c r="C52" i="1"/>
  <c r="C51" i="1"/>
  <c r="C50" i="1"/>
  <c r="D814" i="1"/>
  <c r="D813" i="1"/>
  <c r="C204" i="2"/>
  <c r="C194" i="2"/>
  <c r="C147" i="2"/>
  <c r="C167" i="2" s="1"/>
  <c r="C137" i="2"/>
  <c r="C157" i="2" s="1"/>
  <c r="C49" i="1"/>
  <c r="C48" i="1"/>
  <c r="B593" i="1"/>
  <c r="E583" i="1"/>
  <c r="I583" i="1"/>
  <c r="H583" i="1" s="1"/>
  <c r="M117" i="5"/>
  <c r="C596" i="1"/>
  <c r="Y4" i="19"/>
  <c r="BC4" i="19"/>
  <c r="CG4" i="19"/>
  <c r="L7" i="19"/>
  <c r="I7" i="19"/>
  <c r="F7" i="19"/>
  <c r="AP7" i="19"/>
  <c r="AM7" i="19"/>
  <c r="AJ7" i="19"/>
  <c r="AE7" i="19"/>
  <c r="BN7" i="19"/>
  <c r="BQ7" i="19"/>
  <c r="BI7" i="19"/>
  <c r="Z420" i="1"/>
  <c r="Y420" i="1"/>
  <c r="X420" i="1"/>
  <c r="Z419" i="1"/>
  <c r="Y419" i="1"/>
  <c r="X419" i="1"/>
  <c r="Z418" i="1"/>
  <c r="Y418" i="1"/>
  <c r="X418" i="1"/>
  <c r="Z417" i="1"/>
  <c r="Y417" i="1"/>
  <c r="X417" i="1"/>
  <c r="Z416" i="1"/>
  <c r="Y416" i="1"/>
  <c r="X416" i="1"/>
  <c r="Z415" i="1"/>
  <c r="Y415" i="1"/>
  <c r="X415" i="1"/>
  <c r="Z414" i="1"/>
  <c r="Y414" i="1"/>
  <c r="X414" i="1"/>
  <c r="Z413" i="1"/>
  <c r="Y413" i="1"/>
  <c r="X413" i="1"/>
  <c r="Z412" i="1"/>
  <c r="Y412" i="1"/>
  <c r="X412" i="1"/>
  <c r="Z411" i="1"/>
  <c r="Y411" i="1"/>
  <c r="X411" i="1"/>
  <c r="Z410" i="1"/>
  <c r="Y410" i="1"/>
  <c r="X410" i="1"/>
  <c r="Z409" i="1"/>
  <c r="Y409" i="1"/>
  <c r="X409" i="1"/>
  <c r="Z408" i="1"/>
  <c r="Y408" i="1"/>
  <c r="X408" i="1"/>
  <c r="Z407" i="1"/>
  <c r="Y407" i="1"/>
  <c r="X407" i="1"/>
  <c r="Z406" i="1"/>
  <c r="Y406" i="1"/>
  <c r="X406" i="1"/>
  <c r="Z405" i="1"/>
  <c r="Y405" i="1"/>
  <c r="X405" i="1"/>
  <c r="Z404" i="1"/>
  <c r="Y404" i="1"/>
  <c r="X404" i="1"/>
  <c r="Z403" i="1"/>
  <c r="Y403" i="1"/>
  <c r="X403" i="1"/>
  <c r="Z402" i="1"/>
  <c r="Y402" i="1"/>
  <c r="X402" i="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Z378" i="1"/>
  <c r="Y378" i="1"/>
  <c r="X378" i="1"/>
  <c r="Z377" i="1"/>
  <c r="Y377" i="1"/>
  <c r="X377" i="1"/>
  <c r="Z376" i="1"/>
  <c r="Y376" i="1"/>
  <c r="X376" i="1"/>
  <c r="Z375" i="1"/>
  <c r="Y375" i="1"/>
  <c r="X375" i="1"/>
  <c r="Z374" i="1"/>
  <c r="Y374" i="1"/>
  <c r="X374" i="1"/>
  <c r="Z373" i="1"/>
  <c r="Y373" i="1"/>
  <c r="X373" i="1"/>
  <c r="Z372" i="1"/>
  <c r="Y372" i="1"/>
  <c r="X372" i="1"/>
  <c r="Z371" i="1"/>
  <c r="Y371" i="1"/>
  <c r="X371" i="1"/>
  <c r="Z370" i="1"/>
  <c r="Y370" i="1"/>
  <c r="X370" i="1"/>
  <c r="Z369" i="1"/>
  <c r="Y369" i="1"/>
  <c r="X369" i="1"/>
  <c r="Z368" i="1"/>
  <c r="Y368" i="1"/>
  <c r="X368" i="1"/>
  <c r="Z367" i="1"/>
  <c r="Y367" i="1"/>
  <c r="X367" i="1"/>
  <c r="Z366" i="1"/>
  <c r="Y366" i="1"/>
  <c r="X366" i="1"/>
  <c r="Z365" i="1"/>
  <c r="Y365" i="1"/>
  <c r="X365" i="1"/>
  <c r="Z364" i="1"/>
  <c r="Y364" i="1"/>
  <c r="X364" i="1"/>
  <c r="Z363" i="1"/>
  <c r="Y363" i="1"/>
  <c r="X363" i="1"/>
  <c r="Z362" i="1"/>
  <c r="Y362" i="1"/>
  <c r="X362" i="1"/>
  <c r="Z361" i="1"/>
  <c r="Y361" i="1"/>
  <c r="X361" i="1"/>
  <c r="Z360" i="1"/>
  <c r="Y360" i="1"/>
  <c r="X360" i="1"/>
  <c r="Z359" i="1"/>
  <c r="Y359" i="1"/>
  <c r="X359" i="1"/>
  <c r="Z358" i="1"/>
  <c r="Y358" i="1"/>
  <c r="X358" i="1"/>
  <c r="Z357" i="1"/>
  <c r="Y357" i="1"/>
  <c r="X357" i="1"/>
  <c r="Z356" i="1"/>
  <c r="Y356" i="1"/>
  <c r="X356" i="1"/>
  <c r="Z355" i="1"/>
  <c r="Y355" i="1"/>
  <c r="X355" i="1"/>
  <c r="Z354" i="1"/>
  <c r="Y354" i="1"/>
  <c r="X354" i="1"/>
  <c r="EA13" i="19"/>
  <c r="EB13" i="19"/>
  <c r="EC13" i="19"/>
  <c r="ED13" i="19"/>
  <c r="CD4" i="19"/>
  <c r="BW11" i="19"/>
  <c r="BW718" i="19" s="1" a="1"/>
  <c r="BW718" i="19" s="1"/>
  <c r="BY11" i="19"/>
  <c r="BY453" i="19" s="1" a="1"/>
  <c r="BY453" i="19" s="1"/>
  <c r="G605" i="1"/>
  <c r="G606" i="1"/>
  <c r="A671" i="1"/>
  <c r="A669" i="1"/>
  <c r="A668" i="1"/>
  <c r="A658" i="1"/>
  <c r="A649" i="1"/>
  <c r="H168" i="9"/>
  <c r="O37" i="9"/>
  <c r="Q37" i="9" s="1"/>
  <c r="H38" i="9"/>
  <c r="H44" i="9"/>
  <c r="H42" i="9"/>
  <c r="H40" i="9"/>
  <c r="H39" i="9"/>
  <c r="H32" i="9"/>
  <c r="O45" i="9"/>
  <c r="Q45" i="9" s="1"/>
  <c r="Q44" i="9"/>
  <c r="Q42" i="9"/>
  <c r="Q40" i="9"/>
  <c r="Q39" i="9"/>
  <c r="Q38" i="9"/>
  <c r="I13" i="9"/>
  <c r="D257" i="24" s="1"/>
  <c r="BF4" i="19"/>
  <c r="AB4" i="19"/>
  <c r="AZ4" i="19"/>
  <c r="V4" i="19"/>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R420" i="1"/>
  <c r="Q420" i="1"/>
  <c r="R419" i="1"/>
  <c r="Q419" i="1"/>
  <c r="R418" i="1"/>
  <c r="Q418" i="1"/>
  <c r="R417" i="1"/>
  <c r="Q417" i="1"/>
  <c r="R416" i="1"/>
  <c r="Q416" i="1"/>
  <c r="R415" i="1"/>
  <c r="Q415" i="1"/>
  <c r="R414" i="1"/>
  <c r="Q414" i="1"/>
  <c r="R413" i="1"/>
  <c r="Q413" i="1"/>
  <c r="R412" i="1"/>
  <c r="Q412" i="1"/>
  <c r="R411" i="1"/>
  <c r="Q411" i="1"/>
  <c r="R410" i="1"/>
  <c r="Q410" i="1"/>
  <c r="R409" i="1"/>
  <c r="Q409" i="1"/>
  <c r="R408" i="1"/>
  <c r="Q408" i="1"/>
  <c r="R407" i="1"/>
  <c r="Q407" i="1"/>
  <c r="R406" i="1"/>
  <c r="Q406" i="1"/>
  <c r="R405" i="1"/>
  <c r="Q405" i="1"/>
  <c r="R404" i="1"/>
  <c r="Q404" i="1"/>
  <c r="R403" i="1"/>
  <c r="Q403" i="1"/>
  <c r="R402" i="1"/>
  <c r="Q402" i="1"/>
  <c r="R401" i="1"/>
  <c r="Q401" i="1"/>
  <c r="R400" i="1"/>
  <c r="Q400" i="1"/>
  <c r="R399" i="1"/>
  <c r="Q399" i="1"/>
  <c r="R398" i="1"/>
  <c r="Q398" i="1"/>
  <c r="R397" i="1"/>
  <c r="Q397" i="1"/>
  <c r="R396" i="1"/>
  <c r="Q396" i="1"/>
  <c r="R395" i="1"/>
  <c r="Q395" i="1"/>
  <c r="R394" i="1"/>
  <c r="Q394" i="1"/>
  <c r="R393" i="1"/>
  <c r="Q393" i="1"/>
  <c r="R392" i="1"/>
  <c r="Q392" i="1"/>
  <c r="R391" i="1"/>
  <c r="Q391" i="1"/>
  <c r="R390" i="1"/>
  <c r="Q390" i="1"/>
  <c r="R389" i="1"/>
  <c r="Q389" i="1"/>
  <c r="R388" i="1"/>
  <c r="Q388" i="1"/>
  <c r="R387" i="1"/>
  <c r="Q387" i="1"/>
  <c r="R386" i="1"/>
  <c r="Q386" i="1"/>
  <c r="R385" i="1"/>
  <c r="Q385" i="1"/>
  <c r="R384" i="1"/>
  <c r="Q384" i="1"/>
  <c r="R383" i="1"/>
  <c r="Q383" i="1"/>
  <c r="R382" i="1"/>
  <c r="Q382" i="1"/>
  <c r="R381" i="1"/>
  <c r="Q381" i="1"/>
  <c r="R380" i="1"/>
  <c r="Q380" i="1"/>
  <c r="R379" i="1"/>
  <c r="Q379" i="1"/>
  <c r="R378" i="1"/>
  <c r="Q378" i="1"/>
  <c r="R377" i="1"/>
  <c r="Q377" i="1"/>
  <c r="R376" i="1"/>
  <c r="Q376" i="1"/>
  <c r="R375" i="1"/>
  <c r="Q375" i="1"/>
  <c r="R374" i="1"/>
  <c r="Q374" i="1"/>
  <c r="R373" i="1"/>
  <c r="Q373" i="1"/>
  <c r="R372" i="1"/>
  <c r="Q372" i="1"/>
  <c r="R371" i="1"/>
  <c r="Q371" i="1"/>
  <c r="R370" i="1"/>
  <c r="Q370" i="1"/>
  <c r="R369" i="1"/>
  <c r="Q369" i="1"/>
  <c r="R368" i="1"/>
  <c r="Q368" i="1"/>
  <c r="R367" i="1"/>
  <c r="Q367" i="1"/>
  <c r="R366" i="1"/>
  <c r="Q366" i="1"/>
  <c r="R365" i="1"/>
  <c r="Q365" i="1"/>
  <c r="R364" i="1"/>
  <c r="Q364" i="1"/>
  <c r="R363" i="1"/>
  <c r="Q363" i="1"/>
  <c r="R362" i="1"/>
  <c r="Q362" i="1"/>
  <c r="R361" i="1"/>
  <c r="Q361" i="1"/>
  <c r="R360" i="1"/>
  <c r="Q360" i="1"/>
  <c r="R359" i="1"/>
  <c r="Q359" i="1"/>
  <c r="R358" i="1"/>
  <c r="Q358" i="1"/>
  <c r="R357" i="1"/>
  <c r="Q357" i="1"/>
  <c r="R356" i="1"/>
  <c r="Q356" i="1"/>
  <c r="R355" i="1"/>
  <c r="Q355" i="1"/>
  <c r="R354" i="1"/>
  <c r="Q354" i="1"/>
  <c r="W420" i="1"/>
  <c r="V420" i="1"/>
  <c r="U420" i="1"/>
  <c r="T420" i="1"/>
  <c r="W419" i="1"/>
  <c r="V419" i="1"/>
  <c r="U419" i="1"/>
  <c r="T419" i="1"/>
  <c r="W418" i="1"/>
  <c r="V418" i="1"/>
  <c r="U418" i="1"/>
  <c r="T418" i="1"/>
  <c r="W417" i="1"/>
  <c r="V417" i="1"/>
  <c r="U417" i="1"/>
  <c r="T417" i="1"/>
  <c r="W416" i="1"/>
  <c r="V416" i="1"/>
  <c r="U416" i="1"/>
  <c r="T416" i="1"/>
  <c r="W415" i="1"/>
  <c r="V415" i="1"/>
  <c r="U415" i="1"/>
  <c r="T415" i="1"/>
  <c r="W414" i="1"/>
  <c r="V414" i="1"/>
  <c r="U414" i="1"/>
  <c r="T414" i="1"/>
  <c r="W413" i="1"/>
  <c r="V413" i="1"/>
  <c r="U413" i="1"/>
  <c r="T413" i="1"/>
  <c r="W412" i="1"/>
  <c r="V412" i="1"/>
  <c r="U412" i="1"/>
  <c r="T412" i="1"/>
  <c r="W411" i="1"/>
  <c r="V411" i="1"/>
  <c r="U411" i="1"/>
  <c r="T411" i="1"/>
  <c r="W410" i="1"/>
  <c r="V410" i="1"/>
  <c r="U410" i="1"/>
  <c r="T410" i="1"/>
  <c r="W409" i="1"/>
  <c r="V409" i="1"/>
  <c r="U409" i="1"/>
  <c r="T409" i="1"/>
  <c r="W408" i="1"/>
  <c r="V408" i="1"/>
  <c r="U408" i="1"/>
  <c r="T408" i="1"/>
  <c r="W407" i="1"/>
  <c r="V407" i="1"/>
  <c r="U407" i="1"/>
  <c r="T407" i="1"/>
  <c r="W406" i="1"/>
  <c r="V406" i="1"/>
  <c r="U406" i="1"/>
  <c r="T406" i="1"/>
  <c r="W405" i="1"/>
  <c r="V405" i="1"/>
  <c r="U405" i="1"/>
  <c r="T405" i="1"/>
  <c r="W404" i="1"/>
  <c r="V404" i="1"/>
  <c r="U404" i="1"/>
  <c r="T404" i="1"/>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W378" i="1"/>
  <c r="V378" i="1"/>
  <c r="U378" i="1"/>
  <c r="T378" i="1"/>
  <c r="W377" i="1"/>
  <c r="V377" i="1"/>
  <c r="U377" i="1"/>
  <c r="T377" i="1"/>
  <c r="W376" i="1"/>
  <c r="V376" i="1"/>
  <c r="U376" i="1"/>
  <c r="T376" i="1"/>
  <c r="W375" i="1"/>
  <c r="V375" i="1"/>
  <c r="U375" i="1"/>
  <c r="T375" i="1"/>
  <c r="W374" i="1"/>
  <c r="V374" i="1"/>
  <c r="U374" i="1"/>
  <c r="T374" i="1"/>
  <c r="W373" i="1"/>
  <c r="V373" i="1"/>
  <c r="U373" i="1"/>
  <c r="T373" i="1"/>
  <c r="W372" i="1"/>
  <c r="V372" i="1"/>
  <c r="U372" i="1"/>
  <c r="T372" i="1"/>
  <c r="W371" i="1"/>
  <c r="V371" i="1"/>
  <c r="U371" i="1"/>
  <c r="T371" i="1"/>
  <c r="W370" i="1"/>
  <c r="V370" i="1"/>
  <c r="U370" i="1"/>
  <c r="T370" i="1"/>
  <c r="W369" i="1"/>
  <c r="V369" i="1"/>
  <c r="U369" i="1"/>
  <c r="T369" i="1"/>
  <c r="W368" i="1"/>
  <c r="V368" i="1"/>
  <c r="U368" i="1"/>
  <c r="T368" i="1"/>
  <c r="W367" i="1"/>
  <c r="V367" i="1"/>
  <c r="U367" i="1"/>
  <c r="T367" i="1"/>
  <c r="W366" i="1"/>
  <c r="V366" i="1"/>
  <c r="U366" i="1"/>
  <c r="T366" i="1"/>
  <c r="W365" i="1"/>
  <c r="V365" i="1"/>
  <c r="U365" i="1"/>
  <c r="T365" i="1"/>
  <c r="W364" i="1"/>
  <c r="V364" i="1"/>
  <c r="U364" i="1"/>
  <c r="T364" i="1"/>
  <c r="W363" i="1"/>
  <c r="V363" i="1"/>
  <c r="U363" i="1"/>
  <c r="T363" i="1"/>
  <c r="W362" i="1"/>
  <c r="V362" i="1"/>
  <c r="U362" i="1"/>
  <c r="T362" i="1"/>
  <c r="W361" i="1"/>
  <c r="V361" i="1"/>
  <c r="U361" i="1"/>
  <c r="T361" i="1"/>
  <c r="W360" i="1"/>
  <c r="V360" i="1"/>
  <c r="U360" i="1"/>
  <c r="T360" i="1"/>
  <c r="W359" i="1"/>
  <c r="V359" i="1"/>
  <c r="U359" i="1"/>
  <c r="T359" i="1"/>
  <c r="W358" i="1"/>
  <c r="V358" i="1"/>
  <c r="U358" i="1"/>
  <c r="T358" i="1"/>
  <c r="W357" i="1"/>
  <c r="V357" i="1"/>
  <c r="U357" i="1"/>
  <c r="T357" i="1"/>
  <c r="W356" i="1"/>
  <c r="V356" i="1"/>
  <c r="U356" i="1"/>
  <c r="T356" i="1"/>
  <c r="W355" i="1"/>
  <c r="V355" i="1"/>
  <c r="U355" i="1"/>
  <c r="T355" i="1"/>
  <c r="W354" i="1"/>
  <c r="V354" i="1"/>
  <c r="U354" i="1"/>
  <c r="T354" i="1"/>
  <c r="C47" i="1"/>
  <c r="P68" i="26"/>
  <c r="P129" i="26"/>
  <c r="P180" i="26"/>
  <c r="P234" i="26"/>
  <c r="P282" i="26"/>
  <c r="P344" i="26"/>
  <c r="P382" i="26"/>
  <c r="P2" i="26"/>
  <c r="H242" i="9"/>
  <c r="I246" i="9" s="1"/>
  <c r="H207" i="9"/>
  <c r="I211" i="9" s="1"/>
  <c r="L201" i="9"/>
  <c r="G214" i="24" s="1"/>
  <c r="H214" i="24" s="1"/>
  <c r="L133" i="9"/>
  <c r="G213" i="24" s="1"/>
  <c r="H213" i="24" s="1"/>
  <c r="H97" i="26"/>
  <c r="I270" i="1" s="1"/>
  <c r="I127" i="3"/>
  <c r="B462" i="9"/>
  <c r="B453" i="9"/>
  <c r="A449" i="9" a="1"/>
  <c r="A449" i="9" s="1"/>
  <c r="B19" i="16"/>
  <c r="B15" i="18"/>
  <c r="I15" i="18" s="1"/>
  <c r="C524" i="9"/>
  <c r="C514" i="9"/>
  <c r="C510" i="9"/>
  <c r="C501" i="9"/>
  <c r="B20" i="16"/>
  <c r="L107" i="9"/>
  <c r="M107" i="9" s="1"/>
  <c r="N226" i="9"/>
  <c r="B522" i="9"/>
  <c r="B520" i="9"/>
  <c r="B518" i="9"/>
  <c r="B516" i="9"/>
  <c r="B512" i="9"/>
  <c r="B508" i="9"/>
  <c r="B496" i="9"/>
  <c r="B499" i="9"/>
  <c r="B439" i="9"/>
  <c r="B431" i="9"/>
  <c r="B266" i="9"/>
  <c r="N231" i="9"/>
  <c r="N184" i="9"/>
  <c r="B503" i="9"/>
  <c r="L175" i="9"/>
  <c r="N175" i="9" s="1"/>
  <c r="D230" i="9"/>
  <c r="D130" i="24"/>
  <c r="D148" i="24"/>
  <c r="D147" i="24"/>
  <c r="H215" i="9"/>
  <c r="N183" i="9"/>
  <c r="N181" i="9"/>
  <c r="N230" i="9"/>
  <c r="M183" i="9"/>
  <c r="B3" i="18"/>
  <c r="L774" i="1"/>
  <c r="K774" i="1"/>
  <c r="J774" i="1"/>
  <c r="B261" i="1"/>
  <c r="C63" i="3"/>
  <c r="F255" i="1"/>
  <c r="F257" i="1"/>
  <c r="B255" i="1"/>
  <c r="G229" i="1"/>
  <c r="P229" i="1"/>
  <c r="R229" i="1" s="1"/>
  <c r="F225" i="1"/>
  <c r="B257" i="1"/>
  <c r="G214" i="1"/>
  <c r="O78" i="3"/>
  <c r="L78" i="3"/>
  <c r="M78" i="3" s="1"/>
  <c r="O80" i="3"/>
  <c r="L80" i="3"/>
  <c r="L66" i="3"/>
  <c r="F289" i="1"/>
  <c r="C66" i="3"/>
  <c r="F280" i="1"/>
  <c r="F234" i="1"/>
  <c r="D235" i="1"/>
  <c r="H345" i="1" a="1"/>
  <c r="H345" i="1" s="1"/>
  <c r="F248" i="1"/>
  <c r="A224" i="1"/>
  <c r="B225" i="1"/>
  <c r="B214" i="1"/>
  <c r="B229" i="1"/>
  <c r="A256" i="1"/>
  <c r="A242" i="1"/>
  <c r="A241" i="1"/>
  <c r="B222" i="1"/>
  <c r="A1" i="2"/>
  <c r="B220" i="1"/>
  <c r="D237" i="1"/>
  <c r="D236" i="1"/>
  <c r="B235" i="1"/>
  <c r="B221" i="1"/>
  <c r="H196" i="1"/>
  <c r="H195" i="1"/>
  <c r="E292" i="1"/>
  <c r="G291" i="1"/>
  <c r="G290" i="1"/>
  <c r="G289" i="1"/>
  <c r="L294" i="24"/>
  <c r="L290" i="24" s="1"/>
  <c r="H286" i="9"/>
  <c r="H207" i="1"/>
  <c r="G93" i="3"/>
  <c r="B215" i="1"/>
  <c r="B223" i="1"/>
  <c r="B216" i="1"/>
  <c r="B207" i="1"/>
  <c r="C59" i="3" s="1"/>
  <c r="K97" i="26"/>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1" i="1"/>
  <c r="N390" i="1"/>
  <c r="N389" i="1"/>
  <c r="N388" i="1"/>
  <c r="N387" i="1"/>
  <c r="N386" i="1"/>
  <c r="N385" i="1"/>
  <c r="N384" i="1"/>
  <c r="N382" i="1"/>
  <c r="N381" i="1"/>
  <c r="N380" i="1"/>
  <c r="N379" i="1"/>
  <c r="N377" i="1"/>
  <c r="N376" i="1"/>
  <c r="N375" i="1"/>
  <c r="N374" i="1"/>
  <c r="N373" i="1"/>
  <c r="N372" i="1"/>
  <c r="N370" i="1"/>
  <c r="N369" i="1"/>
  <c r="N368" i="1"/>
  <c r="N367" i="1"/>
  <c r="N366" i="1"/>
  <c r="N365" i="1"/>
  <c r="N364" i="1"/>
  <c r="N363" i="1"/>
  <c r="N362" i="1"/>
  <c r="N361" i="1"/>
  <c r="N360" i="1"/>
  <c r="N359" i="1"/>
  <c r="N358" i="1"/>
  <c r="N357" i="1"/>
  <c r="N356" i="1"/>
  <c r="N355" i="1"/>
  <c r="N354" i="1"/>
  <c r="N392" i="1"/>
  <c r="H287" i="9"/>
  <c r="F754" i="1"/>
  <c r="F751" i="1"/>
  <c r="B491" i="1"/>
  <c r="B489" i="1"/>
  <c r="B77" i="3"/>
  <c r="F185" i="1"/>
  <c r="M15" i="7"/>
  <c r="L15" i="7"/>
  <c r="N15" i="7" s="1"/>
  <c r="I87" i="14"/>
  <c r="F100" i="3"/>
  <c r="C313" i="1" s="1"/>
  <c r="C312" i="1" s="1"/>
  <c r="O123" i="2"/>
  <c r="H68" i="14"/>
  <c r="K288" i="2"/>
  <c r="A54" i="2"/>
  <c r="M288" i="2"/>
  <c r="L288" i="2"/>
  <c r="I81" i="14"/>
  <c r="DX99" i="19"/>
  <c r="DX100" i="19"/>
  <c r="DX101" i="19"/>
  <c r="DX102" i="19"/>
  <c r="DX103" i="19"/>
  <c r="DX104" i="19"/>
  <c r="DX105" i="19"/>
  <c r="DX106" i="19"/>
  <c r="DX107" i="19"/>
  <c r="DX108" i="19"/>
  <c r="DX109" i="19"/>
  <c r="DX110" i="19"/>
  <c r="DX111" i="19"/>
  <c r="DX112" i="19"/>
  <c r="DX113" i="19"/>
  <c r="DX114" i="19"/>
  <c r="DX115" i="19"/>
  <c r="DX116" i="19"/>
  <c r="F224" i="2"/>
  <c r="DX98" i="19"/>
  <c r="DX97" i="19"/>
  <c r="DX96" i="19"/>
  <c r="DX95" i="19"/>
  <c r="DX94" i="19"/>
  <c r="EC94" i="19"/>
  <c r="G100" i="3"/>
  <c r="D313" i="1" s="1"/>
  <c r="D312" i="1" s="1"/>
  <c r="E92" i="3"/>
  <c r="EC75" i="19"/>
  <c r="EA78" i="19"/>
  <c r="EB78" i="19"/>
  <c r="EC78" i="19"/>
  <c r="ED78" i="19"/>
  <c r="N196" i="5"/>
  <c r="C197" i="5" s="1"/>
  <c r="B4" i="18"/>
  <c r="F617" i="1"/>
  <c r="C631" i="1"/>
  <c r="C628" i="1"/>
  <c r="A631" i="1"/>
  <c r="A628" i="1"/>
  <c r="N200" i="5"/>
  <c r="O200" i="5" s="1"/>
  <c r="B548" i="1"/>
  <c r="M56" i="2"/>
  <c r="L56" i="2"/>
  <c r="N486" i="9"/>
  <c r="M486" i="9"/>
  <c r="A616" i="1"/>
  <c r="C634" i="1"/>
  <c r="A634" i="1"/>
  <c r="C334" i="26"/>
  <c r="C340" i="26"/>
  <c r="A10" i="38"/>
  <c r="A11" i="38"/>
  <c r="D812" i="1"/>
  <c r="D811" i="1"/>
  <c r="D810" i="1"/>
  <c r="C532" i="1"/>
  <c r="C201" i="1"/>
  <c r="V680" i="1"/>
  <c r="V678" i="1"/>
  <c r="V677" i="1"/>
  <c r="B516" i="1"/>
  <c r="A347" i="1"/>
  <c r="Q261" i="1"/>
  <c r="R261" i="1" s="1"/>
  <c r="G261" i="1"/>
  <c r="R214" i="1"/>
  <c r="T214" i="1" s="1"/>
  <c r="H101" i="14"/>
  <c r="C639" i="1"/>
  <c r="C803" i="1"/>
  <c r="C802" i="1"/>
  <c r="C801" i="1"/>
  <c r="C800" i="1"/>
  <c r="C799" i="1"/>
  <c r="C798" i="1"/>
  <c r="C797" i="1"/>
  <c r="C796" i="1"/>
  <c r="C795" i="1"/>
  <c r="H100" i="14"/>
  <c r="B490" i="1" s="1"/>
  <c r="L87" i="14"/>
  <c r="N87" i="14" s="1"/>
  <c r="N85" i="14"/>
  <c r="M85" i="14"/>
  <c r="I447" i="9"/>
  <c r="J321" i="24" s="1"/>
  <c r="B266" i="1"/>
  <c r="F107" i="3"/>
  <c r="D91" i="3"/>
  <c r="C82" i="3"/>
  <c r="C200" i="1"/>
  <c r="C199" i="1"/>
  <c r="I29" i="14"/>
  <c r="I28" i="14"/>
  <c r="I302" i="26"/>
  <c r="G301" i="26"/>
  <c r="I301" i="26" s="1"/>
  <c r="G300" i="26"/>
  <c r="I300" i="26" s="1"/>
  <c r="G299" i="26"/>
  <c r="I299" i="26" s="1"/>
  <c r="G298" i="26"/>
  <c r="I298" i="26" s="1"/>
  <c r="H297" i="26"/>
  <c r="G297" i="26"/>
  <c r="I297" i="26" s="1"/>
  <c r="K293" i="26"/>
  <c r="L382" i="9"/>
  <c r="E383" i="9" s="1"/>
  <c r="Q117" i="26"/>
  <c r="I3" i="4"/>
  <c r="H289" i="9"/>
  <c r="L262" i="9"/>
  <c r="N262" i="9" s="1"/>
  <c r="L256" i="9"/>
  <c r="M256" i="9" s="1"/>
  <c r="L255" i="9"/>
  <c r="M255" i="9" s="1"/>
  <c r="L254" i="9"/>
  <c r="N254" i="9" s="1"/>
  <c r="L253" i="9"/>
  <c r="M253" i="9" s="1"/>
  <c r="L252" i="9"/>
  <c r="M252" i="9" s="1"/>
  <c r="L244" i="9"/>
  <c r="L85" i="9"/>
  <c r="N85" i="9" s="1"/>
  <c r="L65" i="9"/>
  <c r="H3" i="4"/>
  <c r="I303" i="26"/>
  <c r="D74" i="9"/>
  <c r="A625" i="1"/>
  <c r="F184" i="1"/>
  <c r="E277" i="2" s="1"/>
  <c r="Q103" i="9"/>
  <c r="Q102" i="9"/>
  <c r="C256" i="24"/>
  <c r="C257" i="24"/>
  <c r="C255" i="24"/>
  <c r="C253" i="24" a="1"/>
  <c r="C253" i="24" s="1"/>
  <c r="C252" i="24"/>
  <c r="O518" i="9"/>
  <c r="O512" i="9"/>
  <c r="O499" i="9"/>
  <c r="G256" i="9"/>
  <c r="H256" i="9" s="1"/>
  <c r="G255" i="9"/>
  <c r="H255" i="9" s="1"/>
  <c r="G254" i="9"/>
  <c r="H254" i="9" s="1"/>
  <c r="G253" i="9"/>
  <c r="H253" i="9" s="1"/>
  <c r="G252" i="9"/>
  <c r="H252" i="9" s="1"/>
  <c r="N256" i="9"/>
  <c r="G258" i="9"/>
  <c r="H257" i="9"/>
  <c r="G257" i="9"/>
  <c r="H249" i="9"/>
  <c r="H199" i="24"/>
  <c r="L97" i="9"/>
  <c r="M97" i="9" s="1"/>
  <c r="G91" i="9"/>
  <c r="H90" i="9"/>
  <c r="G90" i="9"/>
  <c r="G89" i="9"/>
  <c r="H89" i="9" s="1"/>
  <c r="G88" i="9"/>
  <c r="H88" i="9" s="1"/>
  <c r="G87" i="9"/>
  <c r="H87" i="9" s="1"/>
  <c r="G86" i="9"/>
  <c r="H86" i="9" s="1"/>
  <c r="G85" i="9"/>
  <c r="H85" i="9" s="1"/>
  <c r="O77" i="9"/>
  <c r="Q77" i="9" s="1"/>
  <c r="Q76" i="9"/>
  <c r="Q75" i="9"/>
  <c r="G212" i="24"/>
  <c r="H212" i="24" s="1"/>
  <c r="O522" i="9"/>
  <c r="H106" i="26"/>
  <c r="H193" i="1" a="1"/>
  <c r="H193" i="1" s="1"/>
  <c r="B240" i="1"/>
  <c r="B241" i="1" s="1"/>
  <c r="E30" i="9"/>
  <c r="E24" i="9"/>
  <c r="E26" i="9"/>
  <c r="O27" i="9"/>
  <c r="Q27" i="9" s="1"/>
  <c r="Q26" i="9"/>
  <c r="E22" i="9"/>
  <c r="D47" i="18"/>
  <c r="O25" i="18"/>
  <c r="I17" i="18"/>
  <c r="H19" i="18"/>
  <c r="B781" i="1"/>
  <c r="B32" i="18" s="1"/>
  <c r="I14" i="18"/>
  <c r="I13" i="18"/>
  <c r="AE457" i="1"/>
  <c r="AE456" i="1"/>
  <c r="AE455" i="1"/>
  <c r="AE454" i="1"/>
  <c r="AE453" i="1"/>
  <c r="AE452" i="1"/>
  <c r="AD457" i="1"/>
  <c r="AD456" i="1"/>
  <c r="AD455" i="1"/>
  <c r="AD454" i="1"/>
  <c r="AD453" i="1"/>
  <c r="AD452" i="1"/>
  <c r="W451" i="1"/>
  <c r="P451" i="1"/>
  <c r="P455" i="1" s="1"/>
  <c r="H99" i="14"/>
  <c r="F19" i="14"/>
  <c r="L182" i="1"/>
  <c r="Q181" i="1"/>
  <c r="Q180" i="1"/>
  <c r="A180" i="1"/>
  <c r="M111" i="2"/>
  <c r="K130" i="2"/>
  <c r="M130" i="2" s="1"/>
  <c r="K129" i="2"/>
  <c r="M129" i="2" s="1"/>
  <c r="K124" i="2"/>
  <c r="L124" i="2" s="1"/>
  <c r="K125" i="2"/>
  <c r="L125" i="2" s="1"/>
  <c r="P35" i="5"/>
  <c r="I460" i="9"/>
  <c r="I459" i="9"/>
  <c r="I458" i="9"/>
  <c r="I457" i="9"/>
  <c r="I456" i="9"/>
  <c r="D342" i="1"/>
  <c r="D347" i="1" s="1"/>
  <c r="I61" i="3"/>
  <c r="B79" i="3"/>
  <c r="H190" i="1" a="1"/>
  <c r="H190" i="1" s="1"/>
  <c r="G763" i="1"/>
  <c r="L332" i="9"/>
  <c r="L337" i="9"/>
  <c r="M337" i="9" s="1"/>
  <c r="L324" i="9"/>
  <c r="M324" i="9" s="1"/>
  <c r="L319" i="9"/>
  <c r="N319" i="9" s="1"/>
  <c r="L312" i="9"/>
  <c r="N312" i="9" s="1"/>
  <c r="L316" i="9"/>
  <c r="D315" i="9" s="1"/>
  <c r="G20" i="36"/>
  <c r="H19" i="36"/>
  <c r="I16" i="36"/>
  <c r="B744" i="1"/>
  <c r="G319" i="9" s="1"/>
  <c r="B476" i="9"/>
  <c r="B479" i="9" s="1"/>
  <c r="B485" i="9" s="1"/>
  <c r="L346" i="9"/>
  <c r="L348" i="9" s="1"/>
  <c r="M348" i="9" s="1"/>
  <c r="L374" i="9"/>
  <c r="M374" i="9" s="1"/>
  <c r="L370" i="9"/>
  <c r="L367" i="9"/>
  <c r="M367" i="9" s="1"/>
  <c r="L364" i="9"/>
  <c r="N364" i="9" s="1"/>
  <c r="L355" i="9"/>
  <c r="B782" i="1"/>
  <c r="B38" i="18" s="1"/>
  <c r="A840" i="1"/>
  <c r="D220" i="1"/>
  <c r="D221" i="1"/>
  <c r="D223" i="1"/>
  <c r="D222" i="1"/>
  <c r="B224" i="1"/>
  <c r="I74" i="14"/>
  <c r="F72" i="14" s="1" a="1"/>
  <c r="F72" i="14" s="1"/>
  <c r="N228" i="9"/>
  <c r="A520" i="1"/>
  <c r="L72" i="14"/>
  <c r="L55" i="14"/>
  <c r="N55" i="14" s="1"/>
  <c r="B515" i="1"/>
  <c r="F516" i="1"/>
  <c r="A517" i="1"/>
  <c r="F517" i="1"/>
  <c r="F519" i="1"/>
  <c r="F515" i="1"/>
  <c r="F509" i="1"/>
  <c r="F508" i="1"/>
  <c r="F507" i="1"/>
  <c r="F506" i="1"/>
  <c r="F505" i="1"/>
  <c r="F504" i="1"/>
  <c r="F503" i="1"/>
  <c r="F502" i="1"/>
  <c r="F501" i="1"/>
  <c r="F500" i="1"/>
  <c r="F499" i="1"/>
  <c r="F498" i="1"/>
  <c r="F497" i="1"/>
  <c r="F496" i="1"/>
  <c r="F495" i="1"/>
  <c r="F494" i="1"/>
  <c r="C509" i="1"/>
  <c r="C508" i="1"/>
  <c r="C507" i="1"/>
  <c r="C506" i="1"/>
  <c r="C505" i="1"/>
  <c r="C504" i="1"/>
  <c r="C503" i="1"/>
  <c r="C502" i="1"/>
  <c r="C501" i="1"/>
  <c r="C500" i="1"/>
  <c r="C499" i="1"/>
  <c r="C498" i="1"/>
  <c r="C497" i="1"/>
  <c r="C496" i="1"/>
  <c r="C495" i="1"/>
  <c r="C494" i="1"/>
  <c r="C296" i="1"/>
  <c r="C295" i="1"/>
  <c r="C294" i="1"/>
  <c r="C293" i="1"/>
  <c r="C292" i="1"/>
  <c r="C291" i="1"/>
  <c r="B4" i="14"/>
  <c r="B14" i="14" s="1"/>
  <c r="L81" i="14"/>
  <c r="N81" i="14" s="1"/>
  <c r="B483" i="1"/>
  <c r="D483" i="1" s="1"/>
  <c r="B480" i="1"/>
  <c r="D480" i="1" s="1"/>
  <c r="B482" i="1"/>
  <c r="D482" i="1" s="1"/>
  <c r="B481" i="1"/>
  <c r="C481" i="1" s="1"/>
  <c r="E481" i="1" s="1"/>
  <c r="B487" i="1"/>
  <c r="B486" i="1"/>
  <c r="I24" i="14" s="1"/>
  <c r="I19" i="14"/>
  <c r="C449" i="1"/>
  <c r="C448" i="1"/>
  <c r="M11" i="14"/>
  <c r="M7" i="14"/>
  <c r="N79" i="14"/>
  <c r="N11" i="14"/>
  <c r="N7" i="14"/>
  <c r="H453" i="1"/>
  <c r="I48" i="14"/>
  <c r="K117" i="2"/>
  <c r="K118" i="2" s="1"/>
  <c r="B100" i="1"/>
  <c r="M102" i="1" a="1"/>
  <c r="M102" i="1" s="1"/>
  <c r="O169" i="2" s="1"/>
  <c r="L102" i="1" a="1"/>
  <c r="L102" i="1" s="1"/>
  <c r="O159" i="2" s="1"/>
  <c r="B179" i="1"/>
  <c r="H180" i="1" s="1"/>
  <c r="G180" i="1" s="1" a="1"/>
  <c r="G180" i="1" s="1"/>
  <c r="K195" i="2"/>
  <c r="B173" i="1"/>
  <c r="C30" i="1"/>
  <c r="C31" i="1"/>
  <c r="C32" i="1"/>
  <c r="C33" i="1"/>
  <c r="O294" i="9"/>
  <c r="Q294" i="9" s="1"/>
  <c r="O293" i="9"/>
  <c r="Q293" i="9" s="1"/>
  <c r="B356" i="1"/>
  <c r="B371" i="1"/>
  <c r="A103" i="1"/>
  <c r="A99" i="1"/>
  <c r="A96" i="1"/>
  <c r="M201" i="2"/>
  <c r="K205" i="2" s="1"/>
  <c r="C158" i="1"/>
  <c r="C127" i="1"/>
  <c r="L408" i="9"/>
  <c r="N408" i="9" s="1"/>
  <c r="L407" i="9"/>
  <c r="M407" i="9" s="1"/>
  <c r="I531" i="9"/>
  <c r="C532" i="9" s="1"/>
  <c r="L119" i="5"/>
  <c r="N148" i="5"/>
  <c r="P148" i="5" s="1"/>
  <c r="B600" i="1"/>
  <c r="N154" i="5"/>
  <c r="P154" i="5" s="1"/>
  <c r="N153" i="5"/>
  <c r="O153" i="5" s="1"/>
  <c r="N149" i="5"/>
  <c r="O149" i="5" s="1"/>
  <c r="B601" i="1"/>
  <c r="F692" i="1"/>
  <c r="G692" i="1" s="1"/>
  <c r="F691" i="1"/>
  <c r="G691" i="1" s="1"/>
  <c r="F690" i="1"/>
  <c r="F689" i="1"/>
  <c r="G689" i="1" s="1"/>
  <c r="F686" i="1"/>
  <c r="G686" i="1" s="1"/>
  <c r="F684" i="1"/>
  <c r="G684" i="1" s="1"/>
  <c r="F679" i="1"/>
  <c r="F678" i="1"/>
  <c r="G678" i="1" s="1"/>
  <c r="F677" i="1"/>
  <c r="F676" i="1"/>
  <c r="G676" i="1" s="1"/>
  <c r="F675" i="1"/>
  <c r="F683" i="1"/>
  <c r="G683" i="1" s="1"/>
  <c r="B87" i="2"/>
  <c r="L90" i="2"/>
  <c r="M90" i="2"/>
  <c r="K92" i="2"/>
  <c r="M92" i="2" s="1"/>
  <c r="K112" i="2"/>
  <c r="M112" i="2" s="1"/>
  <c r="M25" i="36"/>
  <c r="M22" i="36"/>
  <c r="M16" i="36"/>
  <c r="M13" i="36"/>
  <c r="M12" i="36"/>
  <c r="M11" i="36"/>
  <c r="N11" i="36"/>
  <c r="M9" i="36"/>
  <c r="N9" i="36"/>
  <c r="M8" i="36"/>
  <c r="N8" i="36"/>
  <c r="M7" i="36"/>
  <c r="N7" i="36"/>
  <c r="K148" i="2"/>
  <c r="L148" i="2" s="1"/>
  <c r="K138" i="2"/>
  <c r="Q11" i="19"/>
  <c r="Q278" i="19" s="1" a="1"/>
  <c r="Q278" i="19" s="1"/>
  <c r="B603" i="1"/>
  <c r="M79" i="14"/>
  <c r="L107" i="3"/>
  <c r="N107" i="3" s="1"/>
  <c r="B116" i="3"/>
  <c r="N441" i="9"/>
  <c r="L460" i="9"/>
  <c r="N460" i="9" s="1"/>
  <c r="L459" i="9"/>
  <c r="L458" i="9"/>
  <c r="N458" i="9" s="1"/>
  <c r="L457" i="9"/>
  <c r="N457" i="9" s="1"/>
  <c r="L456" i="9"/>
  <c r="N456" i="9" s="1"/>
  <c r="I148" i="9"/>
  <c r="G121" i="9"/>
  <c r="H121" i="9" s="1"/>
  <c r="B3" i="8"/>
  <c r="N157" i="3"/>
  <c r="M157" i="3"/>
  <c r="A157" i="3" a="1"/>
  <c r="A157" i="3" s="1"/>
  <c r="K198" i="2"/>
  <c r="F198" i="2" s="1"/>
  <c r="L198" i="2" s="1"/>
  <c r="K196" i="2"/>
  <c r="M195" i="2"/>
  <c r="K194" i="2"/>
  <c r="L194" i="2" s="1"/>
  <c r="K193" i="2"/>
  <c r="L193" i="2" s="1"/>
  <c r="K192" i="2"/>
  <c r="L192" i="2" s="1"/>
  <c r="D110" i="2"/>
  <c r="G196" i="2"/>
  <c r="M196" i="2"/>
  <c r="M194" i="2"/>
  <c r="L195" i="2"/>
  <c r="L196" i="2"/>
  <c r="O29" i="9"/>
  <c r="Q29" i="9" s="1"/>
  <c r="B7" i="7"/>
  <c r="D85" i="2"/>
  <c r="L60" i="2"/>
  <c r="L84" i="2"/>
  <c r="M84" i="2"/>
  <c r="M60" i="2"/>
  <c r="M19" i="36"/>
  <c r="AS11" i="19"/>
  <c r="AS131" i="19" s="1" a="1"/>
  <c r="AS131" i="19" s="1"/>
  <c r="AU11" i="19"/>
  <c r="AU421" i="19" s="1" a="1"/>
  <c r="AU421" i="19" s="1"/>
  <c r="M3" i="36"/>
  <c r="A562" i="1"/>
  <c r="A561" i="1"/>
  <c r="V689" i="1"/>
  <c r="V688" i="1"/>
  <c r="V687" i="1"/>
  <c r="B155" i="3" a="1"/>
  <c r="B155" i="3" s="1"/>
  <c r="C150" i="2"/>
  <c r="C140" i="2"/>
  <c r="O31" i="9"/>
  <c r="Q31" i="9" s="1"/>
  <c r="O181" i="5"/>
  <c r="J326" i="24"/>
  <c r="J325" i="24"/>
  <c r="EC103" i="19"/>
  <c r="EC101" i="19"/>
  <c r="EC100" i="19"/>
  <c r="EB99" i="19"/>
  <c r="EC99" i="19" s="1"/>
  <c r="EC98" i="19"/>
  <c r="EC97" i="19"/>
  <c r="EC96" i="19"/>
  <c r="EC95" i="19"/>
  <c r="B354" i="1"/>
  <c r="C354" i="1" s="1"/>
  <c r="B358" i="1"/>
  <c r="EC102" i="19"/>
  <c r="N118" i="5"/>
  <c r="P118" i="5" s="1"/>
  <c r="N79" i="5"/>
  <c r="P79" i="5" s="1"/>
  <c r="N50" i="5"/>
  <c r="O37" i="5"/>
  <c r="A5" i="20"/>
  <c r="A6" i="20"/>
  <c r="A6" i="18"/>
  <c r="A4" i="18"/>
  <c r="A3" i="18"/>
  <c r="A45" i="18"/>
  <c r="A49" i="18"/>
  <c r="A47" i="18"/>
  <c r="N414" i="9"/>
  <c r="A7" i="20"/>
  <c r="L275" i="9"/>
  <c r="N275" i="9" s="1"/>
  <c r="L222" i="9"/>
  <c r="N222" i="9" s="1"/>
  <c r="L209" i="9"/>
  <c r="N209" i="9" s="1"/>
  <c r="L55" i="9"/>
  <c r="G211" i="24" s="1"/>
  <c r="H211" i="24" s="1"/>
  <c r="L15" i="9"/>
  <c r="B4" i="9" s="1"/>
  <c r="G3" i="4"/>
  <c r="I46" i="14"/>
  <c r="I47" i="14"/>
  <c r="I49" i="14"/>
  <c r="B69" i="9"/>
  <c r="E93" i="9" s="1"/>
  <c r="I27" i="14"/>
  <c r="A8" i="20"/>
  <c r="D578" i="1"/>
  <c r="I578" i="1"/>
  <c r="A9" i="20"/>
  <c r="A10" i="20"/>
  <c r="A11" i="20"/>
  <c r="A12" i="20"/>
  <c r="A13" i="20"/>
  <c r="H95" i="14"/>
  <c r="L60" i="5"/>
  <c r="B205" i="9"/>
  <c r="B239" i="9"/>
  <c r="A14" i="20"/>
  <c r="A15" i="20"/>
  <c r="B128" i="3"/>
  <c r="B142" i="3"/>
  <c r="B141" i="3"/>
  <c r="B139" i="3"/>
  <c r="B138" i="3"/>
  <c r="B137" i="3"/>
  <c r="B134" i="3"/>
  <c r="B133" i="3"/>
  <c r="B132" i="3"/>
  <c r="B131" i="3"/>
  <c r="B130" i="3"/>
  <c r="B129" i="3"/>
  <c r="B127" i="3"/>
  <c r="L394" i="9" a="1"/>
  <c r="L394" i="9" s="1"/>
  <c r="L393" i="9" a="1"/>
  <c r="L393" i="9" s="1"/>
  <c r="O46" i="9"/>
  <c r="N98" i="24" s="1"/>
  <c r="O98" i="24" s="1"/>
  <c r="M230" i="9"/>
  <c r="O25" i="9"/>
  <c r="Q25" i="9" s="1"/>
  <c r="Q24" i="9"/>
  <c r="O23" i="9"/>
  <c r="Q23" i="9" s="1"/>
  <c r="K36" i="35"/>
  <c r="K35" i="35"/>
  <c r="K34" i="35"/>
  <c r="K24" i="35"/>
  <c r="K23" i="35"/>
  <c r="K22" i="35"/>
  <c r="K18" i="35"/>
  <c r="K17" i="35"/>
  <c r="K16" i="35"/>
  <c r="P152" i="5"/>
  <c r="O152" i="5"/>
  <c r="P151" i="5"/>
  <c r="O151" i="5"/>
  <c r="N26" i="5"/>
  <c r="A25" i="5" s="1" a="1"/>
  <c r="A25" i="5" s="1"/>
  <c r="M33" i="4"/>
  <c r="N33" i="4" s="1"/>
  <c r="M7" i="4"/>
  <c r="M5" i="4"/>
  <c r="L98" i="3"/>
  <c r="M98" i="3" s="1"/>
  <c r="L93" i="3"/>
  <c r="M93" i="3" s="1"/>
  <c r="K287" i="2"/>
  <c r="K286" i="2"/>
  <c r="K285" i="2"/>
  <c r="L285" i="2" s="1"/>
  <c r="K284" i="2"/>
  <c r="K283" i="2"/>
  <c r="K282" i="2"/>
  <c r="K281" i="2"/>
  <c r="K280" i="2"/>
  <c r="M280" i="2" s="1"/>
  <c r="K257" i="2"/>
  <c r="M257" i="2" s="1"/>
  <c r="K258" i="2"/>
  <c r="M258" i="2" s="1"/>
  <c r="K254" i="2"/>
  <c r="K253" i="2"/>
  <c r="M253" i="2" s="1"/>
  <c r="K252" i="2"/>
  <c r="M252" i="2" s="1"/>
  <c r="K247" i="2"/>
  <c r="M247" i="2" s="1"/>
  <c r="K248" i="2"/>
  <c r="M248" i="2" s="1"/>
  <c r="K244" i="2"/>
  <c r="M244" i="2" s="1"/>
  <c r="K243" i="2"/>
  <c r="M243" i="2" s="1"/>
  <c r="K242" i="2"/>
  <c r="Q177" i="1" s="1"/>
  <c r="K239" i="2"/>
  <c r="M239" i="2" s="1"/>
  <c r="K150" i="2"/>
  <c r="M150" i="2" s="1"/>
  <c r="K149" i="2"/>
  <c r="M149" i="2" s="1"/>
  <c r="K145" i="2"/>
  <c r="L145" i="2" s="1"/>
  <c r="K144" i="2"/>
  <c r="K140" i="2"/>
  <c r="K139" i="2"/>
  <c r="K135" i="2"/>
  <c r="L135" i="2" s="1"/>
  <c r="K134" i="2"/>
  <c r="B598"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0" i="1"/>
  <c r="B369" i="1"/>
  <c r="B368" i="1"/>
  <c r="B367" i="1"/>
  <c r="B366" i="1"/>
  <c r="B365" i="1"/>
  <c r="B364" i="1"/>
  <c r="B363" i="1"/>
  <c r="B362" i="1"/>
  <c r="B361" i="1"/>
  <c r="B360" i="1"/>
  <c r="B359" i="1"/>
  <c r="B357" i="1"/>
  <c r="B355" i="1"/>
  <c r="Q104" i="1"/>
  <c r="M97" i="1"/>
  <c r="O170" i="2" s="1"/>
  <c r="K102" i="1"/>
  <c r="O149" i="2" s="1"/>
  <c r="A24" i="20"/>
  <c r="A25" i="20"/>
  <c r="G169" i="2"/>
  <c r="G159" i="2"/>
  <c r="G149" i="2"/>
  <c r="Q182" i="1"/>
  <c r="G258" i="2"/>
  <c r="G248" i="2"/>
  <c r="G247" i="2"/>
  <c r="A31" i="20"/>
  <c r="A32" i="20"/>
  <c r="I636" i="1"/>
  <c r="B634" i="1"/>
  <c r="A635" i="1" s="1"/>
  <c r="P170" i="5"/>
  <c r="K627" i="1"/>
  <c r="B25" i="5"/>
  <c r="G209" i="24"/>
  <c r="H209" i="24" s="1"/>
  <c r="A11" i="8"/>
  <c r="A3" i="8"/>
  <c r="O11" i="19"/>
  <c r="O54" i="19" s="1" a="1"/>
  <c r="O54" i="19" s="1"/>
  <c r="E422" i="9"/>
  <c r="E421" i="9"/>
  <c r="E420" i="9"/>
  <c r="E419" i="9"/>
  <c r="G238" i="24"/>
  <c r="F13" i="3"/>
  <c r="G33" i="2"/>
  <c r="K198" i="5"/>
  <c r="I416" i="9"/>
  <c r="I421" i="9" s="1"/>
  <c r="G239" i="24"/>
  <c r="B40" i="35"/>
  <c r="M33" i="35"/>
  <c r="M27" i="35"/>
  <c r="M21" i="35"/>
  <c r="M15" i="35"/>
  <c r="N39" i="14"/>
  <c r="O465" i="1"/>
  <c r="O466" i="1"/>
  <c r="O467" i="1"/>
  <c r="O468" i="1"/>
  <c r="O469" i="1"/>
  <c r="O464" i="1"/>
  <c r="J27" i="4"/>
  <c r="O26" i="4"/>
  <c r="C526" i="9"/>
  <c r="C408" i="9"/>
  <c r="C407" i="9"/>
  <c r="A5" i="8"/>
  <c r="A52" i="2"/>
  <c r="A51" i="2"/>
  <c r="A50" i="2"/>
  <c r="A49" i="2"/>
  <c r="A48" i="2"/>
  <c r="A44" i="2"/>
  <c r="A43" i="2"/>
  <c r="A17" i="7"/>
  <c r="P32" i="7"/>
  <c r="P31" i="7"/>
  <c r="P26" i="7"/>
  <c r="P24" i="7"/>
  <c r="P23" i="7"/>
  <c r="P22" i="7"/>
  <c r="P20" i="7"/>
  <c r="P19" i="7"/>
  <c r="P18" i="7"/>
  <c r="O32" i="7"/>
  <c r="O31" i="7"/>
  <c r="O26" i="7"/>
  <c r="O25" i="7"/>
  <c r="O24" i="7"/>
  <c r="O23" i="7"/>
  <c r="O22" i="7"/>
  <c r="O21" i="7"/>
  <c r="O20" i="7"/>
  <c r="O19" i="7"/>
  <c r="O18" i="7"/>
  <c r="O17" i="7"/>
  <c r="A32" i="7"/>
  <c r="A31" i="7"/>
  <c r="A26" i="7"/>
  <c r="A25" i="7"/>
  <c r="A24" i="7"/>
  <c r="A23" i="7"/>
  <c r="A21" i="7"/>
  <c r="A20" i="7"/>
  <c r="A19" i="7"/>
  <c r="A18" i="7"/>
  <c r="A7" i="35"/>
  <c r="K43" i="2"/>
  <c r="L43" i="2" s="1"/>
  <c r="K44" i="2"/>
  <c r="L44" i="2" s="1"/>
  <c r="K48" i="2"/>
  <c r="M48" i="2" s="1"/>
  <c r="K52" i="2"/>
  <c r="K51" i="2"/>
  <c r="K50" i="2"/>
  <c r="K49" i="2"/>
  <c r="A8" i="35"/>
  <c r="A20" i="8"/>
  <c r="A19" i="8"/>
  <c r="A18" i="8"/>
  <c r="A17" i="8"/>
  <c r="A16" i="8"/>
  <c r="A9" i="8"/>
  <c r="A8" i="8"/>
  <c r="A7" i="8"/>
  <c r="E319" i="1"/>
  <c r="E320" i="1"/>
  <c r="B318" i="1"/>
  <c r="C319" i="1" s="1"/>
  <c r="C323" i="1"/>
  <c r="C322" i="1"/>
  <c r="C321" i="1"/>
  <c r="C320" i="1"/>
  <c r="B263" i="1"/>
  <c r="B208" i="1"/>
  <c r="B231" i="1"/>
  <c r="A273" i="1"/>
  <c r="A266" i="1"/>
  <c r="A290" i="2" a="1"/>
  <c r="A290" i="2" s="1"/>
  <c r="M300" i="2"/>
  <c r="L300" i="2"/>
  <c r="B291" i="2"/>
  <c r="B295" i="2"/>
  <c r="B299" i="2"/>
  <c r="M296" i="2"/>
  <c r="L296" i="2"/>
  <c r="N69" i="26"/>
  <c r="H69" i="26"/>
  <c r="N70" i="26"/>
  <c r="M36" i="35"/>
  <c r="L36" i="35"/>
  <c r="M35" i="35"/>
  <c r="L35" i="35"/>
  <c r="M34" i="35"/>
  <c r="L34" i="35"/>
  <c r="L30" i="35"/>
  <c r="L29" i="35"/>
  <c r="L28" i="35"/>
  <c r="M24" i="35"/>
  <c r="L24" i="35"/>
  <c r="M23" i="35"/>
  <c r="L23" i="35"/>
  <c r="M22" i="35"/>
  <c r="L22" i="35"/>
  <c r="M18" i="35"/>
  <c r="L18" i="35"/>
  <c r="M17" i="35"/>
  <c r="L17" i="35"/>
  <c r="M16" i="35"/>
  <c r="L16" i="35"/>
  <c r="C4" i="3"/>
  <c r="M292" i="2"/>
  <c r="L292" i="2"/>
  <c r="C4" i="4"/>
  <c r="C66" i="2"/>
  <c r="H346" i="1"/>
  <c r="L346" i="1" s="1"/>
  <c r="P346" i="1" s="1"/>
  <c r="T346" i="1" s="1"/>
  <c r="V346" i="1" s="1"/>
  <c r="G346" i="1"/>
  <c r="K346" i="1" s="1"/>
  <c r="O346" i="1" s="1"/>
  <c r="S346" i="1" s="1"/>
  <c r="U346" i="1" s="1"/>
  <c r="H344" i="1"/>
  <c r="G344" i="1"/>
  <c r="G343" i="1"/>
  <c r="H342" i="1"/>
  <c r="G342" i="1"/>
  <c r="L8" i="35"/>
  <c r="L7" i="35"/>
  <c r="G345" i="1"/>
  <c r="F682" i="1"/>
  <c r="F680" i="1"/>
  <c r="G680" i="1" s="1"/>
  <c r="F685" i="1"/>
  <c r="G685" i="1" s="1"/>
  <c r="F688" i="1"/>
  <c r="F687" i="1"/>
  <c r="G687" i="1" s="1"/>
  <c r="F681" i="1"/>
  <c r="G681" i="1" s="1"/>
  <c r="F40" i="35"/>
  <c r="B42" i="35"/>
  <c r="E756" i="1"/>
  <c r="A404" i="9" a="1"/>
  <c r="A404" i="9" s="1"/>
  <c r="L402" i="9"/>
  <c r="M402" i="9" s="1"/>
  <c r="L401" i="9"/>
  <c r="N401" i="9" s="1"/>
  <c r="L400" i="9"/>
  <c r="M400" i="9" s="1"/>
  <c r="L399" i="9"/>
  <c r="M399" i="9" s="1"/>
  <c r="E739" i="1"/>
  <c r="D33" i="7"/>
  <c r="O3" i="4"/>
  <c r="N3" i="4"/>
  <c r="Q33" i="9"/>
  <c r="M263" i="2"/>
  <c r="L263" i="2"/>
  <c r="M229" i="2"/>
  <c r="L229" i="2"/>
  <c r="M228" i="2"/>
  <c r="L228" i="2"/>
  <c r="B65" i="2"/>
  <c r="K184" i="5"/>
  <c r="K319" i="24"/>
  <c r="K320" i="24"/>
  <c r="K321" i="24"/>
  <c r="K322" i="24"/>
  <c r="K323" i="24"/>
  <c r="K324" i="24"/>
  <c r="K325" i="24"/>
  <c r="K326" i="24"/>
  <c r="K327" i="24"/>
  <c r="K328" i="24"/>
  <c r="K329" i="24"/>
  <c r="ED64" i="19"/>
  <c r="ED43" i="19"/>
  <c r="ED20" i="19"/>
  <c r="ED22" i="19"/>
  <c r="ED47" i="19"/>
  <c r="ED67" i="19"/>
  <c r="ED26" i="19"/>
  <c r="ED35" i="19"/>
  <c r="ED60" i="19"/>
  <c r="ED55" i="19"/>
  <c r="ED49" i="19"/>
  <c r="ED15" i="19"/>
  <c r="ED46" i="19"/>
  <c r="ED39" i="19"/>
  <c r="ED25" i="19"/>
  <c r="ED71" i="19"/>
  <c r="ED77" i="19"/>
  <c r="ED45" i="19"/>
  <c r="ED37" i="19"/>
  <c r="ED38" i="19"/>
  <c r="ED30" i="19"/>
  <c r="ED75" i="19"/>
  <c r="ED18" i="19"/>
  <c r="ED56" i="19"/>
  <c r="ED68" i="19"/>
  <c r="ED66" i="19"/>
  <c r="ED65" i="19"/>
  <c r="ED17" i="19"/>
  <c r="ED62" i="19"/>
  <c r="ED28" i="19"/>
  <c r="ED24" i="19"/>
  <c r="ED27" i="19"/>
  <c r="ED53" i="19"/>
  <c r="ED31" i="19"/>
  <c r="ED69" i="19"/>
  <c r="ED33" i="19"/>
  <c r="ED50" i="19"/>
  <c r="ED41" i="19"/>
  <c r="ED19" i="19"/>
  <c r="ED32" i="19"/>
  <c r="ED58" i="19"/>
  <c r="ED54" i="19"/>
  <c r="ED52" i="19"/>
  <c r="ED61" i="19"/>
  <c r="ED74" i="19"/>
  <c r="ED14" i="19"/>
  <c r="ED29" i="19"/>
  <c r="ED44" i="19"/>
  <c r="ED70" i="19"/>
  <c r="ED76" i="19"/>
  <c r="ED23" i="19"/>
  <c r="ED48" i="19"/>
  <c r="ED34" i="19"/>
  <c r="ED59" i="19"/>
  <c r="ED72" i="19"/>
  <c r="ED63" i="19"/>
  <c r="ED73" i="19"/>
  <c r="ED57" i="19"/>
  <c r="ED21" i="19"/>
  <c r="ED36" i="19"/>
  <c r="ED51" i="19"/>
  <c r="ED42" i="19"/>
  <c r="ED16" i="19"/>
  <c r="ED40" i="19"/>
  <c r="EA64" i="19"/>
  <c r="EB64" i="19"/>
  <c r="EC64" i="19"/>
  <c r="EA43" i="19"/>
  <c r="EB43" i="19"/>
  <c r="EC43" i="19"/>
  <c r="EA20" i="19"/>
  <c r="EB20" i="19"/>
  <c r="EC20" i="19"/>
  <c r="EA22" i="19"/>
  <c r="EB22" i="19"/>
  <c r="EC22" i="19"/>
  <c r="EA47" i="19"/>
  <c r="EB47" i="19"/>
  <c r="EC47" i="19"/>
  <c r="EA67" i="19"/>
  <c r="EB67" i="19"/>
  <c r="EC67" i="19"/>
  <c r="EA26" i="19"/>
  <c r="EB26" i="19"/>
  <c r="EC26" i="19"/>
  <c r="EA35" i="19"/>
  <c r="EB35" i="19"/>
  <c r="EC35" i="19"/>
  <c r="EA60" i="19"/>
  <c r="EB60" i="19"/>
  <c r="EC60" i="19"/>
  <c r="EA55" i="19"/>
  <c r="EB55" i="19"/>
  <c r="EC55" i="19"/>
  <c r="EA49" i="19"/>
  <c r="EB49" i="19"/>
  <c r="EC49" i="19"/>
  <c r="EA15" i="19"/>
  <c r="EB15" i="19"/>
  <c r="EC15" i="19"/>
  <c r="EA46" i="19"/>
  <c r="EB46" i="19"/>
  <c r="EC46" i="19"/>
  <c r="EA39" i="19"/>
  <c r="EB39" i="19"/>
  <c r="EC39" i="19"/>
  <c r="EA25" i="19"/>
  <c r="EB25" i="19"/>
  <c r="EC25" i="19"/>
  <c r="EA71" i="19"/>
  <c r="EB71" i="19"/>
  <c r="EC71" i="19"/>
  <c r="EA77" i="19"/>
  <c r="EB77" i="19"/>
  <c r="EC77" i="19"/>
  <c r="EA45" i="19"/>
  <c r="EB45" i="19"/>
  <c r="EC45" i="19"/>
  <c r="EA37" i="19"/>
  <c r="EB37" i="19"/>
  <c r="EC37" i="19"/>
  <c r="EA38" i="19"/>
  <c r="EB38" i="19"/>
  <c r="EC38" i="19"/>
  <c r="EA30" i="19"/>
  <c r="EB30" i="19"/>
  <c r="EC30" i="19"/>
  <c r="EA75" i="19"/>
  <c r="EB75" i="19"/>
  <c r="EA18" i="19"/>
  <c r="EB18" i="19"/>
  <c r="EC18" i="19"/>
  <c r="EA56" i="19"/>
  <c r="EB56" i="19"/>
  <c r="EC56" i="19"/>
  <c r="EA68" i="19"/>
  <c r="EB68" i="19"/>
  <c r="EC68" i="19"/>
  <c r="EA66" i="19"/>
  <c r="EB66" i="19"/>
  <c r="EC66" i="19"/>
  <c r="EA65" i="19"/>
  <c r="EB65" i="19"/>
  <c r="EC65" i="19"/>
  <c r="EA17" i="19"/>
  <c r="EB17" i="19"/>
  <c r="EC17" i="19"/>
  <c r="EA62" i="19"/>
  <c r="EB62" i="19"/>
  <c r="EC62" i="19"/>
  <c r="EA28" i="19"/>
  <c r="EB28" i="19"/>
  <c r="EC28" i="19"/>
  <c r="EA24" i="19"/>
  <c r="EB24" i="19"/>
  <c r="EC24" i="19"/>
  <c r="EA27" i="19"/>
  <c r="EB27" i="19"/>
  <c r="EC27" i="19"/>
  <c r="EA53" i="19"/>
  <c r="EB53" i="19"/>
  <c r="EC53" i="19"/>
  <c r="EA31" i="19"/>
  <c r="EB31" i="19"/>
  <c r="EC31" i="19"/>
  <c r="EA69" i="19"/>
  <c r="EB69" i="19"/>
  <c r="EC69" i="19"/>
  <c r="EA33" i="19"/>
  <c r="EB33" i="19"/>
  <c r="EC33" i="19"/>
  <c r="EA50" i="19"/>
  <c r="EB50" i="19"/>
  <c r="EC50" i="19"/>
  <c r="EA41" i="19"/>
  <c r="EB41" i="19"/>
  <c r="EC41" i="19"/>
  <c r="EA19" i="19"/>
  <c r="EB19" i="19"/>
  <c r="EC19" i="19"/>
  <c r="EA32" i="19"/>
  <c r="EB32" i="19"/>
  <c r="EC32" i="19"/>
  <c r="EA58" i="19"/>
  <c r="EB58" i="19"/>
  <c r="EC58" i="19"/>
  <c r="EA54" i="19"/>
  <c r="EB54" i="19"/>
  <c r="EC54" i="19"/>
  <c r="EA52" i="19"/>
  <c r="EB52" i="19"/>
  <c r="EC52" i="19"/>
  <c r="EA61" i="19"/>
  <c r="EB61" i="19"/>
  <c r="EC61" i="19"/>
  <c r="EA74" i="19"/>
  <c r="EB74" i="19"/>
  <c r="EC74" i="19"/>
  <c r="EA14" i="19"/>
  <c r="EB14" i="19"/>
  <c r="EC14" i="19"/>
  <c r="EA29" i="19"/>
  <c r="EB29" i="19"/>
  <c r="EC29" i="19"/>
  <c r="EA44" i="19"/>
  <c r="EB44" i="19"/>
  <c r="EC44" i="19"/>
  <c r="EA70" i="19"/>
  <c r="EB70" i="19"/>
  <c r="EC70" i="19"/>
  <c r="EA76" i="19"/>
  <c r="EB76" i="19"/>
  <c r="EC76" i="19"/>
  <c r="EA23" i="19"/>
  <c r="EB23" i="19"/>
  <c r="EC23" i="19"/>
  <c r="EA48" i="19"/>
  <c r="EB48" i="19"/>
  <c r="EC48" i="19"/>
  <c r="EA34" i="19"/>
  <c r="EB34" i="19"/>
  <c r="EC34" i="19"/>
  <c r="EA59" i="19"/>
  <c r="EB59" i="19"/>
  <c r="EC59" i="19"/>
  <c r="EA72" i="19"/>
  <c r="EB72" i="19"/>
  <c r="EC72" i="19"/>
  <c r="EA63" i="19"/>
  <c r="EB63" i="19"/>
  <c r="EC63" i="19"/>
  <c r="EA73" i="19"/>
  <c r="EB73" i="19"/>
  <c r="EC73" i="19"/>
  <c r="EA57" i="19"/>
  <c r="EB57" i="19"/>
  <c r="EC57" i="19"/>
  <c r="EA21" i="19"/>
  <c r="EB21" i="19"/>
  <c r="EC21" i="19"/>
  <c r="EA36" i="19"/>
  <c r="EB36" i="19"/>
  <c r="EC36" i="19"/>
  <c r="EA51" i="19"/>
  <c r="EB51" i="19"/>
  <c r="EC51" i="19"/>
  <c r="EA42" i="19"/>
  <c r="EB42" i="19"/>
  <c r="EC42" i="19"/>
  <c r="EA16" i="19"/>
  <c r="EB16" i="19"/>
  <c r="EC16" i="19"/>
  <c r="EA40" i="19"/>
  <c r="EB40" i="19"/>
  <c r="EC40" i="19"/>
  <c r="AC456" i="1"/>
  <c r="D478" i="1"/>
  <c r="D477" i="1"/>
  <c r="D476" i="1"/>
  <c r="D475" i="1"/>
  <c r="D474" i="1"/>
  <c r="D473" i="1"/>
  <c r="C452" i="1"/>
  <c r="P453" i="1"/>
  <c r="P457" i="1" s="1"/>
  <c r="H479" i="1"/>
  <c r="G479" i="1"/>
  <c r="H471" i="1"/>
  <c r="G471" i="1"/>
  <c r="H462" i="1"/>
  <c r="G462" i="1"/>
  <c r="G452" i="1"/>
  <c r="P450" i="1"/>
  <c r="P456" i="1" s="1"/>
  <c r="E763" i="1"/>
  <c r="C436" i="9" s="1"/>
  <c r="A615" i="1"/>
  <c r="AB456" i="1"/>
  <c r="N488" i="9"/>
  <c r="M488" i="9"/>
  <c r="N483" i="9"/>
  <c r="M483" i="9"/>
  <c r="N480" i="9"/>
  <c r="M480" i="9"/>
  <c r="Q290" i="9"/>
  <c r="H290" i="9"/>
  <c r="E287" i="9"/>
  <c r="I273" i="9"/>
  <c r="H126" i="9"/>
  <c r="I155" i="9" s="1"/>
  <c r="G125" i="9"/>
  <c r="H125" i="9" s="1"/>
  <c r="N65" i="9"/>
  <c r="Q30" i="9"/>
  <c r="B478" i="1"/>
  <c r="B477" i="1"/>
  <c r="B476" i="1"/>
  <c r="B475" i="1"/>
  <c r="B474" i="1"/>
  <c r="B473" i="1"/>
  <c r="C59" i="26"/>
  <c r="M134" i="2"/>
  <c r="I135" i="3"/>
  <c r="I133" i="3"/>
  <c r="I134" i="3"/>
  <c r="I132" i="3"/>
  <c r="I131" i="3"/>
  <c r="I130" i="3"/>
  <c r="I129" i="3"/>
  <c r="I128" i="3"/>
  <c r="G147" i="24"/>
  <c r="C148" i="24" s="1"/>
  <c r="H147" i="24"/>
  <c r="H130" i="24"/>
  <c r="G130" i="24"/>
  <c r="X268" i="26"/>
  <c r="X266" i="26"/>
  <c r="X254" i="26"/>
  <c r="X252" i="26"/>
  <c r="X250" i="26"/>
  <c r="X248" i="26"/>
  <c r="X246" i="26"/>
  <c r="X244" i="26"/>
  <c r="I233" i="9"/>
  <c r="I228" i="9"/>
  <c r="M228" i="9" s="1"/>
  <c r="H169" i="9"/>
  <c r="H196" i="9"/>
  <c r="H192" i="9"/>
  <c r="A130" i="24"/>
  <c r="A131" i="24"/>
  <c r="A132" i="24"/>
  <c r="A133" i="24" s="1"/>
  <c r="A134" i="24" s="1"/>
  <c r="A135" i="24" s="1"/>
  <c r="A136" i="24" s="1"/>
  <c r="A137" i="24" s="1"/>
  <c r="A138" i="24" s="1"/>
  <c r="A139" i="24" s="1"/>
  <c r="A140" i="24" s="1"/>
  <c r="A141" i="24"/>
  <c r="A142" i="24" s="1"/>
  <c r="A143" i="24" s="1"/>
  <c r="A144" i="24" s="1"/>
  <c r="A147" i="24"/>
  <c r="A148" i="24" s="1"/>
  <c r="A149" i="24" s="1"/>
  <c r="A150" i="24" s="1"/>
  <c r="A151" i="24" s="1"/>
  <c r="A152" i="24" s="1"/>
  <c r="A153" i="24" s="1"/>
  <c r="A154" i="24" s="1"/>
  <c r="A155" i="24" s="1"/>
  <c r="A156" i="24" s="1"/>
  <c r="A157" i="24" s="1"/>
  <c r="G246" i="24"/>
  <c r="AC452" i="1"/>
  <c r="AB457" i="1"/>
  <c r="AB455" i="1"/>
  <c r="AB452" i="1"/>
  <c r="AB454" i="1"/>
  <c r="AB453" i="1"/>
  <c r="M201" i="9"/>
  <c r="AC457" i="1"/>
  <c r="AC455" i="1"/>
  <c r="AC454" i="1"/>
  <c r="AC453" i="1"/>
  <c r="A123" i="24"/>
  <c r="A124" i="24"/>
  <c r="A125" i="24"/>
  <c r="A126" i="24"/>
  <c r="A127" i="24" s="1"/>
  <c r="C116" i="9"/>
  <c r="G126" i="9" s="1"/>
  <c r="B346" i="1"/>
  <c r="L86" i="9"/>
  <c r="N86" i="9" s="1"/>
  <c r="L89" i="9"/>
  <c r="M89" i="9" s="1"/>
  <c r="L87" i="9"/>
  <c r="N87" i="9" s="1"/>
  <c r="L88" i="9"/>
  <c r="N88" i="9" s="1"/>
  <c r="L123" i="9"/>
  <c r="N123" i="9" s="1"/>
  <c r="L121" i="9"/>
  <c r="N121" i="9" s="1"/>
  <c r="L122" i="9"/>
  <c r="N122" i="9" s="1"/>
  <c r="L124" i="9"/>
  <c r="N124" i="9" s="1"/>
  <c r="L125" i="9"/>
  <c r="M125" i="9" s="1"/>
  <c r="V679" i="1"/>
  <c r="V676" i="1"/>
  <c r="V675" i="1"/>
  <c r="M86" i="9"/>
  <c r="I828" i="1"/>
  <c r="P264" i="26"/>
  <c r="I435" i="9" s="1"/>
  <c r="P216" i="26"/>
  <c r="N43" i="20"/>
  <c r="G234" i="24"/>
  <c r="G235" i="24"/>
  <c r="G236" i="24"/>
  <c r="G237" i="24"/>
  <c r="G240" i="24"/>
  <c r="G241" i="24"/>
  <c r="G242" i="24"/>
  <c r="G243" i="24"/>
  <c r="G244" i="24"/>
  <c r="G233" i="24"/>
  <c r="F7" i="1"/>
  <c r="C630" i="1"/>
  <c r="C607" i="1"/>
  <c r="C605" i="1"/>
  <c r="D88" i="26"/>
  <c r="D60" i="26"/>
  <c r="L100" i="1"/>
  <c r="O157" i="2" s="1"/>
  <c r="Q97" i="1" a="1"/>
  <c r="Q97" i="1" s="1"/>
  <c r="M100" i="1"/>
  <c r="O167" i="2" s="1"/>
  <c r="Q98" i="1" a="1"/>
  <c r="Q98" i="1" s="1"/>
  <c r="B171" i="2"/>
  <c r="C175" i="2"/>
  <c r="C178" i="2"/>
  <c r="G147" i="2"/>
  <c r="G167" i="2" s="1"/>
  <c r="G137" i="2"/>
  <c r="G157" i="2" s="1"/>
  <c r="L95" i="1"/>
  <c r="O161" i="2" s="1"/>
  <c r="B161" i="2"/>
  <c r="M95" i="1"/>
  <c r="O171" i="2" s="1"/>
  <c r="D118" i="26"/>
  <c r="D115" i="26"/>
  <c r="D113" i="26"/>
  <c r="E336" i="9"/>
  <c r="E323" i="9"/>
  <c r="C633" i="1"/>
  <c r="C606" i="1"/>
  <c r="C604" i="1"/>
  <c r="C627" i="1"/>
  <c r="Q412" i="26"/>
  <c r="K56" i="26"/>
  <c r="I9" i="9" a="1"/>
  <c r="I9" i="9" s="1"/>
  <c r="H9" i="9"/>
  <c r="C23" i="1"/>
  <c r="W684" i="1"/>
  <c r="W686" i="1"/>
  <c r="W689" i="1"/>
  <c r="W692" i="1"/>
  <c r="V686" i="1"/>
  <c r="V684" i="1"/>
  <c r="V692" i="1"/>
  <c r="V685" i="1"/>
  <c r="V683" i="1"/>
  <c r="V681" i="1"/>
  <c r="V691" i="1"/>
  <c r="V690" i="1"/>
  <c r="V682" i="1"/>
  <c r="G601" i="1"/>
  <c r="H602" i="1" s="1"/>
  <c r="G111" i="5"/>
  <c r="F111" i="5" s="1"/>
  <c r="G112" i="5"/>
  <c r="C76" i="5" a="1"/>
  <c r="C76" i="5" s="1"/>
  <c r="C99" i="5" s="1" a="1"/>
  <c r="C99" i="5" s="1"/>
  <c r="K38" i="26"/>
  <c r="Q216" i="26" s="1"/>
  <c r="K37" i="26"/>
  <c r="P37" i="26" s="1"/>
  <c r="I582" i="1"/>
  <c r="M441" i="9"/>
  <c r="C575" i="1"/>
  <c r="H579" i="1"/>
  <c r="C310" i="1"/>
  <c r="C306" i="1"/>
  <c r="C309" i="1"/>
  <c r="C308" i="1"/>
  <c r="C307" i="1"/>
  <c r="C305" i="1"/>
  <c r="C304" i="1"/>
  <c r="P138" i="5"/>
  <c r="P181" i="5"/>
  <c r="M138" i="2"/>
  <c r="L138" i="2"/>
  <c r="I8" i="9" a="1"/>
  <c r="I8" i="9" s="1"/>
  <c r="A14" i="4" a="1"/>
  <c r="A14" i="4" s="1"/>
  <c r="A28" i="5" a="1"/>
  <c r="A28" i="5" s="1"/>
  <c r="C529" i="9"/>
  <c r="C497" i="9"/>
  <c r="I528" i="9"/>
  <c r="B2" i="26"/>
  <c r="B282" i="26" s="1"/>
  <c r="G207" i="24"/>
  <c r="N141" i="5"/>
  <c r="G173" i="5"/>
  <c r="P37" i="5"/>
  <c r="C4" i="14"/>
  <c r="C10" i="14"/>
  <c r="A21" i="8"/>
  <c r="C21" i="8" s="1"/>
  <c r="A10" i="8"/>
  <c r="C10" i="8" s="1"/>
  <c r="M32" i="7"/>
  <c r="M26" i="7"/>
  <c r="M23" i="7"/>
  <c r="M18" i="7"/>
  <c r="J176" i="5"/>
  <c r="G176" i="5"/>
  <c r="J175" i="5"/>
  <c r="J174" i="5"/>
  <c r="J173" i="5"/>
  <c r="J172" i="5"/>
  <c r="G172" i="5"/>
  <c r="O29" i="4"/>
  <c r="N29" i="4"/>
  <c r="O28" i="4"/>
  <c r="N28" i="4"/>
  <c r="O23" i="4"/>
  <c r="N23" i="4"/>
  <c r="O18" i="4"/>
  <c r="N18" i="4"/>
  <c r="O16" i="4"/>
  <c r="N16" i="4"/>
  <c r="N120" i="3"/>
  <c r="N113" i="3"/>
  <c r="M113" i="3"/>
  <c r="A111" i="3" a="1"/>
  <c r="A111" i="3" s="1"/>
  <c r="N3" i="3"/>
  <c r="M3" i="3"/>
  <c r="M287" i="2"/>
  <c r="L287" i="2"/>
  <c r="M286" i="2"/>
  <c r="L286" i="2"/>
  <c r="M285" i="2"/>
  <c r="M284" i="2"/>
  <c r="L284" i="2"/>
  <c r="M283" i="2"/>
  <c r="L283" i="2"/>
  <c r="M282" i="2"/>
  <c r="L282" i="2"/>
  <c r="M281" i="2"/>
  <c r="L281" i="2"/>
  <c r="B279" i="2"/>
  <c r="M275" i="2"/>
  <c r="L275" i="2"/>
  <c r="M274" i="2"/>
  <c r="L274" i="2"/>
  <c r="M273" i="2"/>
  <c r="L273" i="2"/>
  <c r="M272" i="2"/>
  <c r="L272" i="2"/>
  <c r="M271" i="2"/>
  <c r="L271" i="2"/>
  <c r="M270" i="2"/>
  <c r="L270" i="2"/>
  <c r="M269" i="2"/>
  <c r="L269" i="2"/>
  <c r="M268" i="2"/>
  <c r="L268" i="2"/>
  <c r="M267" i="2"/>
  <c r="L267" i="2"/>
  <c r="L252" i="2"/>
  <c r="B238" i="2"/>
  <c r="M236" i="2"/>
  <c r="L236" i="2"/>
  <c r="N236" i="2" s="1"/>
  <c r="M235" i="2"/>
  <c r="L235" i="2"/>
  <c r="N235" i="2" s="1"/>
  <c r="M234" i="2"/>
  <c r="L234" i="2"/>
  <c r="N234" i="2"/>
  <c r="M233" i="2"/>
  <c r="L233" i="2"/>
  <c r="N233" i="2"/>
  <c r="M232" i="2"/>
  <c r="L232" i="2"/>
  <c r="N232" i="2" s="1"/>
  <c r="M231" i="2"/>
  <c r="L231" i="2"/>
  <c r="N231" i="2" s="1"/>
  <c r="M230" i="2"/>
  <c r="L230" i="2"/>
  <c r="N230" i="2"/>
  <c r="M224" i="2"/>
  <c r="L224" i="2"/>
  <c r="M140" i="2"/>
  <c r="L140" i="2"/>
  <c r="M139" i="2"/>
  <c r="L139" i="2"/>
  <c r="M135" i="2"/>
  <c r="M105" i="2"/>
  <c r="L105" i="2"/>
  <c r="M104" i="2"/>
  <c r="L104" i="2"/>
  <c r="M103" i="2"/>
  <c r="L103" i="2"/>
  <c r="M67" i="2"/>
  <c r="L67" i="2"/>
  <c r="M65" i="2"/>
  <c r="L65" i="2"/>
  <c r="C169" i="1"/>
  <c r="C168" i="1"/>
  <c r="C167" i="1"/>
  <c r="C166" i="1"/>
  <c r="C165" i="1"/>
  <c r="C164" i="1"/>
  <c r="C163" i="1"/>
  <c r="C162" i="1"/>
  <c r="C161" i="1"/>
  <c r="C160" i="1"/>
  <c r="C159"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6" i="1"/>
  <c r="C125" i="1"/>
  <c r="C124" i="1"/>
  <c r="C123" i="1"/>
  <c r="C122" i="1"/>
  <c r="C121" i="1"/>
  <c r="C120" i="1"/>
  <c r="C119" i="1"/>
  <c r="C118" i="1"/>
  <c r="C700" i="1"/>
  <c r="C699" i="1"/>
  <c r="C698" i="1"/>
  <c r="C697" i="1"/>
  <c r="C115" i="1"/>
  <c r="C114" i="1"/>
  <c r="C864" i="1"/>
  <c r="C863" i="1"/>
  <c r="C862" i="1"/>
  <c r="C861" i="1"/>
  <c r="C574" i="1"/>
  <c r="C573" i="1"/>
  <c r="C572" i="1"/>
  <c r="C563" i="1"/>
  <c r="C562" i="1"/>
  <c r="C561" i="1"/>
  <c r="C337" i="1"/>
  <c r="C336" i="1"/>
  <c r="C335" i="1"/>
  <c r="C334" i="1"/>
  <c r="C333" i="1"/>
  <c r="C332" i="1"/>
  <c r="C331" i="1"/>
  <c r="C330" i="1"/>
  <c r="C329" i="1"/>
  <c r="C328" i="1"/>
  <c r="C327" i="1"/>
  <c r="C326" i="1"/>
  <c r="C194" i="1"/>
  <c r="C193" i="1"/>
  <c r="C192" i="1"/>
  <c r="C191" i="1"/>
  <c r="C190" i="1"/>
  <c r="C189" i="1"/>
  <c r="C188" i="1"/>
  <c r="C29" i="1"/>
  <c r="C28" i="1"/>
  <c r="C27" i="1"/>
  <c r="C26" i="1"/>
  <c r="C25" i="1"/>
  <c r="C24" i="1"/>
  <c r="C22" i="1"/>
  <c r="C21" i="1"/>
  <c r="C20" i="1"/>
  <c r="N477" i="9"/>
  <c r="M477" i="9"/>
  <c r="G374" i="9"/>
  <c r="E340" i="9"/>
  <c r="E325" i="9"/>
  <c r="N298" i="9"/>
  <c r="M298" i="9"/>
  <c r="C298" i="9"/>
  <c r="Q292" i="9"/>
  <c r="H292" i="9"/>
  <c r="Q291" i="9"/>
  <c r="H291" i="9"/>
  <c r="E291" i="9"/>
  <c r="E290" i="9"/>
  <c r="Q289" i="9"/>
  <c r="E289" i="9"/>
  <c r="Q288" i="9"/>
  <c r="H288" i="9"/>
  <c r="E288" i="9"/>
  <c r="Q287" i="9"/>
  <c r="Q286" i="9"/>
  <c r="E286" i="9"/>
  <c r="Q285" i="9"/>
  <c r="H285" i="9"/>
  <c r="E285" i="9"/>
  <c r="Q284" i="9"/>
  <c r="H284" i="9"/>
  <c r="E284" i="9"/>
  <c r="G124" i="9"/>
  <c r="H124" i="9" s="1"/>
  <c r="G123" i="9"/>
  <c r="H123" i="9" s="1"/>
  <c r="G122" i="9"/>
  <c r="H122" i="9" s="1"/>
  <c r="H118" i="9"/>
  <c r="H60" i="9"/>
  <c r="Q50" i="9"/>
  <c r="Q36" i="9"/>
  <c r="Q35" i="9"/>
  <c r="Q28" i="9"/>
  <c r="Q32" i="9"/>
  <c r="Q22" i="9"/>
  <c r="Q11" i="9"/>
  <c r="H11" i="9"/>
  <c r="Q10" i="9"/>
  <c r="H10" i="9"/>
  <c r="Q9" i="9"/>
  <c r="Q8" i="9"/>
  <c r="Q7" i="9"/>
  <c r="H7" i="9"/>
  <c r="D276" i="26"/>
  <c r="C254" i="26"/>
  <c r="C252" i="26"/>
  <c r="C250" i="26"/>
  <c r="C248" i="26"/>
  <c r="C246" i="26"/>
  <c r="C244" i="26"/>
  <c r="B244" i="26"/>
  <c r="B246" i="26"/>
  <c r="D228" i="26"/>
  <c r="B190" i="26"/>
  <c r="L123" i="26"/>
  <c r="L114" i="26"/>
  <c r="L112" i="26"/>
  <c r="K106" i="26"/>
  <c r="Q105" i="26"/>
  <c r="L103" i="26"/>
  <c r="L101" i="26"/>
  <c r="Q100" i="26"/>
  <c r="L95" i="26"/>
  <c r="L93" i="26"/>
  <c r="L91" i="26"/>
  <c r="L87" i="26"/>
  <c r="K85" i="26"/>
  <c r="L82" i="26"/>
  <c r="L80" i="26"/>
  <c r="L78" i="26"/>
  <c r="L76" i="26"/>
  <c r="L74" i="26"/>
  <c r="L72" i="26"/>
  <c r="L64" i="26"/>
  <c r="L59" i="26"/>
  <c r="L54" i="26"/>
  <c r="L52" i="26"/>
  <c r="L50" i="26"/>
  <c r="L48" i="26"/>
  <c r="L46" i="26"/>
  <c r="L44" i="26"/>
  <c r="E8" i="26"/>
  <c r="E11" i="26"/>
  <c r="H41" i="9" a="1"/>
  <c r="H41" i="9" s="1"/>
  <c r="H43" i="9" a="1"/>
  <c r="H43" i="9" s="1"/>
  <c r="B272" i="1"/>
  <c r="B273" i="1" s="1"/>
  <c r="M16" i="8"/>
  <c r="L5" i="8"/>
  <c r="A38" i="4" a="1"/>
  <c r="A38" i="4" s="1"/>
  <c r="B233" i="1"/>
  <c r="A118" i="3" a="1"/>
  <c r="A118" i="3" s="1"/>
  <c r="B248" i="26"/>
  <c r="B250" i="26"/>
  <c r="B252" i="26"/>
  <c r="G39" i="26"/>
  <c r="E14" i="26"/>
  <c r="E20" i="26"/>
  <c r="B192" i="26"/>
  <c r="O91" i="24"/>
  <c r="A43" i="4" a="1"/>
  <c r="A43" i="4" s="1"/>
  <c r="A47" i="4" a="1"/>
  <c r="A47" i="4" s="1"/>
  <c r="B218" i="1"/>
  <c r="M17" i="8"/>
  <c r="L16" i="8"/>
  <c r="B254" i="26"/>
  <c r="B194" i="26"/>
  <c r="E25" i="26"/>
  <c r="E28" i="26"/>
  <c r="E31" i="26"/>
  <c r="L6" i="8"/>
  <c r="A445" i="9" a="1"/>
  <c r="A445" i="9" s="1"/>
  <c r="E769" i="1" s="1"/>
  <c r="M18" i="8"/>
  <c r="M19" i="8"/>
  <c r="M20" i="8"/>
  <c r="L17" i="8"/>
  <c r="B196" i="26"/>
  <c r="L7" i="8"/>
  <c r="L18" i="8"/>
  <c r="L9" i="8"/>
  <c r="B198" i="26"/>
  <c r="B200" i="26"/>
  <c r="O520" i="9"/>
  <c r="L19" i="8"/>
  <c r="L8" i="8"/>
  <c r="L20" i="8"/>
  <c r="D23" i="5"/>
  <c r="I267" i="1"/>
  <c r="H85" i="26"/>
  <c r="I268" i="1"/>
  <c r="H268" i="1"/>
  <c r="I269" i="1"/>
  <c r="I272" i="1"/>
  <c r="O516" i="9"/>
  <c r="B105" i="3"/>
  <c r="K119" i="26"/>
  <c r="I142" i="9"/>
  <c r="I145" i="9"/>
  <c r="I214" i="9" a="1"/>
  <c r="I214" i="9" s="1"/>
  <c r="I192" i="9" a="1"/>
  <c r="I192" i="9" s="1"/>
  <c r="I199" i="9"/>
  <c r="I203" i="9" s="1"/>
  <c r="I516" i="9" s="1"/>
  <c r="C250" i="24"/>
  <c r="O508" i="9" a="1"/>
  <c r="O508" i="9" s="1"/>
  <c r="H103" i="9"/>
  <c r="I105" i="9"/>
  <c r="I109" i="9" s="1"/>
  <c r="H26" i="9"/>
  <c r="O84" i="24" s="1"/>
  <c r="N84" i="24" s="1"/>
  <c r="H33" i="9"/>
  <c r="O88" i="24" s="1"/>
  <c r="N88" i="24" s="1"/>
  <c r="H28" i="9"/>
  <c r="O85" i="24" s="1"/>
  <c r="N85" i="24" s="1"/>
  <c r="I79" i="9"/>
  <c r="H30" i="9"/>
  <c r="E31" i="9" s="1"/>
  <c r="I95" i="9"/>
  <c r="O86" i="24"/>
  <c r="N86" i="24" s="1"/>
  <c r="I38" i="9"/>
  <c r="A7" i="19"/>
  <c r="P420" i="1"/>
  <c r="P416" i="1"/>
  <c r="P412" i="1"/>
  <c r="P408" i="1"/>
  <c r="P404" i="1"/>
  <c r="P400" i="1"/>
  <c r="P396" i="1"/>
  <c r="P392" i="1"/>
  <c r="P388" i="1"/>
  <c r="P384" i="1"/>
  <c r="P380" i="1"/>
  <c r="P372" i="1"/>
  <c r="P364" i="1"/>
  <c r="P354" i="1"/>
  <c r="P368" i="1"/>
  <c r="P419" i="1"/>
  <c r="P415" i="1"/>
  <c r="P411" i="1"/>
  <c r="P407" i="1"/>
  <c r="P403" i="1"/>
  <c r="P399" i="1"/>
  <c r="P395" i="1"/>
  <c r="P391" i="1"/>
  <c r="P387" i="1"/>
  <c r="P383" i="1"/>
  <c r="P379" i="1"/>
  <c r="P375" i="1"/>
  <c r="P371" i="1"/>
  <c r="P367" i="1"/>
  <c r="P363" i="1"/>
  <c r="P359" i="1"/>
  <c r="P355" i="1"/>
  <c r="P370" i="1"/>
  <c r="P366" i="1"/>
  <c r="P374" i="1"/>
  <c r="P362" i="1"/>
  <c r="P356" i="1"/>
  <c r="P418" i="1"/>
  <c r="P414" i="1"/>
  <c r="P410" i="1"/>
  <c r="P406" i="1"/>
  <c r="P402" i="1"/>
  <c r="P398" i="1"/>
  <c r="P394" i="1"/>
  <c r="P390" i="1"/>
  <c r="P386" i="1"/>
  <c r="P382" i="1"/>
  <c r="P378" i="1"/>
  <c r="P358" i="1"/>
  <c r="P417" i="1"/>
  <c r="P413" i="1"/>
  <c r="P409" i="1"/>
  <c r="P405" i="1"/>
  <c r="P401" i="1"/>
  <c r="P397" i="1"/>
  <c r="P393" i="1"/>
  <c r="P389" i="1"/>
  <c r="P385" i="1"/>
  <c r="P381" i="1"/>
  <c r="P377" i="1"/>
  <c r="P373" i="1"/>
  <c r="P369" i="1"/>
  <c r="P365" i="1"/>
  <c r="P361" i="1"/>
  <c r="P357" i="1"/>
  <c r="P376" i="1"/>
  <c r="P360" i="1"/>
  <c r="B45" i="1"/>
  <c r="B351" i="1"/>
  <c r="B186" i="1"/>
  <c r="B112" i="1"/>
  <c r="N287" i="9"/>
  <c r="L12" i="36" l="1"/>
  <c r="N201" i="9"/>
  <c r="A16" i="20"/>
  <c r="M459" i="9"/>
  <c r="N402" i="9"/>
  <c r="P190" i="26"/>
  <c r="G215" i="24"/>
  <c r="H215" i="24" s="1"/>
  <c r="A30" i="5" a="1"/>
  <c r="A30" i="5" s="1"/>
  <c r="Q183" i="1"/>
  <c r="L244" i="2"/>
  <c r="L247" i="2"/>
  <c r="C199" i="2"/>
  <c r="M198" i="2"/>
  <c r="M192" i="2"/>
  <c r="M169" i="2"/>
  <c r="M158" i="2"/>
  <c r="L119" i="2"/>
  <c r="M126" i="2"/>
  <c r="L92" i="2"/>
  <c r="J235" i="24"/>
  <c r="D163" i="5"/>
  <c r="Q178" i="1"/>
  <c r="L253" i="2"/>
  <c r="L254" i="2"/>
  <c r="L243" i="2"/>
  <c r="L256" i="2"/>
  <c r="L239" i="2"/>
  <c r="L150" i="2"/>
  <c r="L144" i="2"/>
  <c r="M144" i="2"/>
  <c r="M179" i="9"/>
  <c r="G688" i="1"/>
  <c r="G690" i="1"/>
  <c r="C131" i="24"/>
  <c r="L128" i="2"/>
  <c r="M156" i="2"/>
  <c r="M117" i="2"/>
  <c r="M124" i="2"/>
  <c r="M125" i="2"/>
  <c r="L129" i="2"/>
  <c r="J245" i="24"/>
  <c r="G675" i="1"/>
  <c r="G682" i="1"/>
  <c r="D164" i="5" s="1"/>
  <c r="D165" i="5" s="1"/>
  <c r="D166" i="5" s="1"/>
  <c r="C347" i="1"/>
  <c r="C348" i="1"/>
  <c r="L97" i="3"/>
  <c r="F111" i="3"/>
  <c r="P96" i="5"/>
  <c r="F52" i="5"/>
  <c r="F54" i="5"/>
  <c r="K54" i="5" s="1"/>
  <c r="L54" i="5"/>
  <c r="L53" i="5"/>
  <c r="L52" i="5"/>
  <c r="J79" i="5"/>
  <c r="D76" i="5"/>
  <c r="G66" i="5"/>
  <c r="G68" i="5" s="1"/>
  <c r="L51" i="5"/>
  <c r="L57" i="5"/>
  <c r="L55" i="5"/>
  <c r="J582" i="1"/>
  <c r="L56" i="5"/>
  <c r="J52" i="5"/>
  <c r="J92" i="5"/>
  <c r="G67" i="5"/>
  <c r="L58" i="5"/>
  <c r="J583" i="1"/>
  <c r="B616" i="1"/>
  <c r="L616" i="1" s="1"/>
  <c r="G85" i="5"/>
  <c r="G80" i="5"/>
  <c r="G79" i="5"/>
  <c r="G133" i="5"/>
  <c r="F120" i="5"/>
  <c r="G84" i="5"/>
  <c r="G83" i="5"/>
  <c r="G82" i="5"/>
  <c r="G134" i="5"/>
  <c r="G81" i="5"/>
  <c r="P120" i="5"/>
  <c r="F91" i="5"/>
  <c r="F92" i="5"/>
  <c r="G92" i="5" s="1"/>
  <c r="P91" i="5"/>
  <c r="L78" i="5"/>
  <c r="J64" i="5"/>
  <c r="B610" i="1"/>
  <c r="D49" i="5" s="1"/>
  <c r="J62" i="5"/>
  <c r="J61" i="5"/>
  <c r="K631" i="1"/>
  <c r="K625" i="1"/>
  <c r="N615" i="1"/>
  <c r="N616" i="1" s="1"/>
  <c r="J63" i="5"/>
  <c r="L59" i="5"/>
  <c r="K615" i="1"/>
  <c r="K616" i="1" s="1"/>
  <c r="G615" i="1"/>
  <c r="G616" i="1" s="1"/>
  <c r="J67" i="5"/>
  <c r="J615" i="1"/>
  <c r="J65" i="5"/>
  <c r="G578" i="1"/>
  <c r="I624" i="1"/>
  <c r="J151" i="24"/>
  <c r="J134" i="24"/>
  <c r="J155" i="24"/>
  <c r="J158" i="24" s="1" a="1"/>
  <c r="J158" i="24" s="1"/>
  <c r="J138" i="24"/>
  <c r="G677" i="1"/>
  <c r="O138" i="5"/>
  <c r="G679" i="1"/>
  <c r="E45" i="9"/>
  <c r="C117" i="5" a="1"/>
  <c r="C117" i="5" s="1"/>
  <c r="G599" i="1" s="1"/>
  <c r="U624" i="1"/>
  <c r="L130" i="2"/>
  <c r="H96" i="1"/>
  <c r="G96" i="1" s="1"/>
  <c r="L146" i="2"/>
  <c r="J134" i="5"/>
  <c r="A621" i="1"/>
  <c r="A622" i="1"/>
  <c r="C7" i="5"/>
  <c r="P50" i="5"/>
  <c r="AW4" i="19"/>
  <c r="B615" i="1"/>
  <c r="L615" i="1" s="1"/>
  <c r="F64" i="1"/>
  <c r="Q451" i="1"/>
  <c r="P452" i="1"/>
  <c r="Q452" i="1" s="1"/>
  <c r="P454" i="1"/>
  <c r="Q454" i="1" s="1"/>
  <c r="P458" i="1"/>
  <c r="C480" i="1"/>
  <c r="E480" i="1" s="1"/>
  <c r="U629" i="1"/>
  <c r="U627" i="1"/>
  <c r="U626" i="1"/>
  <c r="U625" i="1"/>
  <c r="U628" i="1"/>
  <c r="J85" i="5"/>
  <c r="F201" i="1"/>
  <c r="F573" i="1"/>
  <c r="F135" i="1"/>
  <c r="C55" i="9"/>
  <c r="M319" i="9"/>
  <c r="L439" i="26"/>
  <c r="L440" i="26" s="1"/>
  <c r="M312" i="9"/>
  <c r="M401" i="9"/>
  <c r="N399" i="9"/>
  <c r="G217" i="24"/>
  <c r="H217" i="24" s="1"/>
  <c r="N98" i="3"/>
  <c r="F101" i="3"/>
  <c r="Q113" i="1"/>
  <c r="J102" i="1" s="1"/>
  <c r="O139" i="2" s="1"/>
  <c r="F132" i="5"/>
  <c r="F131" i="5"/>
  <c r="F129" i="5"/>
  <c r="F130" i="5" s="1"/>
  <c r="BY279" i="19" a="1"/>
  <c r="BY279" i="19" s="1"/>
  <c r="Q186" i="19" a="1"/>
  <c r="Q186" i="19" s="1"/>
  <c r="AU58" i="19" a="1"/>
  <c r="AU58" i="19" s="1"/>
  <c r="N348" i="9"/>
  <c r="AU140" i="19" a="1"/>
  <c r="AU140" i="19" s="1"/>
  <c r="N93" i="3"/>
  <c r="BW36" i="19" a="1"/>
  <c r="BW36" i="19" s="1"/>
  <c r="BW332" i="19" a="1"/>
  <c r="BW332" i="19" s="1"/>
  <c r="L37" i="14"/>
  <c r="I10" i="14"/>
  <c r="H8" i="14" s="1"/>
  <c r="L76" i="14"/>
  <c r="N76" i="14" s="1"/>
  <c r="L61" i="14"/>
  <c r="M61" i="14" s="1"/>
  <c r="L58" i="14"/>
  <c r="O33" i="4"/>
  <c r="BW25" i="19" a="1"/>
  <c r="BW25" i="19" s="1"/>
  <c r="BW616" i="19" a="1"/>
  <c r="BW616" i="19" s="1"/>
  <c r="BW648" i="19" a="1"/>
  <c r="BW648" i="19" s="1"/>
  <c r="BW204" i="19" a="1"/>
  <c r="BW204" i="19" s="1"/>
  <c r="BW44" i="19" a="1"/>
  <c r="BW44" i="19" s="1"/>
  <c r="BW545" i="19" a="1"/>
  <c r="BW545" i="19" s="1"/>
  <c r="BW516" i="19" a="1"/>
  <c r="BW516" i="19" s="1"/>
  <c r="BW487" i="19" a="1"/>
  <c r="BW487" i="19" s="1"/>
  <c r="BW697" i="19" a="1"/>
  <c r="BW697" i="19" s="1"/>
  <c r="BW556" i="19" a="1"/>
  <c r="BW556" i="19" s="1"/>
  <c r="BW511" i="19" a="1"/>
  <c r="BW511" i="19" s="1"/>
  <c r="BW721" i="19" a="1"/>
  <c r="BW721" i="19" s="1"/>
  <c r="BW381" i="19" a="1"/>
  <c r="BW381" i="19" s="1"/>
  <c r="BW583" i="19" a="1"/>
  <c r="BW583" i="19" s="1"/>
  <c r="BW722" i="19" a="1"/>
  <c r="BW722" i="19" s="1"/>
  <c r="BW589" i="19" a="1"/>
  <c r="BW589" i="19" s="1"/>
  <c r="BW35" i="19" a="1"/>
  <c r="BW35" i="19" s="1"/>
  <c r="BW711" i="19" a="1"/>
  <c r="BW711" i="19" s="1"/>
  <c r="BW91" i="19" a="1"/>
  <c r="BW91" i="19" s="1"/>
  <c r="BW669" i="19" a="1"/>
  <c r="BW669" i="19" s="1"/>
  <c r="BW575" i="19" a="1"/>
  <c r="BW575" i="19" s="1"/>
  <c r="BW226" i="19" a="1"/>
  <c r="BW226" i="19" s="1"/>
  <c r="BW501" i="19" a="1"/>
  <c r="BW501" i="19" s="1"/>
  <c r="BW43" i="19" a="1"/>
  <c r="BW43" i="19" s="1"/>
  <c r="BW488" i="19" a="1"/>
  <c r="BW488" i="19" s="1"/>
  <c r="BW203" i="19" a="1"/>
  <c r="BW203" i="19" s="1"/>
  <c r="BW709" i="19" a="1"/>
  <c r="BW709" i="19" s="1"/>
  <c r="BW61" i="19" a="1"/>
  <c r="BW61" i="19" s="1"/>
  <c r="BW496" i="19" a="1"/>
  <c r="BW496" i="19" s="1"/>
  <c r="BW355" i="19" a="1"/>
  <c r="BW355" i="19" s="1"/>
  <c r="BW550" i="19" a="1"/>
  <c r="BW550" i="19" s="1"/>
  <c r="BW39" i="19" a="1"/>
  <c r="BW39" i="19" s="1"/>
  <c r="BW592" i="19" a="1"/>
  <c r="BW592" i="19" s="1"/>
  <c r="BW371" i="19" a="1"/>
  <c r="BW371" i="19" s="1"/>
  <c r="BW590" i="19" a="1"/>
  <c r="BW590" i="19" s="1"/>
  <c r="BW26" i="19" a="1"/>
  <c r="BW26" i="19" s="1"/>
  <c r="BW561" i="19" a="1"/>
  <c r="BW561" i="19" s="1"/>
  <c r="BW548" i="19" a="1"/>
  <c r="BW548" i="19" s="1"/>
  <c r="M136" i="2"/>
  <c r="P189" i="5"/>
  <c r="B189" i="5" s="1"/>
  <c r="M18" i="2"/>
  <c r="L7" i="3"/>
  <c r="L24" i="3"/>
  <c r="N24" i="3" s="1"/>
  <c r="I97" i="1"/>
  <c r="O130" i="2" s="1"/>
  <c r="BW50" i="19" a="1"/>
  <c r="BW50" i="19" s="1"/>
  <c r="BW128" i="19" a="1"/>
  <c r="BW128" i="19" s="1"/>
  <c r="BW97" i="19" a="1"/>
  <c r="BW97" i="19" s="1"/>
  <c r="BW266" i="19" a="1"/>
  <c r="BW266" i="19" s="1"/>
  <c r="BW379" i="19" a="1"/>
  <c r="BW379" i="19" s="1"/>
  <c r="BW572" i="19" a="1"/>
  <c r="BW572" i="19" s="1"/>
  <c r="BW717" i="19" a="1"/>
  <c r="BW717" i="19" s="1"/>
  <c r="BW239" i="19" a="1"/>
  <c r="BW239" i="19" s="1"/>
  <c r="BW208" i="19" a="1"/>
  <c r="BW208" i="19" s="1"/>
  <c r="BW113" i="19" a="1"/>
  <c r="BW113" i="19" s="1"/>
  <c r="BW354" i="19" a="1"/>
  <c r="BW354" i="19" s="1"/>
  <c r="BW403" i="19" a="1"/>
  <c r="BW403" i="19" s="1"/>
  <c r="BW684" i="19" a="1"/>
  <c r="BW684" i="19" s="1"/>
  <c r="BW166" i="19" a="1"/>
  <c r="BW166" i="19" s="1"/>
  <c r="BW247" i="19" a="1"/>
  <c r="BW247" i="19" s="1"/>
  <c r="BW224" i="19" a="1"/>
  <c r="BW224" i="19" s="1"/>
  <c r="BW201" i="19" a="1"/>
  <c r="BW201" i="19" s="1"/>
  <c r="BW370" i="19" a="1"/>
  <c r="BW370" i="19" s="1"/>
  <c r="BW499" i="19" a="1"/>
  <c r="BW499" i="19" s="1"/>
  <c r="BW716" i="19" a="1"/>
  <c r="BW716" i="19" s="1"/>
  <c r="BW190" i="19" a="1"/>
  <c r="BW190" i="19" s="1"/>
  <c r="BW27" i="19" a="1"/>
  <c r="BW27" i="19" s="1"/>
  <c r="BW255" i="19" a="1"/>
  <c r="BW255" i="19" s="1"/>
  <c r="BW232" i="19" a="1"/>
  <c r="BW232" i="19" s="1"/>
  <c r="BW209" i="19" a="1"/>
  <c r="BW209" i="19" s="1"/>
  <c r="BW386" i="19" a="1"/>
  <c r="BW386" i="19" s="1"/>
  <c r="BW691" i="19" a="1"/>
  <c r="BW691" i="19" s="1"/>
  <c r="BW189" i="19" a="1"/>
  <c r="BW189" i="19" s="1"/>
  <c r="BW366" i="19" a="1"/>
  <c r="BW366" i="19" s="1"/>
  <c r="BW14" i="19" a="1"/>
  <c r="BW14" i="19" s="1"/>
  <c r="BW271" i="19" a="1"/>
  <c r="BW271" i="19" s="1"/>
  <c r="BW344" i="19" a="1"/>
  <c r="BW344" i="19" s="1"/>
  <c r="BW257" i="19" a="1"/>
  <c r="BW257" i="19" s="1"/>
  <c r="BW522" i="19" a="1"/>
  <c r="BW522" i="19" s="1"/>
  <c r="BW92" i="19" a="1"/>
  <c r="BW92" i="19" s="1"/>
  <c r="BW205" i="19" a="1"/>
  <c r="BW205" i="19" s="1"/>
  <c r="BW406" i="19" a="1"/>
  <c r="BW406" i="19" s="1"/>
  <c r="BW15" i="19" a="1"/>
  <c r="BW15" i="19" s="1"/>
  <c r="BW351" i="19" a="1"/>
  <c r="BW351" i="19" s="1"/>
  <c r="BW368" i="19" a="1"/>
  <c r="BW368" i="19" s="1"/>
  <c r="G342" i="9" s="1"/>
  <c r="BW385" i="19" a="1"/>
  <c r="BW385" i="19" s="1"/>
  <c r="BW706" i="19" a="1"/>
  <c r="BW706" i="19" s="1"/>
  <c r="BW172" i="19" a="1"/>
  <c r="BW172" i="19" s="1"/>
  <c r="BW229" i="19" a="1"/>
  <c r="BW229" i="19" s="1"/>
  <c r="BW422" i="19" a="1"/>
  <c r="BW422" i="19" s="1"/>
  <c r="BW31" i="19" a="1"/>
  <c r="BW31" i="19" s="1"/>
  <c r="BW479" i="19" a="1"/>
  <c r="BW479" i="19" s="1"/>
  <c r="BW480" i="19" a="1"/>
  <c r="BW480" i="19" s="1"/>
  <c r="BW513" i="19" a="1"/>
  <c r="BW513" i="19" s="1"/>
  <c r="BW714" i="19" a="1"/>
  <c r="BW714" i="19" s="1"/>
  <c r="BW188" i="19" a="1"/>
  <c r="BW188" i="19" s="1"/>
  <c r="BW349" i="19" a="1"/>
  <c r="BW349" i="19" s="1"/>
  <c r="BW526" i="19" a="1"/>
  <c r="BW526" i="19" s="1"/>
  <c r="J97" i="1"/>
  <c r="O140" i="2" s="1"/>
  <c r="L134" i="2"/>
  <c r="BY454" i="19" a="1"/>
  <c r="BY454" i="19" s="1"/>
  <c r="Q100" i="19" a="1"/>
  <c r="Q100" i="19" s="1"/>
  <c r="BY83" i="19" a="1"/>
  <c r="BY83" i="19" s="1"/>
  <c r="Q272" i="19" a="1"/>
  <c r="Q272" i="19" s="1"/>
  <c r="BY349" i="19" a="1"/>
  <c r="BY349" i="19" s="1"/>
  <c r="M457" i="9"/>
  <c r="BY423" i="19" a="1"/>
  <c r="BY423" i="19" s="1"/>
  <c r="I126" i="9"/>
  <c r="G216" i="24"/>
  <c r="H216" i="24" s="1"/>
  <c r="H293" i="9"/>
  <c r="N459" i="9"/>
  <c r="N252" i="9"/>
  <c r="BY139" i="19" a="1"/>
  <c r="BY139" i="19" s="1"/>
  <c r="M254" i="9"/>
  <c r="M275" i="9"/>
  <c r="C311" i="9" a="1"/>
  <c r="C311" i="9" s="1"/>
  <c r="C314" i="9" s="1" a="1"/>
  <c r="C314" i="9" s="1"/>
  <c r="M458" i="9"/>
  <c r="M209" i="9"/>
  <c r="H294" i="9"/>
  <c r="N400" i="9"/>
  <c r="L321" i="9"/>
  <c r="N321" i="9" s="1"/>
  <c r="M346" i="9"/>
  <c r="I466" i="9"/>
  <c r="I158" i="9"/>
  <c r="I161" i="9" s="1"/>
  <c r="Q101" i="19" a="1"/>
  <c r="Q101" i="19" s="1"/>
  <c r="Q187" i="19" a="1"/>
  <c r="Q187" i="19" s="1"/>
  <c r="Q273" i="19" a="1"/>
  <c r="Q273" i="19" s="1"/>
  <c r="Q188" i="19" a="1"/>
  <c r="Q188" i="19" s="1"/>
  <c r="Q122" i="19" a="1"/>
  <c r="Q122" i="19" s="1"/>
  <c r="Q206" i="19" a="1"/>
  <c r="Q206" i="19" s="1"/>
  <c r="Q297" i="19" a="1"/>
  <c r="Q297" i="19" s="1"/>
  <c r="AU328" i="19" a="1"/>
  <c r="AU328" i="19" s="1"/>
  <c r="M262" i="9"/>
  <c r="BY375" i="19" a="1"/>
  <c r="BY375" i="19" s="1"/>
  <c r="BY241" i="19" a="1"/>
  <c r="BY241" i="19" s="1"/>
  <c r="N15" i="9"/>
  <c r="Q33" i="19" a="1"/>
  <c r="Q33" i="19" s="1"/>
  <c r="Q124" i="19" a="1"/>
  <c r="Q124" i="19" s="1"/>
  <c r="Q208" i="19" a="1"/>
  <c r="Q208" i="19" s="1"/>
  <c r="Q300" i="19" a="1"/>
  <c r="Q300" i="19" s="1"/>
  <c r="Q37" i="19" a="1"/>
  <c r="Q37" i="19" s="1"/>
  <c r="Q142" i="19" a="1"/>
  <c r="Q142" i="19" s="1"/>
  <c r="Q228" i="19" a="1"/>
  <c r="Q228" i="19" s="1"/>
  <c r="B116" i="9"/>
  <c r="N97" i="9"/>
  <c r="B526" i="9"/>
  <c r="B528" i="9" s="1"/>
  <c r="M65" i="9"/>
  <c r="Q53" i="19" a="1"/>
  <c r="Q53" i="19" s="1"/>
  <c r="Q143" i="19" a="1"/>
  <c r="Q143" i="19" s="1"/>
  <c r="Q229" i="19" a="1"/>
  <c r="Q229" i="19" s="1"/>
  <c r="R190" i="26"/>
  <c r="BY115" i="19" a="1"/>
  <c r="BY115" i="19" s="1"/>
  <c r="Q59" i="19" a="1"/>
  <c r="Q59" i="19" s="1"/>
  <c r="Q144" i="19" a="1"/>
  <c r="Q144" i="19" s="1"/>
  <c r="Q230" i="19" a="1"/>
  <c r="Q230" i="19" s="1"/>
  <c r="G210" i="24"/>
  <c r="H210" i="24" s="1"/>
  <c r="B213" i="9"/>
  <c r="M382" i="9"/>
  <c r="C65" i="9"/>
  <c r="Q60" i="19" a="1"/>
  <c r="Q60" i="19" s="1"/>
  <c r="Q163" i="19" a="1"/>
  <c r="Q163" i="19" s="1"/>
  <c r="Q249" i="19" a="1"/>
  <c r="Q249" i="19" s="1"/>
  <c r="N55" i="9"/>
  <c r="M355" i="9"/>
  <c r="BY259" i="19" a="1"/>
  <c r="BY259" i="19" s="1"/>
  <c r="Q102" i="19" a="1"/>
  <c r="Q102" i="19" s="1"/>
  <c r="Q275" i="19" a="1"/>
  <c r="Q275" i="19" s="1"/>
  <c r="M244" i="9"/>
  <c r="M15" i="9"/>
  <c r="Q32" i="19" a="1"/>
  <c r="Q32" i="19" s="1"/>
  <c r="Q123" i="19" a="1"/>
  <c r="Q123" i="19" s="1"/>
  <c r="Q207" i="19" a="1"/>
  <c r="Q207" i="19" s="1"/>
  <c r="Q298" i="19" a="1"/>
  <c r="Q298" i="19" s="1"/>
  <c r="M55" i="9"/>
  <c r="M226" i="9"/>
  <c r="Q80" i="19" a="1"/>
  <c r="Q80" i="19" s="1"/>
  <c r="Q165" i="19" a="1"/>
  <c r="Q165" i="19" s="1"/>
  <c r="Q250" i="19" a="1"/>
  <c r="Q250" i="19" s="1"/>
  <c r="N355" i="9"/>
  <c r="Q81" i="19" a="1"/>
  <c r="Q81" i="19" s="1"/>
  <c r="Q170" i="19" a="1"/>
  <c r="Q170" i="19" s="1"/>
  <c r="Q251" i="19" a="1"/>
  <c r="Q251" i="19" s="1"/>
  <c r="L349" i="9"/>
  <c r="N382" i="9"/>
  <c r="A21" i="4" a="1"/>
  <c r="A21" i="4" s="1"/>
  <c r="A25" i="4" s="1" a="1"/>
  <c r="A25" i="4" s="1"/>
  <c r="A51" i="4" s="1" a="1"/>
  <c r="A51" i="4" s="1"/>
  <c r="AU39" i="19" a="1"/>
  <c r="AU39" i="19" s="1"/>
  <c r="AU268" i="19" a="1"/>
  <c r="AU268" i="19" s="1"/>
  <c r="AU344" i="19" a="1"/>
  <c r="AU344" i="19" s="1"/>
  <c r="AU72" i="19" a="1"/>
  <c r="AU72" i="19" s="1"/>
  <c r="P448" i="1"/>
  <c r="AU71" i="19" a="1"/>
  <c r="AU71" i="19" s="1"/>
  <c r="AU287" i="19" a="1"/>
  <c r="AU287" i="19" s="1"/>
  <c r="AU202" i="19" a="1"/>
  <c r="AU202" i="19" s="1"/>
  <c r="AU80" i="19" a="1"/>
  <c r="AU80" i="19" s="1"/>
  <c r="BW48" i="19" a="1"/>
  <c r="BW48" i="19" s="1"/>
  <c r="BW375" i="19" a="1"/>
  <c r="BW375" i="19" s="1"/>
  <c r="BW240" i="19" a="1"/>
  <c r="BW240" i="19" s="1"/>
  <c r="BW177" i="19" a="1"/>
  <c r="BW177" i="19" s="1"/>
  <c r="BW242" i="19" a="1"/>
  <c r="BW242" i="19" s="1"/>
  <c r="BW227" i="19" a="1"/>
  <c r="BW227" i="19" s="1"/>
  <c r="BW252" i="19" a="1"/>
  <c r="BW252" i="19" s="1"/>
  <c r="BW325" i="19" a="1"/>
  <c r="BW325" i="19" s="1"/>
  <c r="BW398" i="19" a="1"/>
  <c r="BW398" i="19" s="1"/>
  <c r="BY205" i="19" a="1"/>
  <c r="BY205" i="19" s="1"/>
  <c r="AU103" i="19" a="1"/>
  <c r="AU103" i="19" s="1"/>
  <c r="AU115" i="19" a="1"/>
  <c r="AU115" i="19" s="1"/>
  <c r="AU210" i="19" a="1"/>
  <c r="AU210" i="19" s="1"/>
  <c r="AU128" i="19" a="1"/>
  <c r="AU128" i="19" s="1"/>
  <c r="AU478" i="19" a="1"/>
  <c r="AU478" i="19" s="1"/>
  <c r="AU131" i="19" a="1"/>
  <c r="AU131" i="19" s="1"/>
  <c r="AU474" i="19" a="1"/>
  <c r="AU474" i="19" s="1"/>
  <c r="AU397" i="19" a="1"/>
  <c r="AU397" i="19" s="1"/>
  <c r="AU42" i="19" a="1"/>
  <c r="AU42" i="19" s="1"/>
  <c r="AU254" i="19" a="1"/>
  <c r="AU254" i="19" s="1"/>
  <c r="AU506" i="19" a="1"/>
  <c r="AU506" i="19" s="1"/>
  <c r="AU429" i="19" a="1"/>
  <c r="AU429" i="19" s="1"/>
  <c r="AU358" i="19" a="1"/>
  <c r="AU358" i="19" s="1"/>
  <c r="AU148" i="19" a="1"/>
  <c r="AU148" i="19" s="1"/>
  <c r="AU195" i="19" a="1"/>
  <c r="AU195" i="19" s="1"/>
  <c r="AU81" i="19" a="1"/>
  <c r="AU81" i="19" s="1"/>
  <c r="AU163" i="19" a="1"/>
  <c r="AU163" i="19" s="1"/>
  <c r="AU211" i="19" a="1"/>
  <c r="AU211" i="19" s="1"/>
  <c r="BW69" i="19" a="1"/>
  <c r="BW69" i="19" s="1"/>
  <c r="BW135" i="19" a="1"/>
  <c r="BW135" i="19" s="1"/>
  <c r="BW607" i="19" a="1"/>
  <c r="BW607" i="19" s="1"/>
  <c r="BW520" i="19" a="1"/>
  <c r="BW520" i="19" s="1"/>
  <c r="BW537" i="19" a="1"/>
  <c r="BW537" i="19" s="1"/>
  <c r="BW602" i="19" a="1"/>
  <c r="BW602" i="19" s="1"/>
  <c r="BW571" i="19" a="1"/>
  <c r="BW571" i="19" s="1"/>
  <c r="BW596" i="19" a="1"/>
  <c r="BW596" i="19" s="1"/>
  <c r="BW693" i="19" a="1"/>
  <c r="BW693" i="19" s="1"/>
  <c r="BY430" i="19" a="1"/>
  <c r="BY430" i="19" s="1"/>
  <c r="BY429" i="19" a="1"/>
  <c r="BY429" i="19" s="1"/>
  <c r="AU206" i="19" a="1"/>
  <c r="AU206" i="19" s="1"/>
  <c r="AU369" i="19" a="1"/>
  <c r="AU369" i="19" s="1"/>
  <c r="AU219" i="19" a="1"/>
  <c r="AU219" i="19" s="1"/>
  <c r="AU279" i="19" a="1"/>
  <c r="AU279" i="19" s="1"/>
  <c r="AU377" i="19" a="1"/>
  <c r="AU377" i="19" s="1"/>
  <c r="AU443" i="19" a="1"/>
  <c r="AU443" i="19" s="1"/>
  <c r="AU324" i="19" a="1"/>
  <c r="AU324" i="19" s="1"/>
  <c r="AU385" i="19" a="1"/>
  <c r="AU385" i="19" s="1"/>
  <c r="AU499" i="19" a="1"/>
  <c r="AU499" i="19" s="1"/>
  <c r="AU223" i="19" a="1"/>
  <c r="AU223" i="19" s="1"/>
  <c r="AU320" i="19" a="1"/>
  <c r="AU320" i="19" s="1"/>
  <c r="AU348" i="19" a="1"/>
  <c r="AU348" i="19" s="1"/>
  <c r="F304" i="1"/>
  <c r="Q455" i="1"/>
  <c r="R455" i="1" s="1"/>
  <c r="F200" i="1"/>
  <c r="C375" i="1"/>
  <c r="C399" i="1"/>
  <c r="C411" i="1"/>
  <c r="F337" i="1"/>
  <c r="C363" i="1"/>
  <c r="C483" i="1"/>
  <c r="E483" i="1" s="1"/>
  <c r="C387" i="1"/>
  <c r="C388" i="1"/>
  <c r="F126" i="1"/>
  <c r="C366" i="1"/>
  <c r="F310" i="1"/>
  <c r="F795" i="1"/>
  <c r="L39" i="2"/>
  <c r="AU4" i="19"/>
  <c r="F306" i="1"/>
  <c r="C368" i="1"/>
  <c r="C400" i="1"/>
  <c r="Q4" i="19"/>
  <c r="F168" i="1"/>
  <c r="F312" i="1"/>
  <c r="F16" i="1"/>
  <c r="C376" i="1"/>
  <c r="C412" i="1"/>
  <c r="F307" i="1"/>
  <c r="F807" i="1"/>
  <c r="F120" i="1"/>
  <c r="F192" i="1"/>
  <c r="F115" i="1"/>
  <c r="F167" i="1"/>
  <c r="C419" i="1"/>
  <c r="C369" i="1"/>
  <c r="C382" i="1"/>
  <c r="C394" i="1"/>
  <c r="C406" i="1"/>
  <c r="C418" i="1"/>
  <c r="C358" i="1"/>
  <c r="D481" i="1"/>
  <c r="F328" i="1"/>
  <c r="F697" i="1"/>
  <c r="F308" i="1"/>
  <c r="C476" i="1"/>
  <c r="C454" i="1" s="1"/>
  <c r="C370" i="1"/>
  <c r="C356" i="1"/>
  <c r="F700" i="1"/>
  <c r="F153" i="1"/>
  <c r="V456" i="1"/>
  <c r="W456" i="1" s="1"/>
  <c r="C360" i="1"/>
  <c r="C373" i="1"/>
  <c r="C385" i="1"/>
  <c r="C397" i="1"/>
  <c r="C409" i="1"/>
  <c r="F798" i="1"/>
  <c r="F51" i="1"/>
  <c r="F189" i="1"/>
  <c r="F574" i="1"/>
  <c r="F70" i="1"/>
  <c r="CA4" i="19"/>
  <c r="F292" i="1"/>
  <c r="F572" i="1"/>
  <c r="F151" i="1"/>
  <c r="C362" i="1"/>
  <c r="F147" i="1"/>
  <c r="F67" i="1"/>
  <c r="F864" i="1"/>
  <c r="F136" i="1"/>
  <c r="C364" i="1"/>
  <c r="C377" i="1"/>
  <c r="C389" i="1"/>
  <c r="C401" i="1"/>
  <c r="C413" i="1"/>
  <c r="F797" i="1"/>
  <c r="J176" i="1"/>
  <c r="O259" i="2" s="1"/>
  <c r="B259" i="2"/>
  <c r="I176" i="1"/>
  <c r="O249" i="2" s="1"/>
  <c r="B249" i="2"/>
  <c r="L118" i="2"/>
  <c r="M118" i="2"/>
  <c r="J179" i="1"/>
  <c r="O258" i="2" s="1"/>
  <c r="Q184" i="1"/>
  <c r="J181" i="1" s="1" a="1"/>
  <c r="J181" i="1" s="1"/>
  <c r="O257" i="2" s="1"/>
  <c r="L242" i="2"/>
  <c r="M148" i="2"/>
  <c r="M193" i="2"/>
  <c r="M242" i="2"/>
  <c r="L112" i="2"/>
  <c r="L166" i="2"/>
  <c r="L220" i="2"/>
  <c r="M254" i="2"/>
  <c r="L280" i="2"/>
  <c r="C477" i="1"/>
  <c r="C455" i="1" s="1"/>
  <c r="G257" i="2"/>
  <c r="L155" i="2"/>
  <c r="I424" i="9"/>
  <c r="L258" i="2"/>
  <c r="I420" i="9"/>
  <c r="M145" i="2"/>
  <c r="H178" i="1"/>
  <c r="G178" i="1" s="1"/>
  <c r="L117" i="2"/>
  <c r="C30" i="3"/>
  <c r="C251" i="2"/>
  <c r="L149" i="2"/>
  <c r="L248" i="2"/>
  <c r="L257" i="2"/>
  <c r="H177" i="1"/>
  <c r="G177" i="1" s="1"/>
  <c r="H46" i="9"/>
  <c r="I46" i="9" s="1"/>
  <c r="L255" i="2"/>
  <c r="I179" i="1"/>
  <c r="O248" i="2" s="1"/>
  <c r="B42" i="14"/>
  <c r="B745" i="1"/>
  <c r="O19" i="19" a="1"/>
  <c r="O19" i="19" s="1"/>
  <c r="O122" i="19" a="1"/>
  <c r="O122" i="19" s="1"/>
  <c r="O38" i="19" a="1"/>
  <c r="O38" i="19" s="1"/>
  <c r="I16" i="18"/>
  <c r="I19" i="18" s="1"/>
  <c r="O18" i="19" a="1"/>
  <c r="O18" i="19" s="1"/>
  <c r="P196" i="5"/>
  <c r="P200" i="5"/>
  <c r="Q244" i="26"/>
  <c r="O196" i="5"/>
  <c r="G178" i="5"/>
  <c r="Q264" i="26"/>
  <c r="Q196" i="26"/>
  <c r="Q194" i="26"/>
  <c r="Q198" i="26"/>
  <c r="Q266" i="26"/>
  <c r="G114" i="5"/>
  <c r="M85" i="9"/>
  <c r="D318" i="9" a="1"/>
  <c r="D318" i="9" s="1"/>
  <c r="A426" i="9" a="1"/>
  <c r="A426" i="9" s="1"/>
  <c r="A429" i="9" s="1" a="1"/>
  <c r="A429" i="9" s="1"/>
  <c r="E761" i="1" s="1"/>
  <c r="M332" i="9"/>
  <c r="I422" i="9"/>
  <c r="Q13" i="19" a="1"/>
  <c r="Q13" i="19" s="1"/>
  <c r="Q39" i="19" a="1"/>
  <c r="Q39" i="19" s="1"/>
  <c r="Q62" i="19" a="1"/>
  <c r="Q62" i="19" s="1"/>
  <c r="Q82" i="19" a="1"/>
  <c r="Q82" i="19" s="1"/>
  <c r="Q103" i="19" a="1"/>
  <c r="Q103" i="19" s="1"/>
  <c r="Q128" i="19" a="1"/>
  <c r="Q128" i="19" s="1"/>
  <c r="Q145" i="19" a="1"/>
  <c r="Q145" i="19" s="1"/>
  <c r="Q172" i="19" a="1"/>
  <c r="Q172" i="19" s="1"/>
  <c r="Q192" i="19" a="1"/>
  <c r="Q192" i="19" s="1"/>
  <c r="Q209" i="19" a="1"/>
  <c r="Q209" i="19" s="1"/>
  <c r="Q231" i="19" a="1"/>
  <c r="Q231" i="19" s="1"/>
  <c r="Q252" i="19" a="1"/>
  <c r="Q252" i="19" s="1"/>
  <c r="Q280" i="19" a="1"/>
  <c r="Q280" i="19" s="1"/>
  <c r="O48" i="9"/>
  <c r="L326" i="9"/>
  <c r="AU135" i="19" a="1"/>
  <c r="AU135" i="19" s="1"/>
  <c r="AU326" i="19" a="1"/>
  <c r="AU326" i="19" s="1"/>
  <c r="AU270" i="19" a="1"/>
  <c r="AU270" i="19" s="1"/>
  <c r="AU303" i="19" a="1"/>
  <c r="AU303" i="19" s="1"/>
  <c r="AU487" i="19" a="1"/>
  <c r="AU487" i="19" s="1"/>
  <c r="AU342" i="19" a="1"/>
  <c r="AU342" i="19" s="1"/>
  <c r="AU170" i="19" a="1"/>
  <c r="AU170" i="19" s="1"/>
  <c r="AU393" i="19" a="1"/>
  <c r="AU393" i="19" s="1"/>
  <c r="AU488" i="19" a="1"/>
  <c r="AU488" i="19" s="1"/>
  <c r="AU218" i="19" a="1"/>
  <c r="AU218" i="19" s="1"/>
  <c r="AU376" i="19" a="1"/>
  <c r="AU376" i="19" s="1"/>
  <c r="AU251" i="19" a="1"/>
  <c r="AU251" i="19" s="1"/>
  <c r="AU160" i="19" a="1"/>
  <c r="AU160" i="19" s="1"/>
  <c r="M456" i="9"/>
  <c r="N324" i="9"/>
  <c r="C248" i="9"/>
  <c r="N255" i="9"/>
  <c r="BY251" i="19" a="1"/>
  <c r="BY251" i="19" s="1"/>
  <c r="BY168" i="19" a="1"/>
  <c r="BY168" i="19" s="1"/>
  <c r="BY29" i="19" a="1"/>
  <c r="BY29" i="19" s="1"/>
  <c r="BY427" i="19" a="1"/>
  <c r="BY427" i="19" s="1"/>
  <c r="Q14" i="19" a="1"/>
  <c r="Q14" i="19" s="1"/>
  <c r="Q40" i="19" a="1"/>
  <c r="Q40" i="19" s="1"/>
  <c r="Q83" i="19" a="1"/>
  <c r="Q83" i="19" s="1"/>
  <c r="Q130" i="19" a="1"/>
  <c r="Q130" i="19" s="1"/>
  <c r="Q151" i="19" a="1"/>
  <c r="Q151" i="19" s="1"/>
  <c r="Q194" i="19" a="1"/>
  <c r="Q194" i="19" s="1"/>
  <c r="Q214" i="19" a="1"/>
  <c r="Q214" i="19" s="1"/>
  <c r="Q235" i="19" a="1"/>
  <c r="Q235" i="19" s="1"/>
  <c r="Q257" i="19" a="1"/>
  <c r="Q257" i="19" s="1"/>
  <c r="Q301" i="19" a="1"/>
  <c r="Q301" i="19" s="1"/>
  <c r="L327" i="9"/>
  <c r="AU172" i="19" a="1"/>
  <c r="AU172" i="19" s="1"/>
  <c r="AU334" i="19" a="1"/>
  <c r="AU334" i="19" s="1"/>
  <c r="AU252" i="19" a="1"/>
  <c r="AU252" i="19" s="1"/>
  <c r="AU374" i="19" a="1"/>
  <c r="AU374" i="19" s="1"/>
  <c r="AU177" i="19" a="1"/>
  <c r="AU177" i="19" s="1"/>
  <c r="AU441" i="19" a="1"/>
  <c r="AU441" i="19" s="1"/>
  <c r="AU13" i="19" a="1"/>
  <c r="AU13" i="19" s="1"/>
  <c r="AU274" i="19" a="1"/>
  <c r="AU274" i="19" s="1"/>
  <c r="AU392" i="19" a="1"/>
  <c r="AU392" i="19" s="1"/>
  <c r="AU283" i="19" a="1"/>
  <c r="AU283" i="19" s="1"/>
  <c r="AU356" i="19" a="1"/>
  <c r="AU356" i="19" s="1"/>
  <c r="AU173" i="19" a="1"/>
  <c r="AU173" i="19" s="1"/>
  <c r="N332" i="9"/>
  <c r="BY359" i="19" a="1"/>
  <c r="BY359" i="19" s="1"/>
  <c r="BY192" i="19" a="1"/>
  <c r="BY192" i="19" s="1"/>
  <c r="BY125" i="19" a="1"/>
  <c r="BY125" i="19" s="1"/>
  <c r="BY463" i="19" a="1"/>
  <c r="BY463" i="19" s="1"/>
  <c r="Q20" i="19" a="1"/>
  <c r="Q20" i="19" s="1"/>
  <c r="Q41" i="19" a="1"/>
  <c r="Q41" i="19" s="1"/>
  <c r="Q64" i="19" a="1"/>
  <c r="Q64" i="19" s="1"/>
  <c r="Q88" i="19" a="1"/>
  <c r="Q88" i="19" s="1"/>
  <c r="Q110" i="19" a="1"/>
  <c r="Q110" i="19" s="1"/>
  <c r="Q132" i="19" a="1"/>
  <c r="Q132" i="19" s="1"/>
  <c r="Q152" i="19" a="1"/>
  <c r="Q152" i="19" s="1"/>
  <c r="Q174" i="19" a="1"/>
  <c r="Q174" i="19" s="1"/>
  <c r="Q195" i="19" a="1"/>
  <c r="Q195" i="19" s="1"/>
  <c r="Q216" i="19" a="1"/>
  <c r="Q216" i="19" s="1"/>
  <c r="Q237" i="19" a="1"/>
  <c r="Q237" i="19" s="1"/>
  <c r="Q259" i="19" a="1"/>
  <c r="Q259" i="19" s="1"/>
  <c r="Q283" i="19" a="1"/>
  <c r="Q283" i="19" s="1"/>
  <c r="L328" i="9"/>
  <c r="B19" i="9"/>
  <c r="B166" i="9" s="1"/>
  <c r="AU17" i="19" a="1"/>
  <c r="AU17" i="19" s="1"/>
  <c r="AU214" i="19" a="1"/>
  <c r="AU214" i="19" s="1"/>
  <c r="AU479" i="19" a="1"/>
  <c r="AU479" i="19" s="1"/>
  <c r="AU462" i="19" a="1"/>
  <c r="AU462" i="19" s="1"/>
  <c r="AU447" i="19" a="1"/>
  <c r="AU447" i="19" s="1"/>
  <c r="AU271" i="19" a="1"/>
  <c r="AU271" i="19" s="1"/>
  <c r="AU502" i="19" a="1"/>
  <c r="AU502" i="19" s="1"/>
  <c r="AU233" i="19" a="1"/>
  <c r="AU233" i="19" s="1"/>
  <c r="AU457" i="19" a="1"/>
  <c r="AU457" i="19" s="1"/>
  <c r="AU53" i="19" a="1"/>
  <c r="AU53" i="19" s="1"/>
  <c r="AU290" i="19" a="1"/>
  <c r="AU290" i="19" s="1"/>
  <c r="AU408" i="19" a="1"/>
  <c r="AU408" i="19" s="1"/>
  <c r="AU323" i="19" a="1"/>
  <c r="AU323" i="19" s="1"/>
  <c r="AU364" i="19" a="1"/>
  <c r="AU364" i="19" s="1"/>
  <c r="AU189" i="19" a="1"/>
  <c r="AU189" i="19" s="1"/>
  <c r="N337" i="9"/>
  <c r="N367" i="9"/>
  <c r="M316" i="9"/>
  <c r="N244" i="9"/>
  <c r="BY395" i="19" a="1"/>
  <c r="BY395" i="19" s="1"/>
  <c r="BY324" i="19" a="1"/>
  <c r="BY324" i="19" s="1"/>
  <c r="BY173" i="19" a="1"/>
  <c r="BY173" i="19" s="1"/>
  <c r="BY68" i="19" a="1"/>
  <c r="BY68" i="19" s="1"/>
  <c r="I462" i="9"/>
  <c r="Q43" i="19" a="1"/>
  <c r="Q43" i="19" s="1"/>
  <c r="Q70" i="19" a="1"/>
  <c r="Q70" i="19" s="1"/>
  <c r="Q90" i="19" a="1"/>
  <c r="Q90" i="19" s="1"/>
  <c r="Q111" i="19" a="1"/>
  <c r="Q111" i="19" s="1"/>
  <c r="Q133" i="19" a="1"/>
  <c r="Q133" i="19" s="1"/>
  <c r="Q153" i="19" a="1"/>
  <c r="Q153" i="19" s="1"/>
  <c r="Q175" i="19" a="1"/>
  <c r="Q175" i="19" s="1"/>
  <c r="Q196" i="19" a="1"/>
  <c r="Q196" i="19" s="1"/>
  <c r="Q217" i="19" a="1"/>
  <c r="Q217" i="19" s="1"/>
  <c r="Q261" i="19" a="1"/>
  <c r="Q261" i="19" s="1"/>
  <c r="Q284" i="19" a="1"/>
  <c r="Q284" i="19" s="1"/>
  <c r="O47" i="9"/>
  <c r="Q47" i="9" s="1"/>
  <c r="L341" i="9"/>
  <c r="AU65" i="19" a="1"/>
  <c r="AU65" i="19" s="1"/>
  <c r="AU375" i="19" a="1"/>
  <c r="AU375" i="19" s="1"/>
  <c r="AU75" i="19" a="1"/>
  <c r="AU75" i="19" s="1"/>
  <c r="AU23" i="19" a="1"/>
  <c r="AU23" i="19" s="1"/>
  <c r="AU91" i="19" a="1"/>
  <c r="AU91" i="19" s="1"/>
  <c r="AU316" i="19" a="1"/>
  <c r="AU316" i="19" s="1"/>
  <c r="AU20" i="19" a="1"/>
  <c r="AU20" i="19" s="1"/>
  <c r="AU249" i="19" a="1"/>
  <c r="AU249" i="19" s="1"/>
  <c r="AU473" i="19" a="1"/>
  <c r="AU473" i="19" s="1"/>
  <c r="AU69" i="19" a="1"/>
  <c r="AU69" i="19" s="1"/>
  <c r="AU298" i="19" a="1"/>
  <c r="AU298" i="19" s="1"/>
  <c r="AU14" i="19" a="1"/>
  <c r="AU14" i="19" s="1"/>
  <c r="AU331" i="19" a="1"/>
  <c r="AU331" i="19" s="1"/>
  <c r="AU428" i="19" a="1"/>
  <c r="AU428" i="19" s="1"/>
  <c r="AU261" i="19" a="1"/>
  <c r="AU261" i="19" s="1"/>
  <c r="N107" i="9"/>
  <c r="BY146" i="19" a="1"/>
  <c r="BY146" i="19" s="1"/>
  <c r="BY492" i="19" a="1"/>
  <c r="BY492" i="19" s="1"/>
  <c r="BY413" i="19" a="1"/>
  <c r="BY413" i="19" s="1"/>
  <c r="BY248" i="19" a="1"/>
  <c r="BY248" i="19" s="1"/>
  <c r="M133" i="9"/>
  <c r="Q21" i="19" a="1"/>
  <c r="Q21" i="19" s="1"/>
  <c r="Q47" i="19" a="1"/>
  <c r="Q47" i="19" s="1"/>
  <c r="Q71" i="19" a="1"/>
  <c r="Q71" i="19" s="1"/>
  <c r="Q112" i="19" a="1"/>
  <c r="Q112" i="19" s="1"/>
  <c r="Q134" i="19" a="1"/>
  <c r="Q134" i="19" s="1"/>
  <c r="Q154" i="19" a="1"/>
  <c r="Q154" i="19" s="1"/>
  <c r="Q176" i="19" a="1"/>
  <c r="Q176" i="19" s="1"/>
  <c r="Q197" i="19" a="1"/>
  <c r="Q197" i="19" s="1"/>
  <c r="Q218" i="19" a="1"/>
  <c r="Q218" i="19" s="1"/>
  <c r="Q238" i="19" a="1"/>
  <c r="Q238" i="19" s="1"/>
  <c r="Q262" i="19" a="1"/>
  <c r="Q262" i="19" s="1"/>
  <c r="L376" i="9"/>
  <c r="AU366" i="19" a="1"/>
  <c r="AU366" i="19" s="1"/>
  <c r="AU25" i="19" a="1"/>
  <c r="AU25" i="19" s="1"/>
  <c r="AU123" i="19" a="1"/>
  <c r="AU123" i="19" s="1"/>
  <c r="AU153" i="19" a="1"/>
  <c r="AU153" i="19" s="1"/>
  <c r="AU15" i="19" a="1"/>
  <c r="AU15" i="19" s="1"/>
  <c r="AU335" i="19" a="1"/>
  <c r="AU335" i="19" s="1"/>
  <c r="AU36" i="19" a="1"/>
  <c r="AU36" i="19" s="1"/>
  <c r="AU257" i="19" a="1"/>
  <c r="AU257" i="19" s="1"/>
  <c r="AU497" i="19" a="1"/>
  <c r="AU497" i="19" s="1"/>
  <c r="AU77" i="19" a="1"/>
  <c r="AU77" i="19" s="1"/>
  <c r="AU378" i="19" a="1"/>
  <c r="AU378" i="19" s="1"/>
  <c r="AU30" i="19" a="1"/>
  <c r="AU30" i="19" s="1"/>
  <c r="AU339" i="19" a="1"/>
  <c r="AU339" i="19" s="1"/>
  <c r="AU444" i="19" a="1"/>
  <c r="AU444" i="19" s="1"/>
  <c r="AU285" i="19" a="1"/>
  <c r="AU285" i="19" s="1"/>
  <c r="M460" i="9"/>
  <c r="N316" i="9"/>
  <c r="BY170" i="19" a="1"/>
  <c r="BY170" i="19" s="1"/>
  <c r="BY100" i="19" a="1"/>
  <c r="BY100" i="19" s="1"/>
  <c r="BY437" i="19" a="1"/>
  <c r="BY437" i="19" s="1"/>
  <c r="BY344" i="19" a="1"/>
  <c r="BY344" i="19" s="1"/>
  <c r="L350" i="9"/>
  <c r="C107" i="9"/>
  <c r="N253" i="9"/>
  <c r="Q63" i="19" a="1"/>
  <c r="Q63" i="19" s="1"/>
  <c r="Q108" i="19" a="1"/>
  <c r="Q108" i="19" s="1"/>
  <c r="Q173" i="19" a="1"/>
  <c r="Q173" i="19" s="1"/>
  <c r="Q281" i="19" a="1"/>
  <c r="Q281" i="19" s="1"/>
  <c r="AU351" i="19" a="1"/>
  <c r="AU351" i="19" s="1"/>
  <c r="I419" i="9"/>
  <c r="E79" i="9"/>
  <c r="N133" i="9"/>
  <c r="Q22" i="19" a="1"/>
  <c r="Q22" i="19" s="1"/>
  <c r="Q49" i="19" a="1"/>
  <c r="Q49" i="19" s="1"/>
  <c r="Q72" i="19" a="1"/>
  <c r="Q72" i="19" s="1"/>
  <c r="Q91" i="19" a="1"/>
  <c r="Q91" i="19" s="1"/>
  <c r="Q114" i="19" a="1"/>
  <c r="Q114" i="19" s="1"/>
  <c r="Q135" i="19" a="1"/>
  <c r="Q135" i="19" s="1"/>
  <c r="Q159" i="19" a="1"/>
  <c r="Q159" i="19" s="1"/>
  <c r="Q177" i="19" a="1"/>
  <c r="Q177" i="19" s="1"/>
  <c r="Q219" i="19" a="1"/>
  <c r="Q219" i="19" s="1"/>
  <c r="Q240" i="19" a="1"/>
  <c r="Q240" i="19" s="1"/>
  <c r="Q263" i="19" a="1"/>
  <c r="Q263" i="19" s="1"/>
  <c r="Q289" i="19" a="1"/>
  <c r="Q289" i="19" s="1"/>
  <c r="AU82" i="19" a="1"/>
  <c r="AU82" i="19" s="1"/>
  <c r="AU57" i="19" a="1"/>
  <c r="AU57" i="19" s="1"/>
  <c r="AU222" i="19" a="1"/>
  <c r="AU222" i="19" s="1"/>
  <c r="AU191" i="19" a="1"/>
  <c r="AU191" i="19" s="1"/>
  <c r="AU51" i="19" a="1"/>
  <c r="AU51" i="19" s="1"/>
  <c r="AU44" i="19" a="1"/>
  <c r="AU44" i="19" s="1"/>
  <c r="AU265" i="19" a="1"/>
  <c r="AU265" i="19" s="1"/>
  <c r="AU208" i="19" a="1"/>
  <c r="AU208" i="19" s="1"/>
  <c r="AU85" i="19" a="1"/>
  <c r="AU85" i="19" s="1"/>
  <c r="AU402" i="19" a="1"/>
  <c r="AU402" i="19" s="1"/>
  <c r="AU38" i="19" a="1"/>
  <c r="AU38" i="19" s="1"/>
  <c r="AU347" i="19" a="1"/>
  <c r="AU347" i="19" s="1"/>
  <c r="AU452" i="19" a="1"/>
  <c r="AU452" i="19" s="1"/>
  <c r="AU293" i="19" a="1"/>
  <c r="AU293" i="19" s="1"/>
  <c r="N374" i="9"/>
  <c r="BY290" i="19" a="1"/>
  <c r="BY290" i="19" s="1"/>
  <c r="BY136" i="19" a="1"/>
  <c r="BY136" i="19" s="1"/>
  <c r="BY54" i="19" a="1"/>
  <c r="BY54" i="19" s="1"/>
  <c r="BY392" i="19" a="1"/>
  <c r="BY392" i="19" s="1"/>
  <c r="Q46" i="9"/>
  <c r="Q23" i="19" a="1"/>
  <c r="Q23" i="19" s="1"/>
  <c r="Q50" i="19" a="1"/>
  <c r="Q50" i="19" s="1"/>
  <c r="Q73" i="19" a="1"/>
  <c r="Q73" i="19" s="1"/>
  <c r="Q92" i="19" a="1"/>
  <c r="Q92" i="19" s="1"/>
  <c r="Q119" i="19" a="1"/>
  <c r="Q119" i="19" s="1"/>
  <c r="Q139" i="19" a="1"/>
  <c r="Q139" i="19" s="1"/>
  <c r="Q161" i="19" a="1"/>
  <c r="Q161" i="19" s="1"/>
  <c r="Q181" i="19" a="1"/>
  <c r="Q181" i="19" s="1"/>
  <c r="Q198" i="19" a="1"/>
  <c r="Q198" i="19" s="1"/>
  <c r="Q220" i="19" a="1"/>
  <c r="Q220" i="19" s="1"/>
  <c r="Q241" i="19" a="1"/>
  <c r="Q241" i="19" s="1"/>
  <c r="Q265" i="19" a="1"/>
  <c r="Q265" i="19" s="1"/>
  <c r="Q290" i="19" a="1"/>
  <c r="Q290" i="19" s="1"/>
  <c r="AU49" i="19" a="1"/>
  <c r="AU49" i="19" s="1"/>
  <c r="AU302" i="19" a="1"/>
  <c r="AU302" i="19" s="1"/>
  <c r="AU244" i="19" a="1"/>
  <c r="AU244" i="19" s="1"/>
  <c r="AU105" i="19" a="1"/>
  <c r="AU105" i="19" s="1"/>
  <c r="AU47" i="19" a="1"/>
  <c r="AU47" i="19" s="1"/>
  <c r="AU67" i="19" a="1"/>
  <c r="AU67" i="19" s="1"/>
  <c r="AU68" i="19" a="1"/>
  <c r="AU68" i="19" s="1"/>
  <c r="AU289" i="19" a="1"/>
  <c r="AU289" i="19" s="1"/>
  <c r="AU224" i="19" a="1"/>
  <c r="AU224" i="19" s="1"/>
  <c r="AU93" i="19" a="1"/>
  <c r="AU93" i="19" s="1"/>
  <c r="AU418" i="19" a="1"/>
  <c r="AU418" i="19" s="1"/>
  <c r="AU62" i="19" a="1"/>
  <c r="AU62" i="19" s="1"/>
  <c r="AU403" i="19" a="1"/>
  <c r="AU403" i="19" s="1"/>
  <c r="AU484" i="19" a="1"/>
  <c r="AU484" i="19" s="1"/>
  <c r="AU301" i="19" a="1"/>
  <c r="AU301" i="19" s="1"/>
  <c r="BY46" i="19" a="1"/>
  <c r="BY46" i="19" s="1"/>
  <c r="BY458" i="19" a="1"/>
  <c r="BY458" i="19" s="1"/>
  <c r="BY388" i="19" a="1"/>
  <c r="BY388" i="19" s="1"/>
  <c r="BY222" i="19" a="1"/>
  <c r="BY222" i="19" s="1"/>
  <c r="BY117" i="19" a="1"/>
  <c r="BY117" i="19" s="1"/>
  <c r="N346" i="9"/>
  <c r="E46" i="9"/>
  <c r="Q30" i="19" a="1"/>
  <c r="Q30" i="19" s="1"/>
  <c r="Q51" i="19" a="1"/>
  <c r="Q51" i="19" s="1"/>
  <c r="Q74" i="19" a="1"/>
  <c r="Q74" i="19" s="1"/>
  <c r="Q93" i="19" a="1"/>
  <c r="Q93" i="19" s="1"/>
  <c r="Q120" i="19" a="1"/>
  <c r="Q120" i="19" s="1"/>
  <c r="Q140" i="19" a="1"/>
  <c r="Q140" i="19" s="1"/>
  <c r="Q162" i="19" a="1"/>
  <c r="Q162" i="19" s="1"/>
  <c r="Q183" i="19" a="1"/>
  <c r="Q183" i="19" s="1"/>
  <c r="Q202" i="19" a="1"/>
  <c r="Q202" i="19" s="1"/>
  <c r="Q226" i="19" a="1"/>
  <c r="Q226" i="19" s="1"/>
  <c r="Q246" i="19" a="1"/>
  <c r="Q246" i="19" s="1"/>
  <c r="Q269" i="19" a="1"/>
  <c r="Q269" i="19" s="1"/>
  <c r="Q291" i="19" a="1"/>
  <c r="Q291" i="19" s="1"/>
  <c r="AU247" i="19" a="1"/>
  <c r="AU247" i="19" s="1"/>
  <c r="AU350" i="19" a="1"/>
  <c r="AU350" i="19" s="1"/>
  <c r="AU263" i="19" a="1"/>
  <c r="AU263" i="19" s="1"/>
  <c r="AU154" i="19" a="1"/>
  <c r="AU154" i="19" s="1"/>
  <c r="AU63" i="19" a="1"/>
  <c r="AU63" i="19" s="1"/>
  <c r="AU83" i="19" a="1"/>
  <c r="AU83" i="19" s="1"/>
  <c r="AU76" i="19" a="1"/>
  <c r="AU76" i="19" s="1"/>
  <c r="AU345" i="19" a="1"/>
  <c r="AU345" i="19" s="1"/>
  <c r="AU296" i="19" a="1"/>
  <c r="AU296" i="19" s="1"/>
  <c r="AU164" i="19" a="1"/>
  <c r="AU164" i="19" s="1"/>
  <c r="AU426" i="19" a="1"/>
  <c r="AU426" i="19" s="1"/>
  <c r="AU134" i="19" a="1"/>
  <c r="AU134" i="19" s="1"/>
  <c r="AU24" i="19" a="1"/>
  <c r="AU24" i="19" s="1"/>
  <c r="AU365" i="19" a="1"/>
  <c r="AU365" i="19" s="1"/>
  <c r="BY142" i="19" a="1"/>
  <c r="BY142" i="19" s="1"/>
  <c r="BY494" i="19" a="1"/>
  <c r="BY494" i="19" s="1"/>
  <c r="BY412" i="19" a="1"/>
  <c r="BY412" i="19" s="1"/>
  <c r="BY330" i="19" a="1"/>
  <c r="BY330" i="19" s="1"/>
  <c r="BY141" i="19" a="1"/>
  <c r="BY141" i="19" s="1"/>
  <c r="I151" i="9"/>
  <c r="Q31" i="19" a="1"/>
  <c r="Q31" i="19" s="1"/>
  <c r="Q52" i="19" a="1"/>
  <c r="Q52" i="19" s="1"/>
  <c r="Q75" i="19" a="1"/>
  <c r="Q75" i="19" s="1"/>
  <c r="Q98" i="19" a="1"/>
  <c r="Q98" i="19" s="1"/>
  <c r="Q121" i="19" a="1"/>
  <c r="Q121" i="19" s="1"/>
  <c r="Q141" i="19" a="1"/>
  <c r="Q141" i="19" s="1"/>
  <c r="Q184" i="19" a="1"/>
  <c r="Q184" i="19" s="1"/>
  <c r="Q205" i="19" a="1"/>
  <c r="Q205" i="19" s="1"/>
  <c r="Q227" i="19" a="1"/>
  <c r="Q227" i="19" s="1"/>
  <c r="Q248" i="19" a="1"/>
  <c r="Q248" i="19" s="1"/>
  <c r="Q271" i="19" a="1"/>
  <c r="Q271" i="19" s="1"/>
  <c r="Q292" i="19" a="1"/>
  <c r="Q292" i="19" s="1"/>
  <c r="AU311" i="19" a="1"/>
  <c r="AU311" i="19" s="1"/>
  <c r="AU414" i="19" a="1"/>
  <c r="AU414" i="19" s="1"/>
  <c r="AU286" i="19" a="1"/>
  <c r="AU286" i="19" s="1"/>
  <c r="AU196" i="19" a="1"/>
  <c r="AU196" i="19" s="1"/>
  <c r="AU143" i="19" a="1"/>
  <c r="AU143" i="19" s="1"/>
  <c r="AU99" i="19" a="1"/>
  <c r="AU99" i="19" s="1"/>
  <c r="AU84" i="19" a="1"/>
  <c r="AU84" i="19" s="1"/>
  <c r="AU361" i="19" a="1"/>
  <c r="AU361" i="19" s="1"/>
  <c r="AU312" i="19" a="1"/>
  <c r="AU312" i="19" s="1"/>
  <c r="AU186" i="19" a="1"/>
  <c r="AU186" i="19" s="1"/>
  <c r="AU434" i="19" a="1"/>
  <c r="AU434" i="19" s="1"/>
  <c r="AU142" i="19" a="1"/>
  <c r="AU142" i="19" s="1"/>
  <c r="AU419" i="19" a="1"/>
  <c r="AU419" i="19" s="1"/>
  <c r="AU64" i="19" a="1"/>
  <c r="AU64" i="19" s="1"/>
  <c r="AU389" i="19" a="1"/>
  <c r="AU389" i="19" s="1"/>
  <c r="BY190" i="19" a="1"/>
  <c r="BY190" i="19" s="1"/>
  <c r="BY99" i="19" a="1"/>
  <c r="BY99" i="19" s="1"/>
  <c r="BY37" i="19" a="1"/>
  <c r="BY37" i="19" s="1"/>
  <c r="BY366" i="19" a="1"/>
  <c r="BY366" i="19" s="1"/>
  <c r="BY261" i="19" a="1"/>
  <c r="BY261" i="19" s="1"/>
  <c r="D267" i="24"/>
  <c r="C267" i="24"/>
  <c r="B16" i="18"/>
  <c r="G19" i="18" s="1"/>
  <c r="O94" i="19" a="1"/>
  <c r="O94" i="19" s="1"/>
  <c r="Q457" i="1"/>
  <c r="R457" i="1" s="1"/>
  <c r="O62" i="19" a="1"/>
  <c r="O62" i="19" s="1"/>
  <c r="Q28" i="19" a="1"/>
  <c r="Q28" i="19" s="1"/>
  <c r="Q42" i="19" a="1"/>
  <c r="Q42" i="19" s="1"/>
  <c r="Q61" i="19" a="1"/>
  <c r="Q61" i="19" s="1"/>
  <c r="Q113" i="19" a="1"/>
  <c r="Q113" i="19" s="1"/>
  <c r="Q131" i="19" a="1"/>
  <c r="Q131" i="19" s="1"/>
  <c r="Q164" i="19" a="1"/>
  <c r="Q164" i="19" s="1"/>
  <c r="Q185" i="19" a="1"/>
  <c r="Q185" i="19" s="1"/>
  <c r="Q204" i="19" a="1"/>
  <c r="Q204" i="19" s="1"/>
  <c r="Q221" i="19" a="1"/>
  <c r="Q221" i="19" s="1"/>
  <c r="Q239" i="19" a="1"/>
  <c r="Q239" i="19" s="1"/>
  <c r="Q260" i="19" a="1"/>
  <c r="Q260" i="19" s="1"/>
  <c r="AU97" i="19" a="1"/>
  <c r="AU97" i="19" s="1"/>
  <c r="AU439" i="19" a="1"/>
  <c r="AU439" i="19" s="1"/>
  <c r="AU90" i="19" a="1"/>
  <c r="AU90" i="19" s="1"/>
  <c r="AU308" i="19" a="1"/>
  <c r="AU308" i="19" s="1"/>
  <c r="AU87" i="19" a="1"/>
  <c r="AU87" i="19" s="1"/>
  <c r="AU74" i="19" a="1"/>
  <c r="AU74" i="19" s="1"/>
  <c r="AU295" i="19" a="1"/>
  <c r="AU295" i="19" s="1"/>
  <c r="AU92" i="19" a="1"/>
  <c r="AU92" i="19" s="1"/>
  <c r="AU273" i="19" a="1"/>
  <c r="AU273" i="19" s="1"/>
  <c r="AU416" i="19" a="1"/>
  <c r="AU416" i="19" s="1"/>
  <c r="AU101" i="19" a="1"/>
  <c r="AU101" i="19" s="1"/>
  <c r="AU306" i="19" a="1"/>
  <c r="AU306" i="19" s="1"/>
  <c r="AU155" i="19" a="1"/>
  <c r="AU155" i="19" s="1"/>
  <c r="AU46" i="19" a="1"/>
  <c r="AU46" i="19" s="1"/>
  <c r="AU243" i="19" a="1"/>
  <c r="AU243" i="19" s="1"/>
  <c r="AU427" i="19" a="1"/>
  <c r="AU427" i="19" s="1"/>
  <c r="AU460" i="19" a="1"/>
  <c r="AU460" i="19" s="1"/>
  <c r="AU181" i="19" a="1"/>
  <c r="AU181" i="19" s="1"/>
  <c r="AU405" i="19" a="1"/>
  <c r="AU405" i="19" s="1"/>
  <c r="O143" i="19" a="1"/>
  <c r="O143" i="19" s="1"/>
  <c r="AU183" i="19" a="1"/>
  <c r="AU183" i="19" s="1"/>
  <c r="AU471" i="19" a="1"/>
  <c r="AU471" i="19" s="1"/>
  <c r="AU262" i="19" a="1"/>
  <c r="AU262" i="19" s="1"/>
  <c r="AU327" i="19" a="1"/>
  <c r="AU327" i="19" s="1"/>
  <c r="AU119" i="19" a="1"/>
  <c r="AU119" i="19" s="1"/>
  <c r="AU175" i="19" a="1"/>
  <c r="AU175" i="19" s="1"/>
  <c r="AU79" i="19" a="1"/>
  <c r="AU79" i="19" s="1"/>
  <c r="AU294" i="19" a="1"/>
  <c r="AU294" i="19" s="1"/>
  <c r="AU318" i="19" a="1"/>
  <c r="AU318" i="19" s="1"/>
  <c r="AU124" i="19" a="1"/>
  <c r="AU124" i="19" s="1"/>
  <c r="AU281" i="19" a="1"/>
  <c r="AU281" i="19" s="1"/>
  <c r="AU465" i="19" a="1"/>
  <c r="AU465" i="19" s="1"/>
  <c r="AU472" i="19" a="1"/>
  <c r="AU472" i="19" s="1"/>
  <c r="AU109" i="19" a="1"/>
  <c r="AU109" i="19" s="1"/>
  <c r="AU314" i="19" a="1"/>
  <c r="AU314" i="19" s="1"/>
  <c r="AU176" i="19" a="1"/>
  <c r="AU176" i="19" s="1"/>
  <c r="AU54" i="19" a="1"/>
  <c r="AU54" i="19" s="1"/>
  <c r="AU435" i="19" a="1"/>
  <c r="AU435" i="19" s="1"/>
  <c r="AU468" i="19" a="1"/>
  <c r="AU468" i="19" s="1"/>
  <c r="O15" i="19" a="1"/>
  <c r="O15" i="19" s="1"/>
  <c r="O110" i="19" a="1"/>
  <c r="O110" i="19" s="1"/>
  <c r="O159" i="19" a="1"/>
  <c r="O159" i="19" s="1"/>
  <c r="O100" i="19" a="1"/>
  <c r="O100" i="19" s="1"/>
  <c r="O48" i="19" a="1"/>
  <c r="O48" i="19" s="1"/>
  <c r="O40" i="19" a="1"/>
  <c r="O40" i="19" s="1"/>
  <c r="O13" i="19" a="1"/>
  <c r="O13" i="19" s="1"/>
  <c r="O104" i="19" a="1"/>
  <c r="O104" i="19" s="1"/>
  <c r="O92" i="19" a="1"/>
  <c r="O92" i="19" s="1"/>
  <c r="AU509" i="19" a="1"/>
  <c r="AU509" i="19" s="1"/>
  <c r="AU413" i="19" a="1"/>
  <c r="AU413" i="19" s="1"/>
  <c r="AU245" i="19" a="1"/>
  <c r="AU245" i="19" s="1"/>
  <c r="AU501" i="19" a="1"/>
  <c r="AU501" i="19" s="1"/>
  <c r="AU469" i="19" a="1"/>
  <c r="AU469" i="19" s="1"/>
  <c r="AU381" i="19" a="1"/>
  <c r="AU381" i="19" s="1"/>
  <c r="AU453" i="19" a="1"/>
  <c r="AU453" i="19" s="1"/>
  <c r="AU341" i="19" a="1"/>
  <c r="AU341" i="19" s="1"/>
  <c r="AU253" i="19" a="1"/>
  <c r="AU253" i="19" s="1"/>
  <c r="AU152" i="19" a="1"/>
  <c r="AU152" i="19" s="1"/>
  <c r="AU56" i="19" a="1"/>
  <c r="AU56" i="19" s="1"/>
  <c r="AU476" i="19" a="1"/>
  <c r="AU476" i="19" s="1"/>
  <c r="AU388" i="19" a="1"/>
  <c r="AU388" i="19" s="1"/>
  <c r="AU483" i="19" a="1"/>
  <c r="AU483" i="19" s="1"/>
  <c r="AU395" i="19" a="1"/>
  <c r="AU395" i="19" s="1"/>
  <c r="AU307" i="19" a="1"/>
  <c r="AU307" i="19" s="1"/>
  <c r="AU235" i="19" a="1"/>
  <c r="AU235" i="19" s="1"/>
  <c r="AU150" i="19" a="1"/>
  <c r="AU150" i="19" s="1"/>
  <c r="AU86" i="19" a="1"/>
  <c r="AU86" i="19" s="1"/>
  <c r="AU480" i="19" a="1"/>
  <c r="AU480" i="19" s="1"/>
  <c r="AU304" i="19" a="1"/>
  <c r="AU304" i="19" s="1"/>
  <c r="AU498" i="19" a="1"/>
  <c r="AU498" i="19" s="1"/>
  <c r="AU410" i="19" a="1"/>
  <c r="AU410" i="19" s="1"/>
  <c r="AU330" i="19" a="1"/>
  <c r="AU330" i="19" s="1"/>
  <c r="AU234" i="19" a="1"/>
  <c r="AU234" i="19" s="1"/>
  <c r="AU141" i="19" a="1"/>
  <c r="AU141" i="19" s="1"/>
  <c r="AU45" i="19" a="1"/>
  <c r="AU45" i="19" s="1"/>
  <c r="AU456" i="19" a="1"/>
  <c r="AU456" i="19" s="1"/>
  <c r="AU264" i="19" a="1"/>
  <c r="AU264" i="19" s="1"/>
  <c r="AU489" i="19" a="1"/>
  <c r="AU489" i="19" s="1"/>
  <c r="AU409" i="19" a="1"/>
  <c r="AU409" i="19" s="1"/>
  <c r="AU321" i="19" a="1"/>
  <c r="AU321" i="19" s="1"/>
  <c r="AU225" i="19" a="1"/>
  <c r="AU225" i="19" s="1"/>
  <c r="AU60" i="19" a="1"/>
  <c r="AU60" i="19" s="1"/>
  <c r="AU438" i="19" a="1"/>
  <c r="AU438" i="19" s="1"/>
  <c r="AU168" i="19" a="1"/>
  <c r="AU168" i="19" s="1"/>
  <c r="AU431" i="19" a="1"/>
  <c r="AU431" i="19" s="1"/>
  <c r="AU455" i="19" a="1"/>
  <c r="AU455" i="19" s="1"/>
  <c r="AU204" i="19" a="1"/>
  <c r="AU204" i="19" s="1"/>
  <c r="AU445" i="19" a="1"/>
  <c r="AU445" i="19" s="1"/>
  <c r="AU333" i="19" a="1"/>
  <c r="AU333" i="19" s="1"/>
  <c r="AU237" i="19" a="1"/>
  <c r="AU237" i="19" s="1"/>
  <c r="AU144" i="19" a="1"/>
  <c r="AU144" i="19" s="1"/>
  <c r="AU48" i="19" a="1"/>
  <c r="AU48" i="19" s="1"/>
  <c r="AU380" i="19" a="1"/>
  <c r="AU380" i="19" s="1"/>
  <c r="AU475" i="19" a="1"/>
  <c r="AU475" i="19" s="1"/>
  <c r="AU387" i="19" a="1"/>
  <c r="AU387" i="19" s="1"/>
  <c r="AU299" i="19" a="1"/>
  <c r="AU299" i="19" s="1"/>
  <c r="AU227" i="19" a="1"/>
  <c r="AU227" i="19" s="1"/>
  <c r="AU78" i="19" a="1"/>
  <c r="AU78" i="19" s="1"/>
  <c r="AU288" i="19" a="1"/>
  <c r="AU288" i="19" s="1"/>
  <c r="AU490" i="19" a="1"/>
  <c r="AU490" i="19" s="1"/>
  <c r="AU322" i="19" a="1"/>
  <c r="AU322" i="19" s="1"/>
  <c r="AU226" i="19" a="1"/>
  <c r="AU226" i="19" s="1"/>
  <c r="AU133" i="19" a="1"/>
  <c r="AU133" i="19" s="1"/>
  <c r="AU37" i="19" a="1"/>
  <c r="AU37" i="19" s="1"/>
  <c r="AU440" i="19" a="1"/>
  <c r="AU440" i="19" s="1"/>
  <c r="AU248" i="19" a="1"/>
  <c r="AU248" i="19" s="1"/>
  <c r="AU481" i="19" a="1"/>
  <c r="AU481" i="19" s="1"/>
  <c r="AU401" i="19" a="1"/>
  <c r="AU401" i="19" s="1"/>
  <c r="AU313" i="19" a="1"/>
  <c r="AU313" i="19" s="1"/>
  <c r="AU217" i="19" a="1"/>
  <c r="AU217" i="19" s="1"/>
  <c r="AU132" i="19" a="1"/>
  <c r="AU132" i="19" s="1"/>
  <c r="AU52" i="19" a="1"/>
  <c r="AU52" i="19" s="1"/>
  <c r="AU406" i="19" a="1"/>
  <c r="AU406" i="19" s="1"/>
  <c r="AU151" i="19" a="1"/>
  <c r="AU151" i="19" s="1"/>
  <c r="AU399" i="19" a="1"/>
  <c r="AU399" i="19" s="1"/>
  <c r="AU423" i="19" a="1"/>
  <c r="AU423" i="19" s="1"/>
  <c r="AU182" i="19" a="1"/>
  <c r="AU182" i="19" s="1"/>
  <c r="AU31" i="19" a="1"/>
  <c r="AU31" i="19" s="1"/>
  <c r="AU239" i="19" a="1"/>
  <c r="AU239" i="19" s="1"/>
  <c r="AU238" i="19" a="1"/>
  <c r="AU238" i="19" s="1"/>
  <c r="AU398" i="19" a="1"/>
  <c r="AU398" i="19" s="1"/>
  <c r="AU390" i="19" a="1"/>
  <c r="AU390" i="19" s="1"/>
  <c r="AU161" i="19" a="1"/>
  <c r="AU161" i="19" s="1"/>
  <c r="AU159" i="19" a="1"/>
  <c r="AU159" i="19" s="1"/>
  <c r="AU215" i="19" a="1"/>
  <c r="AU215" i="19" s="1"/>
  <c r="AU343" i="19" a="1"/>
  <c r="AU343" i="19" s="1"/>
  <c r="AU167" i="19" a="1"/>
  <c r="AU167" i="19" s="1"/>
  <c r="AU34" i="19" a="1"/>
  <c r="AU34" i="19" s="1"/>
  <c r="AU373" i="19" a="1"/>
  <c r="AU373" i="19" s="1"/>
  <c r="AU269" i="19" a="1"/>
  <c r="AU269" i="19" s="1"/>
  <c r="AU136" i="19" a="1"/>
  <c r="AU136" i="19" s="1"/>
  <c r="AU32" i="19" a="1"/>
  <c r="AU32" i="19" s="1"/>
  <c r="AU436" i="19" a="1"/>
  <c r="AU436" i="19" s="1"/>
  <c r="AU507" i="19" a="1"/>
  <c r="AU507" i="19" s="1"/>
  <c r="AU411" i="19" a="1"/>
  <c r="AU411" i="19" s="1"/>
  <c r="AU291" i="19" a="1"/>
  <c r="AU291" i="19" s="1"/>
  <c r="AU203" i="19" a="1"/>
  <c r="AU203" i="19" s="1"/>
  <c r="AU126" i="19" a="1"/>
  <c r="AU126" i="19" s="1"/>
  <c r="AU22" i="19" a="1"/>
  <c r="AU22" i="19" s="1"/>
  <c r="AU336" i="19" a="1"/>
  <c r="AU336" i="19" s="1"/>
  <c r="AU482" i="19" a="1"/>
  <c r="AU482" i="19" s="1"/>
  <c r="AU386" i="19" a="1"/>
  <c r="AU386" i="19" s="1"/>
  <c r="AU282" i="19" a="1"/>
  <c r="AU282" i="19" s="1"/>
  <c r="AU178" i="19" a="1"/>
  <c r="AU178" i="19" s="1"/>
  <c r="AU61" i="19" a="1"/>
  <c r="AU61" i="19" s="1"/>
  <c r="AU432" i="19" a="1"/>
  <c r="AU432" i="19" s="1"/>
  <c r="AU184" i="19" a="1"/>
  <c r="AU184" i="19" s="1"/>
  <c r="AU449" i="19" a="1"/>
  <c r="AU449" i="19" s="1"/>
  <c r="AU353" i="19" a="1"/>
  <c r="AU353" i="19" s="1"/>
  <c r="AU241" i="19" a="1"/>
  <c r="AU241" i="19" s="1"/>
  <c r="AU28" i="19" a="1"/>
  <c r="AU28" i="19" s="1"/>
  <c r="AU276" i="19" a="1"/>
  <c r="AU276" i="19" s="1"/>
  <c r="AU35" i="19" a="1"/>
  <c r="AU35" i="19" s="1"/>
  <c r="AU230" i="19" a="1"/>
  <c r="AU230" i="19" s="1"/>
  <c r="AU162" i="19" a="1"/>
  <c r="AU162" i="19" s="1"/>
  <c r="AU107" i="19" a="1"/>
  <c r="AU107" i="19" s="1"/>
  <c r="AU122" i="19" a="1"/>
  <c r="AU122" i="19" s="1"/>
  <c r="AU121" i="19" a="1"/>
  <c r="AU121" i="19" s="1"/>
  <c r="AU55" i="19" a="1"/>
  <c r="AU55" i="19" s="1"/>
  <c r="AU113" i="19" a="1"/>
  <c r="AU113" i="19" s="1"/>
  <c r="AU284" i="19" a="1"/>
  <c r="AU284" i="19" s="1"/>
  <c r="AU407" i="19" a="1"/>
  <c r="AU407" i="19" s="1"/>
  <c r="AU207" i="19" a="1"/>
  <c r="AU207" i="19" s="1"/>
  <c r="AU494" i="19" a="1"/>
  <c r="AU494" i="19" s="1"/>
  <c r="AU493" i="19" a="1"/>
  <c r="AU493" i="19" s="1"/>
  <c r="AU357" i="19" a="1"/>
  <c r="AU357" i="19" s="1"/>
  <c r="AU229" i="19" a="1"/>
  <c r="AU229" i="19" s="1"/>
  <c r="AU120" i="19" a="1"/>
  <c r="AU120" i="19" s="1"/>
  <c r="AU16" i="19" a="1"/>
  <c r="AU16" i="19" s="1"/>
  <c r="AU420" i="19" a="1"/>
  <c r="AU420" i="19" s="1"/>
  <c r="AU491" i="19" a="1"/>
  <c r="AU491" i="19" s="1"/>
  <c r="AU379" i="19" a="1"/>
  <c r="AU379" i="19" s="1"/>
  <c r="AU187" i="19" a="1"/>
  <c r="AU187" i="19" s="1"/>
  <c r="AU118" i="19" a="1"/>
  <c r="AU118" i="19" s="1"/>
  <c r="AU512" i="19" a="1"/>
  <c r="AU512" i="19" s="1"/>
  <c r="AU272" i="19" a="1"/>
  <c r="AU272" i="19" s="1"/>
  <c r="AU466" i="19" a="1"/>
  <c r="AU466" i="19" s="1"/>
  <c r="AU370" i="19" a="1"/>
  <c r="AU370" i="19" s="1"/>
  <c r="AU266" i="19" a="1"/>
  <c r="AU266" i="19" s="1"/>
  <c r="AU157" i="19" a="1"/>
  <c r="AU157" i="19" s="1"/>
  <c r="AU400" i="19" a="1"/>
  <c r="AU400" i="19" s="1"/>
  <c r="AU169" i="19" a="1"/>
  <c r="AU169" i="19" s="1"/>
  <c r="AU433" i="19" a="1"/>
  <c r="AU433" i="19" s="1"/>
  <c r="AU337" i="19" a="1"/>
  <c r="AU337" i="19" s="1"/>
  <c r="AU209" i="19" a="1"/>
  <c r="AU209" i="19" s="1"/>
  <c r="AU116" i="19" a="1"/>
  <c r="AU116" i="19" s="1"/>
  <c r="AU352" i="19" a="1"/>
  <c r="AU352" i="19" s="1"/>
  <c r="AU231" i="19" a="1"/>
  <c r="AU231" i="19" s="1"/>
  <c r="AU495" i="19" a="1"/>
  <c r="AU495" i="19" s="1"/>
  <c r="AU391" i="19" a="1"/>
  <c r="AU391" i="19" s="1"/>
  <c r="AU127" i="19" a="1"/>
  <c r="AU127" i="19" s="1"/>
  <c r="AU59" i="19" a="1"/>
  <c r="AU59" i="19" s="1"/>
  <c r="AU26" i="19" a="1"/>
  <c r="AU26" i="19" s="1"/>
  <c r="AU73" i="19" a="1"/>
  <c r="AU73" i="19" s="1"/>
  <c r="AU188" i="19" a="1"/>
  <c r="AU188" i="19" s="1"/>
  <c r="AU33" i="19" a="1"/>
  <c r="AU33" i="19" s="1"/>
  <c r="AU199" i="19" a="1"/>
  <c r="AU199" i="19" s="1"/>
  <c r="AU220" i="19" a="1"/>
  <c r="AU220" i="19" s="1"/>
  <c r="AU260" i="19" a="1"/>
  <c r="AU260" i="19" s="1"/>
  <c r="AU319" i="19" a="1"/>
  <c r="AU319" i="19" s="1"/>
  <c r="AU98" i="19" a="1"/>
  <c r="AU98" i="19" s="1"/>
  <c r="AU292" i="19" a="1"/>
  <c r="AU292" i="19" s="1"/>
  <c r="AU325" i="19" a="1"/>
  <c r="AU325" i="19" s="1"/>
  <c r="AU250" i="19" a="1"/>
  <c r="AU250" i="19" s="1"/>
  <c r="AU384" i="19" a="1"/>
  <c r="AU384" i="19" s="1"/>
  <c r="AU425" i="19" a="1"/>
  <c r="AU425" i="19" s="1"/>
  <c r="AU305" i="19" a="1"/>
  <c r="AU305" i="19" s="1"/>
  <c r="AU100" i="19" a="1"/>
  <c r="AU100" i="19" s="1"/>
  <c r="AU232" i="19" a="1"/>
  <c r="AU232" i="19" s="1"/>
  <c r="AU332" i="19" a="1"/>
  <c r="AU332" i="19" s="1"/>
  <c r="AU27" i="19" a="1"/>
  <c r="AU27" i="19" s="1"/>
  <c r="AU446" i="19" a="1"/>
  <c r="AU446" i="19" s="1"/>
  <c r="AU503" i="19" a="1"/>
  <c r="AU503" i="19" s="1"/>
  <c r="AU114" i="19" a="1"/>
  <c r="AU114" i="19" s="1"/>
  <c r="AU454" i="19" a="1"/>
  <c r="AU454" i="19" s="1"/>
  <c r="AU180" i="19" a="1"/>
  <c r="AU180" i="19" s="1"/>
  <c r="AU255" i="19" a="1"/>
  <c r="AU255" i="19" s="1"/>
  <c r="AU18" i="19" a="1"/>
  <c r="AU18" i="19" s="1"/>
  <c r="AU166" i="19" a="1"/>
  <c r="AU166" i="19" s="1"/>
  <c r="AU485" i="19" a="1"/>
  <c r="AU485" i="19" s="1"/>
  <c r="AU349" i="19" a="1"/>
  <c r="AU349" i="19" s="1"/>
  <c r="AU221" i="19" a="1"/>
  <c r="AU221" i="19" s="1"/>
  <c r="AU112" i="19" a="1"/>
  <c r="AU112" i="19" s="1"/>
  <c r="AU508" i="19" a="1"/>
  <c r="AU508" i="19" s="1"/>
  <c r="AU412" i="19" a="1"/>
  <c r="AU412" i="19" s="1"/>
  <c r="AU275" i="19" a="1"/>
  <c r="AU275" i="19" s="1"/>
  <c r="AU179" i="19" a="1"/>
  <c r="AU179" i="19" s="1"/>
  <c r="AU110" i="19" a="1"/>
  <c r="AU110" i="19" s="1"/>
  <c r="AU496" i="19" a="1"/>
  <c r="AU496" i="19" s="1"/>
  <c r="AU256" i="19" a="1"/>
  <c r="AU256" i="19" s="1"/>
  <c r="AU362" i="19" a="1"/>
  <c r="AU362" i="19" s="1"/>
  <c r="AU258" i="19" a="1"/>
  <c r="AU258" i="19" s="1"/>
  <c r="AU149" i="19" a="1"/>
  <c r="AU149" i="19" s="1"/>
  <c r="AU29" i="19" a="1"/>
  <c r="AU29" i="19" s="1"/>
  <c r="AU147" i="19" a="1"/>
  <c r="AU147" i="19" s="1"/>
  <c r="AU329" i="19" a="1"/>
  <c r="AU329" i="19" s="1"/>
  <c r="AU201" i="19" a="1"/>
  <c r="AU201" i="19" s="1"/>
  <c r="AU108" i="19" a="1"/>
  <c r="AU108" i="19" s="1"/>
  <c r="AU280" i="19" a="1"/>
  <c r="AU280" i="19" s="1"/>
  <c r="AU212" i="19" a="1"/>
  <c r="AU212" i="19" s="1"/>
  <c r="AU463" i="19" a="1"/>
  <c r="AU463" i="19" s="1"/>
  <c r="AU359" i="19" a="1"/>
  <c r="AU359" i="19" s="1"/>
  <c r="AU111" i="19" a="1"/>
  <c r="AU111" i="19" s="1"/>
  <c r="AU43" i="19" a="1"/>
  <c r="AU43" i="19" s="1"/>
  <c r="AU510" i="19" a="1"/>
  <c r="AU510" i="19" s="1"/>
  <c r="AU41" i="19" a="1"/>
  <c r="AU41" i="19" s="1"/>
  <c r="AU146" i="19" a="1"/>
  <c r="AU146" i="19" s="1"/>
  <c r="AU486" i="19" a="1"/>
  <c r="AU486" i="19" s="1"/>
  <c r="AU198" i="19" a="1"/>
  <c r="AU198" i="19" s="1"/>
  <c r="AU174" i="19" a="1"/>
  <c r="AU174" i="19" s="1"/>
  <c r="AU278" i="19" a="1"/>
  <c r="AU278" i="19" s="1"/>
  <c r="AU66" i="19" a="1"/>
  <c r="AU66" i="19" s="1"/>
  <c r="AU228" i="19" a="1"/>
  <c r="AU228" i="19" s="1"/>
  <c r="AU437" i="19" a="1"/>
  <c r="AU437" i="19" s="1"/>
  <c r="AU309" i="19" a="1"/>
  <c r="AU309" i="19" s="1"/>
  <c r="AU197" i="19" a="1"/>
  <c r="AU197" i="19" s="1"/>
  <c r="AU88" i="19" a="1"/>
  <c r="AU88" i="19" s="1"/>
  <c r="AU492" i="19" a="1"/>
  <c r="AU492" i="19" s="1"/>
  <c r="AU372" i="19" a="1"/>
  <c r="AU372" i="19" s="1"/>
  <c r="AU451" i="19" a="1"/>
  <c r="AU451" i="19" s="1"/>
  <c r="AU355" i="19" a="1"/>
  <c r="AU355" i="19" s="1"/>
  <c r="AU259" i="19" a="1"/>
  <c r="AU259" i="19" s="1"/>
  <c r="AU158" i="19" a="1"/>
  <c r="AU158" i="19" s="1"/>
  <c r="AU70" i="19" a="1"/>
  <c r="AU70" i="19" s="1"/>
  <c r="AU424" i="19" a="1"/>
  <c r="AU424" i="19" s="1"/>
  <c r="AU200" i="19" a="1"/>
  <c r="AU200" i="19" s="1"/>
  <c r="AU442" i="19" a="1"/>
  <c r="AU442" i="19" s="1"/>
  <c r="AU338" i="19" a="1"/>
  <c r="AU338" i="19" s="1"/>
  <c r="AU477" i="19" a="1"/>
  <c r="AU477" i="19" s="1"/>
  <c r="AU213" i="19" a="1"/>
  <c r="AU213" i="19" s="1"/>
  <c r="AU104" i="19" a="1"/>
  <c r="AU104" i="19" s="1"/>
  <c r="AU500" i="19" a="1"/>
  <c r="AU500" i="19" s="1"/>
  <c r="AU404" i="19" a="1"/>
  <c r="AU404" i="19" s="1"/>
  <c r="AU467" i="19" a="1"/>
  <c r="AU467" i="19" s="1"/>
  <c r="AU371" i="19" a="1"/>
  <c r="AU371" i="19" s="1"/>
  <c r="AU171" i="19" a="1"/>
  <c r="AU171" i="19" s="1"/>
  <c r="AU102" i="19" a="1"/>
  <c r="AU102" i="19" s="1"/>
  <c r="AU464" i="19" a="1"/>
  <c r="AU464" i="19" s="1"/>
  <c r="AU240" i="19" a="1"/>
  <c r="AU240" i="19" s="1"/>
  <c r="AU458" i="19" a="1"/>
  <c r="AU458" i="19" s="1"/>
  <c r="AU354" i="19" a="1"/>
  <c r="AU354" i="19" s="1"/>
  <c r="AU125" i="19" a="1"/>
  <c r="AU125" i="19" s="1"/>
  <c r="AU513" i="19" a="1"/>
  <c r="AU513" i="19" s="1"/>
  <c r="AU193" i="19" a="1"/>
  <c r="AU193" i="19" s="1"/>
  <c r="AU138" i="19" a="1"/>
  <c r="AU138" i="19" s="1"/>
  <c r="AU461" i="19" a="1"/>
  <c r="AU461" i="19" s="1"/>
  <c r="AU317" i="19" a="1"/>
  <c r="AU317" i="19" s="1"/>
  <c r="AU205" i="19" a="1"/>
  <c r="AU205" i="19" s="1"/>
  <c r="AU96" i="19" a="1"/>
  <c r="AU96" i="19" s="1"/>
  <c r="AU396" i="19" a="1"/>
  <c r="AU396" i="19" s="1"/>
  <c r="AU459" i="19" a="1"/>
  <c r="AU459" i="19" s="1"/>
  <c r="AU363" i="19" a="1"/>
  <c r="AU363" i="19" s="1"/>
  <c r="AU267" i="19" a="1"/>
  <c r="AU267" i="19" s="1"/>
  <c r="AU165" i="19" a="1"/>
  <c r="AU165" i="19" s="1"/>
  <c r="AU94" i="19" a="1"/>
  <c r="AU94" i="19" s="1"/>
  <c r="AU448" i="19" a="1"/>
  <c r="AU448" i="19" s="1"/>
  <c r="AU216" i="19" a="1"/>
  <c r="AU216" i="19" s="1"/>
  <c r="AU450" i="19" a="1"/>
  <c r="AU450" i="19" s="1"/>
  <c r="AU346" i="19" a="1"/>
  <c r="AU346" i="19" s="1"/>
  <c r="AU242" i="19" a="1"/>
  <c r="AU242" i="19" s="1"/>
  <c r="AU117" i="19" a="1"/>
  <c r="AU117" i="19" s="1"/>
  <c r="AU21" i="19" a="1"/>
  <c r="AU21" i="19" s="1"/>
  <c r="AU368" i="19" a="1"/>
  <c r="AU368" i="19" s="1"/>
  <c r="AU505" i="19" a="1"/>
  <c r="AU505" i="19" s="1"/>
  <c r="AU417" i="19" a="1"/>
  <c r="AU417" i="19" s="1"/>
  <c r="AU297" i="19" a="1"/>
  <c r="AU297" i="19" s="1"/>
  <c r="AU185" i="19" a="1"/>
  <c r="AU185" i="19" s="1"/>
  <c r="AU192" i="19" a="1"/>
  <c r="AU192" i="19" s="1"/>
  <c r="AU190" i="19" a="1"/>
  <c r="AU190" i="19" s="1"/>
  <c r="AU367" i="19" a="1"/>
  <c r="AU367" i="19" s="1"/>
  <c r="AU310" i="19" a="1"/>
  <c r="AU310" i="19" s="1"/>
  <c r="AU95" i="19" a="1"/>
  <c r="AU95" i="19" s="1"/>
  <c r="AU511" i="19" a="1"/>
  <c r="AU511" i="19" s="1"/>
  <c r="AU382" i="19" a="1"/>
  <c r="AU382" i="19" s="1"/>
  <c r="AU300" i="19" a="1"/>
  <c r="AU300" i="19" s="1"/>
  <c r="AU50" i="19" a="1"/>
  <c r="AU50" i="19" s="1"/>
  <c r="AU422" i="19" a="1"/>
  <c r="AU422" i="19" s="1"/>
  <c r="AU139" i="19" a="1"/>
  <c r="AU139" i="19" s="1"/>
  <c r="AU106" i="19" a="1"/>
  <c r="AU106" i="19" s="1"/>
  <c r="AU137" i="19" a="1"/>
  <c r="AU137" i="19" s="1"/>
  <c r="AU430" i="19" a="1"/>
  <c r="AU430" i="19" s="1"/>
  <c r="AU129" i="19" a="1"/>
  <c r="AU129" i="19" s="1"/>
  <c r="Q299" i="19" a="1"/>
  <c r="Q299" i="19" s="1"/>
  <c r="Q282" i="19" a="1"/>
  <c r="Q282" i="19" s="1"/>
  <c r="Q274" i="19" a="1"/>
  <c r="Q274" i="19" s="1"/>
  <c r="Q264" i="19" a="1"/>
  <c r="Q264" i="19" s="1"/>
  <c r="Q288" i="19" a="1"/>
  <c r="Q288" i="19" s="1"/>
  <c r="Q279" i="19" a="1"/>
  <c r="Q279" i="19" s="1"/>
  <c r="Q270" i="19" a="1"/>
  <c r="Q270" i="19" s="1"/>
  <c r="Q258" i="19" a="1"/>
  <c r="Q258" i="19" s="1"/>
  <c r="Q247" i="19" a="1"/>
  <c r="Q247" i="19" s="1"/>
  <c r="Q236" i="19" a="1"/>
  <c r="Q236" i="19" s="1"/>
  <c r="Q225" i="19" a="1"/>
  <c r="Q225" i="19" s="1"/>
  <c r="Q215" i="19" a="1"/>
  <c r="Q215" i="19" s="1"/>
  <c r="Q203" i="19" a="1"/>
  <c r="Q203" i="19" s="1"/>
  <c r="Q193" i="19" a="1"/>
  <c r="Q193" i="19" s="1"/>
  <c r="Q182" i="19" a="1"/>
  <c r="Q182" i="19" s="1"/>
  <c r="Q171" i="19" a="1"/>
  <c r="Q171" i="19" s="1"/>
  <c r="Q160" i="19" a="1"/>
  <c r="Q160" i="19" s="1"/>
  <c r="Q150" i="19" a="1"/>
  <c r="Q150" i="19" s="1"/>
  <c r="Q129" i="19" a="1"/>
  <c r="Q129" i="19" s="1"/>
  <c r="Q118" i="19" a="1"/>
  <c r="Q118" i="19" s="1"/>
  <c r="Q109" i="19" a="1"/>
  <c r="Q109" i="19" s="1"/>
  <c r="Q99" i="19" a="1"/>
  <c r="Q99" i="19" s="1"/>
  <c r="Q89" i="19" a="1"/>
  <c r="Q89" i="19" s="1"/>
  <c r="Q79" i="19" a="1"/>
  <c r="Q79" i="19" s="1"/>
  <c r="Q69" i="19" a="1"/>
  <c r="Q69" i="19" s="1"/>
  <c r="Q58" i="19" a="1"/>
  <c r="Q58" i="19" s="1"/>
  <c r="Q48" i="19" a="1"/>
  <c r="Q48" i="19" s="1"/>
  <c r="Q38" i="19" a="1"/>
  <c r="Q38" i="19" s="1"/>
  <c r="Q29" i="19" a="1"/>
  <c r="Q29" i="19" s="1"/>
  <c r="Q19" i="19" a="1"/>
  <c r="Q19" i="19" s="1"/>
  <c r="Q296" i="19" a="1"/>
  <c r="Q296" i="19" s="1"/>
  <c r="Q287" i="19" a="1"/>
  <c r="Q287" i="19" s="1"/>
  <c r="Q268" i="19" a="1"/>
  <c r="Q268" i="19" s="1"/>
  <c r="Q256" i="19" a="1"/>
  <c r="Q256" i="19" s="1"/>
  <c r="Q245" i="19" a="1"/>
  <c r="Q245" i="19" s="1"/>
  <c r="Q224" i="19" a="1"/>
  <c r="Q224" i="19" s="1"/>
  <c r="Q213" i="19" a="1"/>
  <c r="Q213" i="19" s="1"/>
  <c r="Q201" i="19" a="1"/>
  <c r="Q201" i="19" s="1"/>
  <c r="Q191" i="19" a="1"/>
  <c r="Q191" i="19" s="1"/>
  <c r="Q169" i="19" a="1"/>
  <c r="Q169" i="19" s="1"/>
  <c r="Q158" i="19" a="1"/>
  <c r="Q158" i="19" s="1"/>
  <c r="Q149" i="19" a="1"/>
  <c r="Q149" i="19" s="1"/>
  <c r="Q127" i="19" a="1"/>
  <c r="Q127" i="19" s="1"/>
  <c r="Q117" i="19" a="1"/>
  <c r="Q117" i="19" s="1"/>
  <c r="Q107" i="19" a="1"/>
  <c r="Q107" i="19" s="1"/>
  <c r="Q97" i="19" a="1"/>
  <c r="Q97" i="19" s="1"/>
  <c r="Q87" i="19" a="1"/>
  <c r="Q87" i="19" s="1"/>
  <c r="Q78" i="19" a="1"/>
  <c r="Q78" i="19" s="1"/>
  <c r="Q68" i="19" a="1"/>
  <c r="Q68" i="19" s="1"/>
  <c r="Q57" i="19" a="1"/>
  <c r="Q57" i="19" s="1"/>
  <c r="Q46" i="19" a="1"/>
  <c r="Q46" i="19" s="1"/>
  <c r="Q27" i="19" a="1"/>
  <c r="Q27" i="19" s="1"/>
  <c r="Q18" i="19" a="1"/>
  <c r="Q18" i="19" s="1"/>
  <c r="Q294" i="19" a="1"/>
  <c r="Q294" i="19" s="1"/>
  <c r="Q285" i="19" a="1"/>
  <c r="Q285" i="19" s="1"/>
  <c r="Q266" i="19" a="1"/>
  <c r="Q266" i="19" s="1"/>
  <c r="Q243" i="19" a="1"/>
  <c r="Q243" i="19" s="1"/>
  <c r="Q233" i="19" a="1"/>
  <c r="Q233" i="19" s="1"/>
  <c r="Q222" i="19" a="1"/>
  <c r="Q222" i="19" s="1"/>
  <c r="Q211" i="19" a="1"/>
  <c r="Q211" i="19" s="1"/>
  <c r="Q189" i="19" a="1"/>
  <c r="Q189" i="19" s="1"/>
  <c r="Q179" i="19" a="1"/>
  <c r="Q179" i="19" s="1"/>
  <c r="Q167" i="19" a="1"/>
  <c r="Q167" i="19" s="1"/>
  <c r="Q156" i="19" a="1"/>
  <c r="Q156" i="19" s="1"/>
  <c r="Q137" i="19" a="1"/>
  <c r="Q137" i="19" s="1"/>
  <c r="Q126" i="19" a="1"/>
  <c r="Q126" i="19" s="1"/>
  <c r="Q116" i="19" a="1"/>
  <c r="Q116" i="19" s="1"/>
  <c r="Q105" i="19" a="1"/>
  <c r="Q105" i="19" s="1"/>
  <c r="Q95" i="19" a="1"/>
  <c r="Q95" i="19" s="1"/>
  <c r="Q85" i="19" a="1"/>
  <c r="Q85" i="19" s="1"/>
  <c r="Q77" i="19" a="1"/>
  <c r="Q77" i="19" s="1"/>
  <c r="Q55" i="19" a="1"/>
  <c r="Q55" i="19" s="1"/>
  <c r="Q45" i="19" a="1"/>
  <c r="Q45" i="19" s="1"/>
  <c r="Q35" i="19" a="1"/>
  <c r="Q35" i="19" s="1"/>
  <c r="Q25" i="19" a="1"/>
  <c r="Q25" i="19" s="1"/>
  <c r="Q16" i="19" a="1"/>
  <c r="Q16" i="19" s="1"/>
  <c r="Q295" i="19" a="1"/>
  <c r="Q295" i="19" s="1"/>
  <c r="Q286" i="19" a="1"/>
  <c r="Q286" i="19" s="1"/>
  <c r="Q277" i="19" a="1"/>
  <c r="Q277" i="19" s="1"/>
  <c r="Q267" i="19" a="1"/>
  <c r="Q267" i="19" s="1"/>
  <c r="Q255" i="19" a="1"/>
  <c r="Q255" i="19" s="1"/>
  <c r="Q244" i="19" a="1"/>
  <c r="Q244" i="19" s="1"/>
  <c r="Q234" i="19" a="1"/>
  <c r="Q234" i="19" s="1"/>
  <c r="Q223" i="19" a="1"/>
  <c r="Q223" i="19" s="1"/>
  <c r="Q212" i="19" a="1"/>
  <c r="Q212" i="19" s="1"/>
  <c r="Q200" i="19" a="1"/>
  <c r="Q200" i="19" s="1"/>
  <c r="Q190" i="19" a="1"/>
  <c r="Q190" i="19" s="1"/>
  <c r="Q180" i="19" a="1"/>
  <c r="Q180" i="19" s="1"/>
  <c r="Q168" i="19" a="1"/>
  <c r="Q168" i="19" s="1"/>
  <c r="Q157" i="19" a="1"/>
  <c r="Q157" i="19" s="1"/>
  <c r="Q148" i="19" a="1"/>
  <c r="Q148" i="19" s="1"/>
  <c r="Q138" i="19" a="1"/>
  <c r="Q138" i="19" s="1"/>
  <c r="Q106" i="19" a="1"/>
  <c r="Q106" i="19" s="1"/>
  <c r="Q96" i="19" a="1"/>
  <c r="Q96" i="19" s="1"/>
  <c r="Q86" i="19" a="1"/>
  <c r="Q86" i="19" s="1"/>
  <c r="Q67" i="19" a="1"/>
  <c r="Q67" i="19" s="1"/>
  <c r="Q56" i="19" a="1"/>
  <c r="Q56" i="19" s="1"/>
  <c r="Q36" i="19" a="1"/>
  <c r="Q36" i="19" s="1"/>
  <c r="Q26" i="19" a="1"/>
  <c r="Q26" i="19" s="1"/>
  <c r="Q17" i="19" a="1"/>
  <c r="Q17" i="19" s="1"/>
  <c r="Q254" i="19" a="1"/>
  <c r="Q254" i="19" s="1"/>
  <c r="Q147" i="19" a="1"/>
  <c r="Q147" i="19" s="1"/>
  <c r="Q66" i="19" a="1"/>
  <c r="Q66" i="19" s="1"/>
  <c r="Q293" i="19" a="1"/>
  <c r="Q293" i="19" s="1"/>
  <c r="Q276" i="19" a="1"/>
  <c r="Q276" i="19" s="1"/>
  <c r="Q253" i="19" a="1"/>
  <c r="Q253" i="19" s="1"/>
  <c r="Q242" i="19" a="1"/>
  <c r="Q242" i="19" s="1"/>
  <c r="Q232" i="19" a="1"/>
  <c r="Q232" i="19" s="1"/>
  <c r="Q210" i="19" a="1"/>
  <c r="Q210" i="19" s="1"/>
  <c r="Q199" i="19" a="1"/>
  <c r="Q199" i="19" s="1"/>
  <c r="Q178" i="19" a="1"/>
  <c r="Q178" i="19" s="1"/>
  <c r="Q166" i="19" a="1"/>
  <c r="Q166" i="19" s="1"/>
  <c r="Q155" i="19" a="1"/>
  <c r="Q155" i="19" s="1"/>
  <c r="Q146" i="19" a="1"/>
  <c r="Q146" i="19" s="1"/>
  <c r="Q136" i="19" a="1"/>
  <c r="Q136" i="19" s="1"/>
  <c r="Q125" i="19" a="1"/>
  <c r="Q125" i="19" s="1"/>
  <c r="Q115" i="19" a="1"/>
  <c r="Q115" i="19" s="1"/>
  <c r="Q104" i="19" a="1"/>
  <c r="Q104" i="19" s="1"/>
  <c r="Q94" i="19" a="1"/>
  <c r="Q94" i="19" s="1"/>
  <c r="Q84" i="19" a="1"/>
  <c r="Q84" i="19" s="1"/>
  <c r="Q76" i="19" a="1"/>
  <c r="Q76" i="19" s="1"/>
  <c r="Q65" i="19" a="1"/>
  <c r="Q65" i="19" s="1"/>
  <c r="Q54" i="19" a="1"/>
  <c r="Q54" i="19" s="1"/>
  <c r="Q44" i="19" a="1"/>
  <c r="Q44" i="19" s="1"/>
  <c r="Q34" i="19" a="1"/>
  <c r="Q34" i="19" s="1"/>
  <c r="Q24" i="19" a="1"/>
  <c r="Q24" i="19" s="1"/>
  <c r="Q15" i="19" a="1"/>
  <c r="Q15" i="19" s="1"/>
  <c r="O28" i="19" a="1"/>
  <c r="O28" i="19" s="1"/>
  <c r="N5" i="4"/>
  <c r="H819" i="1" s="1"/>
  <c r="AU130" i="19" a="1"/>
  <c r="AU130" i="19" s="1"/>
  <c r="AU89" i="19" a="1"/>
  <c r="AU89" i="19" s="1"/>
  <c r="AU415" i="19" a="1"/>
  <c r="AU415" i="19" s="1"/>
  <c r="AU145" i="19" a="1"/>
  <c r="AU145" i="19" s="1"/>
  <c r="AU236" i="19" a="1"/>
  <c r="AU236" i="19" s="1"/>
  <c r="AU383" i="19" a="1"/>
  <c r="AU383" i="19" s="1"/>
  <c r="AU246" i="19" a="1"/>
  <c r="AU246" i="19" s="1"/>
  <c r="AU19" i="19" a="1"/>
  <c r="AU19" i="19" s="1"/>
  <c r="AU470" i="19" a="1"/>
  <c r="AU470" i="19" s="1"/>
  <c r="AU156" i="19" a="1"/>
  <c r="AU156" i="19" s="1"/>
  <c r="AU504" i="19" a="1"/>
  <c r="AU504" i="19" s="1"/>
  <c r="AU194" i="19" a="1"/>
  <c r="AU194" i="19" s="1"/>
  <c r="AU394" i="19" a="1"/>
  <c r="AU394" i="19" s="1"/>
  <c r="AU360" i="19" a="1"/>
  <c r="AU360" i="19" s="1"/>
  <c r="AU315" i="19" a="1"/>
  <c r="AU315" i="19" s="1"/>
  <c r="AU340" i="19" a="1"/>
  <c r="AU340" i="19" s="1"/>
  <c r="AU40" i="19" a="1"/>
  <c r="AU40" i="19" s="1"/>
  <c r="AU277" i="19" a="1"/>
  <c r="AU277" i="19" s="1"/>
  <c r="N7" i="4"/>
  <c r="O7" i="4"/>
  <c r="BW127" i="19" a="1"/>
  <c r="BW127" i="19" s="1"/>
  <c r="BW367" i="19" a="1"/>
  <c r="BW367" i="19" s="1"/>
  <c r="BW639" i="19" a="1"/>
  <c r="BW639" i="19" s="1"/>
  <c r="BW352" i="19" a="1"/>
  <c r="BW352" i="19" s="1"/>
  <c r="BW624" i="19" a="1"/>
  <c r="BW624" i="19" s="1"/>
  <c r="BW353" i="19" a="1"/>
  <c r="BW353" i="19" s="1"/>
  <c r="BW705" i="19" a="1"/>
  <c r="BW705" i="19" s="1"/>
  <c r="BW418" i="19" a="1"/>
  <c r="BW418" i="19" s="1"/>
  <c r="BW211" i="19" a="1"/>
  <c r="BW211" i="19" s="1"/>
  <c r="BW531" i="19" a="1"/>
  <c r="BW531" i="19" s="1"/>
  <c r="BW324" i="19" a="1"/>
  <c r="BW324" i="19" s="1"/>
  <c r="BW692" i="19" a="1"/>
  <c r="BW692" i="19" s="1"/>
  <c r="BW421" i="19" a="1"/>
  <c r="BW421" i="19" s="1"/>
  <c r="BW182" i="19" a="1"/>
  <c r="BW182" i="19" s="1"/>
  <c r="BW566" i="19" a="1"/>
  <c r="BW566" i="19" s="1"/>
  <c r="BY274" i="19" a="1"/>
  <c r="BY274" i="19" s="1"/>
  <c r="BY95" i="19" a="1"/>
  <c r="BY95" i="19" s="1"/>
  <c r="BY419" i="19" a="1"/>
  <c r="BY419" i="19" s="1"/>
  <c r="BY302" i="19" a="1"/>
  <c r="BY302" i="19" s="1"/>
  <c r="BY111" i="19" a="1"/>
  <c r="BY111" i="19" s="1"/>
  <c r="BY507" i="19" a="1"/>
  <c r="BY507" i="19" s="1"/>
  <c r="BY336" i="19" a="1"/>
  <c r="BY336" i="19" s="1"/>
  <c r="BY160" i="19" a="1"/>
  <c r="BY160" i="19" s="1"/>
  <c r="BY49" i="19" a="1"/>
  <c r="BY49" i="19" s="1"/>
  <c r="BY361" i="19" a="1"/>
  <c r="BY361" i="19" s="1"/>
  <c r="BY257" i="19" a="1"/>
  <c r="BY257" i="19" s="1"/>
  <c r="BY66" i="19" a="1"/>
  <c r="BY66" i="19" s="1"/>
  <c r="BY390" i="19" a="1"/>
  <c r="BY390" i="19" s="1"/>
  <c r="BY271" i="19" a="1"/>
  <c r="BY271" i="19" s="1"/>
  <c r="BY80" i="19" a="1"/>
  <c r="BY80" i="19" s="1"/>
  <c r="BY476" i="19" a="1"/>
  <c r="BY476" i="19" s="1"/>
  <c r="BY273" i="19" a="1"/>
  <c r="BY273" i="19" s="1"/>
  <c r="BY286" i="19" a="1"/>
  <c r="BY286" i="19" s="1"/>
  <c r="BY107" i="19" a="1"/>
  <c r="BY107" i="19" s="1"/>
  <c r="BY503" i="19" a="1"/>
  <c r="BY503" i="19" s="1"/>
  <c r="BY314" i="19" a="1"/>
  <c r="BY314" i="19" s="1"/>
  <c r="BY135" i="19" a="1"/>
  <c r="BY135" i="19" s="1"/>
  <c r="BY24" i="19" a="1"/>
  <c r="BY24" i="19" s="1"/>
  <c r="BY348" i="19" a="1"/>
  <c r="BY348" i="19" s="1"/>
  <c r="BY244" i="19" a="1"/>
  <c r="BY244" i="19" s="1"/>
  <c r="BY61" i="19" a="1"/>
  <c r="BY61" i="19" s="1"/>
  <c r="BY385" i="19" a="1"/>
  <c r="BY385" i="19" s="1"/>
  <c r="BY269" i="19" a="1"/>
  <c r="BY269" i="19" s="1"/>
  <c r="BY78" i="19" a="1"/>
  <c r="BY78" i="19" s="1"/>
  <c r="BY474" i="19" a="1"/>
  <c r="BY474" i="19" s="1"/>
  <c r="BY283" i="19" a="1"/>
  <c r="BY283" i="19" s="1"/>
  <c r="BY104" i="19" a="1"/>
  <c r="BY104" i="19" s="1"/>
  <c r="BY488" i="19" a="1"/>
  <c r="BY488" i="19" s="1"/>
  <c r="BY285" i="19" a="1"/>
  <c r="BY285" i="19" s="1"/>
  <c r="BW143" i="19" a="1"/>
  <c r="BW143" i="19" s="1"/>
  <c r="BW391" i="19" a="1"/>
  <c r="BW391" i="19" s="1"/>
  <c r="BW80" i="19" a="1"/>
  <c r="BW80" i="19" s="1"/>
  <c r="BW376" i="19" a="1"/>
  <c r="BW376" i="19" s="1"/>
  <c r="BW712" i="19" a="1"/>
  <c r="BW712" i="19" s="1"/>
  <c r="BW393" i="19" a="1"/>
  <c r="BW393" i="19" s="1"/>
  <c r="BW90" i="19" a="1"/>
  <c r="BW90" i="19" s="1"/>
  <c r="BW530" i="19" a="1"/>
  <c r="BW530" i="19" s="1"/>
  <c r="BW235" i="19" a="1"/>
  <c r="BW235" i="19" s="1"/>
  <c r="BW659" i="19" a="1"/>
  <c r="BW659" i="19" s="1"/>
  <c r="BW372" i="19" a="1"/>
  <c r="BW372" i="19" s="1"/>
  <c r="BW93" i="19" a="1"/>
  <c r="BW93" i="19" s="1"/>
  <c r="BW525" i="19" a="1"/>
  <c r="BW525" i="19" s="1"/>
  <c r="BW222" i="19" a="1"/>
  <c r="BW222" i="19" s="1"/>
  <c r="BW694" i="19" a="1"/>
  <c r="BW694" i="19" s="1"/>
  <c r="BY298" i="19" a="1"/>
  <c r="BY298" i="19" s="1"/>
  <c r="BY131" i="19" a="1"/>
  <c r="BY131" i="19" s="1"/>
  <c r="BY14" i="19" a="1"/>
  <c r="BY14" i="19" s="1"/>
  <c r="BY326" i="19" a="1"/>
  <c r="BY326" i="19" s="1"/>
  <c r="BY219" i="19" a="1"/>
  <c r="BY219" i="19" s="1"/>
  <c r="BY36" i="19" a="1"/>
  <c r="BY36" i="19" s="1"/>
  <c r="BY372" i="19" a="1"/>
  <c r="BY372" i="19" s="1"/>
  <c r="BY256" i="19" a="1"/>
  <c r="BY256" i="19" s="1"/>
  <c r="BY73" i="19" a="1"/>
  <c r="BY73" i="19" s="1"/>
  <c r="BY469" i="19" a="1"/>
  <c r="BY469" i="19" s="1"/>
  <c r="BY281" i="19" a="1"/>
  <c r="BY281" i="19" s="1"/>
  <c r="BY102" i="19" a="1"/>
  <c r="BY102" i="19" s="1"/>
  <c r="BY486" i="19" a="1"/>
  <c r="BY486" i="19" s="1"/>
  <c r="BY295" i="19" a="1"/>
  <c r="BY295" i="19" s="1"/>
  <c r="BY188" i="19" a="1"/>
  <c r="BY188" i="19" s="1"/>
  <c r="BY500" i="19" a="1"/>
  <c r="BY500" i="19" s="1"/>
  <c r="BY309" i="19" a="1"/>
  <c r="BY309" i="19" s="1"/>
  <c r="BW59" i="19" a="1"/>
  <c r="BW59" i="19" s="1"/>
  <c r="BW56" i="19" a="1"/>
  <c r="BW56" i="19" s="1"/>
  <c r="BW151" i="19" a="1"/>
  <c r="BW151" i="19" s="1"/>
  <c r="BW463" i="19" a="1"/>
  <c r="BW463" i="19" s="1"/>
  <c r="BW96" i="19" a="1"/>
  <c r="BW96" i="19" s="1"/>
  <c r="BW392" i="19" a="1"/>
  <c r="BW392" i="19" s="1"/>
  <c r="BW720" i="19" a="1"/>
  <c r="BW720" i="19" s="1"/>
  <c r="BW401" i="19" a="1"/>
  <c r="BW401" i="19" s="1"/>
  <c r="BW194" i="19" a="1"/>
  <c r="BW194" i="19" s="1"/>
  <c r="BW546" i="19" a="1"/>
  <c r="BW546" i="19" s="1"/>
  <c r="BW275" i="19" a="1"/>
  <c r="BW275" i="19" s="1"/>
  <c r="BW675" i="19" a="1"/>
  <c r="BW675" i="19" s="1"/>
  <c r="BW380" i="19" a="1"/>
  <c r="BW380" i="19" s="1"/>
  <c r="BW157" i="19" a="1"/>
  <c r="BW157" i="19" s="1"/>
  <c r="BW533" i="19" a="1"/>
  <c r="BW533" i="19" s="1"/>
  <c r="BW254" i="19" a="1"/>
  <c r="BW254" i="19" s="1"/>
  <c r="BW710" i="19" a="1"/>
  <c r="BW710" i="19" s="1"/>
  <c r="BY310" i="19" a="1"/>
  <c r="BY310" i="19" s="1"/>
  <c r="BY215" i="19" a="1"/>
  <c r="BY215" i="19" s="1"/>
  <c r="BY26" i="19" a="1"/>
  <c r="BY26" i="19" s="1"/>
  <c r="BY350" i="19" a="1"/>
  <c r="BY350" i="19" s="1"/>
  <c r="BY231" i="19" a="1"/>
  <c r="BY231" i="19" s="1"/>
  <c r="BY48" i="19" a="1"/>
  <c r="BY48" i="19" s="1"/>
  <c r="BY456" i="19" a="1"/>
  <c r="BY456" i="19" s="1"/>
  <c r="BY268" i="19" a="1"/>
  <c r="BY268" i="19" s="1"/>
  <c r="BY97" i="19" a="1"/>
  <c r="BY97" i="19" s="1"/>
  <c r="BY481" i="19" a="1"/>
  <c r="BY481" i="19" s="1"/>
  <c r="BY293" i="19" a="1"/>
  <c r="BY293" i="19" s="1"/>
  <c r="BY186" i="19" a="1"/>
  <c r="BY186" i="19" s="1"/>
  <c r="BY498" i="19" a="1"/>
  <c r="BY498" i="19" s="1"/>
  <c r="BY319" i="19" a="1"/>
  <c r="BY319" i="19" s="1"/>
  <c r="BY200" i="19" a="1"/>
  <c r="BY200" i="19" s="1"/>
  <c r="BY512" i="19" a="1"/>
  <c r="BY512" i="19" s="1"/>
  <c r="BY393" i="19" a="1"/>
  <c r="BY393" i="19" s="1"/>
  <c r="BW45" i="19" a="1"/>
  <c r="BW45" i="19" s="1"/>
  <c r="BW64" i="19" a="1"/>
  <c r="BW64" i="19" s="1"/>
  <c r="BW175" i="19" a="1"/>
  <c r="BW175" i="19" s="1"/>
  <c r="BW471" i="19" a="1"/>
  <c r="BW471" i="19" s="1"/>
  <c r="BW104" i="19" a="1"/>
  <c r="BW104" i="19" s="1"/>
  <c r="BW472" i="19" a="1"/>
  <c r="BW472" i="19" s="1"/>
  <c r="BW81" i="19" a="1"/>
  <c r="BW81" i="19" s="1"/>
  <c r="BW433" i="19" a="1"/>
  <c r="BW433" i="19" s="1"/>
  <c r="BW218" i="19" a="1"/>
  <c r="BW218" i="19" s="1"/>
  <c r="BW570" i="19" a="1"/>
  <c r="BW570" i="19" s="1"/>
  <c r="BW347" i="19" a="1"/>
  <c r="BW347" i="19" s="1"/>
  <c r="BW683" i="19" a="1"/>
  <c r="BW683" i="19" s="1"/>
  <c r="BW420" i="19" a="1"/>
  <c r="BW420" i="19" s="1"/>
  <c r="BW181" i="19" a="1"/>
  <c r="BW181" i="19" s="1"/>
  <c r="BW549" i="19" a="1"/>
  <c r="BW549" i="19" s="1"/>
  <c r="BW358" i="19" a="1"/>
  <c r="BW358" i="19" s="1"/>
  <c r="BY334" i="19" a="1"/>
  <c r="BY334" i="19" s="1"/>
  <c r="BY227" i="19" a="1"/>
  <c r="BY227" i="19" s="1"/>
  <c r="BY38" i="19" a="1"/>
  <c r="BY38" i="19" s="1"/>
  <c r="BY434" i="19" a="1"/>
  <c r="BY434" i="19" s="1"/>
  <c r="BY243" i="19" a="1"/>
  <c r="BY243" i="19" s="1"/>
  <c r="BY72" i="19" a="1"/>
  <c r="BY72" i="19" s="1"/>
  <c r="BY468" i="19" a="1"/>
  <c r="BY468" i="19" s="1"/>
  <c r="BY280" i="19" a="1"/>
  <c r="BY280" i="19" s="1"/>
  <c r="BY181" i="19" a="1"/>
  <c r="BY181" i="19" s="1"/>
  <c r="BY493" i="19" a="1"/>
  <c r="BY493" i="19" s="1"/>
  <c r="BY317" i="19" a="1"/>
  <c r="BY317" i="19" s="1"/>
  <c r="BY198" i="19" a="1"/>
  <c r="BY198" i="19" s="1"/>
  <c r="BY510" i="19" a="1"/>
  <c r="BY510" i="19" s="1"/>
  <c r="BY403" i="19" a="1"/>
  <c r="BY403" i="19" s="1"/>
  <c r="BY212" i="19" a="1"/>
  <c r="BY212" i="19" s="1"/>
  <c r="BY21" i="19" a="1"/>
  <c r="BY21" i="19" s="1"/>
  <c r="BY405" i="19" a="1"/>
  <c r="BY405" i="19" s="1"/>
  <c r="BY22" i="19" a="1"/>
  <c r="BY22" i="19" s="1"/>
  <c r="BY418" i="19" a="1"/>
  <c r="BY418" i="19" s="1"/>
  <c r="BY239" i="19" a="1"/>
  <c r="BY239" i="19" s="1"/>
  <c r="BY62" i="19" a="1"/>
  <c r="BY62" i="19" s="1"/>
  <c r="BY446" i="19" a="1"/>
  <c r="BY446" i="19" s="1"/>
  <c r="BY255" i="19" a="1"/>
  <c r="BY255" i="19" s="1"/>
  <c r="BY156" i="19" a="1"/>
  <c r="BY156" i="19" s="1"/>
  <c r="BY480" i="19" a="1"/>
  <c r="BY480" i="19" s="1"/>
  <c r="BY304" i="19" a="1"/>
  <c r="BY304" i="19" s="1"/>
  <c r="BY193" i="19" a="1"/>
  <c r="BY193" i="19" s="1"/>
  <c r="BY505" i="19" a="1"/>
  <c r="BY505" i="19" s="1"/>
  <c r="BY401" i="19" a="1"/>
  <c r="BY401" i="19" s="1"/>
  <c r="BY210" i="19" a="1"/>
  <c r="BY210" i="19" s="1"/>
  <c r="BY31" i="19" a="1"/>
  <c r="BY31" i="19" s="1"/>
  <c r="BY415" i="19" a="1"/>
  <c r="BY415" i="19" s="1"/>
  <c r="BY224" i="19" a="1"/>
  <c r="BY224" i="19" s="1"/>
  <c r="BY105" i="19" a="1"/>
  <c r="BY105" i="19" s="1"/>
  <c r="BY417" i="19" a="1"/>
  <c r="BY417" i="19" s="1"/>
  <c r="BY130" i="19" a="1"/>
  <c r="BY130" i="19" s="1"/>
  <c r="BY442" i="19" a="1"/>
  <c r="BY442" i="19" s="1"/>
  <c r="BY275" i="19" a="1"/>
  <c r="BY275" i="19" s="1"/>
  <c r="BY158" i="19" a="1"/>
  <c r="BY158" i="19" s="1"/>
  <c r="BY470" i="19" a="1"/>
  <c r="BY470" i="19" s="1"/>
  <c r="BY363" i="19" a="1"/>
  <c r="BY363" i="19" s="1"/>
  <c r="BY180" i="19" a="1"/>
  <c r="BY180" i="19" s="1"/>
  <c r="BY16" i="19" a="1"/>
  <c r="BY16" i="19" s="1"/>
  <c r="BY400" i="19" a="1"/>
  <c r="BY400" i="19" s="1"/>
  <c r="BY217" i="19" a="1"/>
  <c r="BY217" i="19" s="1"/>
  <c r="BY113" i="19" a="1"/>
  <c r="BY113" i="19" s="1"/>
  <c r="BY425" i="19" a="1"/>
  <c r="BY425" i="19" s="1"/>
  <c r="BY246" i="19" a="1"/>
  <c r="BY246" i="19" s="1"/>
  <c r="BY127" i="19" a="1"/>
  <c r="BY127" i="19" s="1"/>
  <c r="BY439" i="19" a="1"/>
  <c r="BY439" i="19" s="1"/>
  <c r="BY332" i="19" a="1"/>
  <c r="BY332" i="19" s="1"/>
  <c r="BY129" i="19" a="1"/>
  <c r="BY129" i="19" s="1"/>
  <c r="BY13" i="19" a="1"/>
  <c r="BY13" i="19" s="1"/>
  <c r="BY381" i="19" a="1"/>
  <c r="BY381" i="19" s="1"/>
  <c r="BY237" i="19" a="1"/>
  <c r="BY237" i="19" s="1"/>
  <c r="BY93" i="19" a="1"/>
  <c r="BY93" i="19" s="1"/>
  <c r="BY464" i="19" a="1"/>
  <c r="BY464" i="19" s="1"/>
  <c r="BY320" i="19" a="1"/>
  <c r="BY320" i="19" s="1"/>
  <c r="BY176" i="19" a="1"/>
  <c r="BY176" i="19" s="1"/>
  <c r="BY32" i="19" a="1"/>
  <c r="BY32" i="19" s="1"/>
  <c r="BY391" i="19" a="1"/>
  <c r="BY391" i="19" s="1"/>
  <c r="BY247" i="19" a="1"/>
  <c r="BY247" i="19" s="1"/>
  <c r="BY103" i="19" a="1"/>
  <c r="BY103" i="19" s="1"/>
  <c r="BY462" i="19" a="1"/>
  <c r="BY462" i="19" s="1"/>
  <c r="BY318" i="19" a="1"/>
  <c r="BY318" i="19" s="1"/>
  <c r="BY174" i="19" a="1"/>
  <c r="BY174" i="19" s="1"/>
  <c r="BY30" i="19" a="1"/>
  <c r="BY30" i="19" s="1"/>
  <c r="BY389" i="19" a="1"/>
  <c r="BY389" i="19" s="1"/>
  <c r="BY245" i="19" a="1"/>
  <c r="BY245" i="19" s="1"/>
  <c r="BY101" i="19" a="1"/>
  <c r="BY101" i="19" s="1"/>
  <c r="BY457" i="19" a="1"/>
  <c r="BY457" i="19" s="1"/>
  <c r="BY313" i="19" a="1"/>
  <c r="BY313" i="19" s="1"/>
  <c r="BY169" i="19" a="1"/>
  <c r="BY169" i="19" s="1"/>
  <c r="BY25" i="19" a="1"/>
  <c r="BY25" i="19" s="1"/>
  <c r="BY376" i="19" a="1"/>
  <c r="BY376" i="19" s="1"/>
  <c r="BY232" i="19" a="1"/>
  <c r="BY232" i="19" s="1"/>
  <c r="BY88" i="19" a="1"/>
  <c r="BY88" i="19" s="1"/>
  <c r="BY444" i="19" a="1"/>
  <c r="BY444" i="19" s="1"/>
  <c r="BY300" i="19" a="1"/>
  <c r="BY300" i="19" s="1"/>
  <c r="BY144" i="19" a="1"/>
  <c r="BY144" i="19" s="1"/>
  <c r="BY495" i="19" a="1"/>
  <c r="BY495" i="19" s="1"/>
  <c r="BY351" i="19" a="1"/>
  <c r="BY351" i="19" s="1"/>
  <c r="BY207" i="19" a="1"/>
  <c r="BY207" i="19" s="1"/>
  <c r="BY63" i="19" a="1"/>
  <c r="BY63" i="19" s="1"/>
  <c r="BY422" i="19" a="1"/>
  <c r="BY422" i="19" s="1"/>
  <c r="BY278" i="19" a="1"/>
  <c r="BY278" i="19" s="1"/>
  <c r="BY134" i="19" a="1"/>
  <c r="BY134" i="19" s="1"/>
  <c r="BY491" i="19" a="1"/>
  <c r="BY491" i="19" s="1"/>
  <c r="BY347" i="19" a="1"/>
  <c r="BY347" i="19" s="1"/>
  <c r="BY203" i="19" a="1"/>
  <c r="BY203" i="19" s="1"/>
  <c r="BY59" i="19" a="1"/>
  <c r="BY59" i="19" s="1"/>
  <c r="BY406" i="19" a="1"/>
  <c r="BY406" i="19" s="1"/>
  <c r="BY262" i="19" a="1"/>
  <c r="BY262" i="19" s="1"/>
  <c r="BY118" i="19" a="1"/>
  <c r="BY118" i="19" s="1"/>
  <c r="BY513" i="19" a="1"/>
  <c r="BY513" i="19" s="1"/>
  <c r="BY369" i="19" a="1"/>
  <c r="BY369" i="19" s="1"/>
  <c r="BY225" i="19" a="1"/>
  <c r="BY225" i="19" s="1"/>
  <c r="BY81" i="19" a="1"/>
  <c r="BY81" i="19" s="1"/>
  <c r="BY452" i="19" a="1"/>
  <c r="BY452" i="19" s="1"/>
  <c r="BY308" i="19" a="1"/>
  <c r="BY308" i="19" s="1"/>
  <c r="BY164" i="19" a="1"/>
  <c r="BY164" i="19" s="1"/>
  <c r="BY20" i="19" a="1"/>
  <c r="BY20" i="19" s="1"/>
  <c r="BY379" i="19" a="1"/>
  <c r="BY379" i="19" s="1"/>
  <c r="BY235" i="19" a="1"/>
  <c r="BY235" i="19" s="1"/>
  <c r="BY91" i="19" a="1"/>
  <c r="BY91" i="19" s="1"/>
  <c r="BY450" i="19" a="1"/>
  <c r="BY450" i="19" s="1"/>
  <c r="BY306" i="19" a="1"/>
  <c r="BY306" i="19" s="1"/>
  <c r="BY162" i="19" a="1"/>
  <c r="BY162" i="19" s="1"/>
  <c r="BY18" i="19" a="1"/>
  <c r="BY18" i="19" s="1"/>
  <c r="BY377" i="19" a="1"/>
  <c r="BY377" i="19" s="1"/>
  <c r="BY233" i="19" a="1"/>
  <c r="BY233" i="19" s="1"/>
  <c r="BY89" i="19" a="1"/>
  <c r="BY89" i="19" s="1"/>
  <c r="BY445" i="19" a="1"/>
  <c r="BY445" i="19" s="1"/>
  <c r="BY301" i="19" a="1"/>
  <c r="BY301" i="19" s="1"/>
  <c r="BY157" i="19" a="1"/>
  <c r="BY157" i="19" s="1"/>
  <c r="BY508" i="19" a="1"/>
  <c r="BY508" i="19" s="1"/>
  <c r="BY364" i="19" a="1"/>
  <c r="BY364" i="19" s="1"/>
  <c r="BY220" i="19" a="1"/>
  <c r="BY220" i="19" s="1"/>
  <c r="BY76" i="19" a="1"/>
  <c r="BY76" i="19" s="1"/>
  <c r="BY432" i="19" a="1"/>
  <c r="BY432" i="19" s="1"/>
  <c r="BY288" i="19" a="1"/>
  <c r="BY288" i="19" s="1"/>
  <c r="BY132" i="19" a="1"/>
  <c r="BY132" i="19" s="1"/>
  <c r="BY483" i="19" a="1"/>
  <c r="BY483" i="19" s="1"/>
  <c r="BY339" i="19" a="1"/>
  <c r="BY339" i="19" s="1"/>
  <c r="BY195" i="19" a="1"/>
  <c r="BY195" i="19" s="1"/>
  <c r="BY51" i="19" a="1"/>
  <c r="BY51" i="19" s="1"/>
  <c r="BY410" i="19" a="1"/>
  <c r="BY410" i="19" s="1"/>
  <c r="BY266" i="19" a="1"/>
  <c r="BY266" i="19" s="1"/>
  <c r="BY122" i="19" a="1"/>
  <c r="BY122" i="19" s="1"/>
  <c r="BY479" i="19" a="1"/>
  <c r="BY479" i="19" s="1"/>
  <c r="BY335" i="19" a="1"/>
  <c r="BY335" i="19" s="1"/>
  <c r="BY191" i="19" a="1"/>
  <c r="BY191" i="19" s="1"/>
  <c r="BY47" i="19" a="1"/>
  <c r="BY47" i="19" s="1"/>
  <c r="BY394" i="19" a="1"/>
  <c r="BY394" i="19" s="1"/>
  <c r="BY250" i="19" a="1"/>
  <c r="BY250" i="19" s="1"/>
  <c r="BY106" i="19" a="1"/>
  <c r="BY106" i="19" s="1"/>
  <c r="BY501" i="19" a="1"/>
  <c r="BY501" i="19" s="1"/>
  <c r="BY357" i="19" a="1"/>
  <c r="BY357" i="19" s="1"/>
  <c r="BY213" i="19" a="1"/>
  <c r="BY213" i="19" s="1"/>
  <c r="BY69" i="19" a="1"/>
  <c r="BY69" i="19" s="1"/>
  <c r="BY440" i="19" a="1"/>
  <c r="BY440" i="19" s="1"/>
  <c r="BY296" i="19" a="1"/>
  <c r="BY296" i="19" s="1"/>
  <c r="BY152" i="19" a="1"/>
  <c r="BY152" i="19" s="1"/>
  <c r="BY511" i="19" a="1"/>
  <c r="BY511" i="19" s="1"/>
  <c r="BY367" i="19" a="1"/>
  <c r="BY367" i="19" s="1"/>
  <c r="BY223" i="19" a="1"/>
  <c r="BY223" i="19" s="1"/>
  <c r="BY79" i="19" a="1"/>
  <c r="BY79" i="19" s="1"/>
  <c r="BY438" i="19" a="1"/>
  <c r="BY438" i="19" s="1"/>
  <c r="BY294" i="19" a="1"/>
  <c r="BY294" i="19" s="1"/>
  <c r="BY150" i="19" a="1"/>
  <c r="BY150" i="19" s="1"/>
  <c r="BY509" i="19" a="1"/>
  <c r="BY509" i="19" s="1"/>
  <c r="BY365" i="19" a="1"/>
  <c r="BY365" i="19" s="1"/>
  <c r="BY221" i="19" a="1"/>
  <c r="BY221" i="19" s="1"/>
  <c r="BY77" i="19" a="1"/>
  <c r="BY77" i="19" s="1"/>
  <c r="BY433" i="19" a="1"/>
  <c r="BY433" i="19" s="1"/>
  <c r="BY289" i="19" a="1"/>
  <c r="BY289" i="19" s="1"/>
  <c r="BY145" i="19" a="1"/>
  <c r="BY145" i="19" s="1"/>
  <c r="BY496" i="19" a="1"/>
  <c r="BY496" i="19" s="1"/>
  <c r="BY352" i="19" a="1"/>
  <c r="BY352" i="19" s="1"/>
  <c r="BY208" i="19" a="1"/>
  <c r="BY208" i="19" s="1"/>
  <c r="BY64" i="19" a="1"/>
  <c r="BY64" i="19" s="1"/>
  <c r="BY420" i="19" a="1"/>
  <c r="BY420" i="19" s="1"/>
  <c r="BY276" i="19" a="1"/>
  <c r="BY276" i="19" s="1"/>
  <c r="BY120" i="19" a="1"/>
  <c r="BY120" i="19" s="1"/>
  <c r="BY471" i="19" a="1"/>
  <c r="BY471" i="19" s="1"/>
  <c r="BY327" i="19" a="1"/>
  <c r="BY327" i="19" s="1"/>
  <c r="BY183" i="19" a="1"/>
  <c r="BY183" i="19" s="1"/>
  <c r="BY39" i="19" a="1"/>
  <c r="BY39" i="19" s="1"/>
  <c r="BY398" i="19" a="1"/>
  <c r="BY398" i="19" s="1"/>
  <c r="BY254" i="19" a="1"/>
  <c r="BY254" i="19" s="1"/>
  <c r="BY110" i="19" a="1"/>
  <c r="BY110" i="19" s="1"/>
  <c r="BY467" i="19" a="1"/>
  <c r="BY467" i="19" s="1"/>
  <c r="BY323" i="19" a="1"/>
  <c r="BY323" i="19" s="1"/>
  <c r="BY179" i="19" a="1"/>
  <c r="BY179" i="19" s="1"/>
  <c r="BY35" i="19" a="1"/>
  <c r="BY35" i="19" s="1"/>
  <c r="BY382" i="19" a="1"/>
  <c r="BY382" i="19" s="1"/>
  <c r="BY238" i="19" a="1"/>
  <c r="BY238" i="19" s="1"/>
  <c r="BY94" i="19" a="1"/>
  <c r="BY94" i="19" s="1"/>
  <c r="BY489" i="19" a="1"/>
  <c r="BY489" i="19" s="1"/>
  <c r="BY345" i="19" a="1"/>
  <c r="BY345" i="19" s="1"/>
  <c r="BY201" i="19" a="1"/>
  <c r="BY201" i="19" s="1"/>
  <c r="BY57" i="19" a="1"/>
  <c r="BY57" i="19" s="1"/>
  <c r="BY428" i="19" a="1"/>
  <c r="BY428" i="19" s="1"/>
  <c r="BY284" i="19" a="1"/>
  <c r="BY284" i="19" s="1"/>
  <c r="BY140" i="19" a="1"/>
  <c r="BY140" i="19" s="1"/>
  <c r="BY499" i="19" a="1"/>
  <c r="BY499" i="19" s="1"/>
  <c r="BY355" i="19" a="1"/>
  <c r="BY355" i="19" s="1"/>
  <c r="BY211" i="19" a="1"/>
  <c r="BY211" i="19" s="1"/>
  <c r="BY67" i="19" a="1"/>
  <c r="BY67" i="19" s="1"/>
  <c r="BY426" i="19" a="1"/>
  <c r="BY426" i="19" s="1"/>
  <c r="BY282" i="19" a="1"/>
  <c r="BY282" i="19" s="1"/>
  <c r="BY138" i="19" a="1"/>
  <c r="BY138" i="19" s="1"/>
  <c r="BY497" i="19" a="1"/>
  <c r="BY497" i="19" s="1"/>
  <c r="BY353" i="19" a="1"/>
  <c r="BY353" i="19" s="1"/>
  <c r="BY209" i="19" a="1"/>
  <c r="BY209" i="19" s="1"/>
  <c r="BY65" i="19" a="1"/>
  <c r="BY65" i="19" s="1"/>
  <c r="BY421" i="19" a="1"/>
  <c r="BY421" i="19" s="1"/>
  <c r="BY277" i="19" a="1"/>
  <c r="BY277" i="19" s="1"/>
  <c r="BY133" i="19" a="1"/>
  <c r="BY133" i="19" s="1"/>
  <c r="BY484" i="19" a="1"/>
  <c r="BY484" i="19" s="1"/>
  <c r="BY340" i="19" a="1"/>
  <c r="BY340" i="19" s="1"/>
  <c r="BY196" i="19" a="1"/>
  <c r="BY196" i="19" s="1"/>
  <c r="BY52" i="19" a="1"/>
  <c r="BY52" i="19" s="1"/>
  <c r="BY408" i="19" a="1"/>
  <c r="BY408" i="19" s="1"/>
  <c r="BY264" i="19" a="1"/>
  <c r="BY264" i="19" s="1"/>
  <c r="BY108" i="19" a="1"/>
  <c r="BY108" i="19" s="1"/>
  <c r="BY459" i="19" a="1"/>
  <c r="BY459" i="19" s="1"/>
  <c r="BY315" i="19" a="1"/>
  <c r="BY315" i="19" s="1"/>
  <c r="BY171" i="19" a="1"/>
  <c r="BY171" i="19" s="1"/>
  <c r="BY27" i="19" a="1"/>
  <c r="BY27" i="19" s="1"/>
  <c r="BY386" i="19" a="1"/>
  <c r="BY386" i="19" s="1"/>
  <c r="BY242" i="19" a="1"/>
  <c r="BY242" i="19" s="1"/>
  <c r="BY98" i="19" a="1"/>
  <c r="BY98" i="19" s="1"/>
  <c r="BY455" i="19" a="1"/>
  <c r="BY455" i="19" s="1"/>
  <c r="BY311" i="19" a="1"/>
  <c r="BY311" i="19" s="1"/>
  <c r="BY167" i="19" a="1"/>
  <c r="BY167" i="19" s="1"/>
  <c r="BY23" i="19" a="1"/>
  <c r="BY23" i="19" s="1"/>
  <c r="BY370" i="19" a="1"/>
  <c r="BY370" i="19" s="1"/>
  <c r="BY226" i="19" a="1"/>
  <c r="BY226" i="19" s="1"/>
  <c r="BY82" i="19" a="1"/>
  <c r="BY82" i="19" s="1"/>
  <c r="BY477" i="19" a="1"/>
  <c r="BY477" i="19" s="1"/>
  <c r="BY333" i="19" a="1"/>
  <c r="BY333" i="19" s="1"/>
  <c r="BY189" i="19" a="1"/>
  <c r="BY189" i="19" s="1"/>
  <c r="BY45" i="19" a="1"/>
  <c r="BY45" i="19" s="1"/>
  <c r="BY416" i="19" a="1"/>
  <c r="BY416" i="19" s="1"/>
  <c r="BY272" i="19" a="1"/>
  <c r="BY272" i="19" s="1"/>
  <c r="BY128" i="19" a="1"/>
  <c r="BY128" i="19" s="1"/>
  <c r="BY487" i="19" a="1"/>
  <c r="BY487" i="19" s="1"/>
  <c r="BY343" i="19" a="1"/>
  <c r="BY343" i="19" s="1"/>
  <c r="BY199" i="19" a="1"/>
  <c r="BY199" i="19" s="1"/>
  <c r="BY55" i="19" a="1"/>
  <c r="BY55" i="19" s="1"/>
  <c r="BY414" i="19" a="1"/>
  <c r="BY414" i="19" s="1"/>
  <c r="BY270" i="19" a="1"/>
  <c r="BY270" i="19" s="1"/>
  <c r="BY126" i="19" a="1"/>
  <c r="BY126" i="19" s="1"/>
  <c r="BY485" i="19" a="1"/>
  <c r="BY485" i="19" s="1"/>
  <c r="BY341" i="19" a="1"/>
  <c r="BY341" i="19" s="1"/>
  <c r="BY197" i="19" a="1"/>
  <c r="BY197" i="19" s="1"/>
  <c r="BY53" i="19" a="1"/>
  <c r="BY53" i="19" s="1"/>
  <c r="BY409" i="19" a="1"/>
  <c r="BY409" i="19" s="1"/>
  <c r="BY265" i="19" a="1"/>
  <c r="BY265" i="19" s="1"/>
  <c r="BY121" i="19" a="1"/>
  <c r="BY121" i="19" s="1"/>
  <c r="BY472" i="19" a="1"/>
  <c r="BY472" i="19" s="1"/>
  <c r="BY328" i="19" a="1"/>
  <c r="BY328" i="19" s="1"/>
  <c r="BY184" i="19" a="1"/>
  <c r="BY184" i="19" s="1"/>
  <c r="BY40" i="19" a="1"/>
  <c r="BY40" i="19" s="1"/>
  <c r="BY396" i="19" a="1"/>
  <c r="BY396" i="19" s="1"/>
  <c r="BY252" i="19" a="1"/>
  <c r="BY252" i="19" s="1"/>
  <c r="BY96" i="19" a="1"/>
  <c r="BY96" i="19" s="1"/>
  <c r="BY447" i="19" a="1"/>
  <c r="BY447" i="19" s="1"/>
  <c r="BY303" i="19" a="1"/>
  <c r="BY303" i="19" s="1"/>
  <c r="BY159" i="19" a="1"/>
  <c r="BY159" i="19" s="1"/>
  <c r="BY15" i="19" a="1"/>
  <c r="BY15" i="19" s="1"/>
  <c r="BY374" i="19" a="1"/>
  <c r="BY374" i="19" s="1"/>
  <c r="BY230" i="19" a="1"/>
  <c r="BY230" i="19" s="1"/>
  <c r="BY86" i="19" a="1"/>
  <c r="BY86" i="19" s="1"/>
  <c r="BY443" i="19" a="1"/>
  <c r="BY443" i="19" s="1"/>
  <c r="BY299" i="19" a="1"/>
  <c r="BY299" i="19" s="1"/>
  <c r="BY155" i="19" a="1"/>
  <c r="BY155" i="19" s="1"/>
  <c r="BY502" i="19" a="1"/>
  <c r="BY502" i="19" s="1"/>
  <c r="BY358" i="19" a="1"/>
  <c r="BY358" i="19" s="1"/>
  <c r="BY214" i="19" a="1"/>
  <c r="BY214" i="19" s="1"/>
  <c r="BY70" i="19" a="1"/>
  <c r="BY70" i="19" s="1"/>
  <c r="BY465" i="19" a="1"/>
  <c r="BY465" i="19" s="1"/>
  <c r="BY321" i="19" a="1"/>
  <c r="BY321" i="19" s="1"/>
  <c r="BY177" i="19" a="1"/>
  <c r="BY177" i="19" s="1"/>
  <c r="BY33" i="19" a="1"/>
  <c r="BY33" i="19" s="1"/>
  <c r="BY404" i="19" a="1"/>
  <c r="BY404" i="19" s="1"/>
  <c r="BY260" i="19" a="1"/>
  <c r="BY260" i="19" s="1"/>
  <c r="BY116" i="19" a="1"/>
  <c r="BY116" i="19" s="1"/>
  <c r="BY475" i="19" a="1"/>
  <c r="BY475" i="19" s="1"/>
  <c r="BY331" i="19" a="1"/>
  <c r="BY331" i="19" s="1"/>
  <c r="BY187" i="19" a="1"/>
  <c r="BY187" i="19" s="1"/>
  <c r="BY43" i="19" a="1"/>
  <c r="BY43" i="19" s="1"/>
  <c r="BY402" i="19" a="1"/>
  <c r="BY402" i="19" s="1"/>
  <c r="BY258" i="19" a="1"/>
  <c r="BY258" i="19" s="1"/>
  <c r="BY114" i="19" a="1"/>
  <c r="BY114" i="19" s="1"/>
  <c r="BY473" i="19" a="1"/>
  <c r="BY473" i="19" s="1"/>
  <c r="BY329" i="19" a="1"/>
  <c r="BY329" i="19" s="1"/>
  <c r="BY185" i="19" a="1"/>
  <c r="BY185" i="19" s="1"/>
  <c r="BY41" i="19" a="1"/>
  <c r="BY41" i="19" s="1"/>
  <c r="BY397" i="19" a="1"/>
  <c r="BY397" i="19" s="1"/>
  <c r="BY253" i="19" a="1"/>
  <c r="BY253" i="19" s="1"/>
  <c r="BY109" i="19" a="1"/>
  <c r="BY109" i="19" s="1"/>
  <c r="BY460" i="19" a="1"/>
  <c r="BY460" i="19" s="1"/>
  <c r="BY316" i="19" a="1"/>
  <c r="BY316" i="19" s="1"/>
  <c r="BY172" i="19" a="1"/>
  <c r="BY172" i="19" s="1"/>
  <c r="BY28" i="19" a="1"/>
  <c r="BY28" i="19" s="1"/>
  <c r="BY384" i="19" a="1"/>
  <c r="BY384" i="19" s="1"/>
  <c r="BY240" i="19" a="1"/>
  <c r="BY240" i="19" s="1"/>
  <c r="BY84" i="19" a="1"/>
  <c r="BY84" i="19" s="1"/>
  <c r="BY435" i="19" a="1"/>
  <c r="BY435" i="19" s="1"/>
  <c r="BY291" i="19" a="1"/>
  <c r="BY291" i="19" s="1"/>
  <c r="BY147" i="19" a="1"/>
  <c r="BY147" i="19" s="1"/>
  <c r="BY506" i="19" a="1"/>
  <c r="BY506" i="19" s="1"/>
  <c r="BY362" i="19" a="1"/>
  <c r="BY362" i="19" s="1"/>
  <c r="BY218" i="19" a="1"/>
  <c r="BY218" i="19" s="1"/>
  <c r="BY74" i="19" a="1"/>
  <c r="BY74" i="19" s="1"/>
  <c r="BY431" i="19" a="1"/>
  <c r="BY431" i="19" s="1"/>
  <c r="BY287" i="19" a="1"/>
  <c r="BY287" i="19" s="1"/>
  <c r="BY143" i="19" a="1"/>
  <c r="BY143" i="19" s="1"/>
  <c r="BY490" i="19" a="1"/>
  <c r="BY490" i="19" s="1"/>
  <c r="BY346" i="19" a="1"/>
  <c r="BY346" i="19" s="1"/>
  <c r="BY202" i="19" a="1"/>
  <c r="BY202" i="19" s="1"/>
  <c r="BY58" i="19" a="1"/>
  <c r="BY58" i="19" s="1"/>
  <c r="BY441" i="19" a="1"/>
  <c r="BY441" i="19" s="1"/>
  <c r="BY297" i="19" a="1"/>
  <c r="BY297" i="19" s="1"/>
  <c r="BY153" i="19" a="1"/>
  <c r="BY153" i="19" s="1"/>
  <c r="BY204" i="19" a="1"/>
  <c r="BY204" i="19" s="1"/>
  <c r="BY380" i="19" a="1"/>
  <c r="BY380" i="19" s="1"/>
  <c r="BY236" i="19" a="1"/>
  <c r="BY236" i="19" s="1"/>
  <c r="BY92" i="19" a="1"/>
  <c r="BY92" i="19" s="1"/>
  <c r="BY451" i="19" a="1"/>
  <c r="BY451" i="19" s="1"/>
  <c r="BY307" i="19" a="1"/>
  <c r="BY307" i="19" s="1"/>
  <c r="BY163" i="19" a="1"/>
  <c r="BY163" i="19" s="1"/>
  <c r="BY19" i="19" a="1"/>
  <c r="BY19" i="19" s="1"/>
  <c r="BY378" i="19" a="1"/>
  <c r="BY378" i="19" s="1"/>
  <c r="BY234" i="19" a="1"/>
  <c r="BY234" i="19" s="1"/>
  <c r="BY90" i="19" a="1"/>
  <c r="BY90" i="19" s="1"/>
  <c r="BY449" i="19" a="1"/>
  <c r="BY449" i="19" s="1"/>
  <c r="BY305" i="19" a="1"/>
  <c r="BY305" i="19" s="1"/>
  <c r="BY161" i="19" a="1"/>
  <c r="BY161" i="19" s="1"/>
  <c r="BY17" i="19" a="1"/>
  <c r="BY17" i="19" s="1"/>
  <c r="BY373" i="19" a="1"/>
  <c r="BY373" i="19" s="1"/>
  <c r="BY229" i="19" a="1"/>
  <c r="BY229" i="19" s="1"/>
  <c r="BY85" i="19" a="1"/>
  <c r="BY85" i="19" s="1"/>
  <c r="BY436" i="19" a="1"/>
  <c r="BY436" i="19" s="1"/>
  <c r="BY292" i="19" a="1"/>
  <c r="BY292" i="19" s="1"/>
  <c r="BY148" i="19" a="1"/>
  <c r="BY148" i="19" s="1"/>
  <c r="BY504" i="19" a="1"/>
  <c r="BY504" i="19" s="1"/>
  <c r="BY360" i="19" a="1"/>
  <c r="BY360" i="19" s="1"/>
  <c r="BY216" i="19" a="1"/>
  <c r="BY216" i="19" s="1"/>
  <c r="BY60" i="19" a="1"/>
  <c r="BY60" i="19" s="1"/>
  <c r="BY411" i="19" a="1"/>
  <c r="BY411" i="19" s="1"/>
  <c r="BY267" i="19" a="1"/>
  <c r="BY267" i="19" s="1"/>
  <c r="BY123" i="19" a="1"/>
  <c r="BY123" i="19" s="1"/>
  <c r="BY482" i="19" a="1"/>
  <c r="BY482" i="19" s="1"/>
  <c r="BY338" i="19" a="1"/>
  <c r="BY338" i="19" s="1"/>
  <c r="BY194" i="19" a="1"/>
  <c r="BY194" i="19" s="1"/>
  <c r="BY50" i="19" a="1"/>
  <c r="BY50" i="19" s="1"/>
  <c r="BY407" i="19" a="1"/>
  <c r="BY407" i="19" s="1"/>
  <c r="BY263" i="19" a="1"/>
  <c r="BY263" i="19" s="1"/>
  <c r="BY119" i="19" a="1"/>
  <c r="BY119" i="19" s="1"/>
  <c r="BY466" i="19" a="1"/>
  <c r="BY466" i="19" s="1"/>
  <c r="BY322" i="19" a="1"/>
  <c r="BY322" i="19" s="1"/>
  <c r="BY178" i="19" a="1"/>
  <c r="BY178" i="19" s="1"/>
  <c r="BY34" i="19" a="1"/>
  <c r="BY34" i="19" s="1"/>
  <c r="BY154" i="19" a="1"/>
  <c r="BY154" i="19" s="1"/>
  <c r="BY478" i="19" a="1"/>
  <c r="BY478" i="19" s="1"/>
  <c r="BY371" i="19" a="1"/>
  <c r="BY371" i="19" s="1"/>
  <c r="BY182" i="19" a="1"/>
  <c r="BY182" i="19" s="1"/>
  <c r="BY75" i="19" a="1"/>
  <c r="BY75" i="19" s="1"/>
  <c r="BY387" i="19" a="1"/>
  <c r="BY387" i="19" s="1"/>
  <c r="BY228" i="19" a="1"/>
  <c r="BY228" i="19" s="1"/>
  <c r="BY112" i="19" a="1"/>
  <c r="BY112" i="19" s="1"/>
  <c r="BY424" i="19" a="1"/>
  <c r="BY424" i="19" s="1"/>
  <c r="BY325" i="19" a="1"/>
  <c r="BY325" i="19" s="1"/>
  <c r="BY137" i="19" a="1"/>
  <c r="BY137" i="19" s="1"/>
  <c r="BY461" i="19" a="1"/>
  <c r="BY461" i="19" s="1"/>
  <c r="BY342" i="19" a="1"/>
  <c r="BY342" i="19" s="1"/>
  <c r="BY151" i="19" a="1"/>
  <c r="BY151" i="19" s="1"/>
  <c r="BY44" i="19" a="1"/>
  <c r="BY44" i="19" s="1"/>
  <c r="BY356" i="19" a="1"/>
  <c r="BY356" i="19" s="1"/>
  <c r="BY165" i="19" a="1"/>
  <c r="BY165" i="19" s="1"/>
  <c r="BW686" i="19" a="1"/>
  <c r="BW686" i="19" s="1"/>
  <c r="BW510" i="19" a="1"/>
  <c r="BW510" i="19" s="1"/>
  <c r="BW334" i="19" a="1"/>
  <c r="BW334" i="19" s="1"/>
  <c r="BW158" i="19" a="1"/>
  <c r="BW158" i="19" s="1"/>
  <c r="BW661" i="19" a="1"/>
  <c r="BW661" i="19" s="1"/>
  <c r="BW493" i="19" a="1"/>
  <c r="BW493" i="19" s="1"/>
  <c r="BW309" i="19" a="1"/>
  <c r="BW309" i="19" s="1"/>
  <c r="BW149" i="19" a="1"/>
  <c r="BW149" i="19" s="1"/>
  <c r="BW668" i="19" a="1"/>
  <c r="BW668" i="19" s="1"/>
  <c r="BW508" i="19" a="1"/>
  <c r="BW508" i="19" s="1"/>
  <c r="BW316" i="19" a="1"/>
  <c r="BW316" i="19" s="1"/>
  <c r="BW164" i="19" a="1"/>
  <c r="BW164" i="19" s="1"/>
  <c r="BW643" i="19" a="1"/>
  <c r="BW643" i="19" s="1"/>
  <c r="BW491" i="19" a="1"/>
  <c r="BW491" i="19" s="1"/>
  <c r="BW339" i="19" a="1"/>
  <c r="BW339" i="19" s="1"/>
  <c r="BW187" i="19" a="1"/>
  <c r="BW187" i="19" s="1"/>
  <c r="BW690" i="19" a="1"/>
  <c r="BW690" i="19" s="1"/>
  <c r="BW514" i="19" a="1"/>
  <c r="BW514" i="19" s="1"/>
  <c r="BW322" i="19" a="1"/>
  <c r="BW322" i="19" s="1"/>
  <c r="BW178" i="19" a="1"/>
  <c r="BW178" i="19" s="1"/>
  <c r="BW657" i="19" a="1"/>
  <c r="BW657" i="19" s="1"/>
  <c r="BW505" i="19" a="1"/>
  <c r="BW505" i="19" s="1"/>
  <c r="BW345" i="19" a="1"/>
  <c r="BW345" i="19" s="1"/>
  <c r="BW696" i="19" a="1"/>
  <c r="BW696" i="19" s="1"/>
  <c r="BW584" i="19" a="1"/>
  <c r="BW584" i="19" s="1"/>
  <c r="BW336" i="19" a="1"/>
  <c r="BW336" i="19" s="1"/>
  <c r="BW200" i="19" a="1"/>
  <c r="BW200" i="19" s="1"/>
  <c r="BW695" i="19" a="1"/>
  <c r="BW695" i="19" s="1"/>
  <c r="BW567" i="19" a="1"/>
  <c r="BW567" i="19" s="1"/>
  <c r="BW447" i="19" a="1"/>
  <c r="BW447" i="19" s="1"/>
  <c r="BW335" i="19" a="1"/>
  <c r="BW335" i="19" s="1"/>
  <c r="BW231" i="19" a="1"/>
  <c r="BW231" i="19" s="1"/>
  <c r="BW111" i="19" a="1"/>
  <c r="BW111" i="19" s="1"/>
  <c r="BW20" i="19" a="1"/>
  <c r="BW20" i="19" s="1"/>
  <c r="BW40" i="19" a="1"/>
  <c r="BW40" i="19" s="1"/>
  <c r="BW60" i="19" a="1"/>
  <c r="BW60" i="19" s="1"/>
  <c r="BW662" i="19" a="1"/>
  <c r="BW662" i="19" s="1"/>
  <c r="BW478" i="19" a="1"/>
  <c r="BW478" i="19" s="1"/>
  <c r="BW318" i="19" a="1"/>
  <c r="BW318" i="19" s="1"/>
  <c r="BW142" i="19" a="1"/>
  <c r="BW142" i="19" s="1"/>
  <c r="BW645" i="19" a="1"/>
  <c r="BW645" i="19" s="1"/>
  <c r="BW485" i="19" a="1"/>
  <c r="BW485" i="19" s="1"/>
  <c r="BW301" i="19" a="1"/>
  <c r="BW301" i="19" s="1"/>
  <c r="BW660" i="19" a="1"/>
  <c r="BW660" i="19" s="1"/>
  <c r="BW492" i="19" a="1"/>
  <c r="BW492" i="19" s="1"/>
  <c r="BW308" i="19" a="1"/>
  <c r="BW308" i="19" s="1"/>
  <c r="BW156" i="19" a="1"/>
  <c r="BW156" i="19" s="1"/>
  <c r="BW635" i="19" a="1"/>
  <c r="BW635" i="19" s="1"/>
  <c r="BW475" i="19" a="1"/>
  <c r="BW475" i="19" s="1"/>
  <c r="BW331" i="19" a="1"/>
  <c r="BW331" i="19" s="1"/>
  <c r="BW179" i="19" a="1"/>
  <c r="BW179" i="19" s="1"/>
  <c r="BW666" i="19" a="1"/>
  <c r="BW666" i="19" s="1"/>
  <c r="BW474" i="19" a="1"/>
  <c r="BW474" i="19" s="1"/>
  <c r="BW162" i="19" a="1"/>
  <c r="BW162" i="19" s="1"/>
  <c r="BW649" i="19" a="1"/>
  <c r="BW649" i="19" s="1"/>
  <c r="BW497" i="19" a="1"/>
  <c r="BW497" i="19" s="1"/>
  <c r="BW337" i="19" a="1"/>
  <c r="BW337" i="19" s="1"/>
  <c r="BW169" i="19" a="1"/>
  <c r="BW169" i="19" s="1"/>
  <c r="BW680" i="19" a="1"/>
  <c r="BW680" i="19" s="1"/>
  <c r="BW576" i="19" a="1"/>
  <c r="BW576" i="19" s="1"/>
  <c r="BW464" i="19" a="1"/>
  <c r="BW464" i="19" s="1"/>
  <c r="BW328" i="19" a="1"/>
  <c r="BW328" i="19" s="1"/>
  <c r="BW184" i="19" a="1"/>
  <c r="BW184" i="19" s="1"/>
  <c r="BW687" i="19" a="1"/>
  <c r="BW687" i="19" s="1"/>
  <c r="BW559" i="19" a="1"/>
  <c r="BW559" i="19" s="1"/>
  <c r="BW439" i="19" a="1"/>
  <c r="BW439" i="19" s="1"/>
  <c r="BW327" i="19" a="1"/>
  <c r="BW327" i="19" s="1"/>
  <c r="BW223" i="19" a="1"/>
  <c r="BW223" i="19" s="1"/>
  <c r="BW103" i="19" a="1"/>
  <c r="BW103" i="19" s="1"/>
  <c r="BW73" i="19" a="1"/>
  <c r="BW73" i="19" s="1"/>
  <c r="BW32" i="19" a="1"/>
  <c r="BW32" i="19" s="1"/>
  <c r="BW62" i="19" a="1"/>
  <c r="BW62" i="19" s="1"/>
  <c r="BW37" i="19" a="1"/>
  <c r="BW37" i="19" s="1"/>
  <c r="BW646" i="19" a="1"/>
  <c r="BW646" i="19" s="1"/>
  <c r="BW470" i="19" a="1"/>
  <c r="BW470" i="19" s="1"/>
  <c r="BW302" i="19" a="1"/>
  <c r="BW302" i="19" s="1"/>
  <c r="BW134" i="19" a="1"/>
  <c r="BW134" i="19" s="1"/>
  <c r="BW637" i="19" a="1"/>
  <c r="BW637" i="19" s="1"/>
  <c r="BW469" i="19" a="1"/>
  <c r="BW469" i="19" s="1"/>
  <c r="BW293" i="19" a="1"/>
  <c r="BW293" i="19" s="1"/>
  <c r="BW141" i="19" a="1"/>
  <c r="BW141" i="19" s="1"/>
  <c r="BW652" i="19" a="1"/>
  <c r="BW652" i="19" s="1"/>
  <c r="BW476" i="19" a="1"/>
  <c r="BW476" i="19" s="1"/>
  <c r="BW300" i="19" a="1"/>
  <c r="BW300" i="19" s="1"/>
  <c r="BW140" i="19" a="1"/>
  <c r="BW140" i="19" s="1"/>
  <c r="BW627" i="19" a="1"/>
  <c r="BW627" i="19" s="1"/>
  <c r="BW467" i="19" a="1"/>
  <c r="BW467" i="19" s="1"/>
  <c r="BW323" i="19" a="1"/>
  <c r="BW323" i="19" s="1"/>
  <c r="BW163" i="19" a="1"/>
  <c r="BW163" i="19" s="1"/>
  <c r="BW658" i="19" a="1"/>
  <c r="BW658" i="19" s="1"/>
  <c r="BW466" i="19" a="1"/>
  <c r="BW466" i="19" s="1"/>
  <c r="BW314" i="19" a="1"/>
  <c r="BW314" i="19" s="1"/>
  <c r="BW138" i="19" a="1"/>
  <c r="BW138" i="19" s="1"/>
  <c r="BW625" i="19" a="1"/>
  <c r="BW625" i="19" s="1"/>
  <c r="BW481" i="19" a="1"/>
  <c r="BW481" i="19" s="1"/>
  <c r="BW321" i="19" a="1"/>
  <c r="BW321" i="19" s="1"/>
  <c r="BW153" i="19" a="1"/>
  <c r="BW153" i="19" s="1"/>
  <c r="BW672" i="19" a="1"/>
  <c r="BW672" i="19" s="1"/>
  <c r="BW568" i="19" a="1"/>
  <c r="BW568" i="19" s="1"/>
  <c r="BW448" i="19" a="1"/>
  <c r="BW448" i="19" s="1"/>
  <c r="BW304" i="19" a="1"/>
  <c r="BW304" i="19" s="1"/>
  <c r="BW176" i="19" a="1"/>
  <c r="BW176" i="19" s="1"/>
  <c r="BW679" i="19" a="1"/>
  <c r="BW679" i="19" s="1"/>
  <c r="BW543" i="19" a="1"/>
  <c r="BW543" i="19" s="1"/>
  <c r="BW431" i="19" a="1"/>
  <c r="BW431" i="19" s="1"/>
  <c r="BW319" i="19" a="1"/>
  <c r="BW319" i="19" s="1"/>
  <c r="BW207" i="19" a="1"/>
  <c r="BW207" i="19" s="1"/>
  <c r="BW95" i="19" a="1"/>
  <c r="BW95" i="19" s="1"/>
  <c r="BW65" i="19" a="1"/>
  <c r="BW65" i="19" s="1"/>
  <c r="BW16" i="19" a="1"/>
  <c r="BW16" i="19" s="1"/>
  <c r="BW54" i="19" a="1"/>
  <c r="BW54" i="19" s="1"/>
  <c r="BW29" i="19" a="1"/>
  <c r="BW29" i="19" s="1"/>
  <c r="BW638" i="19" a="1"/>
  <c r="BW638" i="19" s="1"/>
  <c r="BW462" i="19" a="1"/>
  <c r="BW462" i="19" s="1"/>
  <c r="BW286" i="19" a="1"/>
  <c r="BW286" i="19" s="1"/>
  <c r="BW126" i="19" a="1"/>
  <c r="BW126" i="19" s="1"/>
  <c r="BW621" i="19" a="1"/>
  <c r="BW621" i="19" s="1"/>
  <c r="BW445" i="19" a="1"/>
  <c r="BW445" i="19" s="1"/>
  <c r="BW253" i="19" a="1"/>
  <c r="BW253" i="19" s="1"/>
  <c r="BW133" i="19" a="1"/>
  <c r="BW133" i="19" s="1"/>
  <c r="BW620" i="19" a="1"/>
  <c r="BW620" i="19" s="1"/>
  <c r="BW460" i="19" a="1"/>
  <c r="BW460" i="19" s="1"/>
  <c r="BW276" i="19" a="1"/>
  <c r="BW276" i="19" s="1"/>
  <c r="BW132" i="19" a="1"/>
  <c r="BW132" i="19" s="1"/>
  <c r="BW619" i="19" a="1"/>
  <c r="BW619" i="19" s="1"/>
  <c r="BW443" i="19" a="1"/>
  <c r="BW443" i="19" s="1"/>
  <c r="BW299" i="19" a="1"/>
  <c r="BW299" i="19" s="1"/>
  <c r="BW155" i="19" a="1"/>
  <c r="BW155" i="19" s="1"/>
  <c r="BW650" i="19" a="1"/>
  <c r="BW650" i="19" s="1"/>
  <c r="BW458" i="19" a="1"/>
  <c r="BW458" i="19" s="1"/>
  <c r="BW306" i="19" a="1"/>
  <c r="BW306" i="19" s="1"/>
  <c r="BW122" i="19" a="1"/>
  <c r="BW122" i="19" s="1"/>
  <c r="BW601" i="19" a="1"/>
  <c r="BW601" i="19" s="1"/>
  <c r="BW465" i="19" a="1"/>
  <c r="BW465" i="19" s="1"/>
  <c r="BW313" i="19" a="1"/>
  <c r="BW313" i="19" s="1"/>
  <c r="BW145" i="19" a="1"/>
  <c r="BW145" i="19" s="1"/>
  <c r="BW664" i="19" a="1"/>
  <c r="BW664" i="19" s="1"/>
  <c r="BW440" i="19" a="1"/>
  <c r="BW440" i="19" s="1"/>
  <c r="BW288" i="19" a="1"/>
  <c r="BW288" i="19" s="1"/>
  <c r="BW152" i="19" a="1"/>
  <c r="BW152" i="19" s="1"/>
  <c r="BW663" i="19" a="1"/>
  <c r="BW663" i="19" s="1"/>
  <c r="BW535" i="19" a="1"/>
  <c r="BW535" i="19" s="1"/>
  <c r="BW423" i="19" a="1"/>
  <c r="BW423" i="19" s="1"/>
  <c r="BW303" i="19" a="1"/>
  <c r="BW303" i="19" s="1"/>
  <c r="BW199" i="19" a="1"/>
  <c r="BW199" i="19" s="1"/>
  <c r="BW87" i="19" a="1"/>
  <c r="BW87" i="19" s="1"/>
  <c r="BW57" i="19" a="1"/>
  <c r="BW57" i="19" s="1"/>
  <c r="BW52" i="19" a="1"/>
  <c r="BW52" i="19" s="1"/>
  <c r="BW46" i="19" a="1"/>
  <c r="BW46" i="19" s="1"/>
  <c r="BW21" i="19" a="1"/>
  <c r="BW21" i="19" s="1"/>
  <c r="BW622" i="19" a="1"/>
  <c r="BW622" i="19" s="1"/>
  <c r="BW446" i="19" a="1"/>
  <c r="BW446" i="19" s="1"/>
  <c r="BW278" i="19" a="1"/>
  <c r="BW278" i="19" s="1"/>
  <c r="BW118" i="19" a="1"/>
  <c r="BW118" i="19" s="1"/>
  <c r="BW613" i="19" a="1"/>
  <c r="BW613" i="19" s="1"/>
  <c r="BW437" i="19" a="1"/>
  <c r="BW437" i="19" s="1"/>
  <c r="BW245" i="19" a="1"/>
  <c r="BW245" i="19" s="1"/>
  <c r="BW117" i="19" a="1"/>
  <c r="BW117" i="19" s="1"/>
  <c r="BW612" i="19" a="1"/>
  <c r="BW612" i="19" s="1"/>
  <c r="BW452" i="19" a="1"/>
  <c r="BW452" i="19" s="1"/>
  <c r="BW268" i="19" a="1"/>
  <c r="BW268" i="19" s="1"/>
  <c r="BW116" i="19" a="1"/>
  <c r="BW116" i="19" s="1"/>
  <c r="BW611" i="19" a="1"/>
  <c r="BW611" i="19" s="1"/>
  <c r="BW291" i="19" a="1"/>
  <c r="BW291" i="19" s="1"/>
  <c r="BW147" i="19" a="1"/>
  <c r="BW147" i="19" s="1"/>
  <c r="BW642" i="19" a="1"/>
  <c r="BW642" i="19" s="1"/>
  <c r="BW434" i="19" a="1"/>
  <c r="BW434" i="19" s="1"/>
  <c r="BW282" i="19" a="1"/>
  <c r="BW282" i="19" s="1"/>
  <c r="BW114" i="19" a="1"/>
  <c r="BW114" i="19" s="1"/>
  <c r="BW593" i="19" a="1"/>
  <c r="BW593" i="19" s="1"/>
  <c r="BW457" i="19" a="1"/>
  <c r="BW457" i="19" s="1"/>
  <c r="BW297" i="19" a="1"/>
  <c r="BW297" i="19" s="1"/>
  <c r="BW129" i="19" a="1"/>
  <c r="BW129" i="19" s="1"/>
  <c r="BW544" i="19" a="1"/>
  <c r="BW544" i="19" s="1"/>
  <c r="BW432" i="19" a="1"/>
  <c r="BW432" i="19" s="1"/>
  <c r="BW280" i="19" a="1"/>
  <c r="BW280" i="19" s="1"/>
  <c r="BW144" i="19" a="1"/>
  <c r="BW144" i="19" s="1"/>
  <c r="BW655" i="19" a="1"/>
  <c r="BW655" i="19" s="1"/>
  <c r="BW527" i="19" a="1"/>
  <c r="BW527" i="19" s="1"/>
  <c r="BW415" i="19" a="1"/>
  <c r="BW415" i="19" s="1"/>
  <c r="BW295" i="19" a="1"/>
  <c r="BW295" i="19" s="1"/>
  <c r="BW191" i="19" a="1"/>
  <c r="BW191" i="19" s="1"/>
  <c r="BW79" i="19" a="1"/>
  <c r="BW79" i="19" s="1"/>
  <c r="BW41" i="19" a="1"/>
  <c r="BW41" i="19" s="1"/>
  <c r="BW71" i="19" a="1"/>
  <c r="BW71" i="19" s="1"/>
  <c r="BW38" i="19" a="1"/>
  <c r="BW38" i="19" s="1"/>
  <c r="BW13" i="19" a="1"/>
  <c r="BW13" i="19" s="1"/>
  <c r="BW598" i="19" a="1"/>
  <c r="BW598" i="19" s="1"/>
  <c r="BW430" i="19" a="1"/>
  <c r="BW430" i="19" s="1"/>
  <c r="BW262" i="19" a="1"/>
  <c r="BW262" i="19" s="1"/>
  <c r="BW110" i="19" a="1"/>
  <c r="BW110" i="19" s="1"/>
  <c r="BW597" i="19" a="1"/>
  <c r="BW597" i="19" s="1"/>
  <c r="BW429" i="19" a="1"/>
  <c r="BW429" i="19" s="1"/>
  <c r="BW237" i="19" a="1"/>
  <c r="BW237" i="19" s="1"/>
  <c r="BW101" i="19" a="1"/>
  <c r="BW101" i="19" s="1"/>
  <c r="BW604" i="19" a="1"/>
  <c r="BW604" i="19" s="1"/>
  <c r="BW444" i="19" a="1"/>
  <c r="BW444" i="19" s="1"/>
  <c r="BW260" i="19" a="1"/>
  <c r="BW260" i="19" s="1"/>
  <c r="BW108" i="19" a="1"/>
  <c r="BW108" i="19" s="1"/>
  <c r="BW579" i="19" a="1"/>
  <c r="BW579" i="19" s="1"/>
  <c r="BW435" i="19" a="1"/>
  <c r="BW435" i="19" s="1"/>
  <c r="BW283" i="19" a="1"/>
  <c r="BW283" i="19" s="1"/>
  <c r="BW115" i="19" a="1"/>
  <c r="BW115" i="19" s="1"/>
  <c r="BW610" i="19" a="1"/>
  <c r="BW610" i="19" s="1"/>
  <c r="BW426" i="19" a="1"/>
  <c r="BW426" i="19" s="1"/>
  <c r="BW274" i="19" a="1"/>
  <c r="BW274" i="19" s="1"/>
  <c r="BW98" i="19" a="1"/>
  <c r="BW98" i="19" s="1"/>
  <c r="BW585" i="19" a="1"/>
  <c r="BW585" i="19" s="1"/>
  <c r="BW441" i="19" a="1"/>
  <c r="BW441" i="19" s="1"/>
  <c r="BW289" i="19" a="1"/>
  <c r="BW289" i="19" s="1"/>
  <c r="BW121" i="19" a="1"/>
  <c r="BW121" i="19" s="1"/>
  <c r="BW656" i="19" a="1"/>
  <c r="BW656" i="19" s="1"/>
  <c r="BW536" i="19" a="1"/>
  <c r="BW536" i="19" s="1"/>
  <c r="BW416" i="19" a="1"/>
  <c r="BW416" i="19" s="1"/>
  <c r="BW272" i="19" a="1"/>
  <c r="BW272" i="19" s="1"/>
  <c r="BW136" i="19" a="1"/>
  <c r="BW136" i="19" s="1"/>
  <c r="BW647" i="19" a="1"/>
  <c r="BW647" i="19" s="1"/>
  <c r="BW519" i="19" a="1"/>
  <c r="BW519" i="19" s="1"/>
  <c r="BW399" i="19" a="1"/>
  <c r="BW399" i="19" s="1"/>
  <c r="BW287" i="19" a="1"/>
  <c r="BW287" i="19" s="1"/>
  <c r="BW183" i="19" a="1"/>
  <c r="BW183" i="19" s="1"/>
  <c r="BW58" i="19" a="1"/>
  <c r="BW58" i="19" s="1"/>
  <c r="BW33" i="19" a="1"/>
  <c r="BW33" i="19" s="1"/>
  <c r="BW63" i="19" a="1"/>
  <c r="BW63" i="19" s="1"/>
  <c r="BW30" i="19" a="1"/>
  <c r="BW30" i="19" s="1"/>
  <c r="BW67" i="19" a="1"/>
  <c r="BW67" i="19" s="1"/>
  <c r="BW574" i="19" a="1"/>
  <c r="BW574" i="19" s="1"/>
  <c r="BW414" i="19" a="1"/>
  <c r="BW414" i="19" s="1"/>
  <c r="BW230" i="19" a="1"/>
  <c r="BW230" i="19" s="1"/>
  <c r="BW78" i="19" a="1"/>
  <c r="BW78" i="19" s="1"/>
  <c r="BW581" i="19" a="1"/>
  <c r="BW581" i="19" s="1"/>
  <c r="BW389" i="19" a="1"/>
  <c r="BW389" i="19" s="1"/>
  <c r="BW213" i="19" a="1"/>
  <c r="BW213" i="19" s="1"/>
  <c r="BW85" i="19" a="1"/>
  <c r="BW85" i="19" s="1"/>
  <c r="BW588" i="19" a="1"/>
  <c r="BW588" i="19" s="1"/>
  <c r="BW404" i="19" a="1"/>
  <c r="BW404" i="19" s="1"/>
  <c r="BW228" i="19" a="1"/>
  <c r="BW228" i="19" s="1"/>
  <c r="BW76" i="19" a="1"/>
  <c r="BW76" i="19" s="1"/>
  <c r="BW547" i="19" a="1"/>
  <c r="BW547" i="19" s="1"/>
  <c r="BW395" i="19" a="1"/>
  <c r="BW395" i="19" s="1"/>
  <c r="BW259" i="19" a="1"/>
  <c r="BW259" i="19" s="1"/>
  <c r="BW99" i="19" a="1"/>
  <c r="BW99" i="19" s="1"/>
  <c r="BW578" i="19" a="1"/>
  <c r="BW578" i="19" s="1"/>
  <c r="BW410" i="19" a="1"/>
  <c r="BW410" i="19" s="1"/>
  <c r="BW258" i="19" a="1"/>
  <c r="BW258" i="19" s="1"/>
  <c r="BW74" i="19" a="1"/>
  <c r="BW74" i="19" s="1"/>
  <c r="BW553" i="19" a="1"/>
  <c r="BW553" i="19" s="1"/>
  <c r="BW409" i="19" a="1"/>
  <c r="BW409" i="19" s="1"/>
  <c r="BW241" i="19" a="1"/>
  <c r="BW241" i="19" s="1"/>
  <c r="BW105" i="19" a="1"/>
  <c r="BW105" i="19" s="1"/>
  <c r="BW512" i="19" a="1"/>
  <c r="BW512" i="19" s="1"/>
  <c r="BW384" i="19" a="1"/>
  <c r="BW384" i="19" s="1"/>
  <c r="BW248" i="19" a="1"/>
  <c r="BW248" i="19" s="1"/>
  <c r="BW112" i="19" a="1"/>
  <c r="BW112" i="19" s="1"/>
  <c r="BW615" i="19" a="1"/>
  <c r="BW615" i="19" s="1"/>
  <c r="BW495" i="19" a="1"/>
  <c r="BW495" i="19" s="1"/>
  <c r="BW383" i="19" a="1"/>
  <c r="BW383" i="19" s="1"/>
  <c r="BW279" i="19" a="1"/>
  <c r="BW279" i="19" s="1"/>
  <c r="BW159" i="19" a="1"/>
  <c r="BW159" i="19" s="1"/>
  <c r="BW42" i="19" a="1"/>
  <c r="BW42" i="19" s="1"/>
  <c r="BW17" i="19" a="1"/>
  <c r="BW17" i="19" s="1"/>
  <c r="BW55" i="19" a="1"/>
  <c r="BW55" i="19" s="1"/>
  <c r="BW28" i="19" a="1"/>
  <c r="BW28" i="19" s="1"/>
  <c r="BW51" i="19" a="1"/>
  <c r="BW51" i="19" s="1"/>
  <c r="BW23" i="19" a="1"/>
  <c r="BW23" i="19" s="1"/>
  <c r="BW34" i="19" a="1"/>
  <c r="BW34" i="19" s="1"/>
  <c r="BW343" i="19" a="1"/>
  <c r="BW343" i="19" s="1"/>
  <c r="BW591" i="19" a="1"/>
  <c r="BW591" i="19" s="1"/>
  <c r="BW256" i="19" a="1"/>
  <c r="BW256" i="19" s="1"/>
  <c r="BW608" i="19" a="1"/>
  <c r="BW608" i="19" s="1"/>
  <c r="BW225" i="19" a="1"/>
  <c r="BW225" i="19" s="1"/>
  <c r="BW689" i="19" a="1"/>
  <c r="BW689" i="19" s="1"/>
  <c r="BW378" i="19" a="1"/>
  <c r="BW378" i="19" s="1"/>
  <c r="BW515" i="19" a="1"/>
  <c r="BW515" i="19" s="1"/>
  <c r="BW212" i="19" a="1"/>
  <c r="BW212" i="19" s="1"/>
  <c r="BW357" i="19" a="1"/>
  <c r="BW357" i="19" s="1"/>
  <c r="BW86" i="19" a="1"/>
  <c r="BW86" i="19" s="1"/>
  <c r="BW542" i="19" a="1"/>
  <c r="BW542" i="19" s="1"/>
  <c r="BY166" i="19" a="1"/>
  <c r="BY166" i="19" s="1"/>
  <c r="BY71" i="19" a="1"/>
  <c r="BY71" i="19" s="1"/>
  <c r="BY383" i="19" a="1"/>
  <c r="BY383" i="19" s="1"/>
  <c r="BY206" i="19" a="1"/>
  <c r="BY206" i="19" s="1"/>
  <c r="BY87" i="19" a="1"/>
  <c r="BY87" i="19" s="1"/>
  <c r="BY399" i="19" a="1"/>
  <c r="BY399" i="19" s="1"/>
  <c r="BY312" i="19" a="1"/>
  <c r="BY312" i="19" s="1"/>
  <c r="BY124" i="19" a="1"/>
  <c r="BY124" i="19" s="1"/>
  <c r="BY448" i="19" a="1"/>
  <c r="BY448" i="19" s="1"/>
  <c r="BY337" i="19" a="1"/>
  <c r="BY337" i="19" s="1"/>
  <c r="BY149" i="19" a="1"/>
  <c r="BY149" i="19" s="1"/>
  <c r="BY42" i="19" a="1"/>
  <c r="BY42" i="19" s="1"/>
  <c r="BY354" i="19" a="1"/>
  <c r="BY354" i="19" s="1"/>
  <c r="BY175" i="19" a="1"/>
  <c r="BY175" i="19" s="1"/>
  <c r="BY56" i="19" a="1"/>
  <c r="BY56" i="19" s="1"/>
  <c r="BY368" i="19" a="1"/>
  <c r="BY368" i="19" s="1"/>
  <c r="BY249" i="19" a="1"/>
  <c r="BY249" i="19" s="1"/>
  <c r="F112" i="5"/>
  <c r="F113" i="5" s="1"/>
  <c r="N125" i="9"/>
  <c r="N74" i="26"/>
  <c r="N106" i="26"/>
  <c r="L340" i="26" s="1"/>
  <c r="D341" i="26" s="1"/>
  <c r="N87" i="26"/>
  <c r="N85" i="26"/>
  <c r="H269" i="1" s="1"/>
  <c r="N76" i="26"/>
  <c r="P152" i="26" s="1"/>
  <c r="N46" i="26"/>
  <c r="L365" i="26" s="1"/>
  <c r="N44" i="26"/>
  <c r="Q43" i="26"/>
  <c r="Q70" i="26" s="1"/>
  <c r="N82" i="26"/>
  <c r="P158" i="26" s="1"/>
  <c r="M124" i="9"/>
  <c r="N91" i="26"/>
  <c r="N50" i="26"/>
  <c r="P141" i="26" s="1"/>
  <c r="I296" i="9"/>
  <c r="I300" i="9" s="1"/>
  <c r="O496" i="9" s="1"/>
  <c r="N54" i="26"/>
  <c r="P145" i="26" s="1"/>
  <c r="K62" i="26"/>
  <c r="K108" i="26" s="1"/>
  <c r="K125" i="26" s="1"/>
  <c r="L407" i="26" s="1"/>
  <c r="N101" i="26"/>
  <c r="N48" i="26"/>
  <c r="B479" i="1"/>
  <c r="F193" i="1"/>
  <c r="F562" i="1"/>
  <c r="F22" i="1"/>
  <c r="F332" i="1"/>
  <c r="F334" i="1"/>
  <c r="F326" i="1"/>
  <c r="F330" i="1"/>
  <c r="F329" i="1"/>
  <c r="F331" i="1"/>
  <c r="F335" i="1"/>
  <c r="F20" i="1"/>
  <c r="F32" i="1"/>
  <c r="F30" i="1"/>
  <c r="F25" i="1"/>
  <c r="F29" i="1"/>
  <c r="F31" i="1"/>
  <c r="F21" i="1"/>
  <c r="F33" i="1"/>
  <c r="F26" i="1"/>
  <c r="F28" i="1"/>
  <c r="F23" i="1"/>
  <c r="F27" i="1"/>
  <c r="F24" i="1"/>
  <c r="F138" i="1"/>
  <c r="C372" i="1"/>
  <c r="C396" i="1"/>
  <c r="C408" i="1"/>
  <c r="F293" i="1"/>
  <c r="F78" i="1"/>
  <c r="F56" i="1"/>
  <c r="F79" i="1"/>
  <c r="F73" i="1"/>
  <c r="F132" i="1"/>
  <c r="C384" i="1"/>
  <c r="C420" i="1"/>
  <c r="F134" i="1"/>
  <c r="F161" i="1"/>
  <c r="F862" i="1"/>
  <c r="F128" i="1"/>
  <c r="F143" i="1"/>
  <c r="F194" i="1"/>
  <c r="C361" i="1"/>
  <c r="F305" i="1"/>
  <c r="Q453" i="1"/>
  <c r="F294" i="1"/>
  <c r="F49" i="1"/>
  <c r="F81" i="1"/>
  <c r="F89" i="1"/>
  <c r="F82" i="1"/>
  <c r="S4" i="19"/>
  <c r="F130" i="1"/>
  <c r="F157" i="1"/>
  <c r="F124" i="1"/>
  <c r="F139" i="1"/>
  <c r="F327" i="1"/>
  <c r="F166" i="1"/>
  <c r="C374" i="1"/>
  <c r="C386" i="1"/>
  <c r="C398" i="1"/>
  <c r="C410" i="1"/>
  <c r="C473" i="1"/>
  <c r="C453" i="1" s="1"/>
  <c r="C478" i="1"/>
  <c r="C456" i="1" s="1"/>
  <c r="C482" i="1"/>
  <c r="E482" i="1" s="1"/>
  <c r="F295" i="1"/>
  <c r="F48" i="1"/>
  <c r="F59" i="1"/>
  <c r="F71" i="1"/>
  <c r="F68" i="1"/>
  <c r="F122" i="1"/>
  <c r="F149" i="1"/>
  <c r="F333" i="1"/>
  <c r="F164" i="1"/>
  <c r="F699" i="1"/>
  <c r="F188" i="1"/>
  <c r="F131" i="1"/>
  <c r="F165" i="1"/>
  <c r="F169" i="1"/>
  <c r="L51" i="2"/>
  <c r="L17" i="7"/>
  <c r="H601" i="1"/>
  <c r="F799" i="1"/>
  <c r="F50" i="1"/>
  <c r="F88" i="1"/>
  <c r="F72" i="1"/>
  <c r="F54" i="1"/>
  <c r="F160" i="1"/>
  <c r="F199" i="1"/>
  <c r="E194" i="1" s="1"/>
  <c r="BY4" i="19"/>
  <c r="F118" i="1"/>
  <c r="F145" i="1"/>
  <c r="F114" i="1"/>
  <c r="F127" i="1"/>
  <c r="C365" i="1"/>
  <c r="F796" i="1"/>
  <c r="F52" i="1"/>
  <c r="F90" i="1"/>
  <c r="F87" i="1"/>
  <c r="F55" i="1"/>
  <c r="F162" i="1"/>
  <c r="F141" i="1"/>
  <c r="F156" i="1"/>
  <c r="F861" i="1"/>
  <c r="F123" i="1"/>
  <c r="F863" i="1"/>
  <c r="C378" i="1"/>
  <c r="C390" i="1"/>
  <c r="C402" i="1"/>
  <c r="C414" i="1"/>
  <c r="F47" i="1"/>
  <c r="V455" i="1"/>
  <c r="W455" i="1" s="1"/>
  <c r="J775" i="1"/>
  <c r="F60" i="1"/>
  <c r="F76" i="1"/>
  <c r="F58" i="1"/>
  <c r="F53" i="1"/>
  <c r="O4" i="19"/>
  <c r="F14" i="1"/>
  <c r="F563" i="1"/>
  <c r="F119" i="1"/>
  <c r="F561" i="1"/>
  <c r="B519" i="1" s="1"/>
  <c r="C367" i="1"/>
  <c r="C415" i="1"/>
  <c r="F62" i="1"/>
  <c r="F61" i="1"/>
  <c r="F69" i="1"/>
  <c r="F15" i="1"/>
  <c r="F154" i="1"/>
  <c r="F133" i="1"/>
  <c r="F148" i="1"/>
  <c r="F336" i="1"/>
  <c r="F163" i="1"/>
  <c r="F698" i="1"/>
  <c r="F191" i="1"/>
  <c r="C380" i="1"/>
  <c r="C392" i="1"/>
  <c r="C404" i="1"/>
  <c r="C416" i="1"/>
  <c r="F309" i="1"/>
  <c r="C582" i="1"/>
  <c r="F86" i="1"/>
  <c r="F83" i="1"/>
  <c r="F65" i="1"/>
  <c r="F137" i="1"/>
  <c r="C391" i="1"/>
  <c r="F150" i="1"/>
  <c r="F144" i="1"/>
  <c r="F159" i="1"/>
  <c r="C381" i="1"/>
  <c r="C417" i="1"/>
  <c r="F290" i="1"/>
  <c r="F74" i="1"/>
  <c r="F80" i="1"/>
  <c r="F85" i="1"/>
  <c r="F146" i="1"/>
  <c r="F125" i="1"/>
  <c r="F140" i="1"/>
  <c r="F155" i="1"/>
  <c r="F291" i="1"/>
  <c r="F84" i="1"/>
  <c r="F66" i="1"/>
  <c r="F57" i="1"/>
  <c r="AS4" i="19"/>
  <c r="F158" i="1"/>
  <c r="F152" i="1"/>
  <c r="C355" i="1"/>
  <c r="C379" i="1"/>
  <c r="C403" i="1"/>
  <c r="F129" i="1"/>
  <c r="C357" i="1"/>
  <c r="C393" i="1"/>
  <c r="C405" i="1"/>
  <c r="F142" i="1"/>
  <c r="F190" i="1"/>
  <c r="F121" i="1"/>
  <c r="C359" i="1"/>
  <c r="C371" i="1"/>
  <c r="C383" i="1"/>
  <c r="C395" i="1"/>
  <c r="C407" i="1"/>
  <c r="E312" i="1"/>
  <c r="F77" i="1"/>
  <c r="F75" i="1"/>
  <c r="G101" i="3"/>
  <c r="F520" i="1" s="1"/>
  <c r="C431" i="9"/>
  <c r="H201" i="1"/>
  <c r="H16" i="8"/>
  <c r="M32" i="2"/>
  <c r="Q200" i="26"/>
  <c r="Q220" i="26"/>
  <c r="Q254" i="26"/>
  <c r="AF681" i="1"/>
  <c r="Q268" i="26"/>
  <c r="AF685" i="1"/>
  <c r="Q190" i="26"/>
  <c r="Q192" i="26"/>
  <c r="Q246" i="26"/>
  <c r="AF690" i="1"/>
  <c r="Q248" i="26"/>
  <c r="AF687" i="1"/>
  <c r="Q185" i="1" a="1"/>
  <c r="Q185" i="1" s="1"/>
  <c r="I584" i="1"/>
  <c r="H584" i="1" s="1"/>
  <c r="G113" i="5"/>
  <c r="B5" i="4"/>
  <c r="O61" i="19" a="1"/>
  <c r="O61" i="19" s="1"/>
  <c r="O168" i="19" a="1"/>
  <c r="O168" i="19" s="1"/>
  <c r="AS143" i="19" a="1"/>
  <c r="AS143" i="19" s="1"/>
  <c r="O5" i="4"/>
  <c r="O156" i="19" a="1"/>
  <c r="O156" i="19" s="1"/>
  <c r="O138" i="19" a="1"/>
  <c r="O138" i="19" s="1"/>
  <c r="AS93" i="19" a="1"/>
  <c r="AS93" i="19" s="1"/>
  <c r="G819" i="1"/>
  <c r="B7" i="4"/>
  <c r="O20" i="19" a="1"/>
  <c r="O20" i="19" s="1"/>
  <c r="O169" i="19" a="1"/>
  <c r="O169" i="19" s="1"/>
  <c r="O135" i="19" a="1"/>
  <c r="O135" i="19" s="1"/>
  <c r="O125" i="19" a="1"/>
  <c r="O125" i="19" s="1"/>
  <c r="O99" i="19" a="1"/>
  <c r="O99" i="19" s="1"/>
  <c r="O73" i="19" a="1"/>
  <c r="O73" i="19" s="1"/>
  <c r="O95" i="19" a="1"/>
  <c r="O95" i="19" s="1"/>
  <c r="O27" i="19" a="1"/>
  <c r="O27" i="19" s="1"/>
  <c r="O105" i="19" a="1"/>
  <c r="O105" i="19" s="1"/>
  <c r="O119" i="19" a="1"/>
  <c r="O119" i="19" s="1"/>
  <c r="O83" i="19" a="1"/>
  <c r="O83" i="19" s="1"/>
  <c r="O55" i="19" a="1"/>
  <c r="O55" i="19" s="1"/>
  <c r="O109" i="19" a="1"/>
  <c r="O109" i="19" s="1"/>
  <c r="O51" i="19" a="1"/>
  <c r="O51" i="19" s="1"/>
  <c r="O49" i="19" a="1"/>
  <c r="O49" i="19" s="1"/>
  <c r="O158" i="19" a="1"/>
  <c r="O158" i="19" s="1"/>
  <c r="P38" i="26"/>
  <c r="Q218" i="26"/>
  <c r="Q250" i="26"/>
  <c r="Q252" i="26"/>
  <c r="AF679" i="1"/>
  <c r="I181" i="1" a="1"/>
  <c r="I181" i="1" s="1"/>
  <c r="O247" i="2" s="1"/>
  <c r="AF680" i="1"/>
  <c r="I76" i="9"/>
  <c r="N96" i="3"/>
  <c r="L12" i="3"/>
  <c r="N12" i="3" s="1"/>
  <c r="B3" i="3"/>
  <c r="L16" i="3"/>
  <c r="L99" i="3"/>
  <c r="B36" i="3"/>
  <c r="L22" i="3"/>
  <c r="L18" i="3"/>
  <c r="M18" i="3" s="1"/>
  <c r="L20" i="3"/>
  <c r="M20" i="3" s="1"/>
  <c r="M34" i="3"/>
  <c r="L26" i="3"/>
  <c r="N26" i="3" s="1"/>
  <c r="M88" i="9"/>
  <c r="M121" i="9"/>
  <c r="D255" i="24"/>
  <c r="B219" i="1"/>
  <c r="B226" i="1" a="1"/>
  <c r="B226" i="1" s="1"/>
  <c r="AS153" i="19" a="1"/>
  <c r="AS153" i="19" s="1"/>
  <c r="O163" i="19" a="1"/>
  <c r="O163" i="19" s="1"/>
  <c r="O82" i="19" a="1"/>
  <c r="O82" i="19" s="1"/>
  <c r="O79" i="19" a="1"/>
  <c r="O79" i="19" s="1"/>
  <c r="O69" i="19" a="1"/>
  <c r="O69" i="19" s="1"/>
  <c r="O155" i="19" a="1"/>
  <c r="O155" i="19" s="1"/>
  <c r="O74" i="19" a="1"/>
  <c r="O74" i="19" s="1"/>
  <c r="O152" i="19" a="1"/>
  <c r="O152" i="19" s="1"/>
  <c r="O63" i="19" a="1"/>
  <c r="O63" i="19" s="1"/>
  <c r="AS130" i="19" a="1"/>
  <c r="AS130" i="19" s="1"/>
  <c r="AS210" i="19" a="1"/>
  <c r="AS210" i="19" s="1"/>
  <c r="O45" i="19" a="1"/>
  <c r="O45" i="19" s="1"/>
  <c r="O107" i="19" a="1"/>
  <c r="O107" i="19" s="1"/>
  <c r="O26" i="19" a="1"/>
  <c r="O26" i="19" s="1"/>
  <c r="O96" i="19" a="1"/>
  <c r="O96" i="19" s="1"/>
  <c r="AS195" i="19" a="1"/>
  <c r="AS195" i="19" s="1"/>
  <c r="O76" i="19" a="1"/>
  <c r="O76" i="19" s="1"/>
  <c r="O147" i="19" a="1"/>
  <c r="O147" i="19" s="1"/>
  <c r="O130" i="19" a="1"/>
  <c r="O130" i="19" s="1"/>
  <c r="O160" i="19" a="1"/>
  <c r="O160" i="19" s="1"/>
  <c r="O32" i="19" a="1"/>
  <c r="O32" i="19" s="1"/>
  <c r="O165" i="19" a="1"/>
  <c r="O165" i="19" s="1"/>
  <c r="O46" i="19" a="1"/>
  <c r="O46" i="19" s="1"/>
  <c r="O166" i="19" a="1"/>
  <c r="O166" i="19" s="1"/>
  <c r="O128" i="19" a="1"/>
  <c r="O128" i="19" s="1"/>
  <c r="O121" i="19" a="1"/>
  <c r="O121" i="19" s="1"/>
  <c r="O129" i="19" a="1"/>
  <c r="O129" i="19" s="1"/>
  <c r="O112" i="19" a="1"/>
  <c r="O112" i="19" s="1"/>
  <c r="O134" i="19" a="1"/>
  <c r="O134" i="19" s="1"/>
  <c r="O117" i="19" a="1"/>
  <c r="O117" i="19" s="1"/>
  <c r="O148" i="19" a="1"/>
  <c r="O148" i="19" s="1"/>
  <c r="O35" i="19" a="1"/>
  <c r="O35" i="19" s="1"/>
  <c r="O66" i="19" a="1"/>
  <c r="O66" i="19" s="1"/>
  <c r="O57" i="19" a="1"/>
  <c r="O57" i="19" s="1"/>
  <c r="O88" i="19" a="1"/>
  <c r="O88" i="19" s="1"/>
  <c r="O87" i="19" a="1"/>
  <c r="O87" i="19" s="1"/>
  <c r="O102" i="19" a="1"/>
  <c r="O102" i="19" s="1"/>
  <c r="G528" i="1"/>
  <c r="H161" i="24"/>
  <c r="D233" i="9" s="1"/>
  <c r="AS32" i="19" a="1"/>
  <c r="AS32" i="19" s="1"/>
  <c r="AS228" i="19" a="1"/>
  <c r="AS228" i="19" s="1"/>
  <c r="AS168" i="19" a="1"/>
  <c r="AS168" i="19" s="1"/>
  <c r="AS41" i="19" a="1"/>
  <c r="AS41" i="19" s="1"/>
  <c r="AS165" i="19" a="1"/>
  <c r="AS165" i="19" s="1"/>
  <c r="AS216" i="19" a="1"/>
  <c r="AS216" i="19" s="1"/>
  <c r="AS67" i="19" a="1"/>
  <c r="AS67" i="19" s="1"/>
  <c r="AS75" i="19" a="1"/>
  <c r="AS75" i="19" s="1"/>
  <c r="AS229" i="19" a="1"/>
  <c r="AS229" i="19" s="1"/>
  <c r="AS54" i="19" a="1"/>
  <c r="AS54" i="19" s="1"/>
  <c r="AS221" i="19" a="1"/>
  <c r="AS221" i="19" s="1"/>
  <c r="AS85" i="19" a="1"/>
  <c r="AS85" i="19" s="1"/>
  <c r="AS46" i="19" a="1"/>
  <c r="AS46" i="19" s="1"/>
  <c r="AS138" i="19" a="1"/>
  <c r="AS138" i="19" s="1"/>
  <c r="AS89" i="19" a="1"/>
  <c r="AS89" i="19" s="1"/>
  <c r="AS199" i="19" a="1"/>
  <c r="AS199" i="19" s="1"/>
  <c r="AS14" i="19" a="1"/>
  <c r="AS14" i="19" s="1"/>
  <c r="AS164" i="19" a="1"/>
  <c r="AS164" i="19" s="1"/>
  <c r="AS59" i="19" a="1"/>
  <c r="AS59" i="19" s="1"/>
  <c r="AS104" i="19" a="1"/>
  <c r="AS104" i="19" s="1"/>
  <c r="AS118" i="19" a="1"/>
  <c r="AS118" i="19" s="1"/>
  <c r="AS173" i="19" a="1"/>
  <c r="AS173" i="19" s="1"/>
  <c r="AS100" i="19" a="1"/>
  <c r="AS100" i="19" s="1"/>
  <c r="AS22" i="19" a="1"/>
  <c r="AS22" i="19" s="1"/>
  <c r="AS193" i="19" a="1"/>
  <c r="AS193" i="19" s="1"/>
  <c r="AS39" i="19" a="1"/>
  <c r="AS39" i="19" s="1"/>
  <c r="AS109" i="19" a="1"/>
  <c r="AS109" i="19" s="1"/>
  <c r="AS31" i="19" a="1"/>
  <c r="AS31" i="19" s="1"/>
  <c r="AS232" i="19" a="1"/>
  <c r="AS232" i="19" s="1"/>
  <c r="AS135" i="19" a="1"/>
  <c r="AS135" i="19" s="1"/>
  <c r="AS37" i="19" a="1"/>
  <c r="AS37" i="19" s="1"/>
  <c r="AS179" i="19" a="1"/>
  <c r="AS179" i="19" s="1"/>
  <c r="AS122" i="19" a="1"/>
  <c r="AS122" i="19" s="1"/>
  <c r="AS224" i="19" a="1"/>
  <c r="AS224" i="19" s="1"/>
  <c r="AS23" i="19" a="1"/>
  <c r="AS23" i="19" s="1"/>
  <c r="AS220" i="19" a="1"/>
  <c r="AS220" i="19" s="1"/>
  <c r="AS112" i="19" a="1"/>
  <c r="AS112" i="19" s="1"/>
  <c r="AS134" i="19" a="1"/>
  <c r="AS134" i="19" s="1"/>
  <c r="AS209" i="19" a="1"/>
  <c r="AS209" i="19" s="1"/>
  <c r="AS190" i="19" a="1"/>
  <c r="AS190" i="19" s="1"/>
  <c r="AS217" i="19" a="1"/>
  <c r="AS217" i="19" s="1"/>
  <c r="AS36" i="19" a="1"/>
  <c r="AS36" i="19" s="1"/>
  <c r="AS71" i="19" a="1"/>
  <c r="AS71" i="19" s="1"/>
  <c r="AS18" i="19" a="1"/>
  <c r="AS18" i="19" s="1"/>
  <c r="AS148" i="19" a="1"/>
  <c r="AS148" i="19" s="1"/>
  <c r="AS74" i="19" a="1"/>
  <c r="AS74" i="19" s="1"/>
  <c r="AS212" i="19" a="1"/>
  <c r="AS212" i="19" s="1"/>
  <c r="N293" i="26"/>
  <c r="BW702" i="19" a="1"/>
  <c r="BW702" i="19" s="1"/>
  <c r="BW606" i="19" a="1"/>
  <c r="BW606" i="19" s="1"/>
  <c r="N345" i="1"/>
  <c r="R345" i="1" s="1"/>
  <c r="N132" i="3"/>
  <c r="M342" i="1"/>
  <c r="Q342" i="1" s="1"/>
  <c r="M343" i="1"/>
  <c r="Q343" i="1" s="1"/>
  <c r="M345" i="1"/>
  <c r="Q345" i="1" s="1"/>
  <c r="L345" i="1"/>
  <c r="P345" i="1" s="1"/>
  <c r="T345" i="1" s="1"/>
  <c r="V345" i="1" s="1"/>
  <c r="K345" i="1"/>
  <c r="O345" i="1" s="1"/>
  <c r="S345" i="1" s="1"/>
  <c r="U345" i="1" s="1"/>
  <c r="K342" i="1"/>
  <c r="O342" i="1" s="1"/>
  <c r="S342" i="1" s="1"/>
  <c r="U342" i="1" s="1"/>
  <c r="L342" i="1"/>
  <c r="P342" i="1" s="1"/>
  <c r="T342" i="1" s="1"/>
  <c r="V342" i="1" s="1"/>
  <c r="L344" i="1"/>
  <c r="P344" i="1" s="1"/>
  <c r="T344" i="1" s="1"/>
  <c r="V344" i="1" s="1"/>
  <c r="A146" i="3"/>
  <c r="K343" i="1"/>
  <c r="O343" i="1" s="1"/>
  <c r="S343" i="1" s="1"/>
  <c r="N64" i="3"/>
  <c r="M55" i="14"/>
  <c r="I518" i="9"/>
  <c r="E255" i="24"/>
  <c r="F255" i="24" s="1"/>
  <c r="G255" i="24" s="1"/>
  <c r="H270" i="1"/>
  <c r="H120" i="9"/>
  <c r="M123" i="9"/>
  <c r="E118" i="9"/>
  <c r="H127" i="9"/>
  <c r="I129" i="9" s="1"/>
  <c r="I135" i="9" s="1"/>
  <c r="N89" i="9"/>
  <c r="M122" i="9"/>
  <c r="L284" i="24"/>
  <c r="X344" i="1" s="1"/>
  <c r="G127" i="9"/>
  <c r="F120" i="9"/>
  <c r="C147" i="24"/>
  <c r="H216" i="9" s="1"/>
  <c r="H91" i="9"/>
  <c r="I93" i="9" s="1"/>
  <c r="H258" i="9"/>
  <c r="I260" i="9" s="1"/>
  <c r="I264" i="9" s="1" a="1"/>
  <c r="I264" i="9" s="1"/>
  <c r="I522" i="9" s="1"/>
  <c r="J236" i="24"/>
  <c r="J246" i="24"/>
  <c r="J239" i="24"/>
  <c r="I302" i="24"/>
  <c r="N121" i="26"/>
  <c r="L369" i="26" s="1"/>
  <c r="N72" i="26"/>
  <c r="N103" i="26"/>
  <c r="P174" i="26" s="1"/>
  <c r="J240" i="24"/>
  <c r="N93" i="26"/>
  <c r="H41" i="26"/>
  <c r="H70" i="26" s="1"/>
  <c r="J241" i="24"/>
  <c r="M87" i="9"/>
  <c r="D133" i="9"/>
  <c r="N123" i="26"/>
  <c r="N97" i="26"/>
  <c r="N80" i="26"/>
  <c r="N95" i="26"/>
  <c r="P167" i="26" s="1"/>
  <c r="J242" i="24"/>
  <c r="G120" i="9"/>
  <c r="C213" i="26"/>
  <c r="N52" i="26"/>
  <c r="J243" i="24"/>
  <c r="C264" i="26"/>
  <c r="J237" i="24"/>
  <c r="J238" i="24"/>
  <c r="C130" i="24"/>
  <c r="N64" i="26"/>
  <c r="N56" i="26"/>
  <c r="J233" i="24"/>
  <c r="J244" i="24"/>
  <c r="K40" i="26"/>
  <c r="K69" i="26" s="1"/>
  <c r="N78" i="26"/>
  <c r="J234" i="24"/>
  <c r="C482" i="9"/>
  <c r="L280" i="24"/>
  <c r="W342" i="1" s="1"/>
  <c r="L281" i="24"/>
  <c r="X342" i="1" s="1"/>
  <c r="L282" i="24"/>
  <c r="W343" i="1" s="1"/>
  <c r="H307" i="24"/>
  <c r="L283" i="24"/>
  <c r="W344" i="1" s="1"/>
  <c r="L287" i="24"/>
  <c r="L289" i="24"/>
  <c r="AF675" i="1"/>
  <c r="P153" i="5"/>
  <c r="B347" i="1"/>
  <c r="C340" i="1" s="1"/>
  <c r="Q229" i="1"/>
  <c r="AF677" i="1"/>
  <c r="E313" i="1"/>
  <c r="N343" i="1"/>
  <c r="R343" i="1" s="1"/>
  <c r="K344" i="1"/>
  <c r="O344" i="1" s="1"/>
  <c r="S344" i="1" s="1"/>
  <c r="E344" i="1"/>
  <c r="E343" i="1"/>
  <c r="G304" i="26"/>
  <c r="L300" i="26" s="1"/>
  <c r="B14" i="7"/>
  <c r="E696" i="1" s="1"/>
  <c r="C342" i="1"/>
  <c r="P18" i="5"/>
  <c r="M50" i="2"/>
  <c r="M49" i="2"/>
  <c r="N78" i="3"/>
  <c r="K208" i="2"/>
  <c r="M208" i="2" s="1"/>
  <c r="H160" i="24"/>
  <c r="H217" i="9" s="1"/>
  <c r="L49" i="2"/>
  <c r="M408" i="9"/>
  <c r="D253" i="24" a="1"/>
  <c r="D253" i="24" s="1"/>
  <c r="B267" i="1"/>
  <c r="L50" i="2"/>
  <c r="L26" i="2"/>
  <c r="C470" i="1"/>
  <c r="F521" i="1"/>
  <c r="C433" i="9"/>
  <c r="I436" i="9"/>
  <c r="I437" i="9" s="1"/>
  <c r="I443" i="9" s="1"/>
  <c r="J320" i="24" s="1"/>
  <c r="I17" i="9"/>
  <c r="E257" i="24" s="1"/>
  <c r="F257" i="24" s="1"/>
  <c r="G257" i="24" s="1"/>
  <c r="C48" i="2"/>
  <c r="H528" i="1"/>
  <c r="N407" i="9"/>
  <c r="M205" i="2"/>
  <c r="L205" i="2"/>
  <c r="D65" i="26"/>
  <c r="H102" i="14"/>
  <c r="E179" i="2"/>
  <c r="P12" i="5"/>
  <c r="L48" i="2"/>
  <c r="M51" i="2"/>
  <c r="B129" i="26"/>
  <c r="M43" i="2"/>
  <c r="K204" i="2"/>
  <c r="M204" i="2" s="1"/>
  <c r="B180" i="26"/>
  <c r="B234" i="26"/>
  <c r="B406" i="9"/>
  <c r="B410" i="9" s="1"/>
  <c r="K203" i="2"/>
  <c r="H6" i="8"/>
  <c r="M37" i="14"/>
  <c r="K202" i="2"/>
  <c r="K206" i="2"/>
  <c r="G206" i="2" s="1"/>
  <c r="H20" i="8"/>
  <c r="M44" i="2"/>
  <c r="F575" i="1"/>
  <c r="B382" i="26"/>
  <c r="C128" i="2"/>
  <c r="K127" i="2" s="1"/>
  <c r="Q94" i="1" s="1" a="1"/>
  <c r="Q94" i="1" s="1"/>
  <c r="M52" i="2"/>
  <c r="L52" i="2"/>
  <c r="E50" i="14"/>
  <c r="H94" i="14" s="1"/>
  <c r="K5" i="8"/>
  <c r="C86" i="24"/>
  <c r="N34" i="3"/>
  <c r="O10" i="5"/>
  <c r="C246" i="2"/>
  <c r="P16" i="5"/>
  <c r="O16" i="5"/>
  <c r="B344" i="26"/>
  <c r="B68" i="26"/>
  <c r="B268" i="1"/>
  <c r="H8" i="8"/>
  <c r="N80" i="3"/>
  <c r="M80" i="3"/>
  <c r="B269" i="1"/>
  <c r="H5" i="8"/>
  <c r="B36" i="5"/>
  <c r="H19" i="8"/>
  <c r="K167" i="2"/>
  <c r="H17" i="8"/>
  <c r="K157" i="2"/>
  <c r="C256" i="2"/>
  <c r="K137" i="2"/>
  <c r="B32" i="5"/>
  <c r="K147" i="2"/>
  <c r="K100" i="1" s="1"/>
  <c r="O147" i="2" s="1"/>
  <c r="G21" i="14"/>
  <c r="A1" i="38"/>
  <c r="H9" i="8"/>
  <c r="H18" i="8"/>
  <c r="E31" i="14"/>
  <c r="K30" i="35"/>
  <c r="M30" i="35" s="1"/>
  <c r="K29" i="35"/>
  <c r="M29" i="35" s="1"/>
  <c r="K28" i="35"/>
  <c r="M28" i="35" s="1"/>
  <c r="K8" i="35"/>
  <c r="M8" i="35" s="1"/>
  <c r="H7" i="8"/>
  <c r="G529" i="1"/>
  <c r="G530" i="1" s="1"/>
  <c r="H529" i="1" a="1"/>
  <c r="H529" i="1" s="1"/>
  <c r="H530" i="1" s="1"/>
  <c r="D231" i="9"/>
  <c r="L19" i="14"/>
  <c r="D235" i="9"/>
  <c r="B521" i="1"/>
  <c r="B524" i="1" s="1"/>
  <c r="L24" i="14"/>
  <c r="N342" i="1"/>
  <c r="R342" i="1" s="1"/>
  <c r="C344" i="1"/>
  <c r="C346" i="1"/>
  <c r="C345" i="1"/>
  <c r="C343" i="1"/>
  <c r="I35" i="9"/>
  <c r="E342" i="1"/>
  <c r="A143" i="3"/>
  <c r="A134" i="3"/>
  <c r="A131" i="3"/>
  <c r="A141" i="3"/>
  <c r="A137" i="3"/>
  <c r="B209" i="1"/>
  <c r="B210" i="1" s="1"/>
  <c r="I150" i="3"/>
  <c r="I534" i="9" s="1"/>
  <c r="A142" i="3"/>
  <c r="A138" i="3"/>
  <c r="B217" i="1"/>
  <c r="A144" i="3"/>
  <c r="L127" i="3"/>
  <c r="N127" i="3" s="1"/>
  <c r="M133" i="3"/>
  <c r="B232" i="1"/>
  <c r="A132" i="3"/>
  <c r="A139" i="3"/>
  <c r="A145" i="3"/>
  <c r="A129" i="3"/>
  <c r="A133" i="3"/>
  <c r="A148" i="3"/>
  <c r="A135" i="3"/>
  <c r="A128" i="3"/>
  <c r="A149" i="3"/>
  <c r="A127" i="3"/>
  <c r="A136" i="3"/>
  <c r="B264" i="1"/>
  <c r="N89" i="24"/>
  <c r="A130" i="3"/>
  <c r="I235" i="9"/>
  <c r="I520" i="9" s="1"/>
  <c r="O154" i="5"/>
  <c r="S214" i="1"/>
  <c r="O148" i="5"/>
  <c r="A32" i="5" a="1"/>
  <c r="A32" i="5" s="1"/>
  <c r="A34" i="5" s="1" a="1"/>
  <c r="A34" i="5" s="1"/>
  <c r="F313" i="1"/>
  <c r="N72" i="14"/>
  <c r="M107" i="3"/>
  <c r="S261" i="1"/>
  <c r="D95" i="3"/>
  <c r="P26" i="5"/>
  <c r="F55" i="14"/>
  <c r="O26" i="5"/>
  <c r="E34" i="9"/>
  <c r="H91" i="14"/>
  <c r="P149" i="5"/>
  <c r="N66" i="3"/>
  <c r="M66" i="3"/>
  <c r="M72" i="14"/>
  <c r="I99" i="9"/>
  <c r="I508" i="9" s="1" a="1"/>
  <c r="I508" i="9" s="1"/>
  <c r="I75" i="9"/>
  <c r="E27" i="9"/>
  <c r="H821" i="1"/>
  <c r="E29" i="9"/>
  <c r="AS182" i="19" a="1"/>
  <c r="AS182" i="19" s="1"/>
  <c r="AS191" i="19" a="1"/>
  <c r="AS191" i="19" s="1"/>
  <c r="AS160" i="19" a="1"/>
  <c r="AS160" i="19" s="1"/>
  <c r="AS73" i="19" a="1"/>
  <c r="AS73" i="19" s="1"/>
  <c r="AS137" i="19" a="1"/>
  <c r="AS137" i="19" s="1"/>
  <c r="AS17" i="19" a="1"/>
  <c r="AS17" i="19" s="1"/>
  <c r="AS66" i="19" a="1"/>
  <c r="AS66" i="19" s="1"/>
  <c r="AS186" i="19" a="1"/>
  <c r="AS186" i="19" s="1"/>
  <c r="AS24" i="19" a="1"/>
  <c r="AS24" i="19" s="1"/>
  <c r="AS123" i="19" a="1"/>
  <c r="AS123" i="19" s="1"/>
  <c r="AS92" i="19" a="1"/>
  <c r="AS92" i="19" s="1"/>
  <c r="AS29" i="19" a="1"/>
  <c r="AS29" i="19" s="1"/>
  <c r="AS197" i="19" a="1"/>
  <c r="AS197" i="19" s="1"/>
  <c r="AS149" i="19" a="1"/>
  <c r="AS149" i="19" s="1"/>
  <c r="AS101" i="19" a="1"/>
  <c r="AS101" i="19" s="1"/>
  <c r="AS53" i="19" a="1"/>
  <c r="AS53" i="19" s="1"/>
  <c r="AS44" i="19" a="1"/>
  <c r="AS44" i="19" s="1"/>
  <c r="AS204" i="19" a="1"/>
  <c r="AS204" i="19" s="1"/>
  <c r="AS156" i="19" a="1"/>
  <c r="AS156" i="19" s="1"/>
  <c r="AS108" i="19" a="1"/>
  <c r="AS108" i="19" s="1"/>
  <c r="AS60" i="19" a="1"/>
  <c r="AS60" i="19" s="1"/>
  <c r="AS235" i="19" a="1"/>
  <c r="AS235" i="19" s="1"/>
  <c r="AS187" i="19" a="1"/>
  <c r="AS187" i="19" s="1"/>
  <c r="AS139" i="19" a="1"/>
  <c r="AS139" i="19" s="1"/>
  <c r="AS91" i="19" a="1"/>
  <c r="AS91" i="19" s="1"/>
  <c r="AS43" i="19" a="1"/>
  <c r="AS43" i="19" s="1"/>
  <c r="AS47" i="19" a="1"/>
  <c r="AS47" i="19" s="1"/>
  <c r="AS202" i="19" a="1"/>
  <c r="AS202" i="19" s="1"/>
  <c r="AS154" i="19" a="1"/>
  <c r="AS154" i="19" s="1"/>
  <c r="AS106" i="19" a="1"/>
  <c r="AS106" i="19" s="1"/>
  <c r="AS58" i="19" a="1"/>
  <c r="AS58" i="19" s="1"/>
  <c r="AS33" i="19" a="1"/>
  <c r="AS33" i="19" s="1"/>
  <c r="AS225" i="19" a="1"/>
  <c r="AS225" i="19" s="1"/>
  <c r="AS177" i="19" a="1"/>
  <c r="AS177" i="19" s="1"/>
  <c r="AS129" i="19" a="1"/>
  <c r="AS129" i="19" s="1"/>
  <c r="AS81" i="19" a="1"/>
  <c r="AS81" i="19" s="1"/>
  <c r="AS63" i="19" a="1"/>
  <c r="AS63" i="19" s="1"/>
  <c r="AS192" i="19" a="1"/>
  <c r="AS192" i="19" s="1"/>
  <c r="AS144" i="19" a="1"/>
  <c r="AS144" i="19" s="1"/>
  <c r="AS96" i="19" a="1"/>
  <c r="AS96" i="19" s="1"/>
  <c r="AS48" i="19" a="1"/>
  <c r="AS48" i="19" s="1"/>
  <c r="AS223" i="19" a="1"/>
  <c r="AS223" i="19" s="1"/>
  <c r="AS175" i="19" a="1"/>
  <c r="AS175" i="19" s="1"/>
  <c r="AS127" i="19" a="1"/>
  <c r="AS127" i="19" s="1"/>
  <c r="AS79" i="19" a="1"/>
  <c r="AS79" i="19" s="1"/>
  <c r="AS206" i="19" a="1"/>
  <c r="AS206" i="19" s="1"/>
  <c r="AS158" i="19" a="1"/>
  <c r="AS158" i="19" s="1"/>
  <c r="AS110" i="19" a="1"/>
  <c r="AS110" i="19" s="1"/>
  <c r="AS62" i="19" a="1"/>
  <c r="AS62" i="19" s="1"/>
  <c r="AS157" i="19" a="1"/>
  <c r="AS157" i="19" s="1"/>
  <c r="AS20" i="19" a="1"/>
  <c r="AS20" i="19" s="1"/>
  <c r="AS140" i="19" a="1"/>
  <c r="AS140" i="19" s="1"/>
  <c r="AS28" i="19" a="1"/>
  <c r="AS28" i="19" s="1"/>
  <c r="AS155" i="19" a="1"/>
  <c r="AS155" i="19" s="1"/>
  <c r="AS51" i="19" a="1"/>
  <c r="AS51" i="19" s="1"/>
  <c r="AS146" i="19" a="1"/>
  <c r="AS146" i="19" s="1"/>
  <c r="AS42" i="19" a="1"/>
  <c r="AS42" i="19" s="1"/>
  <c r="AS201" i="19" a="1"/>
  <c r="AS201" i="19" s="1"/>
  <c r="AS97" i="19" a="1"/>
  <c r="AS97" i="19" s="1"/>
  <c r="AS200" i="19" a="1"/>
  <c r="AS200" i="19" s="1"/>
  <c r="AS40" i="19" a="1"/>
  <c r="AS40" i="19" s="1"/>
  <c r="AS159" i="19" a="1"/>
  <c r="AS159" i="19" s="1"/>
  <c r="AS230" i="19" a="1"/>
  <c r="AS230" i="19" s="1"/>
  <c r="AS126" i="19" a="1"/>
  <c r="AS126" i="19" s="1"/>
  <c r="AS205" i="19" a="1"/>
  <c r="AS205" i="19" s="1"/>
  <c r="AS45" i="19" a="1"/>
  <c r="AS45" i="19" s="1"/>
  <c r="AS188" i="19" a="1"/>
  <c r="AS188" i="19" s="1"/>
  <c r="AS84" i="19" a="1"/>
  <c r="AS84" i="19" s="1"/>
  <c r="AS203" i="19" a="1"/>
  <c r="AS203" i="19" s="1"/>
  <c r="AS99" i="19" a="1"/>
  <c r="AS99" i="19" s="1"/>
  <c r="AS194" i="19" a="1"/>
  <c r="AS194" i="19" s="1"/>
  <c r="AS90" i="19" a="1"/>
  <c r="AS90" i="19" s="1"/>
  <c r="AS15" i="19" a="1"/>
  <c r="AS15" i="19" s="1"/>
  <c r="AS145" i="19" a="1"/>
  <c r="AS145" i="19" s="1"/>
  <c r="AS25" i="19" a="1"/>
  <c r="AS25" i="19" s="1"/>
  <c r="AS88" i="19" a="1"/>
  <c r="AS88" i="19" s="1"/>
  <c r="AS207" i="19" a="1"/>
  <c r="AS207" i="19" s="1"/>
  <c r="AS103" i="19" a="1"/>
  <c r="AS103" i="19" s="1"/>
  <c r="AS174" i="19" a="1"/>
  <c r="AS174" i="19" s="1"/>
  <c r="AS70" i="19" a="1"/>
  <c r="AS70" i="19" s="1"/>
  <c r="O24" i="19" a="1"/>
  <c r="O24" i="19" s="1"/>
  <c r="O150" i="19" a="1"/>
  <c r="O150" i="19" s="1"/>
  <c r="O30" i="19" a="1"/>
  <c r="O30" i="19" s="1"/>
  <c r="AS142" i="19" a="1"/>
  <c r="AS142" i="19" s="1"/>
  <c r="AS151" i="19" a="1"/>
  <c r="AS151" i="19" s="1"/>
  <c r="AS120" i="19" a="1"/>
  <c r="AS120" i="19" s="1"/>
  <c r="AS105" i="19" a="1"/>
  <c r="AS105" i="19" s="1"/>
  <c r="AS26" i="19" a="1"/>
  <c r="AS26" i="19" s="1"/>
  <c r="AS218" i="19" a="1"/>
  <c r="AS218" i="19" s="1"/>
  <c r="AS83" i="19" a="1"/>
  <c r="AS83" i="19" s="1"/>
  <c r="AS147" i="19" a="1"/>
  <c r="AS147" i="19" s="1"/>
  <c r="AS52" i="19" a="1"/>
  <c r="AS52" i="19" s="1"/>
  <c r="AS116" i="19" a="1"/>
  <c r="AS116" i="19" s="1"/>
  <c r="AS55" i="19" a="1"/>
  <c r="AS55" i="19" s="1"/>
  <c r="AS61" i="19" a="1"/>
  <c r="AS61" i="19" s="1"/>
  <c r="AS181" i="19" a="1"/>
  <c r="AS181" i="19" s="1"/>
  <c r="AS78" i="19" a="1"/>
  <c r="AS78" i="19" s="1"/>
  <c r="AS198" i="19" a="1"/>
  <c r="AS198" i="19" s="1"/>
  <c r="AS87" i="19" a="1"/>
  <c r="AS87" i="19" s="1"/>
  <c r="AS215" i="19" a="1"/>
  <c r="AS215" i="19" s="1"/>
  <c r="AS56" i="19" a="1"/>
  <c r="AS56" i="19" s="1"/>
  <c r="AS176" i="19" a="1"/>
  <c r="AS176" i="19" s="1"/>
  <c r="AS161" i="19" a="1"/>
  <c r="AS161" i="19" s="1"/>
  <c r="AS82" i="19" a="1"/>
  <c r="AS82" i="19" s="1"/>
  <c r="AS19" i="19" a="1"/>
  <c r="AS19" i="19" s="1"/>
  <c r="AS211" i="19" a="1"/>
  <c r="AS211" i="19" s="1"/>
  <c r="AS172" i="19" a="1"/>
  <c r="AS172" i="19" s="1"/>
  <c r="AS117" i="19" a="1"/>
  <c r="AS117" i="19" s="1"/>
  <c r="O157" i="19" a="1"/>
  <c r="O157" i="19" s="1"/>
  <c r="O93" i="19" a="1"/>
  <c r="O93" i="19" s="1"/>
  <c r="O37" i="19" a="1"/>
  <c r="O37" i="19" s="1"/>
  <c r="O140" i="19" a="1"/>
  <c r="O140" i="19" s="1"/>
  <c r="O68" i="19" a="1"/>
  <c r="O68" i="19" s="1"/>
  <c r="O124" i="19" a="1"/>
  <c r="O124" i="19" s="1"/>
  <c r="O131" i="19" a="1"/>
  <c r="O131" i="19" s="1"/>
  <c r="O75" i="19" a="1"/>
  <c r="O75" i="19" s="1"/>
  <c r="O170" i="19" a="1"/>
  <c r="O170" i="19" s="1"/>
  <c r="O114" i="19" a="1"/>
  <c r="O114" i="19" s="1"/>
  <c r="O58" i="19" a="1"/>
  <c r="O58" i="19" s="1"/>
  <c r="O153" i="19" a="1"/>
  <c r="O153" i="19" s="1"/>
  <c r="O97" i="19" a="1"/>
  <c r="O97" i="19" s="1"/>
  <c r="O41" i="19" a="1"/>
  <c r="O41" i="19" s="1"/>
  <c r="O144" i="19" a="1"/>
  <c r="O144" i="19" s="1"/>
  <c r="O80" i="19" a="1"/>
  <c r="O80" i="19" s="1"/>
  <c r="O111" i="19" a="1"/>
  <c r="O111" i="19" s="1"/>
  <c r="O47" i="19" a="1"/>
  <c r="O47" i="19" s="1"/>
  <c r="O86" i="19" a="1"/>
  <c r="O86" i="19" s="1"/>
  <c r="O14" i="19" a="1"/>
  <c r="O14" i="19" s="1"/>
  <c r="AS86" i="19" a="1"/>
  <c r="AS86" i="19" s="1"/>
  <c r="AS95" i="19" a="1"/>
  <c r="AS95" i="19" s="1"/>
  <c r="AS64" i="19" a="1"/>
  <c r="AS64" i="19" s="1"/>
  <c r="AS184" i="19" a="1"/>
  <c r="AS184" i="19" s="1"/>
  <c r="AS49" i="19" a="1"/>
  <c r="AS49" i="19" s="1"/>
  <c r="AS169" i="19" a="1"/>
  <c r="AS169" i="19" s="1"/>
  <c r="AS233" i="19" a="1"/>
  <c r="AS233" i="19" s="1"/>
  <c r="AS98" i="19" a="1"/>
  <c r="AS98" i="19" s="1"/>
  <c r="AS162" i="19" a="1"/>
  <c r="AS162" i="19" s="1"/>
  <c r="AS27" i="19" a="1"/>
  <c r="AS27" i="19" s="1"/>
  <c r="AS219" i="19" a="1"/>
  <c r="AS219" i="19" s="1"/>
  <c r="AS180" i="19" a="1"/>
  <c r="AS180" i="19" s="1"/>
  <c r="AS125" i="19" a="1"/>
  <c r="AS125" i="19" s="1"/>
  <c r="B746" i="1"/>
  <c r="O136" i="19" a="1"/>
  <c r="O136" i="19" s="1"/>
  <c r="O167" i="19" a="1"/>
  <c r="O167" i="19" s="1"/>
  <c r="O103" i="19" a="1"/>
  <c r="O103" i="19" s="1"/>
  <c r="O142" i="19" a="1"/>
  <c r="O142" i="19" s="1"/>
  <c r="AS150" i="19" a="1"/>
  <c r="AS150" i="19" s="1"/>
  <c r="AS214" i="19" a="1"/>
  <c r="AS214" i="19" s="1"/>
  <c r="AS167" i="19" a="1"/>
  <c r="AS167" i="19" s="1"/>
  <c r="AS231" i="19" a="1"/>
  <c r="AS231" i="19" s="1"/>
  <c r="AS128" i="19" a="1"/>
  <c r="AS128" i="19" s="1"/>
  <c r="AS113" i="19" a="1"/>
  <c r="AS113" i="19" s="1"/>
  <c r="AS34" i="19" a="1"/>
  <c r="AS34" i="19" s="1"/>
  <c r="AS226" i="19" a="1"/>
  <c r="AS226" i="19" s="1"/>
  <c r="AS163" i="19" a="1"/>
  <c r="AS163" i="19" s="1"/>
  <c r="AS124" i="19" a="1"/>
  <c r="AS124" i="19" s="1"/>
  <c r="AS69" i="19" a="1"/>
  <c r="AS69" i="19" s="1"/>
  <c r="AS189" i="19" a="1"/>
  <c r="AS189" i="19" s="1"/>
  <c r="O141" i="19" a="1"/>
  <c r="O141" i="19" s="1"/>
  <c r="O85" i="19" a="1"/>
  <c r="O85" i="19" s="1"/>
  <c r="O29" i="19" a="1"/>
  <c r="O29" i="19" s="1"/>
  <c r="O132" i="19" a="1"/>
  <c r="O132" i="19" s="1"/>
  <c r="O60" i="19" a="1"/>
  <c r="O60" i="19" s="1"/>
  <c r="O52" i="19" a="1"/>
  <c r="O52" i="19" s="1"/>
  <c r="O123" i="19" a="1"/>
  <c r="O123" i="19" s="1"/>
  <c r="O67" i="19" a="1"/>
  <c r="O67" i="19" s="1"/>
  <c r="O162" i="19" a="1"/>
  <c r="O162" i="19" s="1"/>
  <c r="O106" i="19" a="1"/>
  <c r="O106" i="19" s="1"/>
  <c r="O42" i="19" a="1"/>
  <c r="O42" i="19" s="1"/>
  <c r="O145" i="19" a="1"/>
  <c r="O145" i="19" s="1"/>
  <c r="O89" i="19" a="1"/>
  <c r="O89" i="19" s="1"/>
  <c r="O33" i="19" a="1"/>
  <c r="O33" i="19" s="1"/>
  <c r="O64" i="19" a="1"/>
  <c r="O64" i="19" s="1"/>
  <c r="O39" i="19" a="1"/>
  <c r="O39" i="19" s="1"/>
  <c r="AS94" i="19" a="1"/>
  <c r="AS94" i="19" s="1"/>
  <c r="AS111" i="19" a="1"/>
  <c r="AS111" i="19" s="1"/>
  <c r="AS72" i="19" a="1"/>
  <c r="AS72" i="19" s="1"/>
  <c r="AS57" i="19" a="1"/>
  <c r="AS57" i="19" s="1"/>
  <c r="AS38" i="19" a="1"/>
  <c r="AS38" i="19" s="1"/>
  <c r="AS170" i="19" a="1"/>
  <c r="AS170" i="19" s="1"/>
  <c r="AS35" i="19" a="1"/>
  <c r="AS35" i="19" s="1"/>
  <c r="AS107" i="19" a="1"/>
  <c r="AS107" i="19" s="1"/>
  <c r="AS227" i="19" a="1"/>
  <c r="AS227" i="19" s="1"/>
  <c r="AS68" i="19" a="1"/>
  <c r="AS68" i="19" s="1"/>
  <c r="AS196" i="19" a="1"/>
  <c r="AS196" i="19" s="1"/>
  <c r="AS13" i="19" a="1"/>
  <c r="AS13" i="19" s="1"/>
  <c r="AS133" i="19" a="1"/>
  <c r="AS133" i="19" s="1"/>
  <c r="O70" i="19" a="1"/>
  <c r="O70" i="19" s="1"/>
  <c r="O126" i="19" a="1"/>
  <c r="O126" i="19" s="1"/>
  <c r="O71" i="19" a="1"/>
  <c r="O71" i="19" s="1"/>
  <c r="O16" i="19" a="1"/>
  <c r="O16" i="19" s="1"/>
  <c r="O120" i="19" a="1"/>
  <c r="O120" i="19" s="1"/>
  <c r="O22" i="19" a="1"/>
  <c r="O22" i="19" s="1"/>
  <c r="O78" i="19" a="1"/>
  <c r="O78" i="19" s="1"/>
  <c r="O23" i="19" a="1"/>
  <c r="O23" i="19" s="1"/>
  <c r="O127" i="19" a="1"/>
  <c r="O127" i="19" s="1"/>
  <c r="O72" i="19" a="1"/>
  <c r="O72" i="19" s="1"/>
  <c r="O17" i="19" a="1"/>
  <c r="O17" i="19" s="1"/>
  <c r="O65" i="19" a="1"/>
  <c r="O65" i="19" s="1"/>
  <c r="O113" i="19" a="1"/>
  <c r="O113" i="19" s="1"/>
  <c r="O161" i="19" a="1"/>
  <c r="O161" i="19" s="1"/>
  <c r="O50" i="19" a="1"/>
  <c r="O50" i="19" s="1"/>
  <c r="O98" i="19" a="1"/>
  <c r="O98" i="19" s="1"/>
  <c r="O146" i="19" a="1"/>
  <c r="O146" i="19" s="1"/>
  <c r="O43" i="19" a="1"/>
  <c r="O43" i="19" s="1"/>
  <c r="O91" i="19" a="1"/>
  <c r="O91" i="19" s="1"/>
  <c r="O139" i="19" a="1"/>
  <c r="O139" i="19" s="1"/>
  <c r="O84" i="19" a="1"/>
  <c r="O84" i="19" s="1"/>
  <c r="O44" i="19" a="1"/>
  <c r="O44" i="19" s="1"/>
  <c r="O108" i="19" a="1"/>
  <c r="O108" i="19" s="1"/>
  <c r="O164" i="19" a="1"/>
  <c r="O164" i="19" s="1"/>
  <c r="O53" i="19" a="1"/>
  <c r="O53" i="19" s="1"/>
  <c r="O101" i="19" a="1"/>
  <c r="O101" i="19" s="1"/>
  <c r="O149" i="19" a="1"/>
  <c r="O149" i="19" s="1"/>
  <c r="AS222" i="19" a="1"/>
  <c r="AS222" i="19" s="1"/>
  <c r="AS30" i="19" a="1"/>
  <c r="AS30" i="19" s="1"/>
  <c r="AS136" i="19" a="1"/>
  <c r="AS136" i="19" s="1"/>
  <c r="AS208" i="19" a="1"/>
  <c r="AS208" i="19" s="1"/>
  <c r="AS121" i="19" a="1"/>
  <c r="AS121" i="19" s="1"/>
  <c r="AS185" i="19" a="1"/>
  <c r="AS185" i="19" s="1"/>
  <c r="AS50" i="19" a="1"/>
  <c r="AS50" i="19" s="1"/>
  <c r="AS114" i="19" a="1"/>
  <c r="AS114" i="19" s="1"/>
  <c r="AS234" i="19" a="1"/>
  <c r="AS234" i="19" s="1"/>
  <c r="AS171" i="19" a="1"/>
  <c r="AS171" i="19" s="1"/>
  <c r="AS132" i="19" a="1"/>
  <c r="AS132" i="19" s="1"/>
  <c r="AS77" i="19" a="1"/>
  <c r="AS77" i="19" s="1"/>
  <c r="O133" i="19" a="1"/>
  <c r="O133" i="19" s="1"/>
  <c r="O77" i="19" a="1"/>
  <c r="O77" i="19" s="1"/>
  <c r="O21" i="19" a="1"/>
  <c r="O21" i="19" s="1"/>
  <c r="O116" i="19" a="1"/>
  <c r="O116" i="19" s="1"/>
  <c r="O36" i="19" a="1"/>
  <c r="O36" i="19" s="1"/>
  <c r="O171" i="19" a="1"/>
  <c r="O171" i="19" s="1"/>
  <c r="O115" i="19" a="1"/>
  <c r="O115" i="19" s="1"/>
  <c r="O59" i="19" a="1"/>
  <c r="O59" i="19" s="1"/>
  <c r="O154" i="19" a="1"/>
  <c r="O154" i="19" s="1"/>
  <c r="O90" i="19" a="1"/>
  <c r="O90" i="19" s="1"/>
  <c r="O34" i="19" a="1"/>
  <c r="O34" i="19" s="1"/>
  <c r="O137" i="19" a="1"/>
  <c r="O137" i="19" s="1"/>
  <c r="O81" i="19" a="1"/>
  <c r="O81" i="19" s="1"/>
  <c r="O25" i="19" a="1"/>
  <c r="O25" i="19" s="1"/>
  <c r="O56" i="19" a="1"/>
  <c r="O56" i="19" s="1"/>
  <c r="O151" i="19" a="1"/>
  <c r="O151" i="19" s="1"/>
  <c r="O31" i="19" a="1"/>
  <c r="O31" i="19" s="1"/>
  <c r="O118" i="19" a="1"/>
  <c r="O118" i="19" s="1"/>
  <c r="AS102" i="19" a="1"/>
  <c r="AS102" i="19" s="1"/>
  <c r="AS166" i="19" a="1"/>
  <c r="AS166" i="19" s="1"/>
  <c r="AS119" i="19" a="1"/>
  <c r="AS119" i="19" s="1"/>
  <c r="AS183" i="19" a="1"/>
  <c r="AS183" i="19" s="1"/>
  <c r="AS80" i="19" a="1"/>
  <c r="AS80" i="19" s="1"/>
  <c r="AS152" i="19" a="1"/>
  <c r="AS152" i="19" s="1"/>
  <c r="AS65" i="19" a="1"/>
  <c r="AS65" i="19" s="1"/>
  <c r="AS16" i="19" a="1"/>
  <c r="AS16" i="19" s="1"/>
  <c r="AS178" i="19" a="1"/>
  <c r="AS178" i="19" s="1"/>
  <c r="AS115" i="19" a="1"/>
  <c r="AS115" i="19" s="1"/>
  <c r="AS76" i="19" a="1"/>
  <c r="AS76" i="19" s="1"/>
  <c r="AS21" i="19" a="1"/>
  <c r="AS21" i="19" s="1"/>
  <c r="AS141" i="19" a="1"/>
  <c r="AS141" i="19" s="1"/>
  <c r="AS213" i="19" a="1"/>
  <c r="AS213" i="19" s="1"/>
  <c r="BW4" i="19"/>
  <c r="BW631" i="19" a="1"/>
  <c r="BW631" i="19" s="1"/>
  <c r="BW88" i="19" a="1"/>
  <c r="BW88" i="19" s="1"/>
  <c r="BW192" i="19" a="1"/>
  <c r="BW192" i="19" s="1"/>
  <c r="BW296" i="19" a="1"/>
  <c r="BW296" i="19" s="1"/>
  <c r="BW400" i="19" a="1"/>
  <c r="BW400" i="19" s="1"/>
  <c r="BW560" i="19" a="1"/>
  <c r="BW560" i="19" s="1"/>
  <c r="BW193" i="19" a="1"/>
  <c r="BW193" i="19" s="1"/>
  <c r="BW249" i="19" a="1"/>
  <c r="BW249" i="19" s="1"/>
  <c r="BW305" i="19" a="1"/>
  <c r="BW305" i="19" s="1"/>
  <c r="BW361" i="19" a="1"/>
  <c r="BW361" i="19" s="1"/>
  <c r="BW489" i="19" a="1"/>
  <c r="BW489" i="19" s="1"/>
  <c r="BW609" i="19" a="1"/>
  <c r="BW609" i="19" s="1"/>
  <c r="BW673" i="19" a="1"/>
  <c r="BW673" i="19" s="1"/>
  <c r="BW146" i="19" a="1"/>
  <c r="BW146" i="19" s="1"/>
  <c r="BW210" i="19" a="1"/>
  <c r="BW210" i="19" s="1"/>
  <c r="BW330" i="19" a="1"/>
  <c r="BW330" i="19" s="1"/>
  <c r="BW402" i="19" a="1"/>
  <c r="BW402" i="19" s="1"/>
  <c r="BW594" i="19" a="1"/>
  <c r="BW594" i="19" s="1"/>
  <c r="BW83" i="19" a="1"/>
  <c r="BW83" i="19" s="1"/>
  <c r="BW563" i="19" a="1"/>
  <c r="BW563" i="19" s="1"/>
  <c r="BW396" i="19" a="1"/>
  <c r="BW396" i="19" s="1"/>
  <c r="BW540" i="19" a="1"/>
  <c r="BW540" i="19" s="1"/>
  <c r="BW373" i="19" a="1"/>
  <c r="BW373" i="19" s="1"/>
  <c r="BW517" i="19" a="1"/>
  <c r="BW517" i="19" s="1"/>
  <c r="BW350" i="19" a="1"/>
  <c r="BW350" i="19" s="1"/>
  <c r="BW678" i="19" a="1"/>
  <c r="BW678" i="19" s="1"/>
  <c r="BW630" i="19" a="1"/>
  <c r="BW630" i="19" s="1"/>
  <c r="BW582" i="19" a="1"/>
  <c r="BW582" i="19" s="1"/>
  <c r="BW534" i="19" a="1"/>
  <c r="BW534" i="19" s="1"/>
  <c r="BW486" i="19" a="1"/>
  <c r="BW486" i="19" s="1"/>
  <c r="BW438" i="19" a="1"/>
  <c r="BW438" i="19" s="1"/>
  <c r="BW390" i="19" a="1"/>
  <c r="BW390" i="19" s="1"/>
  <c r="BW342" i="19" a="1"/>
  <c r="BW342" i="19" s="1"/>
  <c r="BW294" i="19" a="1"/>
  <c r="BW294" i="19" s="1"/>
  <c r="BW246" i="19" a="1"/>
  <c r="BW246" i="19" s="1"/>
  <c r="BW198" i="19" a="1"/>
  <c r="BW198" i="19" s="1"/>
  <c r="BW150" i="19" a="1"/>
  <c r="BW150" i="19" s="1"/>
  <c r="BW102" i="19" a="1"/>
  <c r="BW102" i="19" s="1"/>
  <c r="BW701" i="19" a="1"/>
  <c r="BW701" i="19" s="1"/>
  <c r="BW653" i="19" a="1"/>
  <c r="BW653" i="19" s="1"/>
  <c r="BW605" i="19" a="1"/>
  <c r="BW605" i="19" s="1"/>
  <c r="BW557" i="19" a="1"/>
  <c r="BW557" i="19" s="1"/>
  <c r="BW509" i="19" a="1"/>
  <c r="BW509" i="19" s="1"/>
  <c r="BW461" i="19" a="1"/>
  <c r="BW461" i="19" s="1"/>
  <c r="BW413" i="19" a="1"/>
  <c r="BW413" i="19" s="1"/>
  <c r="BW365" i="19" a="1"/>
  <c r="BW365" i="19" s="1"/>
  <c r="BW317" i="19" a="1"/>
  <c r="BW317" i="19" s="1"/>
  <c r="BW269" i="19" a="1"/>
  <c r="BW269" i="19" s="1"/>
  <c r="BW221" i="19" a="1"/>
  <c r="BW221" i="19" s="1"/>
  <c r="BW173" i="19" a="1"/>
  <c r="BW173" i="19" s="1"/>
  <c r="BW125" i="19" a="1"/>
  <c r="BW125" i="19" s="1"/>
  <c r="BW77" i="19" a="1"/>
  <c r="BW77" i="19" s="1"/>
  <c r="BW676" i="19" a="1"/>
  <c r="BW676" i="19" s="1"/>
  <c r="BW628" i="19" a="1"/>
  <c r="BW628" i="19" s="1"/>
  <c r="BW580" i="19" a="1"/>
  <c r="BW580" i="19" s="1"/>
  <c r="BW532" i="19" a="1"/>
  <c r="BW532" i="19" s="1"/>
  <c r="BW484" i="19" a="1"/>
  <c r="BW484" i="19" s="1"/>
  <c r="BW436" i="19" a="1"/>
  <c r="BW436" i="19" s="1"/>
  <c r="BW388" i="19" a="1"/>
  <c r="BW388" i="19" s="1"/>
  <c r="BW340" i="19" a="1"/>
  <c r="BW340" i="19" s="1"/>
  <c r="BW292" i="19" a="1"/>
  <c r="BW292" i="19" s="1"/>
  <c r="BW244" i="19" a="1"/>
  <c r="BW244" i="19" s="1"/>
  <c r="BW196" i="19" a="1"/>
  <c r="BW196" i="19" s="1"/>
  <c r="BW148" i="19" a="1"/>
  <c r="BW148" i="19" s="1"/>
  <c r="BW100" i="19" a="1"/>
  <c r="BW100" i="19" s="1"/>
  <c r="BW699" i="19" a="1"/>
  <c r="BW699" i="19" s="1"/>
  <c r="BW651" i="19" a="1"/>
  <c r="BW651" i="19" s="1"/>
  <c r="BW603" i="19" a="1"/>
  <c r="BW603" i="19" s="1"/>
  <c r="BW555" i="19" a="1"/>
  <c r="BW555" i="19" s="1"/>
  <c r="BW507" i="19" a="1"/>
  <c r="BW507" i="19" s="1"/>
  <c r="BW459" i="19" a="1"/>
  <c r="BW459" i="19" s="1"/>
  <c r="BW411" i="19" a="1"/>
  <c r="BW411" i="19" s="1"/>
  <c r="BW363" i="19" a="1"/>
  <c r="BW363" i="19" s="1"/>
  <c r="BW315" i="19" a="1"/>
  <c r="BW315" i="19" s="1"/>
  <c r="BW267" i="19" a="1"/>
  <c r="BW267" i="19" s="1"/>
  <c r="BW219" i="19" a="1"/>
  <c r="BW219" i="19" s="1"/>
  <c r="BW171" i="19" a="1"/>
  <c r="BW171" i="19" s="1"/>
  <c r="BW123" i="19" a="1"/>
  <c r="BW123" i="19" s="1"/>
  <c r="BW75" i="19" a="1"/>
  <c r="BW75" i="19" s="1"/>
  <c r="BW682" i="19" a="1"/>
  <c r="BW682" i="19" s="1"/>
  <c r="BW634" i="19" a="1"/>
  <c r="BW634" i="19" s="1"/>
  <c r="BW586" i="19" a="1"/>
  <c r="BW586" i="19" s="1"/>
  <c r="BW538" i="19" a="1"/>
  <c r="BW538" i="19" s="1"/>
  <c r="BW490" i="19" a="1"/>
  <c r="BW490" i="19" s="1"/>
  <c r="BW442" i="19" a="1"/>
  <c r="BW442" i="19" s="1"/>
  <c r="BW394" i="19" a="1"/>
  <c r="BW394" i="19" s="1"/>
  <c r="BW346" i="19" a="1"/>
  <c r="BW346" i="19" s="1"/>
  <c r="BW298" i="19" a="1"/>
  <c r="BW298" i="19" s="1"/>
  <c r="BW250" i="19" a="1"/>
  <c r="BW250" i="19" s="1"/>
  <c r="BW202" i="19" a="1"/>
  <c r="BW202" i="19" s="1"/>
  <c r="BW154" i="19" a="1"/>
  <c r="BW154" i="19" s="1"/>
  <c r="BW106" i="19" a="1"/>
  <c r="BW106" i="19" s="1"/>
  <c r="BW713" i="19" a="1"/>
  <c r="BW713" i="19" s="1"/>
  <c r="BW665" i="19" a="1"/>
  <c r="BW665" i="19" s="1"/>
  <c r="BW617" i="19" a="1"/>
  <c r="BW617" i="19" s="1"/>
  <c r="BW569" i="19" a="1"/>
  <c r="BW569" i="19" s="1"/>
  <c r="BW521" i="19" a="1"/>
  <c r="BW521" i="19" s="1"/>
  <c r="BW473" i="19" a="1"/>
  <c r="BW473" i="19" s="1"/>
  <c r="BW425" i="19" a="1"/>
  <c r="BW425" i="19" s="1"/>
  <c r="BW377" i="19" a="1"/>
  <c r="BW377" i="19" s="1"/>
  <c r="BW329" i="19" a="1"/>
  <c r="BW329" i="19" s="1"/>
  <c r="BW281" i="19" a="1"/>
  <c r="BW281" i="19" s="1"/>
  <c r="BW233" i="19" a="1"/>
  <c r="BW233" i="19" s="1"/>
  <c r="BW185" i="19" a="1"/>
  <c r="BW185" i="19" s="1"/>
  <c r="BW137" i="19" a="1"/>
  <c r="BW137" i="19" s="1"/>
  <c r="BW89" i="19" a="1"/>
  <c r="BW89" i="19" s="1"/>
  <c r="BW688" i="19" a="1"/>
  <c r="BW688" i="19" s="1"/>
  <c r="BW640" i="19" a="1"/>
  <c r="BW640" i="19" s="1"/>
  <c r="BW670" i="19" a="1"/>
  <c r="BW670" i="19" s="1"/>
  <c r="BW614" i="19" a="1"/>
  <c r="BW614" i="19" s="1"/>
  <c r="BW558" i="19" a="1"/>
  <c r="BW558" i="19" s="1"/>
  <c r="BW502" i="19" a="1"/>
  <c r="BW502" i="19" s="1"/>
  <c r="BW382" i="19" a="1"/>
  <c r="BW382" i="19" s="1"/>
  <c r="BW326" i="19" a="1"/>
  <c r="BW326" i="19" s="1"/>
  <c r="BW270" i="19" a="1"/>
  <c r="BW270" i="19" s="1"/>
  <c r="BW214" i="19" a="1"/>
  <c r="BW214" i="19" s="1"/>
  <c r="BW94" i="19" a="1"/>
  <c r="BW94" i="19" s="1"/>
  <c r="BW685" i="19" a="1"/>
  <c r="BW685" i="19" s="1"/>
  <c r="BW629" i="19" a="1"/>
  <c r="BW629" i="19" s="1"/>
  <c r="BW573" i="19" a="1"/>
  <c r="BW573" i="19" s="1"/>
  <c r="BW453" i="19" a="1"/>
  <c r="BW453" i="19" s="1"/>
  <c r="BW397" i="19" a="1"/>
  <c r="BW397" i="19" s="1"/>
  <c r="BW341" i="19" a="1"/>
  <c r="BW341" i="19" s="1"/>
  <c r="BW285" i="19" a="1"/>
  <c r="BW285" i="19" s="1"/>
  <c r="BW165" i="19" a="1"/>
  <c r="BW165" i="19" s="1"/>
  <c r="BW109" i="19" a="1"/>
  <c r="BW109" i="19" s="1"/>
  <c r="BW700" i="19" a="1"/>
  <c r="BW700" i="19" s="1"/>
  <c r="BW644" i="19" a="1"/>
  <c r="BW644" i="19" s="1"/>
  <c r="BW524" i="19" a="1"/>
  <c r="BW524" i="19" s="1"/>
  <c r="BW468" i="19" a="1"/>
  <c r="BW468" i="19" s="1"/>
  <c r="BW412" i="19" a="1"/>
  <c r="BW412" i="19" s="1"/>
  <c r="BW356" i="19" a="1"/>
  <c r="BW356" i="19" s="1"/>
  <c r="BW236" i="19" a="1"/>
  <c r="BW236" i="19" s="1"/>
  <c r="BW180" i="19" a="1"/>
  <c r="BW180" i="19" s="1"/>
  <c r="BW124" i="19" a="1"/>
  <c r="BW124" i="19" s="1"/>
  <c r="BW715" i="19" a="1"/>
  <c r="BW715" i="19" s="1"/>
  <c r="BW595" i="19" a="1"/>
  <c r="BW595" i="19" s="1"/>
  <c r="BW539" i="19" a="1"/>
  <c r="BW539" i="19" s="1"/>
  <c r="BW483" i="19" a="1"/>
  <c r="BW483" i="19" s="1"/>
  <c r="BW427" i="19" a="1"/>
  <c r="BW427" i="19" s="1"/>
  <c r="BW307" i="19" a="1"/>
  <c r="BW307" i="19" s="1"/>
  <c r="BW251" i="19" a="1"/>
  <c r="BW251" i="19" s="1"/>
  <c r="BW195" i="19" a="1"/>
  <c r="BW195" i="19" s="1"/>
  <c r="BW139" i="19" a="1"/>
  <c r="BW139" i="19" s="1"/>
  <c r="BW674" i="19" a="1"/>
  <c r="BW674" i="19" s="1"/>
  <c r="BW618" i="19" a="1"/>
  <c r="BW618" i="19" s="1"/>
  <c r="BW562" i="19" a="1"/>
  <c r="BW562" i="19" s="1"/>
  <c r="BW506" i="19" a="1"/>
  <c r="BW506" i="19" s="1"/>
  <c r="BW450" i="19" a="1"/>
  <c r="BW450" i="19" s="1"/>
  <c r="BW290" i="19" a="1"/>
  <c r="BW290" i="19" s="1"/>
  <c r="BW186" i="19" a="1"/>
  <c r="BW186" i="19" s="1"/>
  <c r="BW82" i="19" a="1"/>
  <c r="BW82" i="19" s="1"/>
  <c r="BW633" i="19" a="1"/>
  <c r="BW633" i="19" s="1"/>
  <c r="BW529" i="19" a="1"/>
  <c r="BW529" i="19" s="1"/>
  <c r="BW369" i="19" a="1"/>
  <c r="BW369" i="19" s="1"/>
  <c r="G341" i="9" s="1"/>
  <c r="BW265" i="19" a="1"/>
  <c r="BW265" i="19" s="1"/>
  <c r="BW161" i="19" a="1"/>
  <c r="BW161" i="19" s="1"/>
  <c r="BW704" i="19" a="1"/>
  <c r="BW704" i="19" s="1"/>
  <c r="BW600" i="19" a="1"/>
  <c r="BW600" i="19" s="1"/>
  <c r="BW552" i="19" a="1"/>
  <c r="BW552" i="19" s="1"/>
  <c r="BW504" i="19" a="1"/>
  <c r="BW504" i="19" s="1"/>
  <c r="BW456" i="19" a="1"/>
  <c r="BW456" i="19" s="1"/>
  <c r="BW408" i="19" a="1"/>
  <c r="BW408" i="19" s="1"/>
  <c r="BW360" i="19" a="1"/>
  <c r="BW360" i="19" s="1"/>
  <c r="BW312" i="19" a="1"/>
  <c r="BW312" i="19" s="1"/>
  <c r="BW264" i="19" a="1"/>
  <c r="BW264" i="19" s="1"/>
  <c r="BW216" i="19" a="1"/>
  <c r="BW216" i="19" s="1"/>
  <c r="BW168" i="19" a="1"/>
  <c r="BW168" i="19" s="1"/>
  <c r="BW120" i="19" a="1"/>
  <c r="BW120" i="19" s="1"/>
  <c r="BW719" i="19" a="1"/>
  <c r="BW719" i="19" s="1"/>
  <c r="BW671" i="19" a="1"/>
  <c r="BW671" i="19" s="1"/>
  <c r="BW623" i="19" a="1"/>
  <c r="BW623" i="19" s="1"/>
  <c r="BW494" i="19" a="1"/>
  <c r="BW494" i="19" s="1"/>
  <c r="BW206" i="19" a="1"/>
  <c r="BW206" i="19" s="1"/>
  <c r="BW565" i="19" a="1"/>
  <c r="BW565" i="19" s="1"/>
  <c r="BW277" i="19" a="1"/>
  <c r="BW277" i="19" s="1"/>
  <c r="BW636" i="19" a="1"/>
  <c r="BW636" i="19" s="1"/>
  <c r="BW348" i="19" a="1"/>
  <c r="BW348" i="19" s="1"/>
  <c r="BW707" i="19" a="1"/>
  <c r="BW707" i="19" s="1"/>
  <c r="BW419" i="19" a="1"/>
  <c r="BW419" i="19" s="1"/>
  <c r="BW131" i="19" a="1"/>
  <c r="BW131" i="19" s="1"/>
  <c r="BW498" i="19" a="1"/>
  <c r="BW498" i="19" s="1"/>
  <c r="BW338" i="19" a="1"/>
  <c r="BW338" i="19" s="1"/>
  <c r="BW234" i="19" a="1"/>
  <c r="BW234" i="19" s="1"/>
  <c r="BW130" i="19" a="1"/>
  <c r="BW130" i="19" s="1"/>
  <c r="BW681" i="19" a="1"/>
  <c r="BW681" i="19" s="1"/>
  <c r="BW577" i="19" a="1"/>
  <c r="BW577" i="19" s="1"/>
  <c r="BW417" i="19" a="1"/>
  <c r="BW417" i="19" s="1"/>
  <c r="BW19" i="19" a="1"/>
  <c r="BW19" i="19" s="1"/>
  <c r="BW68" i="19" a="1"/>
  <c r="BW68" i="19" s="1"/>
  <c r="BW53" i="19" a="1"/>
  <c r="BW53" i="19" s="1"/>
  <c r="BW22" i="19" a="1"/>
  <c r="BW22" i="19" s="1"/>
  <c r="BW70" i="19" a="1"/>
  <c r="BW70" i="19" s="1"/>
  <c r="BW47" i="19" a="1"/>
  <c r="BW47" i="19" s="1"/>
  <c r="BW24" i="19" a="1"/>
  <c r="BW24" i="19" s="1"/>
  <c r="BW72" i="19" a="1"/>
  <c r="BW72" i="19" s="1"/>
  <c r="BW49" i="19" a="1"/>
  <c r="BW49" i="19" s="1"/>
  <c r="BW18" i="19" a="1"/>
  <c r="BW18" i="19" s="1"/>
  <c r="BW66" i="19" a="1"/>
  <c r="BW66" i="19" s="1"/>
  <c r="BW119" i="19" a="1"/>
  <c r="BW119" i="19" s="1"/>
  <c r="BW167" i="19" a="1"/>
  <c r="BW167" i="19" s="1"/>
  <c r="BW215" i="19" a="1"/>
  <c r="BW215" i="19" s="1"/>
  <c r="BW263" i="19" a="1"/>
  <c r="BW263" i="19" s="1"/>
  <c r="BW311" i="19" a="1"/>
  <c r="BW311" i="19" s="1"/>
  <c r="BW359" i="19" a="1"/>
  <c r="BW359" i="19" s="1"/>
  <c r="BW407" i="19" a="1"/>
  <c r="BW407" i="19" s="1"/>
  <c r="BW455" i="19" a="1"/>
  <c r="BW455" i="19" s="1"/>
  <c r="BW503" i="19" a="1"/>
  <c r="BW503" i="19" s="1"/>
  <c r="BW551" i="19" a="1"/>
  <c r="BW551" i="19" s="1"/>
  <c r="BW599" i="19" a="1"/>
  <c r="BW599" i="19" s="1"/>
  <c r="BW703" i="19" a="1"/>
  <c r="BW703" i="19" s="1"/>
  <c r="BW160" i="19" a="1"/>
  <c r="BW160" i="19" s="1"/>
  <c r="BW320" i="19" a="1"/>
  <c r="BW320" i="19" s="1"/>
  <c r="BW424" i="19" a="1"/>
  <c r="BW424" i="19" s="1"/>
  <c r="BW528" i="19" a="1"/>
  <c r="BW528" i="19" s="1"/>
  <c r="BW632" i="19" a="1"/>
  <c r="BW632" i="19" s="1"/>
  <c r="BW217" i="19" a="1"/>
  <c r="BW217" i="19" s="1"/>
  <c r="BW273" i="19" a="1"/>
  <c r="BW273" i="19" s="1"/>
  <c r="BW449" i="19" a="1"/>
  <c r="BW449" i="19" s="1"/>
  <c r="BW641" i="19" a="1"/>
  <c r="BW641" i="19" s="1"/>
  <c r="BW170" i="19" a="1"/>
  <c r="BW170" i="19" s="1"/>
  <c r="BW362" i="19" a="1"/>
  <c r="BW362" i="19" s="1"/>
  <c r="BW482" i="19" a="1"/>
  <c r="BW482" i="19" s="1"/>
  <c r="BW554" i="19" a="1"/>
  <c r="BW554" i="19" s="1"/>
  <c r="BW626" i="19" a="1"/>
  <c r="BW626" i="19" s="1"/>
  <c r="BW698" i="19" a="1"/>
  <c r="BW698" i="19" s="1"/>
  <c r="BW107" i="19" a="1"/>
  <c r="BW107" i="19" s="1"/>
  <c r="BW243" i="19" a="1"/>
  <c r="BW243" i="19" s="1"/>
  <c r="BW387" i="19" a="1"/>
  <c r="BW387" i="19" s="1"/>
  <c r="BW451" i="19" a="1"/>
  <c r="BW451" i="19" s="1"/>
  <c r="BW523" i="19" a="1"/>
  <c r="BW523" i="19" s="1"/>
  <c r="BW587" i="19" a="1"/>
  <c r="BW587" i="19" s="1"/>
  <c r="BW667" i="19" a="1"/>
  <c r="BW667" i="19" s="1"/>
  <c r="BW84" i="19" a="1"/>
  <c r="BW84" i="19" s="1"/>
  <c r="BW220" i="19" a="1"/>
  <c r="BW220" i="19" s="1"/>
  <c r="BW284" i="19" a="1"/>
  <c r="BW284" i="19" s="1"/>
  <c r="BW364" i="19" a="1"/>
  <c r="BW364" i="19" s="1"/>
  <c r="BW428" i="19" a="1"/>
  <c r="BW428" i="19" s="1"/>
  <c r="BW500" i="19" a="1"/>
  <c r="BW500" i="19" s="1"/>
  <c r="BW564" i="19" a="1"/>
  <c r="BW564" i="19" s="1"/>
  <c r="BW708" i="19" a="1"/>
  <c r="BW708" i="19" s="1"/>
  <c r="BW197" i="19" a="1"/>
  <c r="BW197" i="19" s="1"/>
  <c r="BW261" i="19" a="1"/>
  <c r="BW261" i="19" s="1"/>
  <c r="BW333" i="19" a="1"/>
  <c r="BW333" i="19" s="1"/>
  <c r="BW405" i="19" a="1"/>
  <c r="BW405" i="19" s="1"/>
  <c r="BW477" i="19" a="1"/>
  <c r="BW477" i="19" s="1"/>
  <c r="BW541" i="19" a="1"/>
  <c r="BW541" i="19" s="1"/>
  <c r="BW677" i="19" a="1"/>
  <c r="BW677" i="19" s="1"/>
  <c r="BW174" i="19" a="1"/>
  <c r="BW174" i="19" s="1"/>
  <c r="BW238" i="19" a="1"/>
  <c r="BW238" i="19" s="1"/>
  <c r="BW310" i="19" a="1"/>
  <c r="BW310" i="19" s="1"/>
  <c r="BW374" i="19" a="1"/>
  <c r="BW374" i="19" s="1"/>
  <c r="BW454" i="19" a="1"/>
  <c r="BW454" i="19" s="1"/>
  <c r="BW518" i="19" a="1"/>
  <c r="BW518" i="19" s="1"/>
  <c r="BW654" i="19" a="1"/>
  <c r="BW654" i="19" s="1"/>
  <c r="M393" i="9"/>
  <c r="N393" i="9"/>
  <c r="N394" i="9"/>
  <c r="M394" i="9"/>
  <c r="B69" i="2"/>
  <c r="M73" i="2"/>
  <c r="L73" i="2"/>
  <c r="B234" i="1"/>
  <c r="B256" i="1" s="1"/>
  <c r="G831" i="1" l="1"/>
  <c r="K1" i="36" s="1"/>
  <c r="N12" i="36"/>
  <c r="H831" i="1"/>
  <c r="A17" i="20"/>
  <c r="A3" i="14" a="1"/>
  <c r="A3" i="14" s="1"/>
  <c r="A53" i="14" s="1" a="1"/>
  <c r="A53" i="14" s="1"/>
  <c r="E512" i="1" s="1"/>
  <c r="E267" i="24"/>
  <c r="M267" i="24" s="1"/>
  <c r="C102" i="24"/>
  <c r="N11" i="7"/>
  <c r="B10" i="7" s="1"/>
  <c r="M10" i="7"/>
  <c r="Q96" i="1" a="1"/>
  <c r="Q96" i="1" s="1"/>
  <c r="B71" i="2"/>
  <c r="B94" i="2" s="1"/>
  <c r="C49" i="2"/>
  <c r="E345" i="9"/>
  <c r="G135" i="5"/>
  <c r="F53" i="5"/>
  <c r="F55" i="5" s="1"/>
  <c r="K55" i="5" s="1"/>
  <c r="M97" i="3"/>
  <c r="N97" i="3"/>
  <c r="K52" i="5"/>
  <c r="F121" i="5"/>
  <c r="J141" i="24"/>
  <c r="I181" i="9"/>
  <c r="I625" i="1"/>
  <c r="J625" i="1" s="1"/>
  <c r="J624" i="1"/>
  <c r="F93" i="5"/>
  <c r="B660" i="1" s="1"/>
  <c r="G91" i="5"/>
  <c r="G93" i="5" s="1"/>
  <c r="D314" i="1"/>
  <c r="H195" i="9"/>
  <c r="H197" i="9" s="1"/>
  <c r="D181" i="9"/>
  <c r="AS12" i="19"/>
  <c r="BW12" i="19"/>
  <c r="O12" i="19"/>
  <c r="BY12" i="19"/>
  <c r="Q12" i="19"/>
  <c r="AU12" i="19"/>
  <c r="W631" i="1"/>
  <c r="H169" i="5"/>
  <c r="I169" i="5"/>
  <c r="I172" i="5" s="1"/>
  <c r="D52" i="5"/>
  <c r="I615" i="1" s="1"/>
  <c r="H615" i="1" s="1"/>
  <c r="W632" i="1"/>
  <c r="J616" i="1"/>
  <c r="I631" i="1"/>
  <c r="J631" i="1" s="1"/>
  <c r="I630" i="1"/>
  <c r="J630" i="1" s="1"/>
  <c r="L630" i="1"/>
  <c r="L631" i="1" s="1"/>
  <c r="R451" i="1"/>
  <c r="S451" i="1" s="1"/>
  <c r="T452" i="1" s="1"/>
  <c r="R453" i="1"/>
  <c r="S453" i="1" s="1"/>
  <c r="K6" i="8"/>
  <c r="M6" i="8" s="1"/>
  <c r="N7" i="3"/>
  <c r="B780" i="1"/>
  <c r="B33" i="18" s="1"/>
  <c r="I50" i="9"/>
  <c r="M24" i="3"/>
  <c r="V624" i="1"/>
  <c r="T456" i="1"/>
  <c r="N69" i="3"/>
  <c r="M7" i="3"/>
  <c r="M13" i="8"/>
  <c r="B15" i="8" s="1"/>
  <c r="I637" i="1"/>
  <c r="E50" i="9"/>
  <c r="G115" i="5"/>
  <c r="I94" i="5"/>
  <c r="G607" i="1"/>
  <c r="B517" i="1"/>
  <c r="J578" i="1"/>
  <c r="H578" i="1" s="1"/>
  <c r="I468" i="9"/>
  <c r="F314" i="1"/>
  <c r="B518" i="1" s="1"/>
  <c r="M76" i="14"/>
  <c r="F114" i="5"/>
  <c r="F115" i="5" s="1"/>
  <c r="C479" i="1"/>
  <c r="G348" i="9"/>
  <c r="C750" i="1" s="1"/>
  <c r="M321" i="9"/>
  <c r="N17" i="7"/>
  <c r="M17" i="7"/>
  <c r="N61" i="14"/>
  <c r="F256" i="1"/>
  <c r="B520" i="1"/>
  <c r="N37" i="14"/>
  <c r="L40" i="14"/>
  <c r="M58" i="14"/>
  <c r="N58" i="14"/>
  <c r="C13" i="5" a="1"/>
  <c r="C13" i="5" s="1"/>
  <c r="C19" i="5" a="1"/>
  <c r="C19" i="5" s="1"/>
  <c r="Q179" i="1"/>
  <c r="M12" i="3"/>
  <c r="B40" i="3"/>
  <c r="B50" i="3" s="1"/>
  <c r="G324" i="9"/>
  <c r="Q95" i="1" a="1"/>
  <c r="Q95" i="1" s="1"/>
  <c r="L338" i="26"/>
  <c r="C372" i="9" a="1"/>
  <c r="C372" i="9" s="1"/>
  <c r="C378" i="9" s="1" a="1"/>
  <c r="C378" i="9" s="1"/>
  <c r="N349" i="9"/>
  <c r="M349" i="9"/>
  <c r="E193" i="1"/>
  <c r="E28" i="9" s="1"/>
  <c r="F366" i="1"/>
  <c r="F392" i="1"/>
  <c r="M371" i="1"/>
  <c r="N371" i="1" s="1"/>
  <c r="E103" i="3"/>
  <c r="I307" i="24"/>
  <c r="I304" i="24"/>
  <c r="M376" i="9"/>
  <c r="N376" i="9"/>
  <c r="M328" i="9"/>
  <c r="N328" i="9"/>
  <c r="A474" i="9" a="1"/>
  <c r="A474" i="9" s="1"/>
  <c r="A488" i="9" s="1" a="1"/>
  <c r="A488" i="9" s="1"/>
  <c r="I305" i="24"/>
  <c r="M350" i="9"/>
  <c r="N350" i="9"/>
  <c r="D323" i="9" a="1"/>
  <c r="D323" i="9" s="1"/>
  <c r="D331" i="9" s="1" a="1"/>
  <c r="D331" i="9" s="1"/>
  <c r="N326" i="9"/>
  <c r="M326" i="9"/>
  <c r="B279" i="9"/>
  <c r="Q48" i="9"/>
  <c r="H48" i="9"/>
  <c r="O49" i="9"/>
  <c r="Q49" i="9" s="1"/>
  <c r="N99" i="24"/>
  <c r="O99" i="24" s="1"/>
  <c r="B531" i="9"/>
  <c r="B534" i="9" s="1"/>
  <c r="N341" i="9"/>
  <c r="M341" i="9"/>
  <c r="F113" i="26"/>
  <c r="N112" i="26" s="1"/>
  <c r="L406" i="26" s="1"/>
  <c r="N327" i="9"/>
  <c r="M327" i="9"/>
  <c r="C451" i="1"/>
  <c r="C471" i="1" s="1"/>
  <c r="I303" i="24"/>
  <c r="I306" i="24"/>
  <c r="C457" i="1"/>
  <c r="L1" i="4"/>
  <c r="Q123" i="26"/>
  <c r="L405" i="26"/>
  <c r="F88" i="26"/>
  <c r="P88" i="26" s="1"/>
  <c r="P87" i="26" s="1"/>
  <c r="L359" i="26"/>
  <c r="L363" i="26"/>
  <c r="I496" i="9"/>
  <c r="I497" i="9" s="1"/>
  <c r="M378" i="1"/>
  <c r="N378" i="1" s="1"/>
  <c r="F364" i="1"/>
  <c r="F414" i="1"/>
  <c r="F363" i="1"/>
  <c r="F375" i="1"/>
  <c r="F412" i="1"/>
  <c r="F374" i="1"/>
  <c r="F411" i="1"/>
  <c r="F356" i="1"/>
  <c r="F365" i="1"/>
  <c r="F399" i="1"/>
  <c r="F386" i="1"/>
  <c r="F371" i="1"/>
  <c r="F419" i="1"/>
  <c r="F400" i="1"/>
  <c r="F401" i="1"/>
  <c r="F360" i="1"/>
  <c r="F409" i="1"/>
  <c r="F354" i="1"/>
  <c r="F369" i="1"/>
  <c r="F394" i="1"/>
  <c r="F379" i="1"/>
  <c r="F408" i="1"/>
  <c r="F361" i="1"/>
  <c r="F402" i="1"/>
  <c r="F387" i="1"/>
  <c r="F368" i="1"/>
  <c r="F416" i="1"/>
  <c r="F358" i="1"/>
  <c r="F406" i="1"/>
  <c r="F391" i="1"/>
  <c r="F372" i="1"/>
  <c r="F420" i="1"/>
  <c r="F373" i="1"/>
  <c r="F362" i="1"/>
  <c r="F410" i="1"/>
  <c r="F395" i="1"/>
  <c r="F376" i="1"/>
  <c r="F377" i="1"/>
  <c r="F397" i="1"/>
  <c r="F382" i="1"/>
  <c r="F367" i="1"/>
  <c r="F415" i="1"/>
  <c r="F396" i="1"/>
  <c r="F418" i="1"/>
  <c r="F355" i="1"/>
  <c r="F403" i="1"/>
  <c r="F384" i="1"/>
  <c r="F417" i="1"/>
  <c r="F385" i="1"/>
  <c r="F370" i="1"/>
  <c r="F404" i="1"/>
  <c r="F413" i="1"/>
  <c r="F359" i="1"/>
  <c r="F407" i="1"/>
  <c r="F357" i="1"/>
  <c r="F398" i="1"/>
  <c r="F380" i="1"/>
  <c r="F393" i="1"/>
  <c r="F405" i="1"/>
  <c r="F388" i="1"/>
  <c r="M26" i="3"/>
  <c r="M383" i="1"/>
  <c r="N383" i="1" s="1"/>
  <c r="F383" i="1"/>
  <c r="F381" i="1"/>
  <c r="F389" i="1"/>
  <c r="F390" i="1"/>
  <c r="N20" i="3"/>
  <c r="L18" i="7"/>
  <c r="F378" i="1"/>
  <c r="E347" i="1"/>
  <c r="N52" i="3"/>
  <c r="M52" i="3"/>
  <c r="M22" i="3"/>
  <c r="N22" i="3"/>
  <c r="N18" i="3"/>
  <c r="N99" i="3"/>
  <c r="M99" i="3"/>
  <c r="N55" i="3"/>
  <c r="M55" i="3"/>
  <c r="N16" i="3"/>
  <c r="M16" i="3"/>
  <c r="B284" i="1"/>
  <c r="B252" i="1"/>
  <c r="D256" i="24"/>
  <c r="L299" i="26"/>
  <c r="L302" i="26"/>
  <c r="L297" i="26"/>
  <c r="L301" i="26"/>
  <c r="L298" i="26"/>
  <c r="I147" i="24"/>
  <c r="D111" i="9" a="1"/>
  <c r="D111" i="9" s="1"/>
  <c r="I139" i="9"/>
  <c r="E252" i="24"/>
  <c r="F252" i="24" s="1"/>
  <c r="G252" i="24" s="1"/>
  <c r="I470" i="9"/>
  <c r="I472" i="9" s="1"/>
  <c r="I512" i="9"/>
  <c r="H218" i="9"/>
  <c r="H202" i="1" a="1"/>
  <c r="H202" i="1" s="1"/>
  <c r="D228" i="9"/>
  <c r="E256" i="24"/>
  <c r="F256" i="24" s="1"/>
  <c r="G256" i="24" s="1"/>
  <c r="F60" i="26"/>
  <c r="L392" i="26"/>
  <c r="I164" i="9"/>
  <c r="D252" i="24"/>
  <c r="L437" i="26"/>
  <c r="L393" i="26"/>
  <c r="L361" i="26"/>
  <c r="U344" i="1"/>
  <c r="I308" i="24"/>
  <c r="I309" i="24"/>
  <c r="X346" i="1"/>
  <c r="X345" i="1"/>
  <c r="W346" i="1"/>
  <c r="W345" i="1"/>
  <c r="U343" i="1"/>
  <c r="E314" i="1"/>
  <c r="C314" i="1"/>
  <c r="L303" i="26"/>
  <c r="B265" i="1"/>
  <c r="I59" i="3" s="1"/>
  <c r="O339" i="1"/>
  <c r="I220" i="9"/>
  <c r="I222" i="9" s="1"/>
  <c r="M222" i="9" s="1"/>
  <c r="I499" i="9"/>
  <c r="F208" i="2"/>
  <c r="L208" i="2" s="1"/>
  <c r="H817" i="1"/>
  <c r="L204" i="2"/>
  <c r="M203" i="2"/>
  <c r="L203" i="2"/>
  <c r="M206" i="2"/>
  <c r="L206" i="2"/>
  <c r="M202" i="2"/>
  <c r="L202" i="2"/>
  <c r="C209" i="2"/>
  <c r="C138" i="2"/>
  <c r="C158" i="2" s="1"/>
  <c r="C148" i="2"/>
  <c r="C168" i="2" s="1"/>
  <c r="M24" i="14"/>
  <c r="N24" i="14"/>
  <c r="L157" i="2"/>
  <c r="M157" i="2"/>
  <c r="I100" i="1"/>
  <c r="O127" i="2" s="1"/>
  <c r="I112" i="9"/>
  <c r="L167" i="2"/>
  <c r="M167" i="2"/>
  <c r="M5" i="8"/>
  <c r="E253" i="24" a="1"/>
  <c r="E253" i="24" s="1"/>
  <c r="F253" i="24" s="1"/>
  <c r="G253" i="24" s="1"/>
  <c r="L25" i="14"/>
  <c r="L26" i="14" s="1"/>
  <c r="E33" i="14"/>
  <c r="H93" i="14"/>
  <c r="H105" i="14" s="1"/>
  <c r="M137" i="2"/>
  <c r="L137" i="2"/>
  <c r="J1" i="35"/>
  <c r="H99" i="1"/>
  <c r="L127" i="2"/>
  <c r="A101" i="2" a="1"/>
  <c r="A101" i="2" s="1"/>
  <c r="H94" i="1" a="1"/>
  <c r="H94" i="1" s="1"/>
  <c r="M127" i="2"/>
  <c r="L147" i="2"/>
  <c r="M147" i="2"/>
  <c r="C21" i="14"/>
  <c r="N19" i="14"/>
  <c r="M19" i="14"/>
  <c r="C35" i="14"/>
  <c r="B211" i="1"/>
  <c r="L128" i="3"/>
  <c r="N128" i="3" s="1"/>
  <c r="M127" i="3"/>
  <c r="H204" i="1" a="1"/>
  <c r="H204" i="1" s="1"/>
  <c r="A656" i="1"/>
  <c r="A666" i="1"/>
  <c r="A647" i="1"/>
  <c r="B694" i="1" a="1"/>
  <c r="B694" i="1" s="1"/>
  <c r="A138" i="5" a="1"/>
  <c r="A138" i="5" s="1"/>
  <c r="A180" i="5" s="1" a="1"/>
  <c r="A180" i="5" s="1"/>
  <c r="B184" i="5"/>
  <c r="G617" i="1"/>
  <c r="B747" i="1"/>
  <c r="G337" i="9" s="1"/>
  <c r="G332" i="9"/>
  <c r="A18" i="20" l="1"/>
  <c r="F267" i="24"/>
  <c r="N59" i="26"/>
  <c r="H266" i="1" s="1"/>
  <c r="H62" i="26"/>
  <c r="H144" i="24"/>
  <c r="I186" i="9" s="1"/>
  <c r="I188" i="9" s="1"/>
  <c r="D184" i="9"/>
  <c r="O347" i="1"/>
  <c r="D115" i="3" s="1"/>
  <c r="K95" i="1"/>
  <c r="O151" i="2" s="1"/>
  <c r="B151" i="2"/>
  <c r="C61" i="3"/>
  <c r="B96" i="2"/>
  <c r="B98" i="2" s="1"/>
  <c r="H200" i="1"/>
  <c r="C50" i="2"/>
  <c r="K53" i="5"/>
  <c r="B657" i="1"/>
  <c r="B665" i="1"/>
  <c r="B661" i="1"/>
  <c r="B664" i="1"/>
  <c r="B663" i="1"/>
  <c r="F122" i="5"/>
  <c r="M181" i="9"/>
  <c r="G826" i="1" s="1"/>
  <c r="B88" i="3"/>
  <c r="J588" i="1"/>
  <c r="H588" i="1" s="1"/>
  <c r="G582" i="1"/>
  <c r="H582" i="1" s="1"/>
  <c r="G587" i="1"/>
  <c r="F56" i="5"/>
  <c r="B658" i="1"/>
  <c r="H587" i="1"/>
  <c r="B662" i="1"/>
  <c r="K7" i="8"/>
  <c r="K8" i="8" s="1"/>
  <c r="M8" i="8" s="1"/>
  <c r="U454" i="1"/>
  <c r="V454" i="1" s="1"/>
  <c r="W454" i="1" s="1"/>
  <c r="AA509" i="1" s="1"/>
  <c r="C74" i="3"/>
  <c r="V625" i="1"/>
  <c r="V626" i="1" s="1"/>
  <c r="B188" i="5"/>
  <c r="G817" i="1"/>
  <c r="J1" i="2" s="1"/>
  <c r="B254" i="1"/>
  <c r="B250" i="1"/>
  <c r="H170" i="5"/>
  <c r="B14" i="8"/>
  <c r="B11" i="8"/>
  <c r="I173" i="5"/>
  <c r="K172" i="5"/>
  <c r="B243" i="1"/>
  <c r="C73" i="3"/>
  <c r="I170" i="5"/>
  <c r="C71" i="3"/>
  <c r="G169" i="5"/>
  <c r="K169" i="5"/>
  <c r="C69" i="3"/>
  <c r="C15" i="8"/>
  <c r="L411" i="1"/>
  <c r="L412" i="1" s="1"/>
  <c r="L413" i="1" s="1"/>
  <c r="L414" i="1" s="1"/>
  <c r="L415" i="1" s="1"/>
  <c r="L416" i="1" s="1"/>
  <c r="L409" i="1"/>
  <c r="F518" i="1"/>
  <c r="L396" i="26"/>
  <c r="L409" i="26" s="1"/>
  <c r="I616" i="1"/>
  <c r="H616" i="1" s="1"/>
  <c r="D448" i="1"/>
  <c r="L46" i="14" s="1"/>
  <c r="H172" i="5"/>
  <c r="H173" i="5" s="1"/>
  <c r="N10" i="7"/>
  <c r="A12" i="7"/>
  <c r="M40" i="14"/>
  <c r="N40" i="14"/>
  <c r="G99" i="1"/>
  <c r="Q107" i="1" s="1"/>
  <c r="Q111" i="1"/>
  <c r="J95" i="1"/>
  <c r="O141" i="2" s="1"/>
  <c r="B141" i="2"/>
  <c r="O371" i="1"/>
  <c r="C460" i="1"/>
  <c r="C466" i="1" s="1"/>
  <c r="L394" i="26"/>
  <c r="L395" i="26" s="1"/>
  <c r="E49" i="9"/>
  <c r="I48" i="9"/>
  <c r="E749" i="1"/>
  <c r="E743" i="1"/>
  <c r="A492" i="9" a="1"/>
  <c r="A492" i="9" s="1"/>
  <c r="D336" i="9" a="1"/>
  <c r="D336" i="9" s="1"/>
  <c r="B380" i="9"/>
  <c r="D71" i="9" s="1"/>
  <c r="B275" i="1"/>
  <c r="I69" i="3" s="1"/>
  <c r="Q87" i="26"/>
  <c r="W347" i="1"/>
  <c r="I130" i="24" s="1"/>
  <c r="N18" i="7"/>
  <c r="L19" i="7"/>
  <c r="C13" i="8"/>
  <c r="O383" i="1"/>
  <c r="AA498" i="1"/>
  <c r="AA486" i="1"/>
  <c r="AA499" i="1"/>
  <c r="AA474" i="1"/>
  <c r="AA484" i="1"/>
  <c r="AA488" i="1"/>
  <c r="AA485" i="1"/>
  <c r="AA467" i="1"/>
  <c r="O408" i="1"/>
  <c r="O413" i="1"/>
  <c r="O358" i="1"/>
  <c r="O418" i="1"/>
  <c r="O403" i="1"/>
  <c r="O411" i="1"/>
  <c r="O366" i="1"/>
  <c r="O410" i="1"/>
  <c r="O420" i="1"/>
  <c r="O388" i="1"/>
  <c r="O361" i="1"/>
  <c r="O381" i="1"/>
  <c r="O415" i="1"/>
  <c r="O407" i="1"/>
  <c r="O367" i="1"/>
  <c r="O375" i="1"/>
  <c r="O389" i="1"/>
  <c r="O402" i="1"/>
  <c r="O385" i="1"/>
  <c r="O372" i="1"/>
  <c r="O377" i="1"/>
  <c r="O364" i="1"/>
  <c r="O405" i="1"/>
  <c r="O414" i="1"/>
  <c r="O398" i="1"/>
  <c r="O362" i="1"/>
  <c r="O376" i="1"/>
  <c r="O417" i="1"/>
  <c r="O365" i="1"/>
  <c r="O359" i="1"/>
  <c r="O390" i="1"/>
  <c r="O412" i="1"/>
  <c r="O384" i="1"/>
  <c r="O392" i="1"/>
  <c r="O416" i="1"/>
  <c r="O419" i="1"/>
  <c r="O373" i="1"/>
  <c r="O386" i="1"/>
  <c r="O355" i="1"/>
  <c r="O360" i="1"/>
  <c r="O401" i="1"/>
  <c r="O396" i="1"/>
  <c r="O393" i="1"/>
  <c r="O379" i="1"/>
  <c r="O406" i="1"/>
  <c r="O387" i="1"/>
  <c r="O374" i="1"/>
  <c r="O357" i="1"/>
  <c r="O400" i="1"/>
  <c r="O395" i="1"/>
  <c r="O370" i="1"/>
  <c r="O397" i="1"/>
  <c r="O394" i="1"/>
  <c r="O380" i="1"/>
  <c r="O382" i="1"/>
  <c r="O399" i="1"/>
  <c r="O368" i="1"/>
  <c r="O404" i="1"/>
  <c r="O369" i="1"/>
  <c r="O409" i="1"/>
  <c r="O363" i="1"/>
  <c r="O354" i="1"/>
  <c r="O391" i="1"/>
  <c r="O356" i="1"/>
  <c r="O378" i="1"/>
  <c r="B253" i="1"/>
  <c r="B285" i="1"/>
  <c r="B286" i="1" s="1"/>
  <c r="I73" i="3" s="1"/>
  <c r="D747" i="1"/>
  <c r="L301" i="24"/>
  <c r="C318" i="26" s="1"/>
  <c r="L129" i="3"/>
  <c r="N129" i="3" s="1"/>
  <c r="L304" i="26"/>
  <c r="L310" i="26" s="1"/>
  <c r="M301" i="24"/>
  <c r="I318" i="26" s="1"/>
  <c r="N62" i="26"/>
  <c r="N108" i="26" s="1"/>
  <c r="P60" i="26"/>
  <c r="M303" i="24"/>
  <c r="I320" i="26" s="1"/>
  <c r="L320" i="26" s="1"/>
  <c r="I224" i="9"/>
  <c r="D251" i="24" s="1"/>
  <c r="M308" i="24"/>
  <c r="M307" i="24"/>
  <c r="M306" i="24"/>
  <c r="L305" i="24"/>
  <c r="M304" i="24"/>
  <c r="L306" i="24"/>
  <c r="L302" i="24"/>
  <c r="C319" i="26" s="1"/>
  <c r="M309" i="24"/>
  <c r="L307" i="24"/>
  <c r="M305" i="24"/>
  <c r="L303" i="24"/>
  <c r="C320" i="26" s="1"/>
  <c r="L304" i="24"/>
  <c r="M302" i="24"/>
  <c r="I319" i="26" s="1"/>
  <c r="L309" i="24"/>
  <c r="L308" i="24"/>
  <c r="U347" i="1"/>
  <c r="U348" i="1"/>
  <c r="Q99" i="1"/>
  <c r="G94" i="1"/>
  <c r="H97" i="14"/>
  <c r="H106" i="14" s="1"/>
  <c r="A211" i="2" a="1"/>
  <c r="A211" i="2" s="1"/>
  <c r="A736" i="1"/>
  <c r="A735" i="1"/>
  <c r="A734" i="1"/>
  <c r="A737" i="1"/>
  <c r="A733" i="1"/>
  <c r="N26" i="14"/>
  <c r="M26" i="14"/>
  <c r="L27" i="14"/>
  <c r="O153" i="2"/>
  <c r="O133" i="2"/>
  <c r="O163" i="2"/>
  <c r="O143" i="2"/>
  <c r="N25" i="14"/>
  <c r="M25" i="14"/>
  <c r="B131" i="2"/>
  <c r="I95" i="1"/>
  <c r="O131" i="2" s="1"/>
  <c r="M128" i="3"/>
  <c r="B523" i="1"/>
  <c r="B522" i="1"/>
  <c r="A183" i="5" a="1"/>
  <c r="A183" i="5" s="1"/>
  <c r="A191" i="5" s="1" a="1"/>
  <c r="A191" i="5" s="1"/>
  <c r="A19" i="20" l="1"/>
  <c r="I266" i="1"/>
  <c r="I271" i="1" s="1"/>
  <c r="I273" i="1" s="1"/>
  <c r="D186" i="9"/>
  <c r="H143" i="24"/>
  <c r="H170" i="9" s="1"/>
  <c r="C51" i="2"/>
  <c r="C52" i="2" s="1"/>
  <c r="AA466" i="1"/>
  <c r="AA492" i="1"/>
  <c r="AA511" i="1"/>
  <c r="AA496" i="1"/>
  <c r="AA481" i="1"/>
  <c r="AA490" i="1"/>
  <c r="AA489" i="1"/>
  <c r="AA502" i="1"/>
  <c r="AA497" i="1"/>
  <c r="AA463" i="1"/>
  <c r="AA495" i="1"/>
  <c r="AA471" i="1"/>
  <c r="AA510" i="1"/>
  <c r="AA464" i="1"/>
  <c r="AA506" i="1"/>
  <c r="AA487" i="1"/>
  <c r="AA482" i="1"/>
  <c r="AA462" i="1"/>
  <c r="AA503" i="1"/>
  <c r="AA491" i="1"/>
  <c r="AA469" i="1"/>
  <c r="AA465" i="1"/>
  <c r="AA461" i="1"/>
  <c r="F123" i="5"/>
  <c r="E364" i="9"/>
  <c r="G364" i="9" s="1"/>
  <c r="G367" i="9"/>
  <c r="M7" i="8"/>
  <c r="K9" i="8"/>
  <c r="M9" i="8" s="1"/>
  <c r="C468" i="1"/>
  <c r="C464" i="1"/>
  <c r="D96" i="5"/>
  <c r="O79" i="5" s="1"/>
  <c r="K56" i="5"/>
  <c r="F57" i="5"/>
  <c r="K57" i="5" s="1"/>
  <c r="L398" i="26"/>
  <c r="L400" i="26" s="1"/>
  <c r="AA468" i="1"/>
  <c r="AA501" i="1"/>
  <c r="AA504" i="1"/>
  <c r="AA476" i="1"/>
  <c r="AA479" i="1"/>
  <c r="AA475" i="1"/>
  <c r="AA507" i="1"/>
  <c r="AA505" i="1"/>
  <c r="AA472" i="1"/>
  <c r="AA500" i="1"/>
  <c r="AA483" i="1"/>
  <c r="AA480" i="1"/>
  <c r="AA493" i="1"/>
  <c r="AA477" i="1"/>
  <c r="AA512" i="1"/>
  <c r="AA508" i="1"/>
  <c r="AA470" i="1"/>
  <c r="AA494" i="1"/>
  <c r="AA473" i="1"/>
  <c r="AA478" i="1"/>
  <c r="Q105" i="1"/>
  <c r="G130" i="2" s="1"/>
  <c r="V627" i="1"/>
  <c r="L48" i="14"/>
  <c r="M48" i="14" s="1"/>
  <c r="L49" i="14"/>
  <c r="N49" i="14" s="1"/>
  <c r="L47" i="14"/>
  <c r="M47" i="14" s="1"/>
  <c r="I174" i="5"/>
  <c r="K173" i="5"/>
  <c r="J100" i="1"/>
  <c r="O137" i="2" s="1"/>
  <c r="E370" i="9"/>
  <c r="G361" i="9"/>
  <c r="J143" i="5"/>
  <c r="H174" i="5"/>
  <c r="H175" i="5" s="1"/>
  <c r="H176" i="5" s="1"/>
  <c r="N19" i="7"/>
  <c r="M19" i="7"/>
  <c r="C462" i="1"/>
  <c r="C463" i="1"/>
  <c r="B752" i="1"/>
  <c r="I361" i="9"/>
  <c r="C467" i="1"/>
  <c r="D345" i="9" a="1"/>
  <c r="D345" i="9" s="1"/>
  <c r="L67" i="14"/>
  <c r="A67" i="14" s="1" a="1"/>
  <c r="A67" i="14" s="1"/>
  <c r="B750" i="1"/>
  <c r="G346" i="9"/>
  <c r="D72" i="9"/>
  <c r="B389" i="9"/>
  <c r="A747" i="1"/>
  <c r="A746" i="1"/>
  <c r="A745" i="1"/>
  <c r="A744" i="1"/>
  <c r="B753" i="1"/>
  <c r="C103" i="24"/>
  <c r="E37" i="9" s="1"/>
  <c r="F65" i="26"/>
  <c r="P65" i="26" s="1"/>
  <c r="P64" i="26" s="1"/>
  <c r="H267" i="1"/>
  <c r="H271" i="1" s="1"/>
  <c r="L20" i="7"/>
  <c r="M20" i="7" s="1"/>
  <c r="N91" i="14"/>
  <c r="J144" i="5"/>
  <c r="M129" i="3"/>
  <c r="D311" i="26"/>
  <c r="L130" i="3"/>
  <c r="L315" i="26"/>
  <c r="L318" i="26" s="1"/>
  <c r="L324" i="26" s="1"/>
  <c r="C251" i="24"/>
  <c r="E251" i="24"/>
  <c r="F251" i="24" s="1"/>
  <c r="G251" i="24" s="1"/>
  <c r="Q59" i="26"/>
  <c r="P59" i="26"/>
  <c r="H117" i="26"/>
  <c r="F122" i="26"/>
  <c r="P122" i="26" s="1"/>
  <c r="F118" i="26"/>
  <c r="F115" i="26"/>
  <c r="B525" i="1"/>
  <c r="F525" i="1" s="1"/>
  <c r="M46" i="14"/>
  <c r="N46" i="14"/>
  <c r="H108" i="14"/>
  <c r="H107" i="14"/>
  <c r="A226" i="2" a="1"/>
  <c r="A226" i="2" s="1"/>
  <c r="A261" i="2" s="1" a="1"/>
  <c r="A261" i="2" s="1"/>
  <c r="N27" i="14"/>
  <c r="M27" i="14"/>
  <c r="L28" i="14"/>
  <c r="L29" i="14" s="1"/>
  <c r="C16" i="14" s="1"/>
  <c r="L417" i="1"/>
  <c r="L418" i="1" s="1"/>
  <c r="L419" i="1" s="1"/>
  <c r="B277" i="1"/>
  <c r="B245" i="1"/>
  <c r="A20" i="20" l="1"/>
  <c r="A21" i="20" s="1"/>
  <c r="A22" i="20"/>
  <c r="L319" i="26"/>
  <c r="D188" i="9"/>
  <c r="A265" i="2" a="1"/>
  <c r="A265" i="2" s="1"/>
  <c r="N117" i="26"/>
  <c r="H108" i="26"/>
  <c r="B46" i="2"/>
  <c r="H171" i="9"/>
  <c r="I173" i="9"/>
  <c r="I175" i="9" s="1"/>
  <c r="I177" i="9" s="1"/>
  <c r="F124" i="5"/>
  <c r="F125" i="5" s="1"/>
  <c r="O615" i="1" s="1"/>
  <c r="O616" i="1" s="1"/>
  <c r="M364" i="9"/>
  <c r="H825" i="1"/>
  <c r="G825" i="1"/>
  <c r="F58" i="5"/>
  <c r="N47" i="14"/>
  <c r="M370" i="9"/>
  <c r="H826" i="1" s="1"/>
  <c r="K1" i="9" s="1"/>
  <c r="V628" i="1"/>
  <c r="M49" i="14"/>
  <c r="N48" i="14"/>
  <c r="K174" i="5"/>
  <c r="I175" i="5"/>
  <c r="G140" i="2"/>
  <c r="B754" i="1"/>
  <c r="A70" i="14" a="1"/>
  <c r="A70" i="14" s="1"/>
  <c r="A78" i="14" s="1" a="1"/>
  <c r="A78" i="14" s="1"/>
  <c r="N67" i="14"/>
  <c r="M67" i="14"/>
  <c r="B751" i="1"/>
  <c r="A750" i="1"/>
  <c r="D354" i="9" a="1"/>
  <c r="D354" i="9" s="1"/>
  <c r="D363" i="9" s="1" a="1"/>
  <c r="D363" i="9" s="1"/>
  <c r="F750" i="1"/>
  <c r="F753" i="1"/>
  <c r="Q64" i="26"/>
  <c r="L21" i="7"/>
  <c r="M21" i="7" s="1"/>
  <c r="N20" i="7"/>
  <c r="J145" i="5"/>
  <c r="L131" i="3"/>
  <c r="M131" i="3" s="1"/>
  <c r="L326" i="26"/>
  <c r="D327" i="26" s="1"/>
  <c r="M130" i="3"/>
  <c r="N130" i="3"/>
  <c r="N114" i="26"/>
  <c r="H119" i="26" s="1"/>
  <c r="F120" i="26"/>
  <c r="P121" i="26"/>
  <c r="Q121" i="26"/>
  <c r="C70" i="3"/>
  <c r="N29" i="14"/>
  <c r="M29" i="14"/>
  <c r="M28" i="14"/>
  <c r="N28" i="14"/>
  <c r="G820" i="1"/>
  <c r="L420" i="1"/>
  <c r="A23" i="20" l="1"/>
  <c r="H125" i="26"/>
  <c r="L436" i="26" s="1"/>
  <c r="L438" i="26" s="1"/>
  <c r="L441" i="26" s="1"/>
  <c r="H192" i="1" a="1"/>
  <c r="H192" i="1" s="1"/>
  <c r="B287" i="1"/>
  <c r="B258" i="1"/>
  <c r="J1" i="8"/>
  <c r="F126" i="5"/>
  <c r="F127" i="5" s="1"/>
  <c r="F128" i="5" s="1"/>
  <c r="F133" i="5" s="1"/>
  <c r="C254" i="24"/>
  <c r="D254" i="24"/>
  <c r="E254" i="24"/>
  <c r="F254" i="24" s="1"/>
  <c r="K58" i="5"/>
  <c r="F59" i="5"/>
  <c r="M615" i="1"/>
  <c r="V629" i="1"/>
  <c r="V630" i="1" s="1"/>
  <c r="F752" i="1"/>
  <c r="H272" i="1"/>
  <c r="H273" i="1" s="1"/>
  <c r="B271" i="1" s="1"/>
  <c r="B274" i="1" s="1"/>
  <c r="G274" i="1" s="1"/>
  <c r="H820" i="1"/>
  <c r="K1" i="14" s="1"/>
  <c r="I176" i="5"/>
  <c r="K175" i="5"/>
  <c r="D753" i="1"/>
  <c r="I513" i="9"/>
  <c r="I514" i="9" s="1"/>
  <c r="A752" i="1"/>
  <c r="D366" i="9" a="1"/>
  <c r="D366" i="9" s="1"/>
  <c r="G370" i="9" s="1"/>
  <c r="L410" i="26" s="1" a="1"/>
  <c r="L410" i="26" s="1"/>
  <c r="E354" i="9"/>
  <c r="E357" i="9"/>
  <c r="A89" i="14" a="1"/>
  <c r="A89" i="14" s="1"/>
  <c r="I509" i="9"/>
  <c r="I510" i="9" s="1"/>
  <c r="I523" i="9"/>
  <c r="I524" i="9" s="1"/>
  <c r="I504" i="9"/>
  <c r="C505" i="9" s="1"/>
  <c r="I500" i="9"/>
  <c r="I501" i="9" s="1"/>
  <c r="A751" i="1"/>
  <c r="C72" i="3"/>
  <c r="L22" i="7"/>
  <c r="N21" i="7"/>
  <c r="J148" i="5"/>
  <c r="L134" i="3"/>
  <c r="L135" i="3" s="1"/>
  <c r="M135" i="3" s="1"/>
  <c r="N131" i="3"/>
  <c r="L330" i="26"/>
  <c r="D331" i="26" s="1"/>
  <c r="P120" i="26"/>
  <c r="N119" i="26"/>
  <c r="A26" i="20" l="1"/>
  <c r="A28" i="20" s="1"/>
  <c r="A29" i="20" s="1"/>
  <c r="A30" i="20" s="1"/>
  <c r="A33" i="20" s="1"/>
  <c r="A37" i="20" s="1"/>
  <c r="A38" i="20" s="1"/>
  <c r="A39" i="20" s="1"/>
  <c r="B239" i="1"/>
  <c r="B242" i="1" s="1"/>
  <c r="G242" i="1" s="1"/>
  <c r="K59" i="5"/>
  <c r="F60" i="5"/>
  <c r="C536" i="9" s="1"/>
  <c r="V631" i="1"/>
  <c r="K176" i="5"/>
  <c r="I178" i="5"/>
  <c r="A753" i="1"/>
  <c r="D369" i="9" a="1"/>
  <c r="D369" i="9" s="1"/>
  <c r="A754" i="1" s="1"/>
  <c r="N22" i="7"/>
  <c r="M22" i="7"/>
  <c r="L23" i="7"/>
  <c r="J153" i="5"/>
  <c r="J160" i="5" s="1"/>
  <c r="L136" i="3"/>
  <c r="L137" i="3" s="1"/>
  <c r="N137" i="3" s="1"/>
  <c r="N134" i="3"/>
  <c r="M134" i="3"/>
  <c r="N135" i="3"/>
  <c r="G604" i="1"/>
  <c r="L334" i="26"/>
  <c r="L346" i="26" s="1"/>
  <c r="P115" i="26"/>
  <c r="N125" i="26"/>
  <c r="P113" i="26"/>
  <c r="Q119" i="26"/>
  <c r="P119" i="26"/>
  <c r="F179" i="5" l="1"/>
  <c r="K60" i="5"/>
  <c r="F66" i="5"/>
  <c r="F68" i="5" s="1"/>
  <c r="K178" i="5"/>
  <c r="H61" i="9" s="1"/>
  <c r="I63" i="9" s="1"/>
  <c r="K93" i="24"/>
  <c r="L93" i="24" s="1"/>
  <c r="K92" i="24"/>
  <c r="K94" i="24" s="1"/>
  <c r="K95" i="24" s="1"/>
  <c r="M616" i="1"/>
  <c r="L624" i="1"/>
  <c r="L625" i="1" s="1"/>
  <c r="G579" i="1"/>
  <c r="V632" i="1"/>
  <c r="V633" i="1" s="1"/>
  <c r="V634" i="1" s="1"/>
  <c r="V635" i="1" s="1"/>
  <c r="F67" i="5"/>
  <c r="N23" i="7"/>
  <c r="L24" i="7"/>
  <c r="M24" i="7" s="1"/>
  <c r="F134" i="5"/>
  <c r="H178" i="5"/>
  <c r="N136" i="3"/>
  <c r="M137" i="3"/>
  <c r="M136" i="3"/>
  <c r="L138" i="3"/>
  <c r="M138" i="3" s="1"/>
  <c r="L350" i="26"/>
  <c r="D351" i="26" s="1"/>
  <c r="F135" i="5"/>
  <c r="D137" i="5" s="1"/>
  <c r="D335" i="26"/>
  <c r="D347" i="26"/>
  <c r="P112" i="26"/>
  <c r="Q112" i="26"/>
  <c r="E131" i="9"/>
  <c r="H240" i="26"/>
  <c r="L357" i="26"/>
  <c r="L371" i="26" s="1"/>
  <c r="L419" i="26"/>
  <c r="H193" i="9"/>
  <c r="D194" i="9" s="1"/>
  <c r="H186" i="26"/>
  <c r="L404" i="26"/>
  <c r="L408" i="26" s="1"/>
  <c r="L411" i="26" s="1"/>
  <c r="L413" i="26" s="1"/>
  <c r="L415" i="26" s="1"/>
  <c r="L429" i="26" s="1"/>
  <c r="L431" i="26" s="1"/>
  <c r="L432" i="26" s="1"/>
  <c r="P114" i="26"/>
  <c r="Q114" i="26"/>
  <c r="I67" i="9" l="1"/>
  <c r="H22" i="9" s="1"/>
  <c r="H24" i="9"/>
  <c r="B280" i="1"/>
  <c r="G533" i="1"/>
  <c r="G592" i="1"/>
  <c r="H592" i="1" s="1"/>
  <c r="B670" i="1"/>
  <c r="B668" i="1"/>
  <c r="B669" i="1"/>
  <c r="O118" i="5"/>
  <c r="B671" i="1"/>
  <c r="V636" i="1"/>
  <c r="V637" i="1" s="1"/>
  <c r="V638" i="1" s="1"/>
  <c r="C4" i="5" a="1"/>
  <c r="C4" i="5" s="1"/>
  <c r="B246" i="1"/>
  <c r="B248" i="1" s="1"/>
  <c r="B278" i="1"/>
  <c r="B247" i="1"/>
  <c r="B279" i="1"/>
  <c r="B653" i="1"/>
  <c r="K66" i="5"/>
  <c r="K68" i="5" s="1"/>
  <c r="L25" i="7"/>
  <c r="M25" i="7" s="1"/>
  <c r="N24" i="7"/>
  <c r="L139" i="3"/>
  <c r="N139" i="3" s="1"/>
  <c r="N138" i="3"/>
  <c r="L373" i="26"/>
  <c r="P373" i="26" s="1"/>
  <c r="B672" i="1"/>
  <c r="B667" i="1"/>
  <c r="L92" i="24" l="1"/>
  <c r="L94" i="24" s="1"/>
  <c r="H50" i="9"/>
  <c r="E51" i="9" s="1"/>
  <c r="E23" i="9"/>
  <c r="O82" i="24"/>
  <c r="N82" i="24" s="1"/>
  <c r="O83" i="24"/>
  <c r="N83" i="24" s="1"/>
  <c r="E25" i="9"/>
  <c r="C100" i="24"/>
  <c r="C101" i="24" s="1"/>
  <c r="B281" i="1"/>
  <c r="B282" i="1" s="1"/>
  <c r="I71" i="3" s="1"/>
  <c r="I82" i="3" s="1" a="1"/>
  <c r="I82" i="3" s="1"/>
  <c r="I86" i="3" s="1"/>
  <c r="G281" i="1"/>
  <c r="G249" i="1"/>
  <c r="B249" i="1"/>
  <c r="L95" i="24"/>
  <c r="C506" i="9" s="1"/>
  <c r="B655" i="1"/>
  <c r="B648" i="1"/>
  <c r="B652" i="1"/>
  <c r="B651" i="1"/>
  <c r="B649" i="1"/>
  <c r="B654" i="1"/>
  <c r="H8" i="9"/>
  <c r="Q112" i="1"/>
  <c r="I102" i="1" s="1"/>
  <c r="O129" i="2" s="1"/>
  <c r="H103" i="1"/>
  <c r="G103" i="1" s="1"/>
  <c r="L26" i="7"/>
  <c r="N25" i="7"/>
  <c r="L141" i="3"/>
  <c r="M141" i="3" s="1"/>
  <c r="L140" i="3"/>
  <c r="M139" i="3"/>
  <c r="O89" i="24" l="1"/>
  <c r="I53" i="9"/>
  <c r="D70" i="5"/>
  <c r="O50" i="5" s="1"/>
  <c r="Q117" i="1"/>
  <c r="G139" i="2" s="1"/>
  <c r="N26" i="7"/>
  <c r="L31" i="7"/>
  <c r="M31" i="7" s="1"/>
  <c r="L142" i="3"/>
  <c r="L143" i="3" s="1"/>
  <c r="N143" i="3" s="1"/>
  <c r="N141" i="3"/>
  <c r="N140" i="3"/>
  <c r="M140" i="3"/>
  <c r="D250" i="24" l="1"/>
  <c r="I57" i="9"/>
  <c r="G821" i="1"/>
  <c r="M1" i="5" s="1"/>
  <c r="G129" i="2"/>
  <c r="N31" i="7"/>
  <c r="L32" i="7"/>
  <c r="L144" i="3"/>
  <c r="N144" i="3" s="1"/>
  <c r="M143" i="3"/>
  <c r="N142" i="3"/>
  <c r="A122" i="3" a="1"/>
  <c r="A122" i="3" s="1"/>
  <c r="C534" i="9" s="1"/>
  <c r="M142" i="3"/>
  <c r="O503" i="9" l="1"/>
  <c r="O526" i="9" s="1"/>
  <c r="B493" i="9" s="1"/>
  <c r="E250" i="24"/>
  <c r="F250" i="24" s="1"/>
  <c r="I503" i="9"/>
  <c r="I505" i="9" s="1"/>
  <c r="I506" i="9" s="1"/>
  <c r="I526" i="9" s="1"/>
  <c r="I529" i="9" s="1"/>
  <c r="I532" i="9" s="1"/>
  <c r="I535" i="9" s="1"/>
  <c r="I536" i="9" s="1"/>
  <c r="J324" i="24" s="1"/>
  <c r="G218" i="24"/>
  <c r="B544" i="9" s="1"/>
  <c r="H823" i="1"/>
  <c r="G823" i="1"/>
  <c r="N32" i="7"/>
  <c r="B16" i="7"/>
  <c r="H191" i="1"/>
  <c r="G226" i="1" s="1"/>
  <c r="L145" i="3"/>
  <c r="L146" i="3" s="1"/>
  <c r="N146" i="3" s="1"/>
  <c r="B540" i="9"/>
  <c r="M144" i="3"/>
  <c r="J319" i="24" l="1"/>
  <c r="B546" i="9"/>
  <c r="G250" i="24"/>
  <c r="G254" i="24"/>
  <c r="E702" i="1"/>
  <c r="K1" i="7"/>
  <c r="G211" i="1"/>
  <c r="G258" i="1"/>
  <c r="G264" i="1"/>
  <c r="G232" i="1"/>
  <c r="G217" i="1"/>
  <c r="G287" i="1"/>
  <c r="L147" i="3"/>
  <c r="M147" i="3" s="1"/>
  <c r="N145" i="3"/>
  <c r="G209" i="1"/>
  <c r="M146" i="3"/>
  <c r="L148" i="3"/>
  <c r="M145" i="3"/>
  <c r="B263" i="24" l="1"/>
  <c r="J253" i="24"/>
  <c r="B264" i="24"/>
  <c r="B262" i="24"/>
  <c r="J251" i="24"/>
  <c r="J250" i="24"/>
  <c r="J254" i="24"/>
  <c r="B265" i="24"/>
  <c r="J252" i="24"/>
  <c r="C84" i="3"/>
  <c r="N147" i="3"/>
  <c r="L149" i="3"/>
  <c r="M149" i="3" s="1"/>
  <c r="M148" i="3"/>
  <c r="N148" i="3"/>
  <c r="B208" i="26" l="1"/>
  <c r="A265" i="24"/>
  <c r="C208" i="26"/>
  <c r="C262" i="26" s="1"/>
  <c r="B262" i="26"/>
  <c r="H208" i="26"/>
  <c r="C202" i="26"/>
  <c r="C256" i="26" s="1"/>
  <c r="B256" i="26"/>
  <c r="B258" i="26" s="1"/>
  <c r="B202" i="26"/>
  <c r="B204" i="26" s="1"/>
  <c r="A262" i="24"/>
  <c r="C206" i="26"/>
  <c r="C260" i="26" s="1"/>
  <c r="B260" i="26"/>
  <c r="H206" i="26"/>
  <c r="A264" i="24"/>
  <c r="B206" i="26"/>
  <c r="C204" i="26"/>
  <c r="C258" i="26" s="1"/>
  <c r="A263" i="24"/>
  <c r="N149" i="3"/>
  <c r="G818" i="1"/>
  <c r="G837" i="1" s="1"/>
  <c r="H818" i="1"/>
  <c r="H837" i="1" s="1"/>
  <c r="B210" i="26" l="1"/>
  <c r="B218" i="26" s="1"/>
  <c r="B220" i="26" s="1"/>
  <c r="B222" i="26" s="1"/>
  <c r="B224" i="26" s="1"/>
  <c r="D227" i="26" s="1"/>
  <c r="D262" i="24"/>
  <c r="K202" i="26" s="1"/>
  <c r="C262" i="24"/>
  <c r="E262" i="24" a="1"/>
  <c r="E262" i="24" s="1"/>
  <c r="B264" i="26"/>
  <c r="B266" i="26" s="1"/>
  <c r="B268" i="26" s="1"/>
  <c r="B270" i="26" s="1"/>
  <c r="B272" i="26" s="1"/>
  <c r="D275" i="26" s="1"/>
  <c r="Q206" i="26"/>
  <c r="H260" i="26"/>
  <c r="Q260" i="26" s="1"/>
  <c r="D263" i="24"/>
  <c r="K204" i="26" s="1"/>
  <c r="E263" i="24" a="1"/>
  <c r="E263" i="24" s="1"/>
  <c r="C263" i="24"/>
  <c r="H262" i="26"/>
  <c r="Q262" i="26" s="1"/>
  <c r="Q208" i="26"/>
  <c r="E265" i="24" a="1"/>
  <c r="E265" i="24" s="1"/>
  <c r="C265" i="24"/>
  <c r="D265" i="24"/>
  <c r="K208" i="26" s="1"/>
  <c r="E264" i="24" a="1"/>
  <c r="E264" i="24" s="1"/>
  <c r="D264" i="24"/>
  <c r="K206" i="26" s="1"/>
  <c r="C264" i="24"/>
  <c r="K1" i="3"/>
  <c r="H204" i="26" l="1"/>
  <c r="Q204" i="26" s="1"/>
  <c r="F262" i="24"/>
  <c r="M263" i="24"/>
  <c r="F263" i="24"/>
  <c r="K258" i="26"/>
  <c r="M264" i="24"/>
  <c r="F264" i="24"/>
  <c r="R206" i="26"/>
  <c r="K260" i="26"/>
  <c r="F265" i="24"/>
  <c r="M265" i="24"/>
  <c r="H202" i="26"/>
  <c r="M262" i="24"/>
  <c r="K262" i="26"/>
  <c r="R208" i="26"/>
  <c r="K256" i="26"/>
  <c r="R204" i="26" l="1"/>
  <c r="H258" i="26"/>
  <c r="Q258" i="26" s="1"/>
  <c r="H222" i="26"/>
  <c r="H224" i="26" s="1"/>
  <c r="Q202" i="26"/>
  <c r="H256" i="26"/>
  <c r="R256" i="26" s="1"/>
  <c r="R202" i="26"/>
  <c r="R260" i="26"/>
  <c r="X260" i="26"/>
  <c r="X258" i="26"/>
  <c r="E47" i="9"/>
  <c r="R262" i="26"/>
  <c r="X262" i="26"/>
  <c r="R258" i="26" l="1"/>
  <c r="H228" i="26"/>
  <c r="Q224" i="26"/>
  <c r="X256" i="26"/>
  <c r="X272" i="26" s="1"/>
  <c r="L420" i="26" s="1"/>
  <c r="L421" i="26" s="1"/>
  <c r="Q256" i="26"/>
  <c r="H270" i="26"/>
  <c r="K222" i="26"/>
  <c r="Q222" i="26"/>
  <c r="H272" i="26" l="1"/>
  <c r="Q270" i="26"/>
  <c r="K270" i="26"/>
  <c r="M230" i="26"/>
  <c r="Q228" i="26"/>
  <c r="P227" i="26"/>
  <c r="Q272" i="26" l="1"/>
  <c r="H276" i="26"/>
  <c r="M278" i="26" l="1"/>
  <c r="Q276" i="26"/>
  <c r="P275"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Tatreau</author>
  </authors>
  <commentList>
    <comment ref="B448"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49"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51"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53"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527"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applicable, the default is 'General'.</t>
        </r>
      </text>
    </comment>
    <comment ref="L527" authorId="0" shapeId="0" xr:uid="{2868CCF4-FB49-4A17-A89D-2901DC826A7F}">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applicable, the default is 'General'.</t>
        </r>
      </text>
    </comment>
    <comment ref="B592"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below.</t>
        </r>
      </text>
    </comment>
    <comment ref="F767"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816"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816"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816"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1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1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W1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CA1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DE12" authorId="0" shapeId="0" xr:uid="{2A62E162-9202-4EAA-9D6D-8699DF45025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C130" authorId="0" shapeId="0" xr:uid="{0D28FF70-44E4-4140-9F38-A723EC3BC686}">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Req Units-Basis</t>
        </r>
        <r>
          <rPr>
            <sz val="9"/>
            <color indexed="81"/>
            <rFont val="Tahoma"/>
            <family val="2"/>
          </rPr>
          <t xml:space="preserve"> selection area.</t>
        </r>
      </text>
    </comment>
    <comment ref="I130" authorId="0"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t>
        </r>
        <r>
          <rPr>
            <u/>
            <sz val="9"/>
            <color indexed="81"/>
            <rFont val="Tahoma"/>
            <family val="2"/>
          </rPr>
          <t>PU Limit-Dev Type</t>
        </r>
        <r>
          <rPr>
            <sz val="9"/>
            <color indexed="81"/>
            <rFont val="Tahoma"/>
            <family val="2"/>
          </rPr>
          <t xml:space="preserve"> selection area.</t>
        </r>
      </text>
    </comment>
    <comment ref="C131" authorId="0" shapeId="0" xr:uid="{BE715F11-CD5D-419E-83BC-D4B22C359F53}">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Opt Units-Basis</t>
        </r>
        <r>
          <rPr>
            <sz val="9"/>
            <color indexed="81"/>
            <rFont val="Tahoma"/>
            <family val="2"/>
          </rPr>
          <t xml:space="preserve"> selection area.</t>
        </r>
      </text>
    </comment>
    <comment ref="C147" authorId="0" shapeId="0" xr:uid="{C4B0D0C4-A493-4D5E-8A79-32BF6C9781D4}">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Req Units-Basis</t>
        </r>
        <r>
          <rPr>
            <sz val="9"/>
            <color indexed="81"/>
            <rFont val="Tahoma"/>
            <family val="2"/>
          </rPr>
          <t xml:space="preserve"> selection area.</t>
        </r>
      </text>
    </comment>
    <comment ref="I147" authorId="0"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t>
        </r>
        <r>
          <rPr>
            <u/>
            <sz val="9"/>
            <color indexed="81"/>
            <rFont val="Tahoma"/>
            <family val="2"/>
          </rPr>
          <t>PU Limit-Dev Type</t>
        </r>
        <r>
          <rPr>
            <sz val="9"/>
            <color indexed="81"/>
            <rFont val="Tahoma"/>
            <family val="2"/>
          </rPr>
          <t xml:space="preserve"> selection area.</t>
        </r>
      </text>
    </comment>
    <comment ref="C148" authorId="0" shapeId="0" xr:uid="{5C9D82DA-8CFA-4608-B30A-BD4627E023E7}">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Opt Units-Basis</t>
        </r>
        <r>
          <rPr>
            <sz val="9"/>
            <color indexed="81"/>
            <rFont val="Tahoma"/>
            <family val="2"/>
          </rPr>
          <t xml:space="preserve"> selection area.</t>
        </r>
      </text>
    </comment>
    <comment ref="G230" authorId="0"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78" authorId="1" shapeId="0" xr:uid="{FFD35FE8-7103-47AA-B0C7-5BE994BFDC6F}">
      <text>
        <r>
          <rPr>
            <b/>
            <sz val="9"/>
            <color indexed="81"/>
            <rFont val="Tahoma"/>
            <family val="2"/>
          </rPr>
          <t>Matt Jugenheimer:</t>
        </r>
        <r>
          <rPr>
            <sz val="9"/>
            <color indexed="81"/>
            <rFont val="Tahoma"/>
            <family val="2"/>
          </rPr>
          <t xml:space="preserve">
HC Means "Hard Cost"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<sst xmlns="http://schemas.openxmlformats.org/spreadsheetml/2006/main" count="37093" uniqueCount="2887">
  <si>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</si>
  <si>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</si>
  <si>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</si>
  <si>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</si>
  <si>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</si>
  <si>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</si>
  <si>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</si>
  <si>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</si>
  <si>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</si>
  <si>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</si>
  <si>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</si>
  <si>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</si>
  <si>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</si>
  <si>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</si>
  <si>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</si>
  <si>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</si>
  <si>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</si>
  <si>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</si>
  <si>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</si>
  <si>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</si>
  <si>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</si>
  <si>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</si>
  <si>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</si>
  <si>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</si>
  <si>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</si>
  <si>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</si>
  <si>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</si>
  <si>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</si>
  <si>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</si>
  <si>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</si>
  <si>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</si>
  <si>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</si>
  <si>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</si>
  <si>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</si>
  <si>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</si>
  <si>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</si>
  <si>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</si>
  <si>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</si>
  <si>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</si>
  <si>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</si>
  <si>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</si>
  <si>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</si>
  <si>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</si>
  <si>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</si>
  <si>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</si>
  <si>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</si>
  <si>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</si>
  <si>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</si>
  <si>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</si>
  <si>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</si>
  <si>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</si>
  <si>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</si>
  <si>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</si>
  <si>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</si>
  <si>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</si>
  <si>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</si>
  <si>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</si>
  <si>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</si>
  <si>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</si>
  <si>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</si>
  <si>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</si>
  <si>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</si>
  <si>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</si>
  <si>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</si>
  <si>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</si>
  <si>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</si>
  <si>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</si>
  <si>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</si>
  <si>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</si>
  <si>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</si>
  <si>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</si>
  <si>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</si>
  <si>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</si>
  <si>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</si>
  <si>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</si>
  <si>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</si>
  <si>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</si>
  <si>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</si>
  <si>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</si>
  <si>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</si>
  <si>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</si>
  <si>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</si>
  <si>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</si>
  <si>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</si>
  <si>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</si>
  <si>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</si>
  <si>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</si>
  <si>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</si>
  <si>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</si>
  <si>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</si>
  <si>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</si>
  <si>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</si>
  <si>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</si>
  <si>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</si>
  <si>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</si>
  <si>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</si>
  <si>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</si>
  <si>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</si>
  <si>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</si>
  <si>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</si>
  <si>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</si>
  <si>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</si>
  <si>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</si>
  <si>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</si>
  <si>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</si>
  <si>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</si>
  <si>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</si>
  <si>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</si>
  <si>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</si>
  <si>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</si>
  <si>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</si>
  <si>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</si>
  <si>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</si>
  <si>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</si>
  <si>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</si>
  <si>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</si>
  <si>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</si>
  <si>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</si>
  <si>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</si>
  <si>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</si>
  <si>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</si>
  <si>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</si>
  <si>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</si>
  <si>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</si>
  <si>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</si>
  <si>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</si>
  <si>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</si>
  <si>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</si>
  <si>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</si>
  <si>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</si>
  <si>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</si>
  <si>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</si>
  <si>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</si>
  <si>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</si>
  <si>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</si>
  <si>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</si>
  <si>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</si>
  <si>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</si>
  <si>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</si>
  <si>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</si>
  <si>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</si>
  <si>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</si>
  <si>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</si>
  <si>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</si>
  <si>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</si>
  <si>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</si>
  <si>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</si>
  <si>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</si>
  <si>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</si>
  <si>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</si>
  <si>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</si>
  <si>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</si>
  <si>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</si>
  <si>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</si>
  <si>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</si>
  <si>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</si>
  <si>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</si>
  <si>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</si>
  <si>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</si>
  <si>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</si>
  <si>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</si>
  <si>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</si>
  <si>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</si>
  <si>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</si>
  <si>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</si>
  <si>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</si>
  <si>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</si>
  <si>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</si>
  <si>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</si>
  <si>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</si>
  <si>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</si>
  <si>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</si>
  <si>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</si>
  <si>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</si>
  <si>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</si>
  <si>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</si>
  <si>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</si>
  <si>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</si>
  <si>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</si>
  <si>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</si>
  <si>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</si>
  <si>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</si>
  <si>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</si>
  <si>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</si>
  <si>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</si>
  <si>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</si>
  <si>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</si>
  <si>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</si>
  <si>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</si>
  <si>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</si>
  <si>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</si>
  <si>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</si>
  <si>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</si>
  <si>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</si>
  <si>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</si>
  <si>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</si>
  <si>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</si>
  <si>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</si>
  <si>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</si>
  <si>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</si>
  <si>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</si>
  <si>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</si>
  <si>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</si>
  <si>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</si>
  <si>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</si>
  <si>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</si>
  <si>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</si>
  <si>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</si>
  <si>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</si>
  <si>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</si>
  <si>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</si>
  <si>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</si>
  <si>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</si>
  <si>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</si>
  <si>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</si>
  <si>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</si>
  <si>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</si>
  <si>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</si>
  <si>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</si>
  <si>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</si>
  <si>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</si>
  <si>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</si>
  <si>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</si>
  <si>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</si>
  <si>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</si>
  <si>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</si>
  <si>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</si>
  <si>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</si>
  <si>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</si>
  <si>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</si>
  <si>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</si>
  <si>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</si>
  <si>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</si>
  <si>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</si>
  <si>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</si>
  <si>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</si>
  <si>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</si>
  <si>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</si>
  <si>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</si>
  <si>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</si>
  <si>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</si>
  <si>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</si>
  <si>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</si>
  <si>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</si>
  <si>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</si>
  <si>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</si>
  <si>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</si>
  <si>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</si>
  <si>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</si>
  <si>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</si>
  <si>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</si>
  <si>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</si>
  <si>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 xml:space="preserve">     (iii)(A) Rehabilitation Expenditures</t>
  </si>
  <si>
    <t xml:space="preserve">     (iii)(A) Adjusted Basis of Acquired Building</t>
  </si>
  <si>
    <t xml:space="preserve">     (iii)(A) Ratio of Rehab Exp to 20% of Adj Basis</t>
  </si>
  <si>
    <t xml:space="preserve">     (iii)(B) Qualifying Basis Boost Factor</t>
  </si>
  <si>
    <t xml:space="preserve">     (iii)(B) Total Set-Aside Percentage</t>
  </si>
  <si>
    <t xml:space="preserve">     (iii)(B) Number of HC Set-Aside Units</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</si>
  <si>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</si>
  <si>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</si>
  <si>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</si>
  <si>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</si>
  <si>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</si>
  <si>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</si>
  <si>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</si>
  <si>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</si>
  <si>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</si>
  <si>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</si>
  <si>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</si>
  <si>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</si>
  <si>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</si>
  <si>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</si>
  <si>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</si>
  <si>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</si>
  <si>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</si>
  <si>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</si>
  <si>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</si>
  <si>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</si>
  <si>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</si>
  <si>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</si>
  <si>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</si>
  <si>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</si>
  <si>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</si>
  <si>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</si>
  <si>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</si>
  <si>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</si>
  <si>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</si>
  <si>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</si>
  <si>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</si>
  <si>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</si>
  <si>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</si>
  <si>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</si>
  <si>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</si>
  <si>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</si>
  <si>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</si>
  <si>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</si>
  <si>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</si>
  <si>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</si>
  <si>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</si>
  <si>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</si>
  <si>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</si>
  <si>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</si>
  <si>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</si>
  <si>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</si>
  <si>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</si>
  <si>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</si>
  <si>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</si>
  <si>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</si>
  <si>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</si>
  <si>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</si>
  <si>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</si>
  <si>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</si>
  <si>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</si>
  <si>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</si>
  <si>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</si>
  <si>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</si>
  <si>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</si>
  <si>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</si>
  <si>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</si>
  <si>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</si>
  <si>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</si>
  <si>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</si>
  <si>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</si>
  <si>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</si>
  <si>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</si>
  <si>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</si>
  <si>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</si>
  <si>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</si>
  <si>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</si>
  <si>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</si>
  <si>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</si>
  <si>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</si>
  <si>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</si>
  <si>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</si>
  <si>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</si>
  <si>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</si>
  <si>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</si>
  <si>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</si>
  <si>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</si>
  <si>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</si>
  <si>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</si>
  <si>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</si>
  <si>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</si>
  <si>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</si>
  <si>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</si>
  <si>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</si>
  <si>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</si>
  <si>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</si>
  <si>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</si>
  <si>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</si>
  <si>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</si>
  <si>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</si>
  <si>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</si>
  <si>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</si>
  <si>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</si>
  <si>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</si>
  <si>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</si>
  <si>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</si>
  <si>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</si>
  <si>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</si>
  <si>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</si>
  <si>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</si>
  <si>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</si>
  <si>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</si>
  <si>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</si>
  <si>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</si>
  <si>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</si>
  <si>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</si>
  <si>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</si>
  <si>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</si>
  <si>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</si>
  <si>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</si>
  <si>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</si>
  <si>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</si>
  <si>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</si>
  <si>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</si>
  <si>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</si>
  <si>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</si>
  <si>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</si>
  <si>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</si>
  <si>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</si>
  <si>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</si>
  <si>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</si>
  <si>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</si>
  <si>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</si>
  <si>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</si>
  <si>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</si>
  <si>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</si>
  <si>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</si>
  <si>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</si>
  <si>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</si>
  <si>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</si>
  <si>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</si>
  <si>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</si>
  <si>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</si>
  <si>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</si>
  <si>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</si>
  <si>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</si>
  <si>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</si>
  <si>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</si>
  <si>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</si>
  <si>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</si>
  <si>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</si>
  <si>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</si>
  <si>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</si>
  <si>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</si>
  <si>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</si>
  <si>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</si>
  <si>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</si>
  <si>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</si>
  <si>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</si>
  <si>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</si>
  <si>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</si>
  <si>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</si>
  <si>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</si>
  <si>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</si>
  <si>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</si>
  <si>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</si>
  <si>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</si>
  <si>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</si>
  <si>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</si>
  <si>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</si>
  <si>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</si>
  <si>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</si>
  <si>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</si>
  <si>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</si>
  <si>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</si>
  <si>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</si>
  <si>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</si>
  <si>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</si>
  <si>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</si>
  <si>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</si>
  <si>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</si>
  <si>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</si>
  <si>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</si>
  <si>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</si>
  <si>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</si>
  <si>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</si>
  <si>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</si>
  <si>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</si>
  <si>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</si>
  <si>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</si>
  <si>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</si>
  <si>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</si>
  <si>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</si>
  <si>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</si>
  <si>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</si>
  <si>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</si>
  <si>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</si>
  <si>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</si>
  <si>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</si>
  <si>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</si>
  <si>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</si>
  <si>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</si>
  <si>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</si>
  <si>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</si>
  <si>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</si>
  <si>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</si>
  <si>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</si>
  <si>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</si>
  <si>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</si>
  <si>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</si>
  <si>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</si>
  <si>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</si>
  <si>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</si>
  <si>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</si>
  <si>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</si>
  <si>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</si>
  <si>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</si>
  <si>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</si>
  <si>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</si>
  <si>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</si>
  <si>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</si>
  <si>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</si>
  <si>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</si>
  <si>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</si>
  <si>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</si>
  <si>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</si>
  <si>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</si>
  <si>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</si>
  <si>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</si>
  <si>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</si>
  <si>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</si>
  <si>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</si>
  <si>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</si>
  <si>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</si>
  <si>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</si>
  <si>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</si>
  <si>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</si>
  <si>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</si>
  <si>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</si>
  <si>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</si>
  <si>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</si>
  <si>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</si>
  <si>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</si>
  <si>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</si>
  <si>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</si>
  <si>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</si>
  <si>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</si>
  <si>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</si>
  <si>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</si>
  <si>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t>Minimum HC or Loan Only Set-Aside Units to have less than above minimum %</t>
  </si>
  <si>
    <t>Minimum HC Set-Aside: ALF</t>
  </si>
  <si>
    <r>
      <t>RFAs: 201, 202, 203, 204</t>
    </r>
    <r>
      <rPr>
        <i/>
        <sz val="11"/>
        <color theme="1"/>
        <rFont val="Calibri"/>
        <family val="2"/>
        <scheme val="minor"/>
      </rPr>
      <t xml:space="preserve"> [Min FHFC RFA SA: 80%: 201, 202, 203, 204, 205]</t>
    </r>
  </si>
  <si>
    <t>Minimum HC Set-Aside: IRS Non-Profit Safe Harbor</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</si>
  <si>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</si>
  <si>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</si>
  <si>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</si>
  <si>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</si>
  <si>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</si>
  <si>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</si>
  <si>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</si>
  <si>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</si>
  <si>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</si>
  <si>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</si>
  <si>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</si>
  <si>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</si>
  <si>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</si>
  <si>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</si>
  <si>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</si>
  <si>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</si>
  <si>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</si>
  <si>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</si>
  <si>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</si>
  <si>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</si>
  <si>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</si>
  <si>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</si>
  <si>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</si>
  <si>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</si>
  <si>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</si>
  <si>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</si>
  <si>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</si>
  <si>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</si>
  <si>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</si>
  <si>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</si>
  <si>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</si>
  <si>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</si>
  <si>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</si>
  <si>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</si>
  <si>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</si>
  <si>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</si>
  <si>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</si>
  <si>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Must Applicant commit to Max Purchased ELI Units (B449)?</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</si>
  <si>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</si>
  <si>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</si>
  <si>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</si>
  <si>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</si>
  <si>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</si>
  <si>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</si>
  <si>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</si>
  <si>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Rehabilitation w/ or w/o Acquisition</t>
  </si>
  <si>
    <t>The minimum 0- and 1-bedroom unit requirement is not met.</t>
  </si>
  <si>
    <t>The requirement limiting the number of units with more than 2 bedrooms is not met.</t>
  </si>
  <si>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</si>
  <si>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</si>
  <si>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</si>
  <si>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</si>
  <si>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</si>
  <si>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</si>
  <si>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</si>
  <si>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</si>
  <si>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</si>
  <si>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</si>
  <si>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</si>
  <si>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</si>
  <si>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</si>
  <si>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</si>
  <si>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</si>
  <si>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</si>
  <si>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</si>
  <si>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</si>
  <si>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</si>
  <si>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</si>
  <si>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</si>
  <si>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</si>
  <si>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</si>
  <si>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</si>
  <si>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</si>
  <si>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</si>
  <si>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</si>
  <si>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</si>
  <si>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7. Cabinets</t>
  </si>
  <si>
    <t>8. Flooring</t>
  </si>
  <si>
    <t>9. Seer for AC</t>
  </si>
  <si>
    <t>10. Windows</t>
  </si>
  <si>
    <t xml:space="preserve">         This spacing is needed</t>
  </si>
  <si>
    <t>11. Yards</t>
  </si>
  <si>
    <t>12. Sensors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</si>
  <si>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</si>
  <si>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</si>
  <si>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</si>
  <si>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</si>
  <si>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</si>
  <si>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</si>
  <si>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</si>
  <si>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</si>
  <si>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</si>
  <si>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</si>
  <si>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</si>
  <si>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</si>
  <si>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</si>
  <si>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</si>
  <si>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</si>
  <si>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</si>
  <si>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</si>
  <si>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</si>
  <si>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</si>
  <si>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</si>
  <si>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</si>
  <si>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</si>
  <si>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</si>
  <si>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</si>
  <si>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</si>
  <si>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</si>
  <si>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</si>
  <si>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</si>
  <si>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t>LGC Preferences within the Goal: Check Box Reference Cells</t>
  </si>
  <si>
    <t>4.A.11.b.</t>
  </si>
  <si>
    <t>(1) LGAO as part of a LG Revitalization Plan</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</si>
  <si>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</si>
  <si>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</si>
  <si>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</si>
  <si>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</si>
  <si>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</si>
  <si>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</si>
  <si>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</si>
  <si>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</si>
  <si>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</si>
  <si>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</si>
  <si>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</si>
  <si>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</si>
  <si>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</si>
  <si>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</si>
  <si>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</si>
  <si>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</si>
  <si>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</si>
  <si>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</si>
  <si>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</si>
  <si>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</si>
  <si>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</si>
  <si>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</si>
  <si>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</si>
  <si>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</si>
  <si>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</si>
  <si>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r>
      <t xml:space="preserve">Make not to Very-Hide the </t>
    </r>
    <r>
      <rPr>
        <b/>
        <sz val="11"/>
        <color theme="1"/>
        <rFont val="Calibri"/>
        <family val="2"/>
        <scheme val="minor"/>
      </rPr>
      <t>Narrative Scoring</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</si>
  <si>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</si>
  <si>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</si>
  <si>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</si>
  <si>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</si>
  <si>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</si>
  <si>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</si>
  <si>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</si>
  <si>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</si>
  <si>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</si>
  <si>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</si>
  <si>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</si>
  <si>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 xml:space="preserve">Column L is used to automatically track the number of required or optional fields have entries. If there is an entry, the reference in column K is repeated. </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</si>
  <si>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</si>
  <si>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</si>
  <si>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</si>
  <si>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</si>
  <si>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</si>
  <si>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</si>
  <si>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</si>
  <si>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</si>
  <si>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</si>
  <si>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</si>
  <si>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</si>
  <si>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</si>
  <si>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</si>
  <si>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</si>
  <si>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</si>
  <si>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</si>
  <si>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</si>
  <si>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</si>
  <si>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</si>
  <si>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</si>
  <si>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</si>
  <si>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</si>
  <si>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</si>
  <si>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</si>
  <si>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</si>
  <si>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</si>
  <si>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</si>
  <si>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</si>
  <si>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</si>
  <si>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</si>
  <si>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</si>
  <si>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</si>
  <si>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</si>
  <si>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2022-070C</t>
  </si>
  <si>
    <t>The Verandas of Punta Gorda III</t>
  </si>
  <si>
    <t>2022-247H</t>
  </si>
  <si>
    <t>Cross Creek Gardens at Quincy</t>
  </si>
  <si>
    <t>2022-242H</t>
  </si>
  <si>
    <t>Pollywog Creek Mews</t>
  </si>
  <si>
    <t>Yes/No Dropdown</t>
  </si>
  <si>
    <t>&lt;select from menu&gt;</t>
  </si>
  <si>
    <t>2022-241H</t>
  </si>
  <si>
    <t>Tranquility at Hope School Phase II</t>
  </si>
  <si>
    <t>2022-023C</t>
  </si>
  <si>
    <t>Hibiscus Apartments Phase Two</t>
  </si>
  <si>
    <t>Yes/No/N/A Dropdown</t>
  </si>
  <si>
    <t>2022-006C</t>
  </si>
  <si>
    <t>Emery Cove</t>
  </si>
  <si>
    <t>N/A</t>
  </si>
  <si>
    <t>2022-190S</t>
  </si>
  <si>
    <t>Ridge Road</t>
  </si>
  <si>
    <t>Geographic Areas of Opportunity/SADDA Goal - Family Demographic</t>
  </si>
  <si>
    <t>2022-137BSN</t>
  </si>
  <si>
    <t>Astoria on 9th</t>
  </si>
  <si>
    <t>Located entirely in a GAO</t>
  </si>
  <si>
    <t>Located entirely in a SADDA</t>
  </si>
  <si>
    <t>2022-032C</t>
  </si>
  <si>
    <t>Madison Oaks West</t>
  </si>
  <si>
    <t>W</t>
  </si>
  <si>
    <t>2022-265CS</t>
  </si>
  <si>
    <t>Lofts at Bahama Village</t>
  </si>
  <si>
    <t>Metro/Non-Metro QCT Dropdown</t>
  </si>
  <si>
    <t>2022-146BSN</t>
  </si>
  <si>
    <t>Princeton Grove</t>
  </si>
  <si>
    <t>Metro</t>
  </si>
  <si>
    <t>Non-Metro</t>
  </si>
  <si>
    <t>2022-186S</t>
  </si>
  <si>
    <t>Falcon Trace II</t>
  </si>
  <si>
    <t>2022-060C</t>
  </si>
  <si>
    <t>Madison Grove</t>
  </si>
  <si>
    <t>2022-029C</t>
  </si>
  <si>
    <t>Florence Place</t>
  </si>
  <si>
    <t>Saint Johns</t>
  </si>
  <si>
    <t>2022-043C</t>
  </si>
  <si>
    <t>2022-022C</t>
  </si>
  <si>
    <t>Banyan East Town Apartments</t>
  </si>
  <si>
    <t>2022-075C</t>
  </si>
  <si>
    <t>Bristol Manor</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</si>
  <si>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</si>
  <si>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</si>
  <si>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</si>
  <si>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</si>
  <si>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</si>
  <si>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</si>
  <si>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</si>
  <si>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</si>
  <si>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</si>
  <si>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</si>
  <si>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</si>
  <si>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</si>
  <si>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</si>
  <si>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</si>
  <si>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</si>
  <si>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</si>
  <si>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</si>
  <si>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</si>
  <si>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</si>
  <si>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</si>
  <si>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</si>
  <si>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</si>
  <si>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</si>
  <si>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</si>
  <si>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</si>
  <si>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</si>
  <si>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</si>
  <si>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</si>
  <si>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</si>
  <si>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</si>
  <si>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</si>
  <si>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</si>
  <si>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</si>
  <si>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</si>
  <si>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</si>
  <si>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</si>
  <si>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</si>
  <si>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</si>
  <si>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</si>
  <si>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</si>
  <si>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</si>
  <si>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</si>
  <si>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</si>
  <si>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</si>
  <si>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</si>
  <si>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</si>
  <si>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</si>
  <si>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</si>
  <si>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</si>
  <si>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</si>
  <si>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</si>
  <si>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</si>
  <si>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</si>
  <si>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</si>
  <si>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</si>
  <si>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</si>
  <si>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</si>
  <si>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</si>
  <si>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</si>
  <si>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</si>
  <si>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</si>
  <si>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</si>
  <si>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</si>
  <si>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</si>
  <si>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</si>
  <si>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</si>
  <si>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</si>
  <si>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</si>
  <si>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</si>
  <si>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</si>
  <si>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</si>
  <si>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</si>
  <si>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</si>
  <si>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</si>
  <si>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</si>
  <si>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Destination Conditional Formatting</t>
  </si>
  <si>
    <t>9% HCs</t>
  </si>
  <si>
    <t>Per Development - Broward, Miami-Dade</t>
  </si>
  <si>
    <t>202, 203</t>
  </si>
  <si>
    <t>Broward, Miami-Dade</t>
  </si>
  <si>
    <t>Per Development - Hillsborough, Orange, Palm Beach</t>
  </si>
  <si>
    <t>Hillsborough, Orange, Palm Beach</t>
  </si>
  <si>
    <t>Per Development - Duval, Pinellas</t>
  </si>
  <si>
    <t>Per Development - Small Counties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</si>
  <si>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</si>
  <si>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</si>
  <si>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</si>
  <si>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</si>
  <si>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</si>
  <si>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</si>
  <si>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</si>
  <si>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</si>
  <si>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</si>
  <si>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</si>
  <si>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</si>
  <si>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</si>
  <si>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</si>
  <si>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</si>
  <si>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</si>
  <si>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</si>
  <si>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</si>
  <si>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</si>
  <si>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</si>
  <si>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</si>
  <si>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</si>
  <si>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</si>
  <si>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</si>
  <si>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</si>
  <si>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</si>
  <si>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</si>
  <si>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Florida Job Creation Funding Preference (2022-2023 RFA Cycle)</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</si>
  <si>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</si>
  <si>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</si>
  <si>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</si>
  <si>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</si>
  <si>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</si>
  <si>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</si>
  <si>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</si>
  <si>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</si>
  <si>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</si>
  <si>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</si>
  <si>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</si>
  <si>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</si>
  <si>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</si>
  <si>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</si>
  <si>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</si>
  <si>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</si>
  <si>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</si>
  <si>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</si>
  <si>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</si>
  <si>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</si>
  <si>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</si>
  <si>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</si>
  <si>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</si>
  <si>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</si>
  <si>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</si>
  <si>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</si>
  <si>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</si>
  <si>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</si>
  <si>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</si>
  <si>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</si>
  <si>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</si>
  <si>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</si>
  <si>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</si>
  <si>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</si>
  <si>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</si>
  <si>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</si>
  <si>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</si>
  <si>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</si>
  <si>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</si>
  <si>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</si>
  <si>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</si>
  <si>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</si>
  <si>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</si>
  <si>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</si>
  <si>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</si>
  <si>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</si>
  <si>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</si>
  <si>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</si>
  <si>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</si>
  <si>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</si>
  <si>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</si>
  <si>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</si>
  <si>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</si>
  <si>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</si>
  <si>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</si>
  <si>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</si>
  <si>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</si>
  <si>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</si>
  <si>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</si>
  <si>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</si>
  <si>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</si>
  <si>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</si>
  <si>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</si>
  <si>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</si>
  <si>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</si>
  <si>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</si>
  <si>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</si>
  <si>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</si>
  <si>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</si>
  <si>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</si>
  <si>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</si>
  <si>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</si>
  <si>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</si>
  <si>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</si>
  <si>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South FL Keys Multiplier</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</si>
  <si>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</si>
  <si>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</si>
  <si>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</si>
  <si>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</si>
  <si>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</si>
  <si>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</si>
  <si>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</si>
  <si>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</si>
  <si>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</si>
  <si>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</si>
  <si>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</si>
  <si>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</si>
  <si>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Application's Eligible SAIL + HOME-ARP Request Amount PU</t>
  </si>
  <si>
    <t>Application's Eligible SAIL + HOME-ARP Request as Percentage of TDC Preference</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</si>
  <si>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</si>
  <si>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</si>
  <si>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</si>
  <si>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</si>
  <si>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</si>
  <si>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</si>
  <si>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</si>
  <si>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</si>
  <si>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HIDE THESE COLUMNS PRIOR TO ISSUANCE</t>
  </si>
  <si>
    <t>Select the Minimum Set-Aside Commitment for Permanent Supportive Housing for Persons with Special Needs</t>
  </si>
  <si>
    <t>(1)</t>
  </si>
  <si>
    <t>(2)</t>
  </si>
  <si>
    <t>At least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</si>
  <si>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Adult persons requiring independent living services in order to maintain housing or develop independent living skills and who have a Disabling Condition that currently impairs or is likely to impair their physical mobility;</t>
  </si>
  <si>
    <t>Persons receiving benefits under the Social Security Disability Insurance (SSDI) program or the Supplemental Security Income (SSI) program or from veterans’ disability benefits;</t>
  </si>
  <si>
    <t>Adult persons requiring independent living services in order to maintain housing or develop independent living skills and who have a Disabling Condition that neither currently impairs nor is likely to impair their physical mobility, such as persons with a mental illness;</t>
  </si>
  <si>
    <t>Survivors of domestic violence as defined in Section 741.28, F.S.</t>
  </si>
  <si>
    <t>Youth Aging Out of Foster Care Goal</t>
  </si>
  <si>
    <t>Does the Application meet the eligibility described in Section Four A.2.c to qualify for the 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</si>
  <si>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</si>
  <si>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</si>
  <si>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</si>
  <si>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</si>
  <si>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</si>
  <si>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</si>
  <si>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</si>
  <si>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</si>
  <si>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</si>
  <si>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Demonstration of Non-Profit entity qualifications</t>
  </si>
  <si>
    <t>Row Height for 0=80; 1=65 (PSH)</t>
  </si>
  <si>
    <t>(c)</t>
  </si>
  <si>
    <t>To determine the Applicant’s eligibility as a Tier 1 or Tier 2 Application, state the Percentage of Developer’s fee that will go to the Non-Profit entity:</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</si>
  <si>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</si>
  <si>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</si>
  <si>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</si>
  <si>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</si>
  <si>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</si>
  <si>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</si>
  <si>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t>Homeless Assistance Continuum of Care Requirements for All Applicants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</si>
  <si>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</si>
  <si>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</si>
  <si>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</si>
  <si>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</si>
  <si>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</si>
  <si>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</si>
  <si>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</si>
  <si>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</si>
  <si>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</si>
  <si>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</si>
  <si>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</si>
  <si>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Total Number of Units:</t>
  </si>
  <si>
    <t>(ii)</t>
  </si>
  <si>
    <t>If 'Other' is selected, enter the name of the program in the row below.</t>
  </si>
  <si>
    <t>(iii)</t>
  </si>
  <si>
    <t>HOME Funding Experience Preference</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</si>
  <si>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</si>
  <si>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</si>
  <si>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</si>
  <si>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</si>
  <si>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</si>
  <si>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</si>
  <si>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</si>
  <si>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</si>
  <si>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</si>
  <si>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</si>
  <si>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 xml:space="preserve"> Priority Designation of Applications</t>
  </si>
  <si>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</si>
  <si>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</si>
  <si>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</si>
  <si>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</si>
  <si>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</si>
  <si>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</si>
  <si>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</si>
  <si>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</si>
  <si>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</si>
  <si>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</si>
  <si>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</si>
  <si>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</si>
  <si>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</si>
  <si>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</si>
  <si>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</si>
  <si>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</si>
  <si>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</si>
  <si>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</si>
  <si>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</si>
  <si>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</si>
  <si>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</si>
  <si>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</si>
  <si>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</si>
  <si>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</si>
  <si>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</si>
  <si>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</si>
  <si>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</si>
  <si>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</si>
  <si>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</si>
  <si>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</si>
  <si>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b.</t>
  </si>
  <si>
    <t>Select the Development Category:</t>
  </si>
  <si>
    <t xml:space="preserve"> Rental Assistance (RA) Level</t>
  </si>
  <si>
    <t>Development Category Qualification Letter</t>
  </si>
  <si>
    <r>
      <t xml:space="preserve">If applicable, provide the Development Category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</si>
  <si>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</si>
  <si>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</si>
  <si>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</si>
  <si>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</si>
  <si>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</si>
  <si>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</si>
  <si>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</si>
  <si>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</si>
  <si>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</si>
  <si>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</si>
  <si>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</si>
  <si>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</si>
  <si>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</si>
  <si>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</si>
  <si>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</si>
  <si>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</si>
  <si>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</si>
  <si>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</si>
  <si>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</si>
  <si>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</si>
  <si>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</si>
  <si>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</si>
  <si>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</si>
  <si>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</si>
  <si>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</si>
  <si>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</si>
  <si>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</si>
  <si>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</si>
  <si>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</si>
  <si>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</si>
  <si>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</si>
  <si>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</si>
  <si>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</si>
  <si>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</si>
  <si>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</si>
  <si>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</si>
  <si>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</si>
  <si>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</si>
  <si>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</si>
  <si>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</si>
  <si>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</si>
  <si>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</si>
  <si>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</si>
  <si>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</si>
  <si>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</si>
  <si>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</si>
  <si>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</si>
  <si>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</si>
  <si>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</si>
  <si>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</si>
  <si>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</si>
  <si>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</si>
  <si>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</si>
  <si>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</si>
  <si>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</si>
  <si>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</si>
  <si>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</si>
  <si>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</si>
  <si>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</si>
  <si>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</si>
  <si>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</si>
  <si>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</si>
  <si>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</si>
  <si>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</si>
  <si>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</si>
  <si>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</si>
  <si>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</si>
  <si>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</si>
  <si>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</si>
  <si>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</si>
  <si>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</si>
  <si>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</si>
  <si>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</si>
  <si>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</si>
  <si>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</si>
  <si>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</si>
  <si>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</si>
  <si>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</si>
  <si>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</si>
  <si>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</si>
  <si>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</si>
  <si>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</si>
  <si>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</si>
  <si>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</si>
  <si>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</si>
  <si>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If there are existing occupied units and if the Development is funded, a plan for relocation of existing tenants will be required to be provided to the Credit Underwriter, as outlined in Exhibit D.</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</si>
  <si>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</si>
  <si>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</si>
  <si>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</si>
  <si>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</si>
  <si>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</si>
  <si>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</si>
  <si>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</si>
  <si>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</si>
  <si>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</si>
  <si>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</si>
  <si>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</si>
  <si>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</si>
  <si>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</si>
  <si>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</si>
  <si>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</si>
  <si>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</si>
  <si>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</si>
  <si>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</si>
  <si>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</si>
  <si>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</si>
  <si>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</si>
  <si>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</si>
  <si>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</si>
  <si>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</si>
  <si>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</si>
  <si>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</si>
  <si>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</si>
  <si>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</si>
  <si>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</si>
  <si>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</si>
  <si>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</si>
  <si>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</si>
  <si>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</si>
  <si>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</si>
  <si>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</si>
  <si>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</si>
  <si>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</si>
  <si>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</si>
  <si>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</si>
  <si>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</si>
  <si>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</si>
  <si>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</si>
  <si>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</si>
  <si>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</si>
  <si>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</si>
  <si>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</si>
  <si>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</si>
  <si>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</si>
  <si>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</si>
  <si>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</si>
  <si>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</si>
  <si>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</si>
  <si>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</si>
  <si>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</si>
  <si>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</si>
  <si>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</si>
  <si>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</si>
  <si>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</si>
  <si>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</si>
  <si>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</si>
  <si>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</si>
  <si>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</si>
  <si>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r>
      <t xml:space="preserve">Proposed Developments with the Development Category Rehabilitation, with or without Acquisition,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</si>
  <si>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t>Humidistat in each unit</t>
  </si>
  <si>
    <t>Water Sense certified dual flush toilets in all bathrooms</t>
  </si>
  <si>
    <t>Light colored concrete pavement instead of or on top of asphalt to reduce the heat-island effect</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</si>
  <si>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</si>
  <si>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</si>
  <si>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</si>
  <si>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</si>
  <si>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</si>
  <si>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</si>
  <si>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</si>
  <si>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</si>
  <si>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</si>
  <si>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</si>
  <si>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</si>
  <si>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</si>
  <si>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</si>
  <si>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</si>
  <si>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</si>
  <si>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</si>
  <si>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</si>
  <si>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Tab Pop-Ups: None</t>
  </si>
  <si>
    <t>Hidden Tracking: A7:A8</t>
  </si>
  <si>
    <t>Section 4.A.9
Resident Programs</t>
  </si>
  <si>
    <t>After School Program for Children</t>
  </si>
  <si>
    <t>Employment Assistance Program</t>
  </si>
  <si>
    <t>Financial Management Program</t>
  </si>
  <si>
    <t>Homeownership Opportunity Program</t>
  </si>
  <si>
    <t>Number of resident programs needed:</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</si>
  <si>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</si>
  <si>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</si>
  <si>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</si>
  <si>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</si>
  <si>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</si>
  <si>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Hidden Tracking: A5:A11, A17:A22</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</si>
  <si>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</si>
  <si>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</si>
  <si>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</si>
  <si>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</si>
  <si>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</si>
  <si>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</si>
  <si>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</si>
  <si>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</si>
  <si>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</si>
  <si>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</si>
  <si>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</si>
  <si>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</si>
  <si>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</si>
  <si>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</si>
  <si>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</si>
  <si>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</si>
  <si>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</si>
  <si>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</si>
  <si>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</si>
  <si>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</si>
  <si>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</si>
  <si>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</si>
  <si>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</si>
  <si>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</si>
  <si>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</si>
  <si>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</si>
  <si>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</si>
  <si>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</si>
  <si>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</si>
  <si>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</si>
  <si>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</si>
  <si>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</si>
  <si>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</si>
  <si>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</si>
  <si>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</si>
  <si>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</si>
  <si>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</si>
  <si>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</si>
  <si>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</si>
  <si>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</si>
  <si>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</si>
  <si>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</si>
  <si>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</si>
  <si>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</si>
  <si>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Total Grant Request Amount, if applicable</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</si>
  <si>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</si>
  <si>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</si>
  <si>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</si>
  <si>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</si>
  <si>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</si>
  <si>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</si>
  <si>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</si>
  <si>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</si>
  <si>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</si>
  <si>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</si>
  <si>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</si>
  <si>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</si>
  <si>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</si>
  <si>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</si>
  <si>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</si>
  <si>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</si>
  <si>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</si>
  <si>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</si>
  <si>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</si>
  <si>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</si>
  <si>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</si>
  <si>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</si>
  <si>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</si>
  <si>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</si>
  <si>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</si>
  <si>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</si>
  <si>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</si>
  <si>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</si>
  <si>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</si>
  <si>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</si>
  <si>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</si>
  <si>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</si>
  <si>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</si>
  <si>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</si>
  <si>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</si>
  <si>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</si>
  <si>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</si>
  <si>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</si>
  <si>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</si>
  <si>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</si>
  <si>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</si>
  <si>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</si>
  <si>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</si>
  <si>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</si>
  <si>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</si>
  <si>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</si>
  <si>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</si>
  <si>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</si>
  <si>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</si>
  <si>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</si>
  <si>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</si>
  <si>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Enter 0 to exclude, 2 to keep</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</si>
  <si>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</si>
  <si>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</si>
  <si>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</si>
  <si>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</si>
  <si>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</si>
  <si>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</si>
  <si>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</si>
  <si>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</si>
  <si>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</si>
  <si>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</si>
  <si>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</si>
  <si>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</si>
  <si>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</si>
  <si>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</si>
  <si>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</si>
  <si>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</si>
  <si>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</si>
  <si>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</si>
  <si>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</si>
  <si>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</si>
  <si>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</si>
  <si>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</si>
  <si>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</si>
  <si>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</si>
  <si>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</si>
  <si>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</si>
  <si>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</si>
  <si>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</si>
  <si>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</si>
  <si>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</si>
  <si>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</si>
  <si>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</si>
  <si>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</si>
  <si>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</si>
  <si>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</si>
  <si>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</si>
  <si>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</si>
  <si>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</si>
  <si>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</si>
  <si>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</si>
  <si>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</si>
  <si>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</si>
  <si>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</si>
  <si>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</si>
  <si>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</si>
  <si>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</si>
  <si>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</si>
  <si>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</si>
  <si>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</si>
  <si>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</si>
  <si>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 xml:space="preserve">Because Housing Credit equity proceeds are being used as a source of financing, complete Columns 1 and 2. The </t>
  </si>
  <si>
    <t>various FHFC Program fees should be estimated and included in column 2 for at least the Housing Credit Program.</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</si>
  <si>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</si>
  <si>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</si>
  <si>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</si>
  <si>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</si>
  <si>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new construction.  Otherwise the maximum is 15%.  The maximum soft cost contingency allowed cannot exceed </t>
  </si>
  <si>
    <t xml:space="preserve">5% of the amount provided in column 3 for A2.1 TOTAL GENERAL DEVELOPMENT COST.  Limitations on these contingency </t>
  </si>
  <si>
    <t>line items post-Application are provided in Rule Chapter 67-48, F.A.C. (if applicable) and this RFA.</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</si>
  <si>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</si>
  <si>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</si>
  <si>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</si>
  <si>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</si>
  <si>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</si>
  <si>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</si>
  <si>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</si>
  <si>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</si>
  <si>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</si>
  <si>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</si>
  <si>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</si>
  <si>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</si>
  <si>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</si>
  <si>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</si>
  <si>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</si>
  <si>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</si>
  <si>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</si>
  <si>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r>
      <t xml:space="preserve">Commercial/Retail Space </t>
    </r>
    <r>
      <rPr>
        <vertAlign val="superscript"/>
        <sz val="9"/>
        <rFont val="Arial"/>
        <family val="2"/>
      </rPr>
      <t>See Note (6)</t>
    </r>
  </si>
  <si>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</si>
  <si>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</si>
  <si>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</si>
  <si>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</si>
  <si>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</si>
  <si>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</si>
  <si>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</si>
  <si>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r>
      <t xml:space="preserve">General Contractor Fee </t>
    </r>
    <r>
      <rPr>
        <b/>
        <vertAlign val="superscript"/>
        <sz val="9"/>
        <rFont val="Arial"/>
        <family val="2"/>
      </rPr>
      <t>See Note (3)</t>
    </r>
  </si>
  <si>
    <t>A1.3.</t>
  </si>
  <si>
    <t>TOTAL ACTUAL CONSTRUCTION</t>
  </si>
  <si>
    <t>COSTS</t>
  </si>
  <si>
    <t>A1.4.</t>
  </si>
  <si>
    <r>
      <t xml:space="preserve">HARD COST CONTINGENCY </t>
    </r>
    <r>
      <rPr>
        <b/>
        <vertAlign val="superscript"/>
        <sz val="9"/>
        <color theme="1"/>
        <rFont val="Arial"/>
        <family val="2"/>
      </rPr>
      <t>See Note (4)</t>
    </r>
  </si>
  <si>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</si>
  <si>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</si>
  <si>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</si>
  <si>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</si>
  <si>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</si>
  <si>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</si>
  <si>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</si>
  <si>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</si>
  <si>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</si>
  <si>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</si>
  <si>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r>
      <t xml:space="preserve">SOFT COST CONTINGENCY </t>
    </r>
    <r>
      <rPr>
        <b/>
        <vertAlign val="superscript"/>
        <sz val="9"/>
        <color theme="1"/>
        <rFont val="Arial"/>
        <family val="2"/>
      </rPr>
      <t>See Note (4)</t>
    </r>
  </si>
  <si>
    <t xml:space="preserve">Financial Costs </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</si>
  <si>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</si>
  <si>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</si>
  <si>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</si>
  <si>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</si>
  <si>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</si>
  <si>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</si>
  <si>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</si>
  <si>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</si>
  <si>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</si>
  <si>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</si>
  <si>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</si>
  <si>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</si>
  <si>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</si>
  <si>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</si>
  <si>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</si>
  <si>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</si>
  <si>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</si>
  <si>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</si>
  <si>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</si>
  <si>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</si>
  <si>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</si>
  <si>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r>
      <t xml:space="preserve">OPERATING DEFICIT RESERVES </t>
    </r>
    <r>
      <rPr>
        <b/>
        <vertAlign val="superscript"/>
        <sz val="9"/>
        <color theme="1"/>
        <rFont val="Arial"/>
        <family val="2"/>
      </rPr>
      <t>See Note (5)</t>
    </r>
  </si>
  <si>
    <t>Max ODR:</t>
  </si>
  <si>
    <t>F.</t>
  </si>
  <si>
    <t>TOTAL LAND COST</t>
  </si>
  <si>
    <t>G.</t>
  </si>
  <si>
    <r>
      <t xml:space="preserve">TOTAL DEVELOPMENT COST </t>
    </r>
    <r>
      <rPr>
        <b/>
        <vertAlign val="superscript"/>
        <sz val="9"/>
        <rFont val="Arial"/>
        <family val="2"/>
      </rPr>
      <t>See Note (7)</t>
    </r>
  </si>
  <si>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</si>
  <si>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</si>
  <si>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</si>
  <si>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</si>
  <si>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</si>
  <si>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</si>
  <si>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</si>
  <si>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</si>
  <si>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</si>
  <si>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</si>
  <si>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</si>
  <si>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</si>
  <si>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</si>
  <si>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</si>
  <si>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</si>
  <si>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</si>
  <si>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</si>
  <si>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</si>
  <si>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</si>
  <si>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</si>
  <si>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</si>
  <si>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</si>
  <si>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</si>
  <si>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</si>
  <si>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</si>
  <si>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</si>
  <si>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</si>
  <si>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</si>
  <si>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</si>
  <si>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</si>
  <si>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</si>
  <si>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</si>
  <si>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</si>
  <si>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</si>
  <si>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</si>
  <si>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</si>
  <si>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</si>
  <si>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</si>
  <si>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</si>
  <si>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</si>
  <si>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</si>
  <si>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</si>
  <si>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</si>
  <si>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</si>
  <si>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</si>
  <si>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</si>
  <si>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</si>
  <si>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</si>
  <si>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</si>
  <si>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</si>
  <si>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</si>
  <si>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</si>
  <si>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</si>
  <si>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</si>
  <si>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</si>
  <si>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</si>
  <si>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</si>
  <si>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</si>
  <si>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</si>
  <si>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</si>
  <si>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</si>
  <si>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</si>
  <si>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</si>
  <si>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</si>
  <si>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</si>
  <si>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</si>
  <si>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</si>
  <si>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</si>
  <si>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</si>
  <si>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</si>
  <si>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</si>
  <si>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</si>
  <si>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</si>
  <si>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</si>
  <si>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</si>
  <si>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</si>
  <si>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</si>
  <si>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</si>
  <si>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</si>
  <si>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</si>
  <si>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</si>
  <si>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</si>
  <si>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</si>
  <si>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</si>
  <si>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</si>
  <si>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</si>
  <si>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</si>
  <si>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</si>
  <si>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</si>
  <si>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</si>
  <si>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</si>
  <si>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</si>
  <si>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</si>
  <si>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</si>
  <si>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</si>
  <si>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</si>
  <si>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</si>
  <si>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</si>
  <si>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</si>
  <si>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</si>
  <si>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</si>
  <si>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</si>
  <si>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</si>
  <si>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</si>
  <si>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</si>
  <si>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</si>
  <si>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</si>
  <si>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</si>
  <si>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</si>
  <si>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</si>
  <si>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</si>
  <si>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</si>
  <si>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</si>
  <si>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</si>
  <si>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</si>
  <si>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</si>
  <si>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</si>
  <si>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</si>
  <si>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</si>
  <si>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</si>
  <si>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</si>
  <si>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</si>
  <si>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</si>
  <si>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</si>
  <si>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</si>
  <si>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</si>
  <si>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</si>
  <si>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</si>
  <si>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</si>
  <si>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</si>
  <si>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</si>
  <si>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</si>
  <si>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</si>
  <si>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</si>
  <si>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</si>
  <si>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</si>
  <si>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</si>
  <si>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</si>
  <si>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</si>
  <si>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</si>
  <si>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</si>
  <si>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</si>
  <si>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</si>
  <si>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</si>
  <si>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</si>
  <si>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Preferences within the Goal</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</si>
  <si>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</si>
  <si>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</si>
  <si>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(1) The Application qualifies as a Local Government Area of Opportunity Designation that is part of a Local Government Revitalization Plan.</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</si>
  <si>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</si>
  <si>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</si>
  <si>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</si>
  <si>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</si>
  <si>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</si>
  <si>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</si>
  <si>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</si>
  <si>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</si>
  <si>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</si>
  <si>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</si>
  <si>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</si>
  <si>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Section 4.C.
Applicant Certification and Acknowledgement Form</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</si>
  <si>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</si>
  <si>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</si>
  <si>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</si>
  <si>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</si>
  <si>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</si>
  <si>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</si>
  <si>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Review</t>
  </si>
  <si>
    <t>A tenant’s participation in or receipt of community-based or on-site healthcare or supportive services is not a requirement for tenancy.  Applicants will not charge a fee for resident community-based services coordination, resident programs or other related services required by this RFA or those that the Applicant has described in this Application as providing at no charge to the resident.  The Applicant will not charge a fee to tenants for services, programs, or activities that were made available to a tenant, but that the tenant did not participate in or receive.</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</si>
  <si>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</si>
  <si>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</si>
  <si>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</si>
  <si>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</si>
  <si>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During the credit underwriting process, demonstrate that the Development meets the requirements of this RFA and Section 42 of the IRC.</t>
  </si>
  <si>
    <t>The invitation to enter credit underwriting will be rescinded if it is determined that the proposed Development was placed in-service prior to the year in which it received its allocation.</t>
  </si>
  <si>
    <t>The Applicant must be a housing provider in the Continuum of Care’s Homeless Coordinated Entry system as required by the U.S. Department of Housing and Urban Development.  The Applicant will utilize the Continuum’s Coordinated Entry system to meet the homeless demographic set-aside commitment, unless Florida Housing approves another approach to meet this demographic commitment.</t>
  </si>
  <si>
    <t>The Applicant understands and agrees to cooperate with any audits conducted in accordance with the provisions set forth in Section 20.055(5), F.S.</t>
  </si>
  <si>
    <t>The Applicant has read, understands, and will comply with the Capital Needs Assessment requirements outlined in Exhibit F.</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</si>
  <si>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</si>
  <si>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</si>
  <si>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</si>
  <si>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</si>
  <si>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</si>
  <si>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</si>
  <si>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</si>
  <si>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</si>
  <si>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</si>
  <si>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</si>
  <si>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</si>
  <si>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</si>
  <si>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</si>
  <si>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</si>
  <si>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</si>
  <si>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</si>
  <si>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</si>
  <si>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</si>
  <si>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</si>
  <si>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</si>
  <si>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</si>
  <si>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</si>
  <si>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</si>
  <si>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</si>
  <si>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</si>
  <si>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</si>
  <si>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</si>
  <si>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</si>
  <si>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</si>
  <si>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</si>
  <si>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</si>
  <si>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</si>
  <si>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</si>
  <si>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</si>
  <si>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</si>
  <si>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</si>
  <si>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</si>
  <si>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</si>
  <si>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</si>
  <si>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</si>
  <si>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</si>
  <si>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</si>
  <si>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</si>
  <si>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t>Did the Applicant complete the Unit Mix Chart within RFA requirements?</t>
  </si>
  <si>
    <t>Total Units equals the sum of all units entered</t>
  </si>
  <si>
    <t>Minimum Transit Service Points: CAN BE AUTO</t>
  </si>
  <si>
    <t xml:space="preserve">Minimum Total Proximity Points for Eligibility: </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</si>
  <si>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</si>
  <si>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</si>
  <si>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</si>
  <si>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</si>
  <si>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</si>
  <si>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</si>
  <si>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</si>
  <si>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</si>
  <si>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</si>
  <si>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</si>
  <si>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</si>
  <si>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</si>
  <si>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</si>
  <si>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</si>
  <si>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</si>
  <si>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</si>
  <si>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</si>
  <si>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</si>
  <si>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</si>
  <si>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</si>
  <si>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</si>
  <si>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</si>
  <si>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</si>
  <si>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</si>
  <si>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</si>
  <si>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</si>
  <si>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</si>
  <si>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</si>
  <si>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</si>
  <si>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</si>
  <si>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</si>
  <si>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</si>
  <si>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</si>
  <si>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</si>
  <si>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</si>
  <si>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</si>
  <si>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</si>
  <si>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</si>
  <si>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</si>
  <si>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</si>
  <si>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</si>
  <si>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</si>
  <si>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</si>
  <si>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</si>
  <si>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</si>
  <si>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</si>
  <si>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</si>
  <si>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</si>
  <si>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</si>
  <si>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</si>
  <si>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</si>
  <si>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</si>
  <si>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</si>
  <si>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</si>
  <si>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</si>
  <si>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</si>
  <si>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</si>
  <si>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</si>
  <si>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</si>
  <si>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</si>
  <si>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</si>
  <si>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</si>
  <si>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</si>
  <si>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</si>
  <si>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</si>
  <si>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</si>
  <si>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</si>
  <si>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r>
      <t xml:space="preserve">Does the documentation provided as </t>
    </r>
    <r>
      <rPr>
        <b/>
        <sz val="11"/>
        <color theme="1"/>
        <rFont val="Calibri"/>
        <family val="2"/>
        <scheme val="minor"/>
      </rPr>
      <t>Attachment 16</t>
    </r>
    <r>
      <rPr>
        <sz val="11"/>
        <color theme="1"/>
        <rFont val="Calibri"/>
        <family val="2"/>
        <scheme val="minor"/>
      </rPr>
      <t xml:space="preserve"> demonstrate that the Application qualifies for the Local Government Areas of Opportunity Designation, as outlined in Section Four, A.11.a. of the RFA?</t>
    </r>
  </si>
  <si>
    <t>QAP Basis Boost Qualification</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</si>
  <si>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</si>
  <si>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</si>
  <si>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</si>
  <si>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</si>
  <si>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</si>
  <si>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</si>
  <si>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</si>
  <si>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</si>
  <si>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</si>
  <si>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</si>
  <si>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</si>
  <si>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</si>
  <si>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</si>
  <si>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</si>
  <si>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Unit Counts</t>
  </si>
  <si>
    <t>Limited opt NHTF Units:</t>
  </si>
  <si>
    <t>"Please respond to above question."</t>
  </si>
  <si>
    <t>"Please select a County"</t>
  </si>
  <si>
    <t>SADDA:</t>
  </si>
  <si>
    <t>QCT:</t>
  </si>
  <si>
    <t>GeoAofO:</t>
  </si>
  <si>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</si>
  <si>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</si>
  <si>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</si>
  <si>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</si>
  <si>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</si>
  <si>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</si>
  <si>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201 is needed, 202 not needed</t>
  </si>
  <si>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</si>
  <si>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</si>
  <si>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</si>
  <si>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</si>
  <si>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</si>
  <si>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</si>
  <si>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</si>
  <si>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</si>
  <si>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</si>
  <si>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</si>
  <si>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</si>
  <si>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</si>
  <si>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</si>
  <si>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</si>
  <si>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</si>
  <si>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</si>
  <si>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</si>
  <si>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</si>
  <si>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</si>
  <si>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</si>
  <si>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</si>
  <si>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</si>
  <si>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</si>
  <si>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</si>
  <si>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</si>
  <si>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</si>
  <si>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</si>
  <si>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Select one of the following minimum set-aside commitments:</t>
  </si>
  <si>
    <t>Match Contribution</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</si>
  <si>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</si>
  <si>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</si>
  <si>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</si>
  <si>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</si>
  <si>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</si>
  <si>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</si>
  <si>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</si>
  <si>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</si>
  <si>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</si>
  <si>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</si>
  <si>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</si>
  <si>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</si>
  <si>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</si>
  <si>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</si>
  <si>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</si>
  <si>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</si>
  <si>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</si>
  <si>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</si>
  <si>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</si>
  <si>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</si>
  <si>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</si>
  <si>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</si>
  <si>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</si>
  <si>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</si>
  <si>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</si>
  <si>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</si>
  <si>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</si>
  <si>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</si>
  <si>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</si>
  <si>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</si>
  <si>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</si>
  <si>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</si>
  <si>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</si>
  <si>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</si>
  <si>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</si>
  <si>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</si>
  <si>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</si>
  <si>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</si>
  <si>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</si>
  <si>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</si>
  <si>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</si>
  <si>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</si>
  <si>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</si>
  <si>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</si>
  <si>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</si>
  <si>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</si>
  <si>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</si>
  <si>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</si>
  <si>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</si>
  <si>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</si>
  <si>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</si>
  <si>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</si>
  <si>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</si>
  <si>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round 2</t>
  </si>
  <si>
    <t>roundup 2</t>
  </si>
  <si>
    <t>rounddown 2</t>
  </si>
  <si>
    <t>roundup 1</t>
  </si>
  <si>
    <t>higher</t>
  </si>
  <si>
    <t>low</t>
  </si>
  <si>
    <t>Transport_lat</t>
  </si>
  <si>
    <t>Transport_long</t>
  </si>
  <si>
    <t>Rounding Factor:</t>
  </si>
  <si>
    <t>Cash Contributions:</t>
  </si>
  <si>
    <t>(Per County minimums found in DS_CountyData, column 3)</t>
  </si>
  <si>
    <t>Should Miami-Dade incorporate a mandated LGC? (usually RFA 205)</t>
  </si>
  <si>
    <t>Are Fee Deferrals to be excluded from Miami-Dade LGC? (usually RFA 205)</t>
  </si>
  <si>
    <t>3:34,36:38</t>
  </si>
  <si>
    <t>Hides</t>
  </si>
  <si>
    <t>35, 39:48</t>
  </si>
  <si>
    <t>3:48</t>
  </si>
  <si>
    <t>Selection</t>
  </si>
  <si>
    <t>0,&lt;select&gt;</t>
  </si>
  <si>
    <t>1,&lt;select&gt;</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</si>
  <si>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</si>
  <si>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</si>
  <si>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</si>
  <si>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</si>
  <si>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</si>
  <si>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</si>
  <si>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</si>
  <si>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</si>
  <si>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</si>
  <si>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</si>
  <si>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</si>
  <si>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</si>
  <si>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</si>
  <si>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</si>
  <si>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</si>
  <si>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</si>
  <si>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</si>
  <si>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</si>
  <si>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C11:F11, C22:F22</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</si>
  <si>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</si>
  <si>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</si>
  <si>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</si>
  <si>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</si>
  <si>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</si>
  <si>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</si>
  <si>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</si>
  <si>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</si>
  <si>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</si>
  <si>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</si>
  <si>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</si>
  <si>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</si>
  <si>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</si>
  <si>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</si>
  <si>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</si>
  <si>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</si>
  <si>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</si>
  <si>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</si>
  <si>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</si>
  <si>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Maximum Request Amount via Per Unit Limit:</t>
  </si>
  <si>
    <t>Lesser of Maximum Request Amount Per Development, or
Total Maximum Subsidy Allowed Per Unit Limit:</t>
  </si>
  <si>
    <t>Lesser of Maximum Request Amount Per Development, or
Total Maximum Request Amount via Per Unit Limit:</t>
  </si>
  <si>
    <t>State Apartment Incentive Loan Program (SAIL)</t>
  </si>
  <si>
    <t>RFA Issue Date</t>
  </si>
  <si>
    <t>(After updating A4 &amp; A7, start by putting cursor in blank cell like A5; Select Developer, Macros, InsertHeaderandFooterForAllSheets, Run)</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</si>
  <si>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</si>
  <si>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</si>
  <si>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</si>
  <si>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</si>
  <si>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</si>
  <si>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</si>
  <si>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</si>
  <si>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</si>
  <si>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</si>
  <si>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</si>
  <si>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</si>
  <si>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</si>
  <si>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</si>
  <si>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</si>
  <si>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</si>
  <si>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</si>
  <si>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</si>
  <si>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</si>
  <si>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</si>
  <si>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</si>
  <si>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</si>
  <si>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</si>
  <si>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</si>
  <si>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</si>
  <si>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</si>
  <si>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</si>
  <si>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</si>
  <si>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</si>
  <si>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</si>
  <si>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</si>
  <si>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</si>
  <si>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</si>
  <si>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</si>
  <si>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</si>
  <si>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</si>
  <si>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</si>
  <si>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</si>
  <si>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</si>
  <si>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</si>
  <si>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</si>
  <si>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</si>
  <si>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</si>
  <si>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</si>
  <si>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</si>
  <si>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</si>
  <si>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</si>
  <si>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</si>
  <si>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</si>
  <si>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</si>
  <si>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</si>
  <si>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</si>
  <si>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</si>
  <si>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</si>
  <si>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</si>
  <si>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</si>
  <si>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</si>
  <si>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</si>
  <si>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</si>
  <si>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</si>
  <si>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</si>
  <si>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</si>
  <si>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</si>
  <si>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Add-On PU</t>
  </si>
  <si>
    <t>HC 2023-2024</t>
  </si>
  <si>
    <t>All Inclusive List - Sub-Development Category (SubDevCat)</t>
  </si>
  <si>
    <t>Redevelopment (w/ or w/o Acquisition)</t>
  </si>
  <si>
    <t>Preservation (w/ or w/o Acquisition)</t>
  </si>
  <si>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</si>
  <si>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</si>
  <si>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</si>
  <si>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</si>
  <si>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</si>
  <si>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</si>
  <si>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</si>
  <si>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</si>
  <si>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</si>
  <si>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</si>
  <si>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</si>
  <si>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</si>
  <si>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</si>
  <si>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</si>
  <si>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</si>
  <si>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</si>
  <si>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</si>
  <si>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</si>
  <si>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</si>
  <si>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</si>
  <si>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</si>
  <si>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</si>
  <si>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</si>
  <si>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</si>
  <si>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</si>
  <si>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</si>
  <si>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</si>
  <si>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</si>
  <si>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</si>
  <si>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</si>
  <si>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</si>
  <si>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</si>
  <si>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Local Government Revitalization Plan Goal</t>
  </si>
  <si>
    <t>c. Local Government Area of Opportunity Designation Goal (Broward, Duval, Hillsborough, Orange, Palm Beach Counties)</t>
  </si>
  <si>
    <t>b. Geographic Area of Opportunity / SADDA (Broward, Pinellas Counties)</t>
  </si>
  <si>
    <t>a. Geographic Areas of Opportunity / SADDA Goal (Family Demographic)</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</si>
  <si>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</si>
  <si>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</si>
  <si>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</si>
  <si>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</si>
  <si>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</si>
  <si>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</si>
  <si>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</si>
  <si>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</si>
  <si>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</si>
  <si>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</si>
  <si>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</si>
  <si>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</si>
  <si>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</si>
  <si>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</si>
  <si>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</si>
  <si>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</si>
  <si>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</si>
  <si>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</si>
  <si>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</si>
  <si>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</si>
  <si>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</si>
  <si>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</si>
  <si>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</si>
  <si>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</si>
  <si>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</si>
  <si>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</si>
  <si>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</si>
  <si>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</si>
  <si>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</si>
  <si>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</si>
  <si>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</si>
  <si>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</si>
  <si>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</si>
  <si>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</si>
  <si>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</si>
  <si>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</si>
  <si>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</si>
  <si>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</si>
  <si>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</si>
  <si>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</si>
  <si>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</si>
  <si>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</si>
  <si>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</si>
  <si>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</si>
  <si>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</si>
  <si>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</si>
  <si>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</si>
  <si>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</si>
  <si>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 xml:space="preserve">For Application purposes, the maximum hard and soft cost contingencies allowed cannot exceed (a) 5% of hard and soft costs </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</si>
  <si>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</si>
  <si>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</si>
  <si>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</si>
  <si>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</si>
  <si>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Face</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</si>
  <si>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</si>
  <si>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</si>
  <si>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</si>
  <si>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</si>
  <si>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</si>
  <si>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</si>
  <si>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</si>
  <si>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</si>
  <si>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</si>
  <si>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</si>
  <si>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</si>
  <si>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</si>
  <si>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</si>
  <si>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</si>
  <si>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</si>
  <si>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</si>
  <si>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r>
      <t xml:space="preserve">FHFC Costs &amp; Fees </t>
    </r>
    <r>
      <rPr>
        <vertAlign val="superscript"/>
        <sz val="9"/>
        <rFont val="Arial"/>
        <family val="2"/>
      </rPr>
      <t>See Note (2)</t>
    </r>
  </si>
  <si>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</si>
  <si>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</si>
  <si>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</si>
  <si>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</si>
  <si>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</si>
  <si>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r>
      <t xml:space="preserve">The Housing Credit equity proposal must be provided as </t>
    </r>
    <r>
      <rPr>
        <b/>
        <sz val="11"/>
        <color theme="1"/>
        <rFont val="Calibri"/>
        <family val="2"/>
        <scheme val="minor"/>
      </rPr>
      <t>Attachment 7.</t>
    </r>
  </si>
  <si>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</si>
  <si>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If the proposed Development is assisted with funding under the United States Department of Agriculture RD 515 Program and/or the RD 538 Program, indicate the applicable program(s) below and provide the required documentation as </t>
    </r>
    <r>
      <rPr>
        <b/>
        <sz val="11"/>
        <color theme="1"/>
        <rFont val="Calibri"/>
        <family val="2"/>
        <scheme val="minor"/>
      </rPr>
      <t>Attachment 9</t>
    </r>
    <r>
      <rPr>
        <sz val="11"/>
        <color theme="1"/>
        <rFont val="Calibri"/>
        <family val="2"/>
        <scheme val="minor"/>
      </rPr>
      <t xml:space="preserve"> to Exhibit A.</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</si>
  <si>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</si>
  <si>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t xml:space="preserve">for the Development Category of New Construction; or (b) 15% of hard costs and 5% of soft costs for Development Categories of </t>
  </si>
  <si>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 67-48.0072(17), F.A.C.; and (iv) a provision is provided in the contract with General Contractor that it will comply with subsection 67-48.0072(17)F.A.C.</t>
  </si>
  <si>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</si>
  <si>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</si>
  <si>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</si>
  <si>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</si>
  <si>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</si>
  <si>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</si>
  <si>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</si>
  <si>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2023-045C</t>
  </si>
  <si>
    <t>The Enclave at Northshore</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</si>
  <si>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</si>
  <si>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</si>
  <si>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</si>
  <si>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</si>
  <si>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</si>
  <si>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</si>
  <si>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</si>
  <si>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</si>
  <si>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</si>
  <si>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</si>
  <si>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</si>
  <si>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</si>
  <si>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</si>
  <si>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2023-040C</t>
  </si>
  <si>
    <t>Hermosa North Fort Myers</t>
  </si>
  <si>
    <t>2023-044C</t>
  </si>
  <si>
    <t>The Pointe at Piney-Z</t>
  </si>
  <si>
    <t>2023-151BSN</t>
  </si>
  <si>
    <t>Bayside Breeze</t>
  </si>
  <si>
    <t>2023-162H</t>
  </si>
  <si>
    <t>Parc East</t>
  </si>
  <si>
    <t>2022-104B</t>
  </si>
  <si>
    <t>2023-042C</t>
  </si>
  <si>
    <t xml:space="preserve">Poinciana Parc </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</si>
  <si>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</si>
  <si>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</si>
  <si>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</si>
  <si>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</si>
  <si>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</si>
  <si>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</si>
  <si>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</si>
  <si>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</si>
  <si>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</si>
  <si>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Villages of New Augustine - site 2</t>
  </si>
  <si>
    <t>Villages of New Augustine - site 3</t>
  </si>
  <si>
    <t>Remaining Developer Fee for Deferral (as needed)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</si>
  <si>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</si>
  <si>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</si>
  <si>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</si>
  <si>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</si>
  <si>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</si>
  <si>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</si>
  <si>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</si>
  <si>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</si>
  <si>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</si>
  <si>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</si>
  <si>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</si>
  <si>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</si>
  <si>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</si>
  <si>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</si>
  <si>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</si>
  <si>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</si>
  <si>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</si>
  <si>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</si>
  <si>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</si>
  <si>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</si>
  <si>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</si>
  <si>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</si>
  <si>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</si>
  <si>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</si>
  <si>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</si>
  <si>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(Adjust Print Range when changing this section)</t>
  </si>
  <si>
    <t>Does the Application qualify for the Development Subcategory of Redevelopment, with or without Acquisition?</t>
  </si>
  <si>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2023?</t>
    </r>
  </si>
  <si>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</si>
  <si>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 is a formula)</t>
  </si>
  <si>
    <t>Concatenated Names from other tabs:</t>
  </si>
  <si>
    <t>4.A.4.c.</t>
  </si>
  <si>
    <t>Maximum (SAIL)</t>
  </si>
  <si>
    <t>(not incorporated anywhere)</t>
  </si>
  <si>
    <t>Elig. A1.3.</t>
  </si>
  <si>
    <t>Elig. A1.4.</t>
  </si>
  <si>
    <t>Elig. A2.1.</t>
  </si>
  <si>
    <t>Elig. A2.2.</t>
  </si>
  <si>
    <t>Elig. A3.</t>
  </si>
  <si>
    <t>Elig. C</t>
  </si>
  <si>
    <t>Elig. Total</t>
  </si>
  <si>
    <t>Elig. NonAcq DF</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</si>
  <si>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</si>
  <si>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</si>
  <si>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</si>
  <si>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</si>
  <si>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</si>
  <si>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</si>
  <si>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</si>
  <si>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</si>
  <si>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</si>
  <si>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</si>
  <si>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</si>
  <si>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</si>
  <si>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</si>
  <si>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</si>
  <si>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</si>
  <si>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</si>
  <si>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</si>
  <si>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</si>
  <si>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 xml:space="preserve">     (a) Meets the Minimum RFA Unit Requirement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</si>
  <si>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</si>
  <si>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</si>
  <si>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</si>
  <si>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</si>
  <si>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</si>
  <si>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</si>
  <si>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</si>
  <si>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</si>
  <si>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</si>
  <si>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</si>
  <si>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</si>
  <si>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</si>
  <si>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</si>
  <si>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</si>
  <si>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</si>
  <si>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</si>
  <si>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</si>
  <si>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</si>
  <si>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</si>
  <si>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Rehabilitation Expenditures</t>
  </si>
  <si>
    <t xml:space="preserve">     (d) Adjusted Basis of Acquired Building</t>
  </si>
  <si>
    <t xml:space="preserve">     (d) Meets the IRS Rehab Expenditure requirement?</t>
  </si>
  <si>
    <t xml:space="preserve">     (e) Qualifying Basis Boost Factor</t>
  </si>
  <si>
    <t xml:space="preserve">     (e) Total Set-Aside Percentage</t>
  </si>
  <si>
    <t xml:space="preserve">     (e) Number of HC Set-Aside Units</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</si>
  <si>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</si>
  <si>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</si>
  <si>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</si>
  <si>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</si>
  <si>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</si>
  <si>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</si>
  <si>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</si>
  <si>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</si>
  <si>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</si>
  <si>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</si>
  <si>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</si>
  <si>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</si>
  <si>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</si>
  <si>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</si>
  <si>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</si>
  <si>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</si>
  <si>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</si>
  <si>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</si>
  <si>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</si>
  <si>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</si>
  <si>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</si>
  <si>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</si>
  <si>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</si>
  <si>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</si>
  <si>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</si>
  <si>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</si>
  <si>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</si>
  <si>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</si>
  <si>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</si>
  <si>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</si>
  <si>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</si>
  <si>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</si>
  <si>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</si>
  <si>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</si>
  <si>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</si>
  <si>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</si>
  <si>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</si>
  <si>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</si>
  <si>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</si>
  <si>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</si>
  <si>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</si>
  <si>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</si>
  <si>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</si>
  <si>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</si>
  <si>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</si>
  <si>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</si>
  <si>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</si>
  <si>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</si>
  <si>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</si>
  <si>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</si>
  <si>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</si>
  <si>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</si>
  <si>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</si>
  <si>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</si>
  <si>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</si>
  <si>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</si>
  <si>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</si>
  <si>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</si>
  <si>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</si>
  <si>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</si>
  <si>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</si>
  <si>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Note: HOME-ARP funding will be awarded as outlined in Section Five and Exhibit I. HOME-ARP funding will not be available for proposed Developments in Small Counties.</t>
  </si>
  <si>
    <t>HOME-ARP Loan Funding</t>
  </si>
  <si>
    <t>PU Limit-Dev Type</t>
  </si>
  <si>
    <t>(RFA 2022-109 Structure)</t>
  </si>
  <si>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</si>
  <si>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</si>
  <si>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</si>
  <si>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</si>
  <si>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</si>
  <si>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Pro Forma Pagination: 9% HC w/ Bonds Possible?</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</si>
  <si>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</si>
  <si>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</si>
  <si>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</si>
  <si>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</si>
  <si>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</si>
  <si>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</si>
  <si>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</si>
  <si>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</si>
  <si>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</si>
  <si>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</si>
  <si>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</si>
  <si>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</si>
  <si>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</si>
  <si>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</si>
  <si>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</si>
  <si>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</si>
  <si>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</si>
  <si>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t>Per Unit for Live Local Non-HC 61-80% AMI</t>
  </si>
  <si>
    <t>Per NC Unit - HC Unit =&lt; 60% AMI</t>
  </si>
  <si>
    <t>Per NC Unit - HC Unit &gt; 60% AMI &amp; =&lt; 80% AMI</t>
  </si>
  <si>
    <t>Per NC Unit - Non-HC Unit &gt; 60% AMI &amp; =&lt; 80%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</si>
  <si>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</si>
  <si>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</si>
  <si>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</si>
  <si>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</si>
  <si>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</si>
  <si>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</si>
  <si>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</si>
  <si>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</si>
  <si>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</si>
  <si>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 xml:space="preserve">   Total Units have been entered</t>
  </si>
  <si>
    <t xml:space="preserve">   Minimum IRS Set-Aside for Non-Profit Applicants</t>
  </si>
  <si>
    <t xml:space="preserve">   Minimum HC Set-Aside for Elderly ALF</t>
  </si>
  <si>
    <t xml:space="preserve">   Minimum ELI Set-Aside</t>
  </si>
  <si>
    <t xml:space="preserve">   Minimum below 50% AMI for Self-Sourced</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</si>
  <si>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</si>
  <si>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</si>
  <si>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</si>
  <si>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</si>
  <si>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</si>
  <si>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</si>
  <si>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</si>
  <si>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</si>
  <si>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</si>
  <si>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</si>
  <si>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</si>
  <si>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</si>
  <si>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</si>
  <si>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</si>
  <si>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</si>
  <si>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</si>
  <si>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</si>
  <si>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2024 ZCTAs
sorted by ZCTA</t>
  </si>
  <si>
    <t>2024 Metro QCT's
sorted by QCT</t>
  </si>
  <si>
    <t>2024 Non-Metro QCT's
sorted by QCT</t>
  </si>
  <si>
    <t>All 2024 GAOs
sorted by QCT</t>
  </si>
  <si>
    <t>DS_GAOs_effective2.1.24</t>
  </si>
  <si>
    <t>End of Non-Metro DDAs</t>
  </si>
  <si>
    <t>Effective for 2024 Database</t>
  </si>
  <si>
    <t>Meets criteria in Column B?</t>
  </si>
  <si>
    <t>Actual %</t>
  </si>
  <si>
    <t>Cushion:</t>
  </si>
  <si>
    <t>Highest HC</t>
  </si>
  <si>
    <t>Decreased</t>
  </si>
  <si>
    <t>Market</t>
  </si>
  <si>
    <t>Adjusted Percentage of Units</t>
  </si>
  <si>
    <t>205, 213</t>
  </si>
  <si>
    <t>Menu for Dev. Experience 'Programs' selection box description</t>
  </si>
  <si>
    <t>Live Local RFA Comment</t>
  </si>
  <si>
    <t xml:space="preserve"> Additional Live Local Developer Experience to be scored after submission.</t>
  </si>
  <si>
    <t>Live Local Development Experience Descriptor</t>
  </si>
  <si>
    <t>Publicly Owned Land Goal</t>
  </si>
  <si>
    <t>Goal 4 as described in Goal Tab</t>
  </si>
  <si>
    <t>Goal 5 as described in Goal Tab</t>
  </si>
  <si>
    <t>Mixed Use Development Goal</t>
  </si>
  <si>
    <t>(Reserved for '104' RFAs)</t>
  </si>
  <si>
    <t>Mixed-Income &amp; Mixed-Use Development</t>
  </si>
  <si>
    <t>Multifamily Rental Development</t>
  </si>
  <si>
    <t>Health and Wellness Program</t>
  </si>
  <si>
    <t>Financial Management for Elderly Residents</t>
  </si>
  <si>
    <t xml:space="preserve">SAIL Base Loan Request Amount Limits:  </t>
  </si>
  <si>
    <t xml:space="preserve">Applicant's SAIL Base Loan Request Amount:  </t>
  </si>
  <si>
    <t>Applicant's Eligible SAIL Base Loan Request Amount:</t>
  </si>
  <si>
    <t>Tax Exempt Bonds</t>
  </si>
  <si>
    <t>Section 4.A.11
Urban Infill Development or a Mixed-Use Development Qualifications</t>
  </si>
  <si>
    <t>Qualifications as a Mixed-Use Development that benefits the residents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</si>
  <si>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</si>
  <si>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</si>
  <si>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</si>
  <si>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</si>
  <si>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</si>
  <si>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</si>
  <si>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</si>
  <si>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t>Applicants that are proposing an Urban Infill Development must select the Urban Infill Subcategory option below and meet the associated requirements:</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</si>
  <si>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</si>
  <si>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</si>
  <si>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</si>
  <si>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</si>
  <si>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</si>
  <si>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</si>
  <si>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If the proposed Development will serve the Elderly (Non-ALF) Demographic Commitment, does the Applicant commit to provide Private Transportation?</t>
  </si>
  <si>
    <t>Total Proximity Points calculated based on information entered above, without the benefit of a PHA Boost:</t>
  </si>
  <si>
    <t xml:space="preserve">Developer fee may not exceed the limits established in Rule Chapter 67-21, F.A.C., or this RFA.  Any portion of the fee that </t>
  </si>
  <si>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</si>
  <si>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</si>
  <si>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Does the Application meet the eligibility described in Section Four A.7.b. to qualify for the Publicly Owned Land Goal?</t>
  </si>
  <si>
    <t>Set-Aside Commitments per Corporation Requirements</t>
  </si>
  <si>
    <t>Less Construction Feature Costs, if applicable….................................................................................................</t>
  </si>
  <si>
    <t>&lt;enter value&gt;</t>
  </si>
  <si>
    <t>Housing Credits</t>
  </si>
  <si>
    <t>Homeless Region</t>
  </si>
  <si>
    <t>North Florida</t>
  </si>
  <si>
    <t>Central Florida</t>
  </si>
  <si>
    <t>South Florida</t>
  </si>
  <si>
    <t>Tampa Bay</t>
  </si>
  <si>
    <t>Corresponding Homeless Development Region:</t>
  </si>
  <si>
    <t>DS_2023_GAO_QCTs_Sorted</t>
  </si>
  <si>
    <t>Type Goal 1 Descriptive Wording in this Cell</t>
  </si>
  <si>
    <t>Type Goal 2 Descriptive Wording in this Cell</t>
  </si>
  <si>
    <t>Type Goal 3 Descriptive Wording in this Cell</t>
  </si>
  <si>
    <t>Type Goal 4 Descriptive Wording in this Cell</t>
  </si>
  <si>
    <t>(iv)</t>
  </si>
  <si>
    <t>(v)</t>
  </si>
  <si>
    <t>Min Units met or not 4</t>
  </si>
  <si>
    <t>Min Units met or not 5</t>
  </si>
  <si>
    <t>Program and Date met or not 4</t>
  </si>
  <si>
    <t>Program and Date met or not 5</t>
  </si>
  <si>
    <t># of Total Devs listed or not 4</t>
  </si>
  <si>
    <t># of Total Devs listed or not 5</t>
  </si>
  <si>
    <t>Initial Date met or not 4</t>
  </si>
  <si>
    <t>Initial Date met or not 5</t>
  </si>
  <si>
    <t># of affordable housing developments to list (1-5)</t>
  </si>
  <si>
    <t>All Counties</t>
  </si>
  <si>
    <t>To show all of the table, (1) select a Minimum Set-Aside Commitment and (2) have the appropriate ELI to be purchased be more than 0%.</t>
  </si>
  <si>
    <r>
      <t xml:space="preserve">Exception: </t>
    </r>
    <r>
      <rPr>
        <b/>
        <sz val="11"/>
        <color theme="1"/>
        <rFont val="Calibri"/>
        <family val="2"/>
        <scheme val="minor"/>
      </rPr>
      <t>For</t>
    </r>
    <r>
      <rPr>
        <sz val="11"/>
        <color theme="1"/>
        <rFont val="Calibri"/>
        <family val="2"/>
        <scheme val="minor"/>
      </rPr>
      <t xml:space="preserve"> Profit w/ this minimum set-aside units (Family or Elderly Non-ALF)</t>
    </r>
  </si>
  <si>
    <t>LIHTC Development w/ at least 20% as non-LIHTC Units</t>
  </si>
  <si>
    <t>Mixed-Use &amp; LIHTC Development w/ at least 20% as non-LIHTC Units</t>
  </si>
  <si>
    <t>LIHTC Development committed to AIT</t>
  </si>
  <si>
    <t>Mixed-Use &amp; LIHTC Development committed to AIT</t>
  </si>
  <si>
    <t>LIHTC Development w/ at least 20% as non-LIHTC Units committed to AIT</t>
  </si>
  <si>
    <t>Mixed-Use LIHTC Development w/ at least 20% as non-LIHTC Units committed to AIT</t>
  </si>
  <si>
    <t>Per NC Unit - Non-HC Unit &gt; 80% AMI &amp; =&lt; 90% AMI</t>
  </si>
  <si>
    <t>Per NC Unit - Non-HC Unit &gt; 100% AMI &amp; =&lt; 110% AMI</t>
  </si>
  <si>
    <t>Per Unit for Live Local Non-HC 81-90% AMI</t>
  </si>
  <si>
    <t>Per Unit for Live Local Non-HC 101%-110% AMI</t>
  </si>
  <si>
    <t xml:space="preserve">   Live Local Exception to 50% LIHTC Set-Aside Exception</t>
  </si>
  <si>
    <t>Needed for Redevelopment or Preservation (Rental Assistance Qualification Letter)</t>
  </si>
  <si>
    <t>Needed to display compliance with NC unit count restrictions. Feeds into meeting Dev Cat criteria.</t>
  </si>
  <si>
    <t>Needed for clarifying non-profit status for NC Dev Cat. Does not feed into anything.</t>
  </si>
  <si>
    <t>Identify one HUD or RD financing program</t>
  </si>
  <si>
    <t>Set-up question for Redevelopment or Preservation below</t>
  </si>
  <si>
    <t>This section is for Rehab or Prez categories and checks the Development Category menu to automatically evaluate</t>
  </si>
  <si>
    <t>DOT question (Redev) or Prior Rehab Expenditure question (Prez)</t>
  </si>
  <si>
    <t>Gross SAIL</t>
  </si>
  <si>
    <t>Net SAIL</t>
  </si>
  <si>
    <r>
      <t xml:space="preserve">Maximum Gross SAIL Request Amount </t>
    </r>
    <r>
      <rPr>
        <u/>
        <sz val="11"/>
        <color theme="1"/>
        <rFont val="Calibri"/>
        <family val="2"/>
        <scheme val="minor"/>
      </rPr>
      <t>Per Development</t>
    </r>
    <r>
      <rPr>
        <sz val="11"/>
        <color theme="1"/>
        <rFont val="Calibri"/>
        <family val="2"/>
        <scheme val="minor"/>
      </rPr>
      <t xml:space="preserve"> Basis</t>
    </r>
  </si>
  <si>
    <r>
      <t xml:space="preserve">Maximum Net SAIL Request Amount </t>
    </r>
    <r>
      <rPr>
        <u/>
        <sz val="11"/>
        <color theme="1"/>
        <rFont val="Calibri"/>
        <family val="2"/>
        <scheme val="minor"/>
      </rPr>
      <t>Per Development</t>
    </r>
    <r>
      <rPr>
        <sz val="11"/>
        <color theme="1"/>
        <rFont val="Calibri"/>
        <family val="2"/>
        <scheme val="minor"/>
      </rPr>
      <t xml:space="preserve"> Basis</t>
    </r>
  </si>
  <si>
    <r>
      <t xml:space="preserve">Maximum Gross SAIL Request Amount </t>
    </r>
    <r>
      <rPr>
        <u/>
        <sz val="11"/>
        <color theme="1"/>
        <rFont val="Calibri"/>
        <family val="2"/>
        <scheme val="minor"/>
      </rPr>
      <t>Per Unit</t>
    </r>
    <r>
      <rPr>
        <sz val="11"/>
        <color theme="1"/>
        <rFont val="Calibri"/>
        <family val="2"/>
        <scheme val="minor"/>
      </rPr>
      <t xml:space="preserve"> Basis</t>
    </r>
  </si>
  <si>
    <r>
      <t xml:space="preserve">Maximum Net SAIL Request Amount </t>
    </r>
    <r>
      <rPr>
        <u/>
        <sz val="11"/>
        <color theme="1"/>
        <rFont val="Calibri"/>
        <family val="2"/>
        <scheme val="minor"/>
      </rPr>
      <t>Per Unit</t>
    </r>
    <r>
      <rPr>
        <sz val="11"/>
        <color theme="1"/>
        <rFont val="Calibri"/>
        <family val="2"/>
        <scheme val="minor"/>
      </rPr>
      <t xml:space="preserve"> Basis</t>
    </r>
  </si>
  <si>
    <t>Is the ELI funding part of the SAIL Per Unit Limit?</t>
  </si>
  <si>
    <r>
      <t xml:space="preserve">Name of </t>
    </r>
    <r>
      <rPr>
        <b/>
        <sz val="11"/>
        <color theme="1"/>
        <rFont val="Calibri"/>
        <family val="2"/>
        <scheme val="minor"/>
      </rPr>
      <t>additional</t>
    </r>
    <r>
      <rPr>
        <sz val="11"/>
        <color theme="1"/>
        <rFont val="Calibri"/>
        <family val="2"/>
        <scheme val="minor"/>
      </rPr>
      <t xml:space="preserve"> natural person Principal(s) with the required experience, if necessary:</t>
    </r>
  </si>
  <si>
    <t>Does the Applicant meet the Developer Experience requirement demonstrating that at least one of the five developments must have (i) been financed utilizing either 9% or 4% Housing Credits; and (ii) included at least 20% of the units as non-Housing Credit units will also be awarded 5 points?</t>
  </si>
  <si>
    <t>Is the ELI funding part of the LTC Limit?</t>
  </si>
  <si>
    <t>The Applicant, the Developer and all Principals are in good standing among all other state housing agencies and have not been prohibited from applying for funding.</t>
  </si>
  <si>
    <t>Northwest RAO</t>
  </si>
  <si>
    <t>South Central RAO</t>
  </si>
  <si>
    <t>North Central RAO</t>
  </si>
  <si>
    <t>Northwest RAO*</t>
  </si>
  <si>
    <t>South Central RAO*</t>
  </si>
  <si>
    <t>(Below goes to row 3)</t>
  </si>
  <si>
    <t>3*</t>
  </si>
  <si>
    <t>These 11 descriptions can not be edited, moved, or deleted w/o editing formulas. They are referenced in developer experience self-scoring formulas.</t>
  </si>
  <si>
    <t>(Hidden Menu)</t>
  </si>
  <si>
    <t>(Menu when Hidden Menu is NOT active)</t>
  </si>
  <si>
    <t>HSS &amp; Coordination Check Box Reference Cells (Services tab)</t>
  </si>
  <si>
    <t>(LDA Tracking Data)</t>
  </si>
  <si>
    <t>Per Unit for Live Local Non-HC 91-100% AMI</t>
  </si>
  <si>
    <t>Per Unit for Live Local Non-HC 111%-120% AMI</t>
  </si>
  <si>
    <t>No mortgage will be allowed to have a senior lien position to Corporation funding.</t>
  </si>
  <si>
    <t>Deducts 'Eligible_ELI_Request_Amount' from (1) LLA Max PU Total (Gross) [i.e., Total PD]; (2) Max Gross SAIL Request Amount PD; and (3) total PD limit based on PU caps for SS, non-SS</t>
  </si>
  <si>
    <t>Per Statutes, default is always 'Yes'</t>
  </si>
  <si>
    <t>Deducts 'Eligible_ELI_Request_Amount' from Overall totals based on (1) LLA Max PU Total (Gross) [i.e., Total PD]; (2) Max Gross SAIL Request Amounts PU; and (3) total PD limit based on PU caps for SS, non-SS</t>
  </si>
  <si>
    <t>Deducts 'RRLP_ELI_Request_Amount' from RRLP PD &amp; PU (overall total) amounts in (a) &amp; (b) in RRLP section</t>
  </si>
  <si>
    <t>"Invalid Entry - The ZCTA is not in the HUD (2022/2023/2024) database"</t>
  </si>
  <si>
    <t>"The ZCTA is in the HUD(2022/2023/2024) database for X County."</t>
  </si>
  <si>
    <t>"The QCT is in the X County HUD (2022/2023/2024) Metro QCT database."</t>
  </si>
  <si>
    <t>"The QCT and X County are in the HUD (2022/2023/2024) Metro QCT database, but the QCT is NOT in X County."</t>
  </si>
  <si>
    <t>"The QCT is in the HUD (2022/2023/2024) Metro QCT database, but X County is NOT."</t>
  </si>
  <si>
    <t>"X County is in the HUD (2022/2023/2024) Metro QCT database, but the QCT is NOT."</t>
  </si>
  <si>
    <t>"Neither the QCT nor X County are in the HUD (2022/2023/2024) Metro QCT database."</t>
  </si>
  <si>
    <t>Note (16):</t>
  </si>
  <si>
    <t>1,6,16</t>
  </si>
  <si>
    <t>1,4,6,16</t>
  </si>
  <si>
    <t>1,2,3,4,5,6,7,8,9,10,13,14,15,16</t>
  </si>
  <si>
    <t>1,2,3,4,5,6,13,14,16,R1,R2,R3</t>
  </si>
  <si>
    <r>
      <rPr>
        <b/>
        <sz val="11"/>
        <color theme="1"/>
        <rFont val="Calibri"/>
        <family val="2"/>
        <scheme val="minor"/>
      </rPr>
      <t>1,6,16;</t>
    </r>
    <r>
      <rPr>
        <sz val="11"/>
        <color theme="1"/>
        <rFont val="Calibri"/>
        <family val="2"/>
        <scheme val="minor"/>
      </rPr>
      <t xml:space="preserve"> </t>
    </r>
    <r>
      <rPr>
        <b/>
        <sz val="11"/>
        <color theme="1"/>
        <rFont val="Calibri"/>
        <family val="2"/>
        <scheme val="minor"/>
      </rPr>
      <t>1,6;</t>
    </r>
    <r>
      <rPr>
        <sz val="11"/>
        <color theme="1"/>
        <rFont val="Calibri"/>
        <family val="2"/>
        <scheme val="minor"/>
      </rPr>
      <t xml:space="preserve"> 1,16; 6,16; </t>
    </r>
    <r>
      <rPr>
        <b/>
        <sz val="11"/>
        <color theme="1"/>
        <rFont val="Calibri"/>
        <family val="2"/>
        <scheme val="minor"/>
      </rPr>
      <t>1; 6; 16</t>
    </r>
  </si>
  <si>
    <t xml:space="preserve">The Applicant has not indicated whether the Development is currently in either the Corporation's and/or RD's Portfolio. </t>
  </si>
  <si>
    <t xml:space="preserve">The Applicant did not state the Application Number assigned to the Development when it previously applied. </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</si>
  <si>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11:</t>
    </r>
  </si>
  <si>
    <t>Per Development - New Construction</t>
  </si>
  <si>
    <t>Federal Funding requiring Davis Bacon and Environmental Review requirements</t>
  </si>
  <si>
    <t>Previous Submission Funding Preference</t>
  </si>
  <si>
    <t>Does the Application qualify for the Previous Submission Funding Preference?</t>
  </si>
  <si>
    <t>Federal Funding Experience Preference</t>
  </si>
  <si>
    <t>Does the Application qualify for the Federal Funding Experience Preference?</t>
  </si>
  <si>
    <t>Minimum # of Units - Tax-Exempt Bond Transactions</t>
  </si>
  <si>
    <t># of Developments Being Shown:</t>
  </si>
  <si>
    <t>If it is for Federal Funding (in general), how many units is the minimum number?</t>
  </si>
  <si>
    <t>Is Davis-Bacon related Developer experience required?</t>
  </si>
  <si>
    <t>Is DB Experience for Federal Funding (in general)?</t>
  </si>
  <si>
    <t>Is DB Experience for HOME (at least 12 units)?</t>
  </si>
  <si>
    <t>Is DB Experience for CDBG-DR (at least 8 units)?</t>
  </si>
  <si>
    <r>
      <t xml:space="preserve">Only font turns dark red when it does NOT meet the conditions. It looks for HOME or CDBG-DR OR Federal Funding in </t>
    </r>
    <r>
      <rPr>
        <b/>
        <sz val="9"/>
        <color rgb="FFC00000"/>
        <rFont val="Calibri"/>
        <family val="2"/>
        <scheme val="minor"/>
      </rPr>
      <t>FIRST</t>
    </r>
    <r>
      <rPr>
        <sz val="9"/>
        <color rgb="FFC00000"/>
        <rFont val="Calibri"/>
        <family val="2"/>
        <scheme val="minor"/>
      </rPr>
      <t xml:space="preserve"> development only. If you want any other options, let Kevin know.</t>
    </r>
  </si>
  <si>
    <t>This checks each of the 5 "Other" sections for the term '20'</t>
  </si>
  <si>
    <t>Min. DB Unit Hurdle</t>
  </si>
  <si>
    <r>
      <rPr>
        <b/>
        <sz val="11"/>
        <color theme="1"/>
        <rFont val="Calibri"/>
        <family val="2"/>
        <scheme val="minor"/>
      </rPr>
      <t>Not Monitored on front-end</t>
    </r>
    <r>
      <rPr>
        <sz val="11"/>
        <color theme="1"/>
        <rFont val="Calibri"/>
        <family val="2"/>
        <scheme val="minor"/>
      </rPr>
      <t>. at 75% AMI or less AND either (1) 40% at 60% or less or (2) 20% at 50% AMI or less.</t>
    </r>
  </si>
  <si>
    <t>Scenario</t>
  </si>
  <si>
    <t>Scenarios</t>
  </si>
  <si>
    <t>Does the Applicant qualify for the Accessibility Preference for the designated Level Accessibility Requirements?</t>
  </si>
  <si>
    <t>4.A.1.</t>
  </si>
  <si>
    <t>New Development</t>
  </si>
  <si>
    <t>Reconstructed Development</t>
  </si>
  <si>
    <t>Occupied Development</t>
  </si>
  <si>
    <t>Minimum # of Units - Final Default</t>
  </si>
  <si>
    <t>RD 514/516</t>
  </si>
  <si>
    <t>4.A.6.c.(2)</t>
  </si>
  <si>
    <t>Select one of the following minimum Demographic set-aside commitments:</t>
  </si>
  <si>
    <t>Section 4.A.1.
Linked Applications</t>
  </si>
  <si>
    <t>Designate the Linked Applications</t>
  </si>
  <si>
    <t>Demographic commitment of the Occupied Development</t>
  </si>
  <si>
    <t>Demographic Commitment</t>
  </si>
  <si>
    <t>State the county of the Occupied Development:</t>
  </si>
  <si>
    <t>State the address of the Occupied Development:</t>
  </si>
  <si>
    <t>State the total number of units in the Occupied Development:</t>
  </si>
  <si>
    <t>Confirm Occupied Development meets the occupancy requirements:</t>
  </si>
  <si>
    <t>State the number of Set-Aside Units or Naturally Occurring Affordable Housing Units in the Occupied Development:</t>
  </si>
  <si>
    <t>Relocation Requirements</t>
  </si>
  <si>
    <t>Relocation expenses are incurred until such time that the tenants of the Occupied Development are offered a suitable unit in either the New Development or Reconstructed Development</t>
  </si>
  <si>
    <t>Pre-Application Meeting regarding the Relocation of Existing Tenants Incentive (10 Points)</t>
  </si>
  <si>
    <t>Number of Units Preference</t>
  </si>
  <si>
    <t>Status:</t>
  </si>
  <si>
    <t>formula</t>
  </si>
  <si>
    <t>Live Local Active (first 11 Dev Exp 213 Programs above)?</t>
  </si>
  <si>
    <t>(row height: RFA 214=14.5; otherwise 50)</t>
  </si>
  <si>
    <t>The Corporation has additional minimum set-aside requirements beyond those required by Section 42 of the IRC, if applicable, which must be reflected on the Total Set-Aside Breakdown Chart, as outlined in Section 4.A.6.c.(2) in the RFA.</t>
  </si>
  <si>
    <t>Note:  If the Total Set-Aside Breakdown Chart reflects that the Average AMI of all Qualifying Units exceeds 60 percent, and/or if the number of Set-Aside Units set aside at 30 percent AMI or less, is not equal to or greater than the required ELI commitment, and/or the overall Set-Aside Commitment requirement is not met, the Application will not be eligible for funding.</t>
  </si>
  <si>
    <t>Average AMI of the Qualifying Units</t>
  </si>
  <si>
    <t>State the 4-digit year that the Occupied Development was built:</t>
  </si>
  <si>
    <t>Rehab w/ Acq.</t>
  </si>
  <si>
    <t>Rehab w/o Acq.</t>
  </si>
  <si>
    <t>Should the SAIL or RRLP Eligible Request be Inclusive of ELI?</t>
  </si>
  <si>
    <t>Must be a 1 (including ELI) or 0 (excluding ELI)</t>
  </si>
  <si>
    <t>1st
Development</t>
  </si>
  <si>
    <t>2nd
Development</t>
  </si>
  <si>
    <t>1st
Dev.</t>
  </si>
  <si>
    <r>
      <t xml:space="preserve">(Toggles between Miami-Dade/Broward and </t>
    </r>
    <r>
      <rPr>
        <u/>
        <sz val="11"/>
        <color rgb="FFFF0000"/>
        <rFont val="Calibri"/>
        <family val="2"/>
        <scheme val="minor"/>
      </rPr>
      <t>not</t>
    </r>
    <r>
      <rPr>
        <sz val="11"/>
        <color rgb="FFFF0000"/>
        <rFont val="Calibri"/>
        <family val="2"/>
        <scheme val="minor"/>
      </rPr>
      <t xml:space="preserve"> Miami-Dade/Broward)</t>
    </r>
  </si>
  <si>
    <t>2nd
Dev.</t>
  </si>
  <si>
    <t>Additional Occupied Development requirements are outlined in Section Four, A.4.b. of the RFA.</t>
  </si>
  <si>
    <t>Description of the Work Required</t>
  </si>
  <si>
    <t>Applicants will be required to provide a brief narrative of the proposed work, including a description of the sites, the location and/or site configuration of both sites, and a description of existing and proposed improvements on both sites.</t>
  </si>
  <si>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</si>
  <si>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</si>
  <si>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</si>
  <si>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</si>
  <si>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t>Rent Study</t>
  </si>
  <si>
    <t>Occupied Development meets the definition of Naturally Occurring Affordable Housing</t>
  </si>
  <si>
    <t>The Applicant must ensure that tenants receive supports and services related to their relocation during the development and reconstruction of the existing development. Partners in the identified Applicant Entity must participate in Post-Application Meetings with the Corporation to discuss relocation parameters; maintain communication with the Corporation about the status of the original residents through regular update meetings; and provide a detailed report analyzing the (un)anticipated and actual resident needs experienced during tenant relocation. The Tenant Relocation Plan template and accompanying documents can be found on the RFA webpage. After the completion of both the new and reconstructed developments are complete, the Applicant may be required to cooperate further with the Corporation or any contractors affiliated with the Corporation in the evaluation of the relocation efforts engaged in as a result of this RFA.</t>
  </si>
  <si>
    <t>Wording has varied</t>
  </si>
  <si>
    <t>If the Occupied Development meets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that demonstrates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</si>
  <si>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Set-Aside Units:</t>
  </si>
  <si>
    <t>Combination Application</t>
  </si>
  <si>
    <t>Developer Experience</t>
  </si>
  <si>
    <t>Within this RFA, each Applicant proposing a Combination Application must submit one Application.  Other Applicants must submit two Linked Applications:  one Application will be for a New Development and one Application will be for a Reconstructed Development.  This set of Applications will be considered Linked Applications.</t>
  </si>
  <si>
    <t>The Reconstructed Development requirements are outlined in Section Four, A.4.b. of the RFA.</t>
  </si>
  <si>
    <t>The New Development requirements are outlined in Section Four, A.4.b. of the RFA.</t>
  </si>
  <si>
    <t>To receive 10 points, submit the Corporation-approved Pre-Application Meeting for Relocation of Tenants Form (Rev. 03-2024) as Attachment 3.</t>
  </si>
  <si>
    <t>F &amp; E</t>
  </si>
  <si>
    <t>FF</t>
  </si>
  <si>
    <t>p10, Rev. Proc 2023-34 for 2024</t>
  </si>
  <si>
    <r>
      <t xml:space="preserve">per low-income unit IRC </t>
    </r>
    <r>
      <rPr>
        <sz val="11"/>
        <color rgb="FFFF00FF"/>
        <rFont val="Calibri"/>
        <family val="2"/>
      </rPr>
      <t>§42(e)(3)(A)(ii)(II)</t>
    </r>
    <r>
      <rPr>
        <sz val="11"/>
        <color rgb="FFFF00FF"/>
        <rFont val="Calibri"/>
        <family val="2"/>
        <scheme val="minor"/>
      </rPr>
      <t>, adjusted for cost-of-living</t>
    </r>
    <r>
      <rPr>
        <sz val="11"/>
        <color rgb="FFFF00FF"/>
        <rFont val="Calibri"/>
        <family val="2"/>
      </rPr>
      <t>†</t>
    </r>
  </si>
  <si>
    <t>If 'Other' is selected above, enter the name of the program</t>
  </si>
  <si>
    <r>
      <rPr>
        <b/>
        <sz val="11"/>
        <rFont val="Calibri"/>
        <family val="2"/>
        <scheme val="minor"/>
      </rPr>
      <t>2024</t>
    </r>
    <r>
      <rPr>
        <b/>
        <u/>
        <sz val="11"/>
        <rFont val="Calibri"/>
        <family val="2"/>
        <scheme val="minor"/>
      </rPr>
      <t xml:space="preserve">
ELI %</t>
    </r>
  </si>
  <si>
    <t>2024 ELI Funding Per Unit</t>
  </si>
  <si>
    <t>2024 Min. NHTF Funding PU</t>
  </si>
  <si>
    <t>PHA Multiplier</t>
  </si>
  <si>
    <t>Davis_Bacon Multiplier</t>
  </si>
  <si>
    <t>Value</t>
  </si>
  <si>
    <t>Elderly ALF Multiplier</t>
  </si>
  <si>
    <t>Demographic Multiplier</t>
  </si>
  <si>
    <t>App Multiplier</t>
  </si>
  <si>
    <t>Name</t>
  </si>
  <si>
    <t>Variable</t>
  </si>
  <si>
    <t>Applicable</t>
  </si>
  <si>
    <t>Pro Forma 2 Cost Columns Required for All Apps?</t>
  </si>
  <si>
    <t>End of County GAOs</t>
  </si>
  <si>
    <t>End of County QCTs</t>
  </si>
  <si>
    <t>County w/ Most Entries</t>
  </si>
  <si>
    <t>DS_2024_GAO_QCTs_Sorted</t>
  </si>
  <si>
    <t>2024-001BSN</t>
  </si>
  <si>
    <t>Hawthorne Heights</t>
  </si>
  <si>
    <t>2024-133C</t>
  </si>
  <si>
    <t>Williston Pointe</t>
  </si>
  <si>
    <t>2024-124C</t>
  </si>
  <si>
    <t>Tranquility at Saint Andrews</t>
  </si>
  <si>
    <t>2024-113C</t>
  </si>
  <si>
    <t>Blue Deep Creek</t>
  </si>
  <si>
    <t>2024-073C</t>
  </si>
  <si>
    <t>Cardinal Oaks</t>
  </si>
  <si>
    <t>2024-055BSN</t>
  </si>
  <si>
    <t>Casa San Juan Diego</t>
  </si>
  <si>
    <t>2024-249S</t>
  </si>
  <si>
    <t>Ekos on Collier</t>
  </si>
  <si>
    <t>2024-128C</t>
  </si>
  <si>
    <t>Sweetwater Apartments Phase II</t>
  </si>
  <si>
    <t>2024-077C</t>
  </si>
  <si>
    <t>Avon Park Apartments</t>
  </si>
  <si>
    <t>2024-264BS</t>
  </si>
  <si>
    <t>Urick Street Apartments</t>
  </si>
  <si>
    <t>2024-018SN</t>
  </si>
  <si>
    <t>3611/3621 Cleveland Avenue</t>
  </si>
  <si>
    <t>2024-032BSN</t>
  </si>
  <si>
    <t>Hermosa North Fort Myers II</t>
  </si>
  <si>
    <t>2024-225BS</t>
  </si>
  <si>
    <t>Southward Village CNI Phase 2 - site 1</t>
  </si>
  <si>
    <t>Southward Village CNI Phase 2 - site 2</t>
  </si>
  <si>
    <t>Southward Village CNI Phase 2 - site 3</t>
  </si>
  <si>
    <t>Southward Village CNI Phase 2 - site 4</t>
  </si>
  <si>
    <t>Southward Village CNI Phase 2 - site 5</t>
  </si>
  <si>
    <t>Southward Village CNI Phase 2 - site 6</t>
  </si>
  <si>
    <t>Southward Village CNI Phase 2 - site 7</t>
  </si>
  <si>
    <t>Southward Village CNI Phase 2 - site 8</t>
  </si>
  <si>
    <t>2024-028S</t>
  </si>
  <si>
    <t>Lake Bradford Apartments</t>
  </si>
  <si>
    <t>2024-253BS</t>
  </si>
  <si>
    <t>Ninth Street Apartments</t>
  </si>
  <si>
    <t>2024-093C</t>
  </si>
  <si>
    <t>Woodlock Manor</t>
  </si>
  <si>
    <t>2024-130C</t>
  </si>
  <si>
    <t>2024-112C</t>
  </si>
  <si>
    <t>Grove Manor Phase II</t>
  </si>
  <si>
    <t>2024-106C</t>
  </si>
  <si>
    <t>Ekos at Arbor Park Phase II</t>
  </si>
  <si>
    <t>2024-019S</t>
  </si>
  <si>
    <t>Riverbend Landings</t>
  </si>
  <si>
    <t>2024-237S</t>
  </si>
  <si>
    <t>Riverbend Landings - Phase II</t>
  </si>
  <si>
    <t>2024-134C</t>
  </si>
  <si>
    <t>Lake Sumter Reserve - Phase II</t>
  </si>
  <si>
    <t>2024-020BSN</t>
  </si>
  <si>
    <t>Arbours at Emerald Springs</t>
  </si>
  <si>
    <t>2024 DS_Proximity_DDMenu</t>
  </si>
  <si>
    <t>2024 MetroRail Menu</t>
  </si>
  <si>
    <t>2024 Urban Center</t>
  </si>
  <si>
    <t>Below is for a purchased ELI note</t>
  </si>
  <si>
    <t>Row Height: Bogo - 80; All other - 35</t>
  </si>
  <si>
    <t>Designation of Linked Subject Application</t>
  </si>
  <si>
    <t>Permit Ready Goal</t>
  </si>
  <si>
    <t>The Corporation has a goal to select one Application proposing a New Construction Development that submits a Permit Letter from the Local Government for the Development as Attachment 7 reflecting that no additional conditions are required in order to get all permits for the Development, other than payment of additional fees.</t>
  </si>
  <si>
    <t>Does the Application meet the eligibility described in Section Four A.7.b. to qualify for the Permit Ready Goal?</t>
  </si>
  <si>
    <t>Davis-Bacon Multiplier</t>
  </si>
  <si>
    <t>Ekos at Bayonet Pointe fka Bayonet Gardens</t>
  </si>
  <si>
    <t>Maison at Solivita Marketplace</t>
  </si>
  <si>
    <t>HC 2024-2025</t>
  </si>
  <si>
    <t>Local Government Area of Opportunity Contributors</t>
  </si>
  <si>
    <t>Type of LGAO Contribution</t>
  </si>
  <si>
    <r>
      <t xml:space="preserve">The Local Government Verification of Contribution form(s) </t>
    </r>
    <r>
      <rPr>
        <b/>
        <sz val="11"/>
        <color rgb="FFFF0000"/>
        <rFont val="Calibri"/>
        <family val="2"/>
        <scheme val="minor"/>
      </rPr>
      <t xml:space="preserve">must be dated within </t>
    </r>
    <r>
      <rPr>
        <b/>
        <u/>
        <sz val="11"/>
        <color rgb="FFFF0000"/>
        <rFont val="Calibri"/>
        <family val="2"/>
        <scheme val="minor"/>
      </rPr>
      <t>NINE</t>
    </r>
    <r>
      <rPr>
        <b/>
        <sz val="11"/>
        <color rgb="FFFF0000"/>
        <rFont val="Calibri"/>
        <family val="2"/>
        <scheme val="minor"/>
      </rPr>
      <t xml:space="preserve"> months of the Application Deadline if used for Local Government Area of Opportunity designation</t>
    </r>
    <r>
      <rPr>
        <sz val="11"/>
        <color rgb="FFFF0000"/>
        <rFont val="Calibri"/>
        <family val="2"/>
        <scheme val="minor"/>
      </rPr>
      <t>.</t>
    </r>
  </si>
  <si>
    <t>Is only LGAO in effect for this RFA?</t>
  </si>
  <si>
    <t>LGAO Loan</t>
  </si>
  <si>
    <t>LGAO Grant</t>
  </si>
  <si>
    <t>TDC 2022-2023</t>
  </si>
  <si>
    <t>TDC 2021-2022</t>
  </si>
  <si>
    <t>Total</t>
  </si>
  <si>
    <t>Set-Asides</t>
  </si>
  <si>
    <t>(Excludes 214)</t>
  </si>
  <si>
    <r>
      <t xml:space="preserve">Are </t>
    </r>
    <r>
      <rPr>
        <u/>
        <sz val="11"/>
        <color theme="1"/>
        <rFont val="Calibri"/>
        <family val="2"/>
        <scheme val="minor"/>
      </rPr>
      <t>Minimum</t>
    </r>
    <r>
      <rPr>
        <sz val="11"/>
        <color theme="1"/>
        <rFont val="Calibri"/>
        <family val="2"/>
        <scheme val="minor"/>
      </rPr>
      <t xml:space="preserve"> Units based on Total Units or Set-Aside Units?</t>
    </r>
  </si>
  <si>
    <r>
      <t xml:space="preserve">Are </t>
    </r>
    <r>
      <rPr>
        <u/>
        <sz val="11"/>
        <color theme="1"/>
        <rFont val="Calibri"/>
        <family val="2"/>
        <scheme val="minor"/>
      </rPr>
      <t>Maximum</t>
    </r>
    <r>
      <rPr>
        <sz val="11"/>
        <color theme="1"/>
        <rFont val="Calibri"/>
        <family val="2"/>
        <scheme val="minor"/>
      </rPr>
      <t xml:space="preserve"> Units based on Total Units or Set-Aside Units?</t>
    </r>
  </si>
  <si>
    <t>5. Homeownership Seminar</t>
  </si>
  <si>
    <t>RFA Cycle</t>
  </si>
  <si>
    <t>2024-2025</t>
  </si>
  <si>
    <t>Leveraging Method</t>
  </si>
  <si>
    <t>PHA/Davis-Bacon</t>
  </si>
  <si>
    <t>NC Garden</t>
  </si>
  <si>
    <t>NC Mid-Rise</t>
  </si>
  <si>
    <t>NC Other</t>
  </si>
  <si>
    <t>ESSC</t>
  </si>
  <si>
    <t>Basis Boost</t>
  </si>
  <si>
    <t>Master Plan</t>
  </si>
  <si>
    <r>
      <t xml:space="preserve">Provide a copy of the Master Plan as </t>
    </r>
    <r>
      <rPr>
        <b/>
        <sz val="11"/>
        <color theme="1"/>
        <rFont val="Calibri"/>
        <family val="2"/>
        <scheme val="minor"/>
      </rPr>
      <t>Attachment 5</t>
    </r>
    <r>
      <rPr>
        <sz val="11"/>
        <color theme="1"/>
        <rFont val="Calibri"/>
        <family val="2"/>
        <scheme val="minor"/>
      </rPr>
      <t xml:space="preserve"> or, if the Master Plan is available on a public webpage, Applicants may provide a link to the public website below where the Master Plan can be accessed and reviewed by the Corporation during the scoring process. </t>
    </r>
    <r>
      <rPr>
        <i/>
        <sz val="11"/>
        <color theme="1"/>
        <rFont val="Calibri"/>
        <family val="2"/>
        <scheme val="minor"/>
      </rPr>
      <t>(Do not enter a response that is a live URL link that can be clicked on to automatically take you to the website.)</t>
    </r>
  </si>
  <si>
    <t>(For security reasons, the above response cell will not permit the entry of a linked address beginning with either "www" or "http". Please enter the public webpage address as a text input. For example, instead of entering "www.floridahousing.org", you can enter either "floridahousing.org" or " www.floridahousing.org" (with at least one leading space prior to the use of "www").)</t>
  </si>
  <si>
    <t>Has Applicant already applied for 4% Housing Credits by submitting the Non-Competitive Application Package, and the Applicant has been invited into credit underwriting for the 4% Housing Credits?</t>
  </si>
  <si>
    <t>If Yes, provide the Non-Competitive Application Number.</t>
  </si>
  <si>
    <t>If Yes, did the Applicant qualify for a HC Basis Boost?</t>
  </si>
  <si>
    <t>(w/ ESSC)</t>
  </si>
  <si>
    <t xml:space="preserve">Enter the number of affordable units expected within the Master Plan? </t>
  </si>
  <si>
    <t>Lead Agency Partnership requirements are provided in the RFA.</t>
  </si>
  <si>
    <t>Military Installations</t>
  </si>
  <si>
    <t>Clay County - Camp Blanding</t>
  </si>
  <si>
    <t>Duval County - NAS Jacksonville</t>
  </si>
  <si>
    <t>Duval County - NS Mayport</t>
  </si>
  <si>
    <t>Bay County - NSA Panama City</t>
  </si>
  <si>
    <t>Bay County - Tyndall AFB</t>
  </si>
  <si>
    <t>Escambia County - NAS Pensacola</t>
  </si>
  <si>
    <t>Okaloosa County - Eglin AFB</t>
  </si>
  <si>
    <t>Okaloosa County - Hurlburt Field</t>
  </si>
  <si>
    <t xml:space="preserve">Santa Rosa County - NAS Whiting Field </t>
  </si>
  <si>
    <t xml:space="preserve">Miami-Dade County - Homestead Air Reserve Base </t>
  </si>
  <si>
    <t xml:space="preserve">Miami-Dade County - US Coast Guard 7th District Base </t>
  </si>
  <si>
    <t xml:space="preserve">Miami-Dade County - US Southern Command </t>
  </si>
  <si>
    <t>Hillsborough County - MacDill AFB</t>
  </si>
  <si>
    <t>Region</t>
  </si>
  <si>
    <t>Northeast</t>
  </si>
  <si>
    <t>Northwest</t>
  </si>
  <si>
    <t>South</t>
  </si>
  <si>
    <t>Select the Military Installation being served:</t>
  </si>
  <si>
    <t>Military Installation Region:</t>
  </si>
  <si>
    <t>(relates to Rehab IRC qualifications)(must have a Rehab as a DevCat option and Loan Only not selected)</t>
  </si>
  <si>
    <t>Urban Center AofO:</t>
  </si>
  <si>
    <t>Monroe County - NAS Key West</t>
  </si>
  <si>
    <t>Sort in RFA</t>
  </si>
  <si>
    <t>Metro Fixed</t>
  </si>
  <si>
    <t xml:space="preserve">Residents of the development will be the general population with at least 50 percent of the units serving residents that meet the definitions of Active Duty or Veterans below. Additionally, all Developments must set aside the greater of 5 units or 5 percent of the total units for Veterans Experiencing Homelessness.   </t>
  </si>
  <si>
    <t>All areas shaded with this blue are tied to only RFA 214 Redevelopment</t>
  </si>
  <si>
    <t>Points awarded for Proximity</t>
  </si>
  <si>
    <t>Cool roof coating*</t>
  </si>
  <si>
    <t>The Applicant may choose only one option related to Cool roofing.</t>
  </si>
  <si>
    <t>5. Cool Roof Coating</t>
  </si>
  <si>
    <t>6. Cool Roof Materials</t>
  </si>
  <si>
    <t>Cool roofing materials* (metal, shingles, thermoplastic polyolefin (TPO), or tiles)</t>
  </si>
  <si>
    <r>
      <t xml:space="preserve">Minimum </t>
    </r>
    <r>
      <rPr>
        <b/>
        <sz val="11"/>
        <color theme="1"/>
        <rFont val="Calibri"/>
        <family val="2"/>
        <scheme val="minor"/>
      </rPr>
      <t>FHFC</t>
    </r>
    <r>
      <rPr>
        <sz val="11"/>
        <color theme="1"/>
        <rFont val="Calibri"/>
        <family val="2"/>
        <scheme val="minor"/>
      </rPr>
      <t xml:space="preserve"> RFA Set-Aside </t>
    </r>
    <r>
      <rPr>
        <i/>
        <sz val="10"/>
        <color theme="1"/>
        <rFont val="Calibri"/>
        <family val="2"/>
        <scheme val="minor"/>
      </rPr>
      <t>(Table (a): 25%-60% &amp; Table (b): 20%-80%)</t>
    </r>
    <r>
      <rPr>
        <sz val="11"/>
        <color theme="1"/>
        <rFont val="Calibri"/>
        <family val="2"/>
        <scheme val="minor"/>
      </rPr>
      <t xml:space="preserve"> </t>
    </r>
  </si>
  <si>
    <r>
      <t>Minimum</t>
    </r>
    <r>
      <rPr>
        <b/>
        <sz val="11"/>
        <color theme="1"/>
        <rFont val="Calibri"/>
        <family val="2"/>
        <scheme val="minor"/>
      </rPr>
      <t xml:space="preserve"> </t>
    </r>
    <r>
      <rPr>
        <b/>
        <u/>
        <sz val="11"/>
        <color theme="1"/>
        <rFont val="Calibri"/>
        <family val="2"/>
        <scheme val="minor"/>
      </rPr>
      <t>HC Set-Aside</t>
    </r>
    <r>
      <rPr>
        <sz val="11"/>
        <color theme="1"/>
        <rFont val="Calibri"/>
        <family val="2"/>
        <scheme val="minor"/>
      </rPr>
      <t>: IRS</t>
    </r>
  </si>
  <si>
    <t>Table (a) Loan-Only RFAs (No HCs) or Table (b) Loan Only when avg 60% is needed</t>
  </si>
  <si>
    <t>Live Local SAIL</t>
  </si>
  <si>
    <t>''https://www.fai.org/page/world-distance-calculator</t>
  </si>
  <si>
    <t>''https://www.fcc.gov/media/radio/dms-decimal</t>
  </si>
  <si>
    <t>F92 will sum whenever Gap Only Set-Aside Commitment is selected. If not accurate, edit formula.</t>
  </si>
  <si>
    <t>Test Results for Average HC AMI in App when AIT chart is selected</t>
  </si>
  <si>
    <t xml:space="preserve">   Minimum FHFC Set-Aside in RFA</t>
  </si>
  <si>
    <t xml:space="preserve">   Minimum FHFC Set-Aside in RFA (using total Qualifying Units, not just &lt;=60%)</t>
  </si>
  <si>
    <t>Farm-Fish RFA Section</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</si>
  <si>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as described in Section Four, A.9. of RFA.</t>
  </si>
  <si>
    <t>Required Resident Services Coordination for ELI units for Veterans Experiencing Homelessness are stated in the RFA.</t>
  </si>
  <si>
    <r>
      <t xml:space="preserve">Minimum </t>
    </r>
    <r>
      <rPr>
        <u/>
        <sz val="11"/>
        <color theme="1"/>
        <rFont val="Calibri"/>
        <family val="2"/>
        <scheme val="minor"/>
      </rPr>
      <t>0&amp;1 Bedroom</t>
    </r>
    <r>
      <rPr>
        <sz val="11"/>
        <color theme="1"/>
        <rFont val="Calibri"/>
        <family val="2"/>
        <scheme val="minor"/>
      </rPr>
      <t xml:space="preserve"> Units - A/R, </t>
    </r>
    <r>
      <rPr>
        <b/>
        <sz val="11"/>
        <color theme="1"/>
        <rFont val="Calibri"/>
        <family val="2"/>
        <scheme val="minor"/>
      </rPr>
      <t>Elderly Non-ALF/ETP</t>
    </r>
  </si>
  <si>
    <r>
      <t xml:space="preserve">Maximum Units </t>
    </r>
    <r>
      <rPr>
        <u/>
        <sz val="11"/>
        <color theme="1"/>
        <rFont val="Calibri"/>
        <family val="2"/>
        <scheme val="minor"/>
      </rPr>
      <t>over 2 Bedrooms - A/R</t>
    </r>
    <r>
      <rPr>
        <sz val="11"/>
        <color theme="1"/>
        <rFont val="Calibri"/>
        <family val="2"/>
        <scheme val="minor"/>
      </rPr>
      <t xml:space="preserve">, </t>
    </r>
    <r>
      <rPr>
        <b/>
        <sz val="11"/>
        <color theme="1"/>
        <rFont val="Calibri"/>
        <family val="2"/>
        <scheme val="minor"/>
      </rPr>
      <t>Elderly Non-ALF/ETP</t>
    </r>
  </si>
  <si>
    <r>
      <t xml:space="preserve">Minimum 0&amp;1 Bedroom Units - NC, </t>
    </r>
    <r>
      <rPr>
        <b/>
        <sz val="11"/>
        <color theme="1"/>
        <rFont val="Calibri"/>
        <family val="2"/>
        <scheme val="minor"/>
      </rPr>
      <t>Elderly Non-ALF/ETP</t>
    </r>
  </si>
  <si>
    <r>
      <t xml:space="preserve">Maximum Units </t>
    </r>
    <r>
      <rPr>
        <u/>
        <sz val="11"/>
        <color theme="1"/>
        <rFont val="Calibri"/>
        <family val="2"/>
        <scheme val="minor"/>
      </rPr>
      <t>over 2 Bedrooms - NC</t>
    </r>
    <r>
      <rPr>
        <sz val="11"/>
        <color theme="1"/>
        <rFont val="Calibri"/>
        <family val="2"/>
        <scheme val="minor"/>
      </rPr>
      <t xml:space="preserve">, </t>
    </r>
    <r>
      <rPr>
        <b/>
        <sz val="11"/>
        <color theme="1"/>
        <rFont val="Calibri"/>
        <family val="2"/>
        <scheme val="minor"/>
      </rPr>
      <t>Elderly Non-ALF/ETP</t>
    </r>
  </si>
  <si>
    <t>(All SS Applicants, regardless of Minimum Set-Aside Commitment selected)</t>
  </si>
  <si>
    <t>Grouped Eligibility Notice</t>
  </si>
  <si>
    <t>Leadership in Energy and Environmental Design (LEED)</t>
  </si>
  <si>
    <t>4. Financial Counseling</t>
  </si>
  <si>
    <r>
      <t xml:space="preserve">Does the 5-Point LGC process utilize Face or </t>
    </r>
    <r>
      <rPr>
        <sz val="11"/>
        <color theme="1"/>
        <rFont val="Calibri"/>
        <family val="2"/>
      </rPr>
      <t>Δ</t>
    </r>
    <r>
      <rPr>
        <sz val="11"/>
        <color theme="1"/>
        <rFont val="Calibri"/>
        <family val="2"/>
        <scheme val="minor"/>
      </rPr>
      <t xml:space="preserve"> NPV?</t>
    </r>
  </si>
  <si>
    <r>
      <t xml:space="preserve">Does the Miami-Dade 5-Point LGC process utilize Face or </t>
    </r>
    <r>
      <rPr>
        <sz val="11"/>
        <color theme="1"/>
        <rFont val="Calibri"/>
        <family val="2"/>
      </rPr>
      <t>Δ</t>
    </r>
    <r>
      <rPr>
        <sz val="11"/>
        <color theme="1"/>
        <rFont val="Calibri"/>
        <family val="2"/>
        <scheme val="minor"/>
      </rPr>
      <t xml:space="preserve"> NPV?</t>
    </r>
  </si>
  <si>
    <t>If 'Yes', are Fee Waivers used as Cash Funding to only be for Miami-Dade?</t>
  </si>
  <si>
    <t>(2) Multiplier Years of continuous LGAO support</t>
  </si>
  <si>
    <t>b. Elderly (Non-ALF) Demographic Goal</t>
  </si>
  <si>
    <t>Urban Infill Goal</t>
  </si>
  <si>
    <r>
      <t>White-out the Operating Deficit Reserves Ineligible and Total Fields, Item E. in Costs</t>
    </r>
    <r>
      <rPr>
        <b/>
        <sz val="11"/>
        <color theme="1"/>
        <rFont val="Calibri"/>
        <family val="2"/>
        <scheme val="minor"/>
      </rPr>
      <t>, Pro Forma</t>
    </r>
    <r>
      <rPr>
        <sz val="11"/>
        <color theme="1"/>
        <rFont val="Calibri"/>
        <family val="2"/>
        <scheme val="minor"/>
      </rPr>
      <t xml:space="preserve"> tab:</t>
    </r>
  </si>
  <si>
    <t>Column J is used to manually indicate if the input cell on that row is (a) not pertinent to the specific RFA (=1), (b) mandated to be completed (=1), or (c) it optional to be completed (=2)</t>
  </si>
  <si>
    <t>Column K is used to manually indicate if the input cell on that row is (a) not pertinent to the specific RFA (=1), (b) mandated to be completed (=1), or (c) it optional to be completed (=2)</t>
  </si>
  <si>
    <r>
      <rPr>
        <u/>
        <sz val="11"/>
        <color theme="1"/>
        <rFont val="Calibri"/>
        <family val="2"/>
        <scheme val="minor"/>
      </rPr>
      <t>Do NOT</t>
    </r>
    <r>
      <rPr>
        <sz val="11"/>
        <color theme="1"/>
        <rFont val="Calibri"/>
        <family val="2"/>
        <scheme val="minor"/>
      </rPr>
      <t xml:space="preserve"> delete </t>
    </r>
    <r>
      <rPr>
        <u/>
        <sz val="11"/>
        <color theme="1"/>
        <rFont val="Calibri"/>
        <family val="2"/>
        <scheme val="minor"/>
      </rPr>
      <t>any</t>
    </r>
    <r>
      <rPr>
        <sz val="11"/>
        <color theme="1"/>
        <rFont val="Calibri"/>
        <family val="2"/>
        <scheme val="minor"/>
      </rPr>
      <t xml:space="preserve"> formulas in any "Sequence" column (column C), it's controlled by column B entries (1 to use, 0 or delete to not use). [warning not repeated every instance]</t>
    </r>
  </si>
  <si>
    <t>Developer Experience Notification Messages:</t>
  </si>
  <si>
    <t>Management Experience Notification Messages:</t>
  </si>
  <si>
    <t xml:space="preserve">     (d) Minimum Rehabilitation Expenditures</t>
  </si>
  <si>
    <t xml:space="preserve">     (e) Minimum Qualified Basis of Rehabilitation Expenditures</t>
  </si>
  <si>
    <t xml:space="preserve">     (e) Qualified Basis of Rehabilitation Expenditures</t>
  </si>
  <si>
    <t xml:space="preserve">     (e) Qualified Basis of Rehabilitation Expenditures Per HC Unit</t>
  </si>
  <si>
    <t>Adjusted</t>
  </si>
  <si>
    <t xml:space="preserve">     (iii)(A) Minimum Rehabilitation Expenditures</t>
  </si>
  <si>
    <t xml:space="preserve">     (iii)(B) Minimum Qualified Basis of Rehabilitation Expenditures</t>
  </si>
  <si>
    <t xml:space="preserve">     (iii)(B) Qualified Basis of Rehabilitation Expenditures</t>
  </si>
  <si>
    <t xml:space="preserve">     (iii)(B) Qualified Basis of Rehabilitation Expenditures Per HC Unit</t>
  </si>
  <si>
    <t>Rural Area of Opp</t>
  </si>
  <si>
    <t>R at Equator</t>
  </si>
  <si>
    <t>Lat/Long Error Messages:</t>
  </si>
  <si>
    <t>if private transportation is selected, these boxes are turned off</t>
  </si>
  <si>
    <t>Overrides 80% min when Family, Elderly Non-ALF, For-Profit</t>
  </si>
  <si>
    <t>HOME Community Housing Development Organization (CHDO):</t>
  </si>
  <si>
    <r>
      <t xml:space="preserve">Name of Developer entity (for the proposed Development(s)) for which the above </t>
    </r>
    <r>
      <rPr>
        <b/>
        <sz val="11"/>
        <color theme="1"/>
        <rFont val="Calibri"/>
        <family val="2"/>
        <scheme val="minor"/>
      </rPr>
      <t xml:space="preserve">additional </t>
    </r>
    <r>
      <rPr>
        <sz val="11"/>
        <color theme="1"/>
        <rFont val="Calibri"/>
        <family val="2"/>
        <scheme val="minor"/>
      </rPr>
      <t>individual is a Principal:</t>
    </r>
  </si>
  <si>
    <t>If applicable, indicate the Development Subcategory:</t>
  </si>
  <si>
    <t>Corresponding Rural Area of Opportunity:</t>
  </si>
  <si>
    <t>If Monroe County, is the proposed Development located in the North Florida Keys Area or the South Florida Keys Area for TDC PU Limitation purposes (TDC criteria to be scored in Credit Underwriting and Final Cost Cert.)?</t>
  </si>
  <si>
    <t>Does the Application qualify for either the Urban Center Designation or MetroRail Station Designation?</t>
  </si>
  <si>
    <t>For Applicants that wish to qualify for an exemption from the ad valorem tax pursuant to 196.1978(4), F.S., does the Applicant elect to commit to an additional minimum 49-year extended affordability period, for a total affordability period of 99 years ("Perpetuity") to be applied to the SAIL and Bond LURAs, as applicable.</t>
  </si>
  <si>
    <t>Please enter the names of the Local Government(s) in the table below that have provided the funding identified in the table above which is being used towards meeting the Local Government Area of Opportunity designation. If a Local Government is providing a contribution that does not want it to be considered as a LGAO contribution, do NOT list the Local Government entity. Identify the type of contribution being made for each entity. If one entity is providing more than one type of contribution, list each separately. If one entity is providing more than one form with the same type of contribution, only list it once.</t>
  </si>
  <si>
    <t>Applicants that are proposing a Mixed-Use Development must select one of the following Mixed-Use Subcategories and meet the associated requirements:</t>
  </si>
  <si>
    <t>Must Non-SS HC Applicant commit to Max Purchased ELI Units?</t>
  </si>
  <si>
    <t>ELI Set-Aside Requirements based on responses below</t>
  </si>
  <si>
    <t>Actual % ELI Units in Charts</t>
  </si>
  <si>
    <t>Actual # ELI Units in Charts</t>
  </si>
  <si>
    <t>Actual % ELI in Applicable Table</t>
  </si>
  <si>
    <t>Min. # of Req. ELI Units</t>
  </si>
  <si>
    <t>% ELI Gap</t>
  </si>
  <si>
    <t>% ELI Non-AIT</t>
  </si>
  <si>
    <t># ELI Non-AIT</t>
  </si>
  <si>
    <t>% ELI AIT</t>
  </si>
  <si>
    <t># ELI AIT</t>
  </si>
  <si>
    <t># ELI Gap</t>
  </si>
  <si>
    <t>Farmworker/Commercial Fishing Worker Set-Aside Selection RFA 104</t>
  </si>
  <si>
    <t>(not referenced)</t>
  </si>
  <si>
    <t>Meets Min?</t>
  </si>
  <si>
    <t>RFA Example Variables</t>
  </si>
  <si>
    <t xml:space="preserve">   Minimum ELI Set-Asides</t>
  </si>
  <si>
    <t>Re-distribution process:</t>
  </si>
  <si>
    <t>(Highest HC Preferred)</t>
  </si>
  <si>
    <t>Non-AIT</t>
  </si>
  <si>
    <t>This section for Farm/Fish RFA 104</t>
  </si>
  <si>
    <t>AIT</t>
  </si>
  <si>
    <t>DS_IRS_2050</t>
  </si>
  <si>
    <t>DS_IRS_4060</t>
  </si>
  <si>
    <t>DS_IRS_AIT</t>
  </si>
  <si>
    <t>DS_FHFC_NonHC</t>
  </si>
  <si>
    <t>If the Applicant is relying on units within the Occupied Development to meet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demonstrating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</si>
  <si>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THIS 2022 DATA IS BEING REFERENCED FOR TEB TRANSACTIONS WHEN APPLICABLE. IT IS A PLACE HOLDER FOR 2026 DATA.</t>
  </si>
  <si>
    <t>THIS 2023 DATA IS BEING REFERENCED FOR CURRENT YEAR NEEDS. IT IS ALSO A PLACE HOLDER FOR 2027 DATA.</t>
  </si>
  <si>
    <t>THIS 2024 DATA WILL BE REFERENCED IN FUTURE YEAR NEEDS.  IT IS ALSO A PLACE HOLDER FOR 2028 DATA.</t>
  </si>
  <si>
    <t>THIS 2025 DATA WILL BE REFERENCED IN FUTURE YEAR NEEDS.  IT IS ALSO A PLACE HOLDER FOR 2029 DATA.</t>
  </si>
  <si>
    <t>.</t>
  </si>
  <si>
    <t>DS_ZCTAs_2025</t>
  </si>
  <si>
    <t>DS_NonMetro_DDAs_2025</t>
  </si>
  <si>
    <t>DS_Metro_QCTs_2025</t>
  </si>
  <si>
    <t>DS_NonMetro_QCTs_2025</t>
  </si>
  <si>
    <t>DS_2025_County_QCTs</t>
  </si>
  <si>
    <t>DS_2025_County_GAOs</t>
  </si>
  <si>
    <t>DS_2025_ZCTAs_Sorted</t>
  </si>
  <si>
    <t>DS_2025_Metro_QCTs_Sorted</t>
  </si>
  <si>
    <t>DS_2025_NonMetro_QCTs_Sorted</t>
  </si>
  <si>
    <t>DS_2025_Metro_QCT_Counties</t>
  </si>
  <si>
    <t>DS_2025_NonMetro_QCT_Counties</t>
  </si>
  <si>
    <t>DS_2025_GAO_Counties</t>
  </si>
  <si>
    <t>DS_2025_GAO_QCTs_Sorted</t>
  </si>
  <si>
    <t>2025 ZCTAs
sorted by ZCTA</t>
  </si>
  <si>
    <t>2025 Metro QCT's
sorted by QCT</t>
  </si>
  <si>
    <t>2025 Non-Metro QCT's
sorted by QCT</t>
  </si>
  <si>
    <t>All 2025 GAOs
sorted by QCT</t>
  </si>
  <si>
    <t>QAP Demographic Basis Boost Demos</t>
  </si>
  <si>
    <t>Located entirely in GAO &amp; SADDA</t>
  </si>
  <si>
    <t>defined</t>
  </si>
  <si>
    <t>DS_GAOs_effective2.1.25</t>
  </si>
  <si>
    <t>Effective for 2025 Database</t>
  </si>
  <si>
    <t>Must           SS        Applicant commit to Max Purchased ELI Units?</t>
  </si>
  <si>
    <r>
      <t xml:space="preserve">Tables (a) &amp; (b) for </t>
    </r>
    <r>
      <rPr>
        <b/>
        <i/>
        <u/>
        <sz val="11"/>
        <color rgb="FFFF0000"/>
        <rFont val="Calibri"/>
        <family val="2"/>
        <scheme val="minor"/>
      </rPr>
      <t>Housing Credits</t>
    </r>
  </si>
  <si>
    <t>Possibly add rows of one dev. per 2 lines for 11 properties w/ 1. Name, 2. Location, 4. % at 80% AMI or less, 5. LG w/ income restrictions, # mos of closing w/I invitation since X.</t>
  </si>
  <si>
    <t>2023-2024</t>
  </si>
  <si>
    <t>2020-2021</t>
  </si>
  <si>
    <t>Applicants will receive 5 points if the uploaded Principal Disclosure Form is stamped “Received” by the Corporation at least 14 Calendar Days prior to the Application Deadline AND stamped “Approved” prior to the Application Deadline.</t>
  </si>
  <si>
    <t>When Average Income Test is selected above, the Applicant has the option of choosing either 20% at 50% AMI or 40% at 60% AMI. Please make a selection:</t>
  </si>
  <si>
    <t>Min. Required HOME-ARP Units (% of Total Units)</t>
  </si>
  <si>
    <t>Min. Required Small County HOME-ARP Units</t>
  </si>
  <si>
    <t>Max. Required Large County HOME-ARP Units</t>
  </si>
  <si>
    <t>Max. Required Medium County HOME-ARP Units</t>
  </si>
  <si>
    <t>Max. Required Small County HOME-ARP Units</t>
  </si>
  <si>
    <t>Min. Required NHTF Units (% of Total Units)</t>
  </si>
  <si>
    <t>Min. Required Small County NHTF Units</t>
  </si>
  <si>
    <t>Max. Required Large County NHTF Units</t>
  </si>
  <si>
    <t>Max. Required Medium County NHTF Units</t>
  </si>
  <si>
    <t>Max. Required Small County NHTF Units</t>
  </si>
  <si>
    <t>#8EA9DB</t>
  </si>
  <si>
    <t>Units that currently have, are receiving, or (if none) originally received RA</t>
  </si>
  <si>
    <t>ACC</t>
  </si>
  <si>
    <t>PBRA Not Otherwise Listed</t>
  </si>
  <si>
    <t>Does the Applicant qualify for the Preservation Development Goal?</t>
  </si>
  <si>
    <t>RFA 2025-103</t>
  </si>
  <si>
    <t>RFA 2025-103 Housing Credit and SAIL Financing for Homeless Housing Developments Located in Medium and Large Counties</t>
  </si>
  <si>
    <r>
      <t>For each Developer entity listed in question (1) above (that is not a natural person, Local Government, or Public Housing Authority), provide, as</t>
    </r>
    <r>
      <rPr>
        <b/>
        <sz val="11"/>
        <color theme="1"/>
        <rFont val="Calibri"/>
        <family val="2"/>
        <scheme val="minor"/>
      </rPr>
      <t xml:space="preserve"> Attachment 4</t>
    </r>
    <r>
      <rPr>
        <sz val="11"/>
        <color theme="1"/>
        <rFont val="Calibri"/>
        <family val="2"/>
        <scheme val="minor"/>
      </rPr>
      <t>, the required documentation demonstrating that the Developer is a legally formed entity qualified to do business in the state of Florida as of the Application Deadline.</t>
    </r>
  </si>
  <si>
    <r>
      <t xml:space="preserve">The site control documentation must be provided as </t>
    </r>
    <r>
      <rPr>
        <b/>
        <sz val="11"/>
        <color theme="1"/>
        <rFont val="Calibri"/>
        <family val="2"/>
        <scheme val="minor"/>
      </rPr>
      <t>Attachment 5</t>
    </r>
    <r>
      <rPr>
        <sz val="11"/>
        <color theme="1"/>
        <rFont val="Calibri"/>
        <family val="2"/>
        <scheme val="minor"/>
      </rPr>
      <t xml:space="preserve"> to demonstrate site control as of Application Deadline .</t>
    </r>
  </si>
  <si>
    <r>
      <t xml:space="preserve">Attach all funding proposals executed by the lender(s) or by any other source as </t>
    </r>
    <r>
      <rPr>
        <b/>
        <sz val="11"/>
        <color theme="1"/>
        <rFont val="Calibri"/>
        <family val="2"/>
        <scheme val="minor"/>
      </rPr>
      <t>Attachment 8</t>
    </r>
    <r>
      <rPr>
        <sz val="11"/>
        <color theme="1"/>
        <rFont val="Calibri"/>
        <family val="2"/>
        <scheme val="minor"/>
      </rPr>
      <t>.</t>
    </r>
  </si>
  <si>
    <t>Both</t>
  </si>
  <si>
    <t>Material Participation of the Non-Profit entity</t>
  </si>
  <si>
    <t>•  The Executive Director Certification of Non-Profit Entity Material Participation form (Rev. 09-2022), for Joint Venture Applicants</t>
  </si>
  <si>
    <t>At least 50%, but less than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</si>
  <si>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Section 4.C.
Impact Scoring</t>
  </si>
  <si>
    <t>The Impact Scoring section is available in a separate document in Microsoft Word.  This document must be downloaded from the RFA Webpage, then completed and uploaded as part of the Application Package described in Section Three of the RFA.</t>
  </si>
  <si>
    <t>of Rehabilitation, with or without Acquisition, as further described in Rule Chapter 67-48, F.A.C., or this RFA.</t>
  </si>
  <si>
    <t>PDD/PDC/HH Unit Multiplier (2)(&gt;50,&lt;81 Units)</t>
  </si>
  <si>
    <t>PDD/PDC/HH Unit Multiplier (1)(&lt;51 Units)</t>
  </si>
  <si>
    <r>
      <t>The Applicant entity will enter into legal contract with a provider or services that meets the Services Coordination Experience Requirements outlined in Section Four, A.9.a. of this RFA.  A copy of the properly completed and executed Florida Housing Finance Corporation Resident Community-Based Services Coordination Provider Or Principal Of Resident Community-Based Services Coordination Provider Certification form (Form Rev 10-2021) must be submitted as</t>
    </r>
    <r>
      <rPr>
        <b/>
        <sz val="11"/>
        <color theme="1"/>
        <rFont val="Calibri"/>
        <family val="2"/>
        <scheme val="minor"/>
      </rPr>
      <t xml:space="preserve"> Attachment 6</t>
    </r>
    <r>
      <rPr>
        <sz val="11"/>
        <color theme="1"/>
        <rFont val="Calibri"/>
        <family val="2"/>
        <scheme val="minor"/>
      </rPr>
      <t>.  This form must be signed by the Authorized Principal Representative.</t>
    </r>
  </si>
  <si>
    <t>The Applicant entity meets the Services Coordination Experience Requirements outlined in Section Four, A.9.b. of this RFA as demonstrated in the information provided below.</t>
  </si>
  <si>
    <t>Total Units in the above developments that meets the experience requirement outlined in Section Four, A.9.b. of the RFA:</t>
  </si>
  <si>
    <r>
      <t xml:space="preserve">To receive 10 points, submit the Corporation-approved Pre-Application Meeting or Experience for Proposed Permanent Supportive Housing Developments Form (Rev. 08-2024) as </t>
    </r>
    <r>
      <rPr>
        <b/>
        <sz val="11"/>
        <color theme="1"/>
        <rFont val="Calibri"/>
        <family val="2"/>
        <scheme val="minor"/>
      </rPr>
      <t>Attachment 2</t>
    </r>
    <r>
      <rPr>
        <sz val="11"/>
        <color theme="1"/>
        <rFont val="Calibri"/>
        <family val="2"/>
        <scheme val="minor"/>
      </rPr>
      <t>.</t>
    </r>
  </si>
  <si>
    <r>
      <t xml:space="preserve">Provide documentation outlined in either (i) or (ii) below as </t>
    </r>
    <r>
      <rPr>
        <b/>
        <sz val="11"/>
        <color theme="1"/>
        <rFont val="Calibri"/>
        <family val="2"/>
        <scheme val="minor"/>
      </rPr>
      <t>Attachment 2</t>
    </r>
    <r>
      <rPr>
        <sz val="11"/>
        <color theme="1"/>
        <rFont val="Calibri"/>
        <family val="2"/>
        <scheme val="minor"/>
      </rPr>
      <t xml:space="preserve"> to the RFA.  </t>
    </r>
  </si>
  <si>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 67-48, F.A.C.  The Applicant and all Financial Beneficiaries have read, understand and will comply with Section 42 of the Internal Revenue Code, as amended, and all related federal regulations.</t>
  </si>
  <si>
    <t>The Applicant has reviewed section 67-48.004, F.A.C., and subsections 67-48.009(5), F.A.C. and 67-48.023(1), F.A.C., and certifies to its eligibility to apply for the funding offered in this RFA.</t>
  </si>
  <si>
    <t>The Applicant’s commitments will be included in (i) a Land Use Restriction Agreement for the loan(s), and (ii) an Extended Use Agreement for the Housing Credits, and must be maintained in order for the Development to remain in compliance, unless the Board approves a change.</t>
  </si>
  <si>
    <t xml:space="preserve">All HOME-ARP requirements would apply such as how the units must be used for Qualifying Populations, the HUD environmental requirements provided in 24 CFR Part 92 and 24 CFR Part 58, AND Davis-Bacon requirements apply, if there are at least twelve 22% Units. </t>
  </si>
  <si>
    <t>The Housing Stability Services Coordination requirements for all Applicants are outlined in Section Four, A.9. of the RFA.  In addition, select the option describing how the Resident Community-Based Services Coordination requirements outlined in Section Four, A.9.b. of this RFA will be met.</t>
  </si>
  <si>
    <t>Young adults formerly in foster care who are eligible for services under Section 39.6251, F.S. and/or 409.1451, F.S.; and/or</t>
  </si>
  <si>
    <t>Section 4.A.11
Uniform Relocation Act (URA)</t>
  </si>
  <si>
    <r>
      <t xml:space="preserve">Provide the required information for the Non-Profit entity as </t>
    </r>
    <r>
      <rPr>
        <b/>
        <sz val="11"/>
        <rFont val="Calibri"/>
        <family val="2"/>
        <scheme val="minor"/>
      </rPr>
      <t>Attachment 2</t>
    </r>
    <r>
      <rPr>
        <sz val="11"/>
        <rFont val="Calibri"/>
        <family val="2"/>
        <scheme val="minor"/>
      </rPr>
      <t>. To demonstrate that this definition is met, Applicants must meet the requirements in both (a) and (b) below.</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</si>
</sst>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3">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0&quot; Total 0- &amp; 1-Bedroom Units&quot;"/>
    <numFmt numFmtId="220" formatCode="0&quot; Total Units over 2-Bedrooms&quot;"/>
    <numFmt numFmtId="221" formatCode="0&quot; Total 0-Bedroom Units&quot;"/>
    <numFmt numFmtId="222" formatCode="0&quot; Total 1-Bedroom Units&quot;"/>
    <numFmt numFmtId="223" formatCode="0&quot; Total 3-Bedroom Units&quot;"/>
    <numFmt numFmtId="224" formatCode="&quot;Min Hurdle: &quot;0&quot; Units&quot;"/>
    <numFmt numFmtId="225" formatCode="&quot;Indicated age of development is &quot;0&quot; years&quot;"/>
    <numFmt numFmtId="226" formatCode="&quot; Enter a 0 to exclude 3 questions: &quot;0"/>
    <numFmt numFmtId="227" formatCode="&quot;RA Level &quot;0"/>
    <numFmt numFmtId="228" formatCode="&quot;Test Hurdle: &gt;&quot;0%"/>
    <numFmt numFmtId="229" formatCode="&quot;Test Hurdle: &gt;=&quot;0%"/>
    <numFmt numFmtId="230" formatCode="&quot;(&quot;0&quot; Units)&quot;"/>
    <numFmt numFmtId="231" formatCode="#,##0.000000&quot; mi&quot;"/>
    <numFmt numFmtId="232" formatCode="#,##0.000000&quot; km&quot;"/>
    <numFmt numFmtId="233" formatCode="&quot; Enter a 1 to allow SS toggle: &quot;0"/>
    <numFmt numFmtId="234" formatCode="&quot; Enter a 0 to exclude (1) &amp; (2): &quot;0"/>
    <numFmt numFmtId="235" formatCode="&quot; Enter a 0 before hiding worksheet: &quot;0"/>
    <numFmt numFmtId="236" formatCode="&quot; Enter a 0 to exclude Row: &quot;0"/>
    <numFmt numFmtId="237" formatCode="&quot; Enter a 0 to exclude 2 questions: &quot;0"/>
    <numFmt numFmtId="238" formatCode="&quot; Enter a 0 to exclude this section: &quot;0"/>
    <numFmt numFmtId="239" formatCode="0&quot; County&quot;"/>
    <numFmt numFmtId="240" formatCode="0.00000"/>
    <numFmt numFmtId="241" formatCode="#,##0.0000000_);[Red]\(#,##0.0000000\)"/>
    <numFmt numFmtId="242" formatCode="&quot;$&quot;#,##0.0000000_);[Red]\(&quot;$&quot;#,##0.0000000\)"/>
    <numFmt numFmtId="243" formatCode="#,##0.000000_);[Red]\(#,##0.000000\)"/>
    <numFmt numFmtId="244" formatCode="&quot; Enter a 0 to exclude row: &quot;0"/>
    <numFmt numFmtId="245" formatCode="###\ ###\ ###\ ###\ ###\ ###\ ###\ ###"/>
    <numFmt numFmtId="246" formatCode="&quot; Auto-Filled to exclude NHTF row: &quot;0"/>
    <numFmt numFmtId="247" formatCode="&quot; Auto-Filled to remove ALF references: &quot;0"/>
    <numFmt numFmtId="248" formatCode="&quot; 0=Hide;1=Show: &quot;0"/>
    <numFmt numFmtId="249" formatCode="&quot;At least &quot;0&quot; Units&quot;"/>
    <numFmt numFmtId="250" formatCode="&quot;Status: &quot;@&quot; &quot;"/>
    <numFmt numFmtId="251" formatCode="0&quot; years old&quot;"/>
    <numFmt numFmtId="252" formatCode="_(&quot;$&quot;* #,##0_);_(&quot;$&quot;* \(#,##0\);_(&quot;$&quot;* &quot;-&quot;??_);_(@_)"/>
    <numFmt numFmtId="253" formatCode="&quot;Website Link is: &quot;"/>
    <numFmt numFmtId="254" formatCode="&quot; Auto-filled to exclude section: &quot;0"/>
    <numFmt numFmtId="255" formatCode="&quot;Auto Δ wording: &quot;0"/>
    <numFmt numFmtId="256" formatCode="#,##0&quot; Min&quot;"/>
    <numFmt numFmtId="257" formatCode="#,##0&quot; Max&quot;"/>
    <numFmt numFmtId="258" formatCode="&quot;Max Total: &quot;0"/>
    <numFmt numFmtId="259" formatCode="&quot;Min Req: &quot;0"/>
    <numFmt numFmtId="260" formatCode="&quot;Max Req: &quot;0"/>
    <numFmt numFmtId="261" formatCode="&quot;Max Opt: &quot;0"/>
    <numFmt numFmtId="262" formatCode="0&quot; Total Units&quot;"/>
  </numFmts>
  <fonts count="180">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strike/>
      <sz val="9"/>
      <color indexed="12"/>
      <name val="Arial"/>
      <family val="2"/>
    </font>
    <font>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sz val="8"/>
      <color rgb="FFC00000"/>
      <name val="Calibri"/>
      <family val="2"/>
      <scheme val="minor"/>
    </font>
    <font>
      <sz val="11"/>
      <color rgb="FF9933FF"/>
      <name val="Calibri"/>
      <family val="2"/>
      <scheme val="minor"/>
    </font>
    <font>
      <b/>
      <sz val="9"/>
      <color rgb="FFC00000"/>
      <name val="Calibri"/>
      <family val="2"/>
      <scheme val="minor"/>
    </font>
    <font>
      <sz val="11"/>
      <color theme="7" tint="0.59999389629810485"/>
      <name val="Calibri"/>
      <family val="2"/>
      <scheme val="minor"/>
    </font>
    <font>
      <sz val="6"/>
      <color rgb="FF0000FF"/>
      <name val="Calibri"/>
      <family val="2"/>
      <scheme val="minor"/>
    </font>
    <font>
      <sz val="10"/>
      <color rgb="FF239600"/>
      <name val="Calibri"/>
      <family val="2"/>
      <scheme val="minor"/>
    </font>
    <font>
      <b/>
      <sz val="10"/>
      <color theme="0"/>
      <name val="Arial"/>
      <family val="2"/>
    </font>
    <font>
      <sz val="9"/>
      <color rgb="FFFF0000"/>
      <name val="Arial"/>
      <family val="2"/>
    </font>
    <font>
      <sz val="11"/>
      <color rgb="FFFF00FF"/>
      <name val="Calibri"/>
      <family val="2"/>
      <scheme val="minor"/>
    </font>
    <font>
      <sz val="11"/>
      <color rgb="FFFF00FF"/>
      <name val="Calibri"/>
      <family val="2"/>
    </font>
    <font>
      <sz val="11"/>
      <color rgb="FF002060"/>
      <name val="Calibri"/>
      <family val="2"/>
      <scheme val="minor"/>
    </font>
    <font>
      <i/>
      <sz val="9"/>
      <color theme="0" tint="-0.14999847407452621"/>
      <name val="Arial"/>
      <family val="2"/>
    </font>
    <font>
      <b/>
      <u/>
      <sz val="11"/>
      <color rgb="FFFF0000"/>
      <name val="Calibri"/>
      <family val="2"/>
      <scheme val="minor"/>
    </font>
    <font>
      <b/>
      <sz val="10"/>
      <color theme="1"/>
      <name val="Calibri"/>
      <family val="2"/>
    </font>
    <font>
      <sz val="11"/>
      <color rgb="FFFFFF00"/>
      <name val="Calibri"/>
      <family val="2"/>
      <scheme val="minor"/>
    </font>
    <font>
      <sz val="10"/>
      <color theme="0"/>
      <name val="Calibri"/>
      <family val="2"/>
      <scheme val="minor"/>
    </font>
    <font>
      <i/>
      <sz val="11"/>
      <color rgb="FF7030A0"/>
      <name val="Calibri"/>
      <family val="2"/>
      <scheme val="minor"/>
    </font>
    <font>
      <b/>
      <i/>
      <sz val="11"/>
      <color rgb="FF7030A0"/>
      <name val="Calibri"/>
      <family val="2"/>
      <scheme val="minor"/>
    </font>
    <font>
      <b/>
      <i/>
      <sz val="11"/>
      <color rgb="FF00C800"/>
      <name val="Calibri"/>
      <family val="2"/>
      <scheme val="minor"/>
    </font>
    <font>
      <b/>
      <i/>
      <u/>
      <sz val="11"/>
      <color rgb="FFFF0000"/>
      <name val="Calibri"/>
      <family val="2"/>
      <scheme val="minor"/>
    </font>
    <font>
      <u/>
      <sz val="9"/>
      <color indexed="81"/>
      <name val="Tahoma"/>
      <family val="2"/>
    </font>
    <font>
      <u/>
      <sz val="10"/>
      <color theme="1"/>
      <name val="Calibri"/>
      <family val="2"/>
      <scheme val="minor"/>
    </font>
  </fonts>
  <fills count="74">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solid">
        <fgColor rgb="FF8EA9DB"/>
        <bgColor indexed="64"/>
      </patternFill>
    </fill>
    <fill>
      <patternFill patternType="solid">
        <fgColor rgb="FFFF7DFF"/>
        <bgColor indexed="64"/>
      </patternFill>
    </fill>
    <fill>
      <patternFill patternType="darkUp">
        <fgColor theme="0" tint="-0.24994659260841701"/>
        <bgColor theme="7" tint="0.79998168889431442"/>
      </patternFill>
    </fill>
    <fill>
      <patternFill patternType="darkUp">
        <fgColor theme="0" tint="-0.24994659260841701"/>
        <bgColor theme="0"/>
      </patternFill>
    </fill>
    <fill>
      <patternFill patternType="solid">
        <fgColor rgb="FFFF0000"/>
        <bgColor indexed="64"/>
      </patternFill>
    </fill>
    <fill>
      <patternFill patternType="darkUp">
        <fgColor theme="0" tint="-0.34998626667073579"/>
        <bgColor indexed="65"/>
      </patternFill>
    </fill>
    <fill>
      <patternFill patternType="solid">
        <fgColor rgb="FFE1F5FF"/>
        <bgColor indexed="64"/>
      </patternFill>
    </fill>
    <fill>
      <patternFill patternType="mediumGray">
        <fgColor theme="0"/>
        <bgColor theme="7" tint="0.79998168889431442"/>
      </patternFill>
    </fill>
    <fill>
      <patternFill patternType="solid">
        <fgColor rgb="FFF4EDF9"/>
        <bgColor indexed="64"/>
      </patternFill>
    </fill>
    <fill>
      <patternFill patternType="solid">
        <fgColor rgb="FF0033CC"/>
        <bgColor indexed="64"/>
      </patternFill>
    </fill>
    <fill>
      <patternFill patternType="solid">
        <fgColor rgb="FF99FF99"/>
        <bgColor indexed="64"/>
      </patternFill>
    </fill>
    <fill>
      <patternFill patternType="solid">
        <fgColor rgb="FFCCFFFF"/>
        <bgColor indexed="64"/>
      </patternFill>
    </fill>
    <fill>
      <patternFill patternType="solid">
        <fgColor rgb="FFEBDCF5"/>
        <bgColor indexed="64"/>
      </patternFill>
    </fill>
    <fill>
      <patternFill patternType="mediumGray">
        <fgColor theme="0"/>
        <bgColor rgb="FFFFFF00"/>
      </patternFill>
    </fill>
    <fill>
      <patternFill patternType="solid">
        <fgColor rgb="FFFF00FF"/>
        <bgColor indexed="64"/>
      </patternFill>
    </fill>
  </fills>
  <borders count="289">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hair">
        <color rgb="FF0000FF"/>
      </top>
      <bottom style="medium">
        <color rgb="FF0000FF"/>
      </bottom>
      <diagonal/>
    </border>
    <border>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top style="thin">
        <color theme="0"/>
      </top>
      <bottom style="thin">
        <color theme="0"/>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style="hair">
        <color rgb="FF0000FF"/>
      </bottom>
      <diagonal/>
    </border>
    <border>
      <left/>
      <right style="thin">
        <color indexed="64"/>
      </right>
      <top style="medium">
        <color indexed="64"/>
      </top>
      <bottom style="hair">
        <color rgb="FF0000FF"/>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style="medium">
        <color indexed="64"/>
      </right>
      <top/>
      <bottom style="hair">
        <color indexed="64"/>
      </bottom>
      <diagonal/>
    </border>
    <border>
      <left/>
      <right/>
      <top/>
      <bottom style="hair">
        <color rgb="FF0000FF"/>
      </bottom>
      <diagonal/>
    </border>
    <border>
      <left style="medium">
        <color indexed="64"/>
      </left>
      <right style="thin">
        <color indexed="64"/>
      </right>
      <top style="hair">
        <color indexed="64"/>
      </top>
      <bottom style="medium">
        <color indexed="64"/>
      </bottom>
      <diagonal/>
    </border>
    <border>
      <left style="dotted">
        <color auto="1"/>
      </left>
      <right/>
      <top style="dotted">
        <color auto="1"/>
      </top>
      <bottom/>
      <diagonal/>
    </border>
    <border>
      <left style="dotted">
        <color auto="1"/>
      </left>
      <right/>
      <top/>
      <bottom/>
      <diagonal/>
    </border>
    <border>
      <left style="dotted">
        <color auto="1"/>
      </left>
      <right/>
      <top/>
      <bottom style="dotted">
        <color auto="1"/>
      </bottom>
      <diagonal/>
    </border>
    <border>
      <left/>
      <right/>
      <top style="medium">
        <color indexed="64"/>
      </top>
      <bottom style="dotted">
        <color auto="1"/>
      </bottom>
      <diagonal/>
    </border>
    <border>
      <left style="dashDotDot">
        <color indexed="64"/>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right style="dashDotDot">
        <color indexed="64"/>
      </right>
      <top/>
      <bottom/>
      <diagonal/>
    </border>
    <border>
      <left style="dashDotDot">
        <color indexed="64"/>
      </left>
      <right/>
      <top/>
      <bottom style="dashDotDot">
        <color indexed="64"/>
      </bottom>
      <diagonal/>
    </border>
    <border>
      <left/>
      <right style="dashDotDot">
        <color indexed="64"/>
      </right>
      <top/>
      <bottom style="dashDotDot">
        <color indexed="64"/>
      </bottom>
      <diagonal/>
    </border>
    <border>
      <left style="thin">
        <color indexed="64"/>
      </left>
      <right/>
      <top style="hair">
        <color rgb="FF0000FF"/>
      </top>
      <bottom/>
      <diagonal/>
    </border>
    <border>
      <left/>
      <right style="thin">
        <color indexed="64"/>
      </right>
      <top style="hair">
        <color rgb="FF0000FF"/>
      </top>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rgb="FF8EA9DB"/>
      </left>
      <right/>
      <top style="medium">
        <color rgb="FF8EA9DB"/>
      </top>
      <bottom style="thin">
        <color indexed="64"/>
      </bottom>
      <diagonal/>
    </border>
    <border>
      <left/>
      <right style="medium">
        <color rgb="FF8EA9DB"/>
      </right>
      <top style="medium">
        <color rgb="FF8EA9DB"/>
      </top>
      <bottom style="thin">
        <color indexed="64"/>
      </bottom>
      <diagonal/>
    </border>
    <border>
      <left style="medium">
        <color rgb="FF8EA9DB"/>
      </left>
      <right/>
      <top/>
      <bottom/>
      <diagonal/>
    </border>
    <border>
      <left/>
      <right style="medium">
        <color rgb="FF8EA9DB"/>
      </right>
      <top/>
      <bottom/>
      <diagonal/>
    </border>
    <border>
      <left style="medium">
        <color rgb="FF8EA9DB"/>
      </left>
      <right/>
      <top/>
      <bottom style="dashed">
        <color auto="1"/>
      </bottom>
      <diagonal/>
    </border>
    <border>
      <left/>
      <right style="medium">
        <color rgb="FF8EA9DB"/>
      </right>
      <top/>
      <bottom style="dashed">
        <color auto="1"/>
      </bottom>
      <diagonal/>
    </border>
    <border>
      <left style="medium">
        <color rgb="FF8EA9DB"/>
      </left>
      <right/>
      <top style="dashed">
        <color auto="1"/>
      </top>
      <bottom style="thin">
        <color indexed="64"/>
      </bottom>
      <diagonal/>
    </border>
    <border>
      <left/>
      <right style="medium">
        <color rgb="FF8EA9DB"/>
      </right>
      <top style="dashed">
        <color auto="1"/>
      </top>
      <bottom style="thin">
        <color indexed="64"/>
      </bottom>
      <diagonal/>
    </border>
    <border>
      <left style="medium">
        <color rgb="FF8EA9DB"/>
      </left>
      <right/>
      <top/>
      <bottom style="medium">
        <color rgb="FF8EA9DB"/>
      </bottom>
      <diagonal/>
    </border>
    <border>
      <left/>
      <right style="medium">
        <color rgb="FF8EA9DB"/>
      </right>
      <top/>
      <bottom style="medium">
        <color rgb="FF8EA9DB"/>
      </bottom>
      <diagonal/>
    </border>
    <border>
      <left/>
      <right/>
      <top style="thin">
        <color indexed="64"/>
      </top>
      <bottom style="dotted">
        <color indexed="64"/>
      </bottom>
      <diagonal/>
    </border>
    <border>
      <left style="medium">
        <color indexed="64"/>
      </left>
      <right style="thin">
        <color indexed="64"/>
      </right>
      <top style="hair">
        <color rgb="FF0000FF"/>
      </top>
      <bottom style="hair">
        <color indexed="64"/>
      </bottom>
      <diagonal/>
    </border>
    <border>
      <left style="thin">
        <color indexed="64"/>
      </left>
      <right/>
      <top/>
      <bottom style="dotted">
        <color auto="1"/>
      </bottom>
      <diagonal/>
    </border>
    <border>
      <left style="thin">
        <color indexed="64"/>
      </left>
      <right/>
      <top style="dotted">
        <color indexed="64"/>
      </top>
      <bottom style="dotted">
        <color indexed="64"/>
      </bottom>
      <diagonal/>
    </border>
    <border>
      <left/>
      <right/>
      <top/>
      <bottom style="thin">
        <color indexed="64"/>
      </bottom>
      <diagonal/>
    </border>
    <border>
      <left/>
      <right style="thin">
        <color indexed="64"/>
      </right>
      <top/>
      <bottom style="thin">
        <color indexed="64"/>
      </bottom>
      <diagonal/>
    </border>
    <border>
      <left style="medium">
        <color theme="4" tint="0.59996337778862885"/>
      </left>
      <right style="medium">
        <color theme="4" tint="0.59996337778862885"/>
      </right>
      <top/>
      <bottom style="hair">
        <color auto="1"/>
      </bottom>
      <diagonal/>
    </border>
    <border>
      <left style="medium">
        <color theme="4" tint="0.59996337778862885"/>
      </left>
      <right style="medium">
        <color theme="4" tint="0.59996337778862885"/>
      </right>
      <top style="hair">
        <color auto="1"/>
      </top>
      <bottom style="thin">
        <color indexed="64"/>
      </bottom>
      <diagonal/>
    </border>
    <border>
      <left style="medium">
        <color theme="4" tint="0.59996337778862885"/>
      </left>
      <right style="medium">
        <color theme="4" tint="0.59996337778862885"/>
      </right>
      <top/>
      <bottom/>
      <diagonal/>
    </border>
    <border>
      <left style="medium">
        <color theme="4" tint="0.59996337778862885"/>
      </left>
      <right style="medium">
        <color theme="4" tint="0.59996337778862885"/>
      </right>
      <top/>
      <bottom style="thin">
        <color indexed="64"/>
      </bottom>
      <diagonal/>
    </border>
    <border>
      <left style="medium">
        <color theme="4" tint="0.59996337778862885"/>
      </left>
      <right style="medium">
        <color theme="4" tint="0.59996337778862885"/>
      </right>
      <top style="thin">
        <color indexed="64"/>
      </top>
      <bottom/>
      <diagonal/>
    </border>
    <border>
      <left style="medium">
        <color theme="4" tint="0.59996337778862885"/>
      </left>
      <right style="medium">
        <color theme="4" tint="0.59996337778862885"/>
      </right>
      <top style="thin">
        <color indexed="64"/>
      </top>
      <bottom style="hair">
        <color indexed="64"/>
      </bottom>
      <diagonal/>
    </border>
    <border>
      <left style="medium">
        <color theme="4" tint="0.59996337778862885"/>
      </left>
      <right style="thin">
        <color indexed="64"/>
      </right>
      <top style="thin">
        <color indexed="64"/>
      </top>
      <bottom/>
      <diagonal/>
    </border>
    <border>
      <left style="dashed">
        <color indexed="64"/>
      </left>
      <right style="dashed">
        <color indexed="64"/>
      </right>
      <top style="thin">
        <color indexed="64"/>
      </top>
      <bottom/>
      <diagonal/>
    </border>
    <border>
      <left style="dashed">
        <color indexed="64"/>
      </left>
      <right style="dashed">
        <color indexed="64"/>
      </right>
      <top/>
      <bottom style="hair">
        <color auto="1"/>
      </bottom>
      <diagonal/>
    </border>
    <border>
      <left style="dashed">
        <color indexed="64"/>
      </left>
      <right style="dashed">
        <color indexed="64"/>
      </right>
      <top/>
      <bottom/>
      <diagonal/>
    </border>
    <border>
      <left style="dashed">
        <color indexed="64"/>
      </left>
      <right style="dashed">
        <color indexed="64"/>
      </right>
      <top style="hair">
        <color auto="1"/>
      </top>
      <bottom style="medium">
        <color indexed="64"/>
      </bottom>
      <diagonal/>
    </border>
    <border>
      <left style="dashed">
        <color indexed="64"/>
      </left>
      <right style="dashed">
        <color indexed="64"/>
      </right>
      <top style="hair">
        <color auto="1"/>
      </top>
      <bottom style="dotted">
        <color auto="1"/>
      </bottom>
      <diagonal/>
    </border>
  </borders>
  <cellStyleXfs count="13">
    <xf numFmtId="0" fontId="0" fillId="0" borderId="0"/>
    <xf numFmtId="44" fontId="1"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0" fontId="88" fillId="0" borderId="0" applyNumberFormat="0" applyFill="0" applyBorder="0" applyAlignment="0" applyProtection="0"/>
    <xf numFmtId="0" fontId="116" fillId="0" borderId="0" applyNumberFormat="0" applyFill="0" applyBorder="0" applyAlignment="0" applyProtection="0"/>
    <xf numFmtId="0" fontId="28" fillId="0" borderId="0"/>
    <xf numFmtId="0" fontId="1" fillId="0" borderId="0"/>
    <xf numFmtId="0" fontId="1" fillId="0" borderId="0"/>
    <xf numFmtId="0" fontId="1" fillId="0" borderId="0"/>
    <xf numFmtId="0" fontId="28" fillId="0" borderId="0"/>
    <xf numFmtId="43" fontId="1" fillId="0" borderId="0" applyFont="0" applyFill="0" applyBorder="0" applyAlignment="0" applyProtection="0"/>
  </cellStyleXfs>
  <cellXfs count="3500">
    <xf numFmtId="0" fontId="0" fillId="0" borderId="0" xfId="0"/>
    <xf numFmtId="0" fontId="6"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3" fillId="0" borderId="0" xfId="0" applyFont="1"/>
    <xf numFmtId="0" fontId="0" fillId="0" borderId="0" xfId="0" applyAlignment="1">
      <alignment vertical="center"/>
    </xf>
    <xf numFmtId="0" fontId="12" fillId="0" borderId="0" xfId="0" applyFont="1"/>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vertical="top" wrapText="1"/>
    </xf>
    <xf numFmtId="0" fontId="9" fillId="0" borderId="0" xfId="0" applyFont="1" applyAlignment="1">
      <alignment vertical="center" wrapText="1"/>
    </xf>
    <xf numFmtId="49" fontId="0" fillId="0" borderId="0" xfId="0" applyNumberFormat="1" applyAlignment="1">
      <alignment vertical="center" wrapText="1"/>
    </xf>
    <xf numFmtId="0" fontId="22" fillId="0" borderId="0" xfId="0" applyFont="1" applyAlignment="1">
      <alignment horizontal="left" vertical="center" wrapText="1"/>
    </xf>
    <xf numFmtId="0" fontId="4" fillId="0" borderId="0" xfId="0" applyFont="1" applyAlignment="1">
      <alignment vertical="center"/>
    </xf>
    <xf numFmtId="0" fontId="11" fillId="0" borderId="0" xfId="0" applyFont="1" applyAlignment="1">
      <alignment horizontal="right" vertical="center" wrapText="1"/>
    </xf>
    <xf numFmtId="0" fontId="0" fillId="0" borderId="0" xfId="0" applyAlignment="1">
      <alignment horizontal="left" vertical="top"/>
    </xf>
    <xf numFmtId="0" fontId="4" fillId="0" borderId="0" xfId="0" applyFont="1" applyAlignment="1">
      <alignment horizontal="left" vertical="top"/>
    </xf>
    <xf numFmtId="49" fontId="0" fillId="0" borderId="0" xfId="0" applyNumberFormat="1" applyAlignment="1">
      <alignment horizontal="left" vertical="top"/>
    </xf>
    <xf numFmtId="0" fontId="9" fillId="0" borderId="0" xfId="0" applyFont="1" applyAlignment="1">
      <alignment horizontal="left" vertical="top" wrapText="1"/>
    </xf>
    <xf numFmtId="0" fontId="2"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center" vertical="center" wrapText="1"/>
    </xf>
    <xf numFmtId="0" fontId="4" fillId="0" borderId="0" xfId="0" applyFont="1"/>
    <xf numFmtId="0" fontId="2" fillId="0" borderId="0" xfId="0" applyFont="1"/>
    <xf numFmtId="0" fontId="2" fillId="0" borderId="7" xfId="0" applyFont="1" applyBorder="1"/>
    <xf numFmtId="0" fontId="12" fillId="0" borderId="0" xfId="0" applyFont="1" applyAlignment="1">
      <alignment horizontal="left" vertical="top" wrapText="1"/>
    </xf>
    <xf numFmtId="0" fontId="9" fillId="0" borderId="0" xfId="0" applyFont="1" applyAlignment="1">
      <alignment horizontal="center"/>
    </xf>
    <xf numFmtId="0" fontId="2" fillId="0" borderId="0" xfId="0" applyFont="1" applyAlignment="1">
      <alignment horizontal="center" wrapText="1"/>
    </xf>
    <xf numFmtId="0" fontId="11" fillId="0" borderId="0" xfId="0" applyFont="1" applyAlignment="1">
      <alignment vertical="top"/>
    </xf>
    <xf numFmtId="0" fontId="6" fillId="0" borderId="0" xfId="0" applyFont="1" applyAlignment="1">
      <alignment horizontal="left" indent="1"/>
    </xf>
    <xf numFmtId="0" fontId="4" fillId="0" borderId="0" xfId="0" applyFont="1" applyAlignment="1">
      <alignment horizontal="left" indent="1"/>
    </xf>
    <xf numFmtId="0" fontId="12" fillId="0" borderId="0" xfId="0" applyFont="1" applyAlignment="1">
      <alignment horizontal="left" vertical="top"/>
    </xf>
    <xf numFmtId="8" fontId="12" fillId="0" borderId="0" xfId="1" applyNumberFormat="1" applyFont="1" applyFill="1" applyBorder="1" applyAlignment="1" applyProtection="1">
      <alignment horizontal="left" vertical="top"/>
    </xf>
    <xf numFmtId="0" fontId="4" fillId="0" borderId="7" xfId="0" applyFont="1" applyBorder="1" applyAlignment="1">
      <alignment horizontal="center" vertical="top" wrapText="1"/>
    </xf>
    <xf numFmtId="0" fontId="0" fillId="2" borderId="0" xfId="0" applyFill="1"/>
    <xf numFmtId="0" fontId="5" fillId="0" borderId="0" xfId="0" applyFont="1" applyAlignment="1">
      <alignment horizontal="left" wrapText="1"/>
    </xf>
    <xf numFmtId="1" fontId="0" fillId="0" borderId="0" xfId="0" applyNumberFormat="1" applyAlignment="1">
      <alignment horizontal="center" vertical="center"/>
    </xf>
    <xf numFmtId="9" fontId="0" fillId="0" borderId="0" xfId="4" applyFont="1" applyFill="1" applyBorder="1" applyAlignment="1" applyProtection="1">
      <alignment horizontal="center" vertical="center"/>
    </xf>
    <xf numFmtId="9" fontId="0" fillId="0" borderId="0" xfId="4" applyFont="1" applyBorder="1" applyAlignment="1" applyProtection="1">
      <alignment horizontal="center" vertical="center"/>
    </xf>
    <xf numFmtId="0" fontId="0" fillId="0" borderId="0" xfId="0" applyAlignment="1">
      <alignment horizontal="left" vertical="top" wrapText="1" indent="2"/>
    </xf>
    <xf numFmtId="0" fontId="12" fillId="0" borderId="0" xfId="0" applyFont="1" applyAlignment="1">
      <alignment horizontal="left" vertical="center" wrapText="1"/>
    </xf>
    <xf numFmtId="0" fontId="0" fillId="0" borderId="0" xfId="0" applyAlignment="1">
      <alignment horizontal="right"/>
    </xf>
    <xf numFmtId="0" fontId="19" fillId="0" borderId="7" xfId="0" applyFont="1" applyBorder="1" applyAlignment="1">
      <alignment horizontal="left" vertical="center" wrapText="1"/>
    </xf>
    <xf numFmtId="0" fontId="10" fillId="0" borderId="7" xfId="0" applyFont="1" applyBorder="1" applyAlignment="1">
      <alignment horizontal="left" vertical="center" wrapText="1"/>
    </xf>
    <xf numFmtId="0" fontId="12" fillId="2" borderId="7" xfId="0" applyFont="1" applyFill="1" applyBorder="1" applyAlignment="1" applyProtection="1">
      <alignment horizontal="left" vertical="center"/>
      <protection locked="0"/>
    </xf>
    <xf numFmtId="0" fontId="11" fillId="0" borderId="0" xfId="0" applyFont="1" applyAlignment="1">
      <alignment vertical="center"/>
    </xf>
    <xf numFmtId="0" fontId="2" fillId="0" borderId="7" xfId="0" applyFont="1" applyBorder="1" applyAlignment="1">
      <alignment horizontal="center" wrapText="1"/>
    </xf>
    <xf numFmtId="0" fontId="11" fillId="0" borderId="0" xfId="0" applyFont="1" applyAlignment="1">
      <alignment vertical="top" wrapText="1"/>
    </xf>
    <xf numFmtId="0" fontId="0" fillId="0" borderId="0" xfId="0" applyAlignment="1">
      <alignment vertical="center" wrapText="1"/>
    </xf>
    <xf numFmtId="0" fontId="12" fillId="0" borderId="0" xfId="0" applyFont="1" applyAlignment="1">
      <alignment horizontal="center" vertical="center"/>
    </xf>
    <xf numFmtId="0" fontId="15" fillId="0" borderId="0" xfId="0" applyFont="1" applyAlignment="1">
      <alignment vertical="center"/>
    </xf>
    <xf numFmtId="0" fontId="0" fillId="0" borderId="7" xfId="0" applyBorder="1" applyAlignment="1">
      <alignment horizontal="center" wrapText="1"/>
    </xf>
    <xf numFmtId="0" fontId="18" fillId="0" borderId="0" xfId="0" applyFont="1" applyAlignment="1">
      <alignment horizontal="left" vertical="center" wrapText="1"/>
    </xf>
    <xf numFmtId="8" fontId="12" fillId="2" borderId="1" xfId="1" applyNumberFormat="1" applyFont="1" applyFill="1" applyBorder="1" applyAlignment="1" applyProtection="1">
      <alignment horizontal="left" vertical="center"/>
      <protection locked="0"/>
    </xf>
    <xf numFmtId="8" fontId="12" fillId="2" borderId="7" xfId="0" applyNumberFormat="1" applyFont="1" applyFill="1" applyBorder="1" applyAlignment="1" applyProtection="1">
      <alignment horizontal="left" vertical="center"/>
      <protection locked="0"/>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49" fontId="0" fillId="0" borderId="0" xfId="0" applyNumberFormat="1" applyAlignment="1">
      <alignment horizontal="left" vertical="center"/>
    </xf>
    <xf numFmtId="0" fontId="4" fillId="7" borderId="0" xfId="0" applyFont="1" applyFill="1" applyAlignment="1">
      <alignment vertical="center"/>
    </xf>
    <xf numFmtId="0" fontId="0" fillId="7" borderId="0" xfId="0" applyFill="1" applyAlignment="1">
      <alignment vertical="center"/>
    </xf>
    <xf numFmtId="0" fontId="6"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2" fillId="0" borderId="0" xfId="0" applyNumberFormat="1" applyFont="1" applyAlignment="1">
      <alignment horizontal="left" vertical="top" wrapText="1"/>
    </xf>
    <xf numFmtId="0" fontId="26" fillId="0" borderId="0" xfId="0" applyFont="1" applyAlignment="1">
      <alignment horizontal="left" vertical="center" wrapText="1"/>
    </xf>
    <xf numFmtId="0" fontId="26"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vertical="center" wrapText="1"/>
    </xf>
    <xf numFmtId="0" fontId="2" fillId="0" borderId="0" xfId="0" quotePrefix="1" applyFont="1" applyAlignment="1">
      <alignment horizontal="left" vertical="top"/>
    </xf>
    <xf numFmtId="0" fontId="2" fillId="0" borderId="0" xfId="0" quotePrefix="1" applyFont="1" applyAlignment="1">
      <alignment horizontal="left" vertical="center"/>
    </xf>
    <xf numFmtId="0" fontId="2" fillId="0" borderId="0" xfId="0" quotePrefix="1" applyFont="1" applyAlignment="1">
      <alignment horizontal="left" vertical="top" wrapText="1"/>
    </xf>
    <xf numFmtId="0" fontId="2" fillId="0" borderId="0" xfId="0" quotePrefix="1" applyFont="1" applyAlignment="1">
      <alignment vertical="top" wrapText="1"/>
    </xf>
    <xf numFmtId="49" fontId="2" fillId="0" borderId="0" xfId="0" applyNumberFormat="1" applyFont="1" applyAlignment="1">
      <alignment vertical="top"/>
    </xf>
    <xf numFmtId="49" fontId="2" fillId="0" borderId="0" xfId="0" applyNumberFormat="1" applyFont="1" applyAlignment="1">
      <alignment horizontal="left" vertical="center"/>
    </xf>
    <xf numFmtId="0" fontId="10" fillId="0" borderId="0" xfId="0" applyFont="1" applyAlignment="1">
      <alignment horizontal="left" vertical="center" wrapText="1"/>
    </xf>
    <xf numFmtId="0" fontId="2" fillId="0" borderId="7" xfId="0" applyFont="1" applyBorder="1" applyAlignment="1">
      <alignment horizontal="center" vertical="center" wrapText="1"/>
    </xf>
    <xf numFmtId="0" fontId="12" fillId="8" borderId="0" xfId="0" applyFont="1" applyFill="1" applyAlignment="1">
      <alignment horizontal="left" vertical="center" wrapText="1"/>
    </xf>
    <xf numFmtId="0" fontId="0" fillId="7" borderId="0" xfId="0" applyFill="1"/>
    <xf numFmtId="0" fontId="2" fillId="0" borderId="0" xfId="0" applyFont="1" applyAlignment="1">
      <alignment horizontal="right" vertical="top" wrapText="1"/>
    </xf>
    <xf numFmtId="49" fontId="2" fillId="0" borderId="0" xfId="0" applyNumberFormat="1" applyFont="1"/>
    <xf numFmtId="0" fontId="2" fillId="0" borderId="0" xfId="0" applyFont="1" applyAlignment="1">
      <alignment vertical="top"/>
    </xf>
    <xf numFmtId="49" fontId="2" fillId="0" borderId="0" xfId="0" applyNumberFormat="1" applyFont="1" applyAlignment="1">
      <alignment horizontal="left" vertical="top"/>
    </xf>
    <xf numFmtId="0" fontId="11" fillId="0" borderId="0" xfId="0" applyFont="1" applyAlignment="1">
      <alignment horizontal="left" vertical="center"/>
    </xf>
    <xf numFmtId="166" fontId="2" fillId="0" borderId="0" xfId="0" applyNumberFormat="1" applyFont="1" applyAlignment="1">
      <alignment vertical="top"/>
    </xf>
    <xf numFmtId="167" fontId="2" fillId="0" borderId="0" xfId="0" applyNumberFormat="1" applyFont="1" applyAlignment="1">
      <alignment horizontal="left" vertical="top"/>
    </xf>
    <xf numFmtId="166" fontId="2" fillId="0" borderId="0" xfId="0" applyNumberFormat="1" applyFont="1" applyAlignment="1">
      <alignment horizontal="left" vertical="top"/>
    </xf>
    <xf numFmtId="168" fontId="2" fillId="0" borderId="0" xfId="0" applyNumberFormat="1" applyFont="1" applyAlignment="1">
      <alignment horizontal="left" vertical="top"/>
    </xf>
    <xf numFmtId="0" fontId="3" fillId="0" borderId="0" xfId="0" applyFont="1" applyAlignment="1">
      <alignment vertical="center"/>
    </xf>
    <xf numFmtId="0" fontId="2" fillId="0" borderId="7" xfId="0" applyFont="1" applyBorder="1" applyAlignment="1">
      <alignment vertical="center"/>
    </xf>
    <xf numFmtId="0" fontId="2" fillId="0" borderId="7" xfId="0" applyFont="1" applyBorder="1" applyAlignment="1">
      <alignment vertical="center" wrapText="1"/>
    </xf>
    <xf numFmtId="0" fontId="0" fillId="2" borderId="0" xfId="0" applyFill="1" applyAlignment="1">
      <alignment horizontal="center" vertical="center"/>
    </xf>
    <xf numFmtId="0" fontId="15"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6" fillId="0" borderId="0" xfId="0" applyFont="1" applyAlignment="1">
      <alignment horizontal="center"/>
    </xf>
    <xf numFmtId="0" fontId="13" fillId="0" borderId="0" xfId="0" applyFont="1" applyAlignment="1">
      <alignment horizontal="left"/>
    </xf>
    <xf numFmtId="6" fontId="58" fillId="0" borderId="0" xfId="0" applyNumberFormat="1" applyFont="1" applyAlignment="1">
      <alignment vertical="center"/>
    </xf>
    <xf numFmtId="0" fontId="13" fillId="0" borderId="0" xfId="0" applyFont="1" applyAlignment="1">
      <alignment horizontal="center" wrapText="1"/>
    </xf>
    <xf numFmtId="0" fontId="13" fillId="0" borderId="0" xfId="0" applyFont="1" applyAlignment="1">
      <alignment horizontal="center"/>
    </xf>
    <xf numFmtId="6" fontId="0" fillId="0" borderId="0" xfId="0" applyNumberFormat="1" applyAlignment="1">
      <alignment horizontal="center" vertical="center"/>
    </xf>
    <xf numFmtId="49" fontId="4" fillId="0" borderId="0" xfId="0" applyNumberFormat="1" applyFont="1"/>
    <xf numFmtId="0" fontId="61" fillId="0" borderId="0" xfId="0" applyFont="1"/>
    <xf numFmtId="0" fontId="10" fillId="0" borderId="0" xfId="0" applyFont="1"/>
    <xf numFmtId="0" fontId="7" fillId="0" borderId="0" xfId="2"/>
    <xf numFmtId="0" fontId="7" fillId="0" borderId="0" xfId="2" applyAlignment="1">
      <alignment horizontal="left" vertical="center"/>
    </xf>
    <xf numFmtId="0" fontId="28" fillId="0" borderId="0" xfId="2" applyFont="1" applyAlignment="1">
      <alignment horizontal="left" vertical="center"/>
    </xf>
    <xf numFmtId="0" fontId="65" fillId="0" borderId="0" xfId="2" applyFont="1"/>
    <xf numFmtId="0" fontId="65" fillId="0" borderId="0" xfId="2" applyFont="1" applyAlignment="1">
      <alignment horizontal="left" vertical="center"/>
    </xf>
    <xf numFmtId="0" fontId="28" fillId="0" borderId="0" xfId="2" applyFont="1" applyAlignment="1">
      <alignment horizontal="right"/>
    </xf>
    <xf numFmtId="0" fontId="35" fillId="0" borderId="0" xfId="2" applyFont="1" applyAlignment="1">
      <alignment horizontal="right"/>
    </xf>
    <xf numFmtId="0" fontId="28" fillId="0" borderId="0" xfId="2" applyFont="1"/>
    <xf numFmtId="0" fontId="38" fillId="0" borderId="0" xfId="2" applyFont="1"/>
    <xf numFmtId="0" fontId="59" fillId="0" borderId="0" xfId="2" applyFont="1"/>
    <xf numFmtId="0" fontId="68" fillId="0" borderId="0" xfId="2" applyFont="1"/>
    <xf numFmtId="0" fontId="7" fillId="0" borderId="0" xfId="2" quotePrefix="1"/>
    <xf numFmtId="0" fontId="7" fillId="0" borderId="0" xfId="2" applyAlignment="1">
      <alignment horizontal="center" vertical="center"/>
    </xf>
    <xf numFmtId="0" fontId="70" fillId="0" borderId="0" xfId="2" applyFont="1" applyAlignment="1">
      <alignment horizontal="right"/>
    </xf>
    <xf numFmtId="0" fontId="34" fillId="0" borderId="0" xfId="2" applyFont="1"/>
    <xf numFmtId="0" fontId="30" fillId="0" borderId="0" xfId="2" applyFont="1"/>
    <xf numFmtId="0" fontId="71" fillId="0" borderId="0" xfId="2" applyFont="1" applyAlignment="1">
      <alignment horizontal="right"/>
    </xf>
    <xf numFmtId="0" fontId="33" fillId="0" borderId="0" xfId="2" applyFont="1"/>
    <xf numFmtId="0" fontId="7" fillId="0" borderId="24" xfId="2" applyBorder="1"/>
    <xf numFmtId="0" fontId="59" fillId="0" borderId="0" xfId="2" applyFont="1" applyAlignment="1">
      <alignment horizontal="center" vertical="center"/>
    </xf>
    <xf numFmtId="0" fontId="74" fillId="0" borderId="0" xfId="2" applyFont="1"/>
    <xf numFmtId="0" fontId="78" fillId="0" borderId="0" xfId="2" applyFont="1"/>
    <xf numFmtId="0" fontId="78" fillId="0" borderId="0" xfId="2" applyFont="1" applyAlignment="1">
      <alignment vertical="center" wrapText="1"/>
    </xf>
    <xf numFmtId="0" fontId="78" fillId="0" borderId="38" xfId="2" applyFont="1" applyBorder="1" applyAlignment="1">
      <alignment vertical="center" wrapText="1"/>
    </xf>
    <xf numFmtId="0" fontId="7" fillId="0" borderId="0" xfId="2" applyAlignment="1">
      <alignment horizontal="center" vertical="center" wrapText="1"/>
    </xf>
    <xf numFmtId="0" fontId="7" fillId="0" borderId="0" xfId="2" applyAlignment="1">
      <alignment vertical="center"/>
    </xf>
    <xf numFmtId="0" fontId="7" fillId="0" borderId="0" xfId="2" applyAlignment="1">
      <alignment horizontal="center" wrapText="1"/>
    </xf>
    <xf numFmtId="0" fontId="34" fillId="0" borderId="0" xfId="2" applyFont="1" applyAlignment="1">
      <alignment vertical="center" wrapText="1"/>
    </xf>
    <xf numFmtId="0" fontId="79" fillId="0" borderId="38" xfId="2" applyFont="1" applyBorder="1" applyAlignment="1">
      <alignment vertical="center"/>
    </xf>
    <xf numFmtId="0" fontId="35" fillId="0" borderId="0" xfId="2" applyFont="1"/>
    <xf numFmtId="40" fontId="40" fillId="0" borderId="31" xfId="2" applyNumberFormat="1" applyFont="1" applyBorder="1"/>
    <xf numFmtId="0" fontId="34" fillId="0" borderId="0" xfId="2" applyFont="1" applyAlignment="1">
      <alignment horizontal="right"/>
    </xf>
    <xf numFmtId="0" fontId="29" fillId="0" borderId="0" xfId="2" applyFont="1"/>
    <xf numFmtId="40" fontId="28" fillId="0" borderId="0" xfId="2" applyNumberFormat="1" applyFont="1"/>
    <xf numFmtId="40" fontId="7" fillId="0" borderId="0" xfId="2" applyNumberFormat="1"/>
    <xf numFmtId="49" fontId="28" fillId="0" borderId="0" xfId="2" applyNumberFormat="1" applyFont="1" applyAlignment="1">
      <alignment horizontal="right"/>
    </xf>
    <xf numFmtId="8" fontId="7" fillId="0" borderId="0" xfId="2" quotePrefix="1" applyNumberFormat="1" applyAlignment="1">
      <alignment horizontal="center"/>
    </xf>
    <xf numFmtId="169" fontId="34" fillId="0" borderId="0" xfId="2" applyNumberFormat="1" applyFont="1" applyAlignment="1">
      <alignment horizontal="right"/>
    </xf>
    <xf numFmtId="0" fontId="29" fillId="0" borderId="0" xfId="2" applyFont="1" applyAlignment="1">
      <alignment horizontal="left" vertical="center" wrapText="1"/>
    </xf>
    <xf numFmtId="40" fontId="39" fillId="0" borderId="23" xfId="2" applyNumberFormat="1" applyFont="1" applyBorder="1" applyProtection="1">
      <protection locked="0"/>
    </xf>
    <xf numFmtId="169" fontId="28" fillId="0" borderId="0" xfId="2" applyNumberFormat="1" applyFont="1" applyAlignment="1">
      <alignment horizontal="right"/>
    </xf>
    <xf numFmtId="40" fontId="55" fillId="0" borderId="0" xfId="2" applyNumberFormat="1" applyFont="1"/>
    <xf numFmtId="0" fontId="52" fillId="0" borderId="0" xfId="2" applyFont="1"/>
    <xf numFmtId="0" fontId="35" fillId="0" borderId="0" xfId="2" applyFont="1" applyAlignment="1">
      <alignment horizontal="left"/>
    </xf>
    <xf numFmtId="0" fontId="55" fillId="0" borderId="0" xfId="2" applyFont="1" applyAlignment="1">
      <alignment horizontal="center"/>
    </xf>
    <xf numFmtId="0" fontId="28" fillId="0" borderId="0" xfId="2" applyFont="1" applyAlignment="1">
      <alignment horizontal="left"/>
    </xf>
    <xf numFmtId="40" fontId="40" fillId="0" borderId="0" xfId="2" applyNumberFormat="1" applyFont="1"/>
    <xf numFmtId="40" fontId="39" fillId="0" borderId="0" xfId="2" applyNumberFormat="1" applyFont="1"/>
    <xf numFmtId="0" fontId="51" fillId="0" borderId="0" xfId="2" quotePrefix="1" applyFont="1"/>
    <xf numFmtId="0" fontId="77" fillId="0" borderId="0" xfId="2" applyFont="1"/>
    <xf numFmtId="0" fontId="81" fillId="0" borderId="0" xfId="2" applyFont="1" applyAlignment="1">
      <alignment vertical="center" wrapText="1"/>
    </xf>
    <xf numFmtId="0" fontId="81" fillId="0" borderId="51" xfId="2" applyFont="1" applyBorder="1" applyAlignment="1">
      <alignment vertical="center" wrapText="1"/>
    </xf>
    <xf numFmtId="0" fontId="51" fillId="0" borderId="0" xfId="2" applyFont="1"/>
    <xf numFmtId="6" fontId="7" fillId="0" borderId="0" xfId="2" applyNumberFormat="1" applyAlignment="1">
      <alignment horizontal="right"/>
    </xf>
    <xf numFmtId="6" fontId="28" fillId="0" borderId="0" xfId="2" applyNumberFormat="1" applyFont="1" applyAlignment="1">
      <alignment horizontal="right"/>
    </xf>
    <xf numFmtId="0" fontId="28" fillId="0" borderId="0" xfId="2" applyFont="1" applyAlignment="1">
      <alignment horizontal="centerContinuous"/>
    </xf>
    <xf numFmtId="0" fontId="34" fillId="0" borderId="0" xfId="2" applyFont="1" applyAlignment="1">
      <alignment horizontal="centerContinuous"/>
    </xf>
    <xf numFmtId="0" fontId="33" fillId="0" borderId="24" xfId="2" applyFont="1" applyBorder="1"/>
    <xf numFmtId="0" fontId="28" fillId="0" borderId="24" xfId="2" applyFont="1" applyBorder="1" applyAlignment="1">
      <alignment horizontal="centerContinuous"/>
    </xf>
    <xf numFmtId="0" fontId="34" fillId="0" borderId="24" xfId="2" applyFont="1" applyBorder="1" applyAlignment="1">
      <alignment horizontal="centerContinuous"/>
    </xf>
    <xf numFmtId="0" fontId="34" fillId="0" borderId="24" xfId="2" applyFont="1" applyBorder="1" applyAlignment="1">
      <alignment horizontal="left"/>
    </xf>
    <xf numFmtId="40" fontId="35" fillId="0" borderId="0" xfId="2" applyNumberFormat="1" applyFont="1"/>
    <xf numFmtId="0" fontId="28" fillId="0" borderId="0" xfId="2" quotePrefix="1" applyFont="1"/>
    <xf numFmtId="0" fontId="49" fillId="0" borderId="0" xfId="2" applyFont="1"/>
    <xf numFmtId="0" fontId="36" fillId="0" borderId="0" xfId="2" applyFont="1" applyAlignment="1">
      <alignment vertical="center" wrapText="1"/>
    </xf>
    <xf numFmtId="0" fontId="36" fillId="0" borderId="51" xfId="2" applyFont="1" applyBorder="1" applyAlignment="1">
      <alignment vertical="center" wrapText="1"/>
    </xf>
    <xf numFmtId="170" fontId="28" fillId="0" borderId="0" xfId="2" applyNumberFormat="1" applyFont="1" applyAlignment="1">
      <alignment horizontal="right"/>
    </xf>
    <xf numFmtId="0" fontId="78" fillId="0" borderId="0" xfId="2" quotePrefix="1" applyFont="1" applyAlignment="1">
      <alignment horizontal="center"/>
    </xf>
    <xf numFmtId="0" fontId="32" fillId="0" borderId="0" xfId="2" applyFont="1" applyAlignment="1">
      <alignment horizontal="centerContinuous"/>
    </xf>
    <xf numFmtId="0" fontId="48" fillId="0" borderId="0" xfId="2" applyFont="1"/>
    <xf numFmtId="0" fontId="53" fillId="0" borderId="0" xfId="2" applyFont="1"/>
    <xf numFmtId="0" fontId="43" fillId="0" borderId="0" xfId="2" applyFont="1"/>
    <xf numFmtId="0" fontId="50" fillId="0" borderId="0" xfId="2" applyFont="1"/>
    <xf numFmtId="49" fontId="54" fillId="0" borderId="0" xfId="2" applyNumberFormat="1" applyFont="1" applyAlignment="1">
      <alignment horizontal="left"/>
    </xf>
    <xf numFmtId="0" fontId="36" fillId="0" borderId="0" xfId="2" applyFont="1"/>
    <xf numFmtId="40" fontId="38" fillId="0" borderId="0" xfId="2" applyNumberFormat="1" applyFont="1"/>
    <xf numFmtId="40" fontId="40" fillId="0" borderId="0" xfId="2" applyNumberFormat="1" applyFont="1" applyAlignment="1">
      <alignment horizontal="right"/>
    </xf>
    <xf numFmtId="0" fontId="40" fillId="0" borderId="0" xfId="2" applyFont="1"/>
    <xf numFmtId="0" fontId="40" fillId="0" borderId="0" xfId="2" applyFont="1" applyAlignment="1">
      <alignment horizontal="right"/>
    </xf>
    <xf numFmtId="40" fontId="7" fillId="0" borderId="22" xfId="2" applyNumberFormat="1" applyBorder="1"/>
    <xf numFmtId="0" fontId="47" fillId="0" borderId="0" xfId="2" applyFont="1"/>
    <xf numFmtId="40" fontId="39" fillId="0" borderId="0" xfId="2" applyNumberFormat="1" applyFont="1" applyProtection="1">
      <protection locked="0"/>
    </xf>
    <xf numFmtId="0" fontId="42" fillId="0" borderId="0" xfId="2" applyFont="1"/>
    <xf numFmtId="0" fontId="42" fillId="0" borderId="0" xfId="2" applyFont="1" applyAlignment="1">
      <alignment horizontal="right"/>
    </xf>
    <xf numFmtId="0" fontId="41" fillId="0" borderId="0" xfId="2" applyFont="1"/>
    <xf numFmtId="0" fontId="40" fillId="0" borderId="0" xfId="2" applyFont="1" applyAlignment="1">
      <alignment horizontal="left" indent="1"/>
    </xf>
    <xf numFmtId="0" fontId="40" fillId="0" borderId="0" xfId="2" applyFont="1" applyAlignment="1">
      <alignment horizontal="right" indent="1"/>
    </xf>
    <xf numFmtId="40" fontId="44" fillId="0" borderId="0" xfId="2" applyNumberFormat="1" applyFont="1"/>
    <xf numFmtId="40" fontId="45" fillId="0" borderId="0" xfId="2" applyNumberFormat="1" applyFont="1"/>
    <xf numFmtId="40" fontId="46" fillId="0" borderId="0" xfId="2" applyNumberFormat="1" applyFont="1"/>
    <xf numFmtId="40" fontId="43" fillId="0" borderId="0" xfId="2" applyNumberFormat="1" applyFont="1"/>
    <xf numFmtId="0" fontId="36" fillId="0" borderId="0" xfId="2" applyFont="1" applyAlignment="1">
      <alignment horizontal="left"/>
    </xf>
    <xf numFmtId="0" fontId="44" fillId="0" borderId="0" xfId="2" applyFont="1" applyAlignment="1">
      <alignment horizontal="left" indent="1"/>
    </xf>
    <xf numFmtId="0" fontId="44" fillId="0" borderId="0" xfId="2" applyFont="1" applyAlignment="1">
      <alignment horizontal="right" indent="1"/>
    </xf>
    <xf numFmtId="0" fontId="40" fillId="0" borderId="0" xfId="2" applyFont="1" applyAlignment="1">
      <alignment horizontal="left"/>
    </xf>
    <xf numFmtId="40" fontId="7" fillId="0" borderId="2" xfId="2" applyNumberFormat="1" applyBorder="1"/>
    <xf numFmtId="0" fontId="32" fillId="0" borderId="0" xfId="2" applyFont="1" applyAlignment="1">
      <alignment horizontal="center" wrapText="1"/>
    </xf>
    <xf numFmtId="0" fontId="32" fillId="0" borderId="0" xfId="2" applyFont="1" applyAlignment="1">
      <alignment horizontal="centerContinuous" wrapText="1"/>
    </xf>
    <xf numFmtId="0" fontId="32" fillId="0" borderId="0" xfId="2" applyFont="1" applyAlignment="1">
      <alignment horizontal="center"/>
    </xf>
    <xf numFmtId="0" fontId="66" fillId="0" borderId="0" xfId="2" applyFont="1"/>
    <xf numFmtId="8" fontId="7" fillId="0" borderId="0" xfId="2" applyNumberFormat="1"/>
    <xf numFmtId="0" fontId="32" fillId="0" borderId="0" xfId="2" applyFont="1" applyAlignment="1">
      <alignment horizontal="center" vertical="center" wrapText="1"/>
    </xf>
    <xf numFmtId="0" fontId="32" fillId="0" borderId="0" xfId="2" applyFont="1" applyAlignment="1">
      <alignment horizontal="center" vertical="center"/>
    </xf>
    <xf numFmtId="49" fontId="29" fillId="0" borderId="0" xfId="2" applyNumberFormat="1" applyFont="1" applyAlignment="1">
      <alignment horizontal="center"/>
    </xf>
    <xf numFmtId="0" fontId="32" fillId="0" borderId="0" xfId="2" applyFont="1"/>
    <xf numFmtId="167" fontId="30" fillId="0" borderId="0" xfId="2" applyNumberFormat="1" applyFont="1" applyAlignment="1">
      <alignment horizontal="center"/>
    </xf>
    <xf numFmtId="167" fontId="29" fillId="0" borderId="0" xfId="2" applyNumberFormat="1" applyFont="1" applyAlignment="1">
      <alignment horizontal="center"/>
    </xf>
    <xf numFmtId="0" fontId="29" fillId="0" borderId="0" xfId="2" quotePrefix="1" applyFont="1" applyAlignment="1">
      <alignment horizontal="center"/>
    </xf>
    <xf numFmtId="0" fontId="60" fillId="0" borderId="0" xfId="2" applyFont="1"/>
    <xf numFmtId="49" fontId="30" fillId="0" borderId="0" xfId="2" applyNumberFormat="1" applyFont="1" applyAlignment="1">
      <alignment horizontal="center"/>
    </xf>
    <xf numFmtId="0" fontId="30" fillId="0" borderId="0" xfId="2" applyFont="1" applyAlignment="1">
      <alignment horizontal="center"/>
    </xf>
    <xf numFmtId="0" fontId="29" fillId="0" borderId="0" xfId="2" applyFont="1" applyAlignment="1">
      <alignment horizontal="right"/>
    </xf>
    <xf numFmtId="0" fontId="84" fillId="0" borderId="0" xfId="2" applyFont="1" applyAlignment="1">
      <alignment horizontal="left" vertical="center" wrapText="1"/>
    </xf>
    <xf numFmtId="49" fontId="30" fillId="12" borderId="0" xfId="2" applyNumberFormat="1" applyFont="1" applyFill="1" applyAlignment="1">
      <alignment horizontal="center"/>
    </xf>
    <xf numFmtId="0" fontId="30" fillId="12" borderId="0" xfId="2" quotePrefix="1" applyFont="1" applyFill="1" applyAlignment="1">
      <alignment horizontal="center"/>
    </xf>
    <xf numFmtId="0" fontId="29" fillId="12" borderId="0" xfId="2" quotePrefix="1" applyFont="1" applyFill="1" applyAlignment="1">
      <alignment horizontal="center"/>
    </xf>
    <xf numFmtId="40" fontId="28" fillId="0" borderId="2" xfId="2" applyNumberFormat="1" applyFont="1" applyBorder="1"/>
    <xf numFmtId="0" fontId="28" fillId="0" borderId="24" xfId="2" applyFont="1" applyBorder="1"/>
    <xf numFmtId="0" fontId="86" fillId="0" borderId="0" xfId="0" applyFont="1" applyAlignment="1">
      <alignment horizontal="center"/>
    </xf>
    <xf numFmtId="40" fontId="37" fillId="0" borderId="0" xfId="2" applyNumberFormat="1" applyFont="1" applyProtection="1">
      <protection locked="0"/>
    </xf>
    <xf numFmtId="40" fontId="37" fillId="0" borderId="23" xfId="2" applyNumberFormat="1" applyFont="1" applyBorder="1" applyProtection="1">
      <protection locked="0"/>
    </xf>
    <xf numFmtId="0" fontId="0" fillId="13" borderId="0" xfId="0" applyFill="1"/>
    <xf numFmtId="0" fontId="10" fillId="0" borderId="0" xfId="0" applyFont="1" applyAlignment="1">
      <alignment horizontal="center" vertical="center" wrapText="1"/>
    </xf>
    <xf numFmtId="0" fontId="10" fillId="0" borderId="0" xfId="0" applyFont="1" applyAlignment="1">
      <alignment vertical="center"/>
    </xf>
    <xf numFmtId="38" fontId="0" fillId="0" borderId="0" xfId="0" applyNumberFormat="1" applyAlignment="1">
      <alignment horizontal="center" vertical="center"/>
    </xf>
    <xf numFmtId="38" fontId="2" fillId="0" borderId="0" xfId="0" applyNumberFormat="1" applyFont="1" applyAlignment="1">
      <alignment horizontal="center" vertical="center" wrapText="1"/>
    </xf>
    <xf numFmtId="0" fontId="4" fillId="0" borderId="0" xfId="0" applyFont="1" applyAlignment="1">
      <alignment vertical="top" wrapText="1"/>
    </xf>
    <xf numFmtId="0" fontId="10" fillId="0" borderId="0" xfId="0" applyFont="1" applyAlignment="1">
      <alignment horizontal="left" vertical="top"/>
    </xf>
    <xf numFmtId="0" fontId="4" fillId="7" borderId="0" xfId="0" applyFont="1" applyFill="1"/>
    <xf numFmtId="38" fontId="10" fillId="0" borderId="0" xfId="0" applyNumberFormat="1" applyFont="1" applyAlignment="1">
      <alignment horizontal="center" vertical="center"/>
    </xf>
    <xf numFmtId="38" fontId="12" fillId="0" borderId="0" xfId="0" applyNumberFormat="1" applyFont="1" applyAlignment="1">
      <alignment horizontal="center" vertical="center"/>
    </xf>
    <xf numFmtId="38" fontId="18" fillId="0" borderId="0" xfId="0" applyNumberFormat="1" applyFont="1" applyAlignment="1">
      <alignment horizontal="center" vertical="center"/>
    </xf>
    <xf numFmtId="38" fontId="12" fillId="6" borderId="57" xfId="0" applyNumberFormat="1" applyFont="1" applyFill="1" applyBorder="1" applyAlignment="1">
      <alignment horizontal="center" vertical="center"/>
    </xf>
    <xf numFmtId="0" fontId="27"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2"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2" fillId="0" borderId="59" xfId="0" applyFont="1" applyBorder="1" applyAlignment="1">
      <alignment horizontal="right"/>
    </xf>
    <xf numFmtId="0" fontId="2"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58"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4" fillId="0" borderId="67" xfId="0" applyNumberFormat="1" applyFont="1" applyBorder="1" applyAlignment="1">
      <alignment vertical="center"/>
    </xf>
    <xf numFmtId="0" fontId="89" fillId="0" borderId="0" xfId="0" applyFont="1" applyAlignment="1">
      <alignment horizontal="center" vertical="top" wrapText="1"/>
    </xf>
    <xf numFmtId="0" fontId="6"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0" fillId="0" borderId="0" xfId="0" quotePrefix="1" applyAlignment="1">
      <alignment horizontal="left" vertical="center"/>
    </xf>
    <xf numFmtId="8" fontId="12"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16" xfId="0" applyBorder="1" applyAlignment="1">
      <alignment vertical="top"/>
    </xf>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2" fillId="0" borderId="0" xfId="0" applyNumberFormat="1" applyFont="1" applyAlignment="1">
      <alignment horizontal="left"/>
    </xf>
    <xf numFmtId="0" fontId="0" fillId="0" borderId="53" xfId="0" applyBorder="1" applyAlignment="1">
      <alignment vertical="top"/>
    </xf>
    <xf numFmtId="0" fontId="11" fillId="0" borderId="53" xfId="0" applyFont="1" applyBorder="1" applyAlignment="1">
      <alignment vertical="top"/>
    </xf>
    <xf numFmtId="0" fontId="11" fillId="0" borderId="0" xfId="0" applyFont="1" applyAlignment="1">
      <alignment horizontal="right" vertical="center"/>
    </xf>
    <xf numFmtId="6" fontId="0" fillId="0" borderId="1" xfId="0" applyNumberFormat="1" applyBorder="1" applyAlignment="1">
      <alignment horizontal="right" vertical="top"/>
    </xf>
    <xf numFmtId="0" fontId="10" fillId="0" borderId="0" xfId="0" applyFont="1" applyAlignment="1">
      <alignment horizontal="center"/>
    </xf>
    <xf numFmtId="9" fontId="4" fillId="0" borderId="0" xfId="4" applyFont="1" applyAlignment="1">
      <alignment horizontal="center" vertical="center"/>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2" fillId="6" borderId="56" xfId="4" applyFont="1" applyFill="1" applyBorder="1" applyAlignment="1">
      <alignment horizontal="center" vertical="center"/>
    </xf>
    <xf numFmtId="9" fontId="12"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2" fillId="0" borderId="66" xfId="0" applyNumberFormat="1" applyFont="1" applyBorder="1" applyAlignment="1">
      <alignment horizontal="center" vertical="center"/>
    </xf>
    <xf numFmtId="6" fontId="2"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4" fillId="0" borderId="0" xfId="0" quotePrefix="1" applyFont="1"/>
    <xf numFmtId="6" fontId="0" fillId="0" borderId="0" xfId="0" applyNumberFormat="1" applyAlignment="1">
      <alignment vertical="center"/>
    </xf>
    <xf numFmtId="0" fontId="3" fillId="0" borderId="0" xfId="0" applyFont="1"/>
    <xf numFmtId="177" fontId="12" fillId="6" borderId="56" xfId="0" applyNumberFormat="1" applyFont="1" applyFill="1" applyBorder="1" applyAlignment="1">
      <alignment horizontal="center" vertical="center" wrapText="1"/>
    </xf>
    <xf numFmtId="0" fontId="19" fillId="0" borderId="5" xfId="0" applyFont="1" applyBorder="1" applyAlignment="1">
      <alignment vertical="center" wrapText="1"/>
    </xf>
    <xf numFmtId="0" fontId="94" fillId="0" borderId="44" xfId="0" applyFont="1" applyBorder="1" applyAlignment="1">
      <alignment vertical="center" wrapText="1"/>
    </xf>
    <xf numFmtId="167" fontId="2"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2" fillId="0" borderId="15" xfId="0" applyFont="1" applyBorder="1"/>
    <xf numFmtId="0" fontId="12" fillId="6" borderId="56" xfId="0" applyFont="1" applyFill="1" applyBorder="1" applyAlignment="1">
      <alignment vertical="center"/>
    </xf>
    <xf numFmtId="178" fontId="12" fillId="6" borderId="56" xfId="0" applyNumberFormat="1" applyFont="1" applyFill="1" applyBorder="1" applyAlignment="1">
      <alignment horizontal="center" vertical="center"/>
    </xf>
    <xf numFmtId="40" fontId="12" fillId="6" borderId="56" xfId="0" applyNumberFormat="1" applyFont="1" applyFill="1" applyBorder="1" applyAlignment="1">
      <alignment horizontal="center" vertical="center"/>
    </xf>
    <xf numFmtId="179" fontId="12" fillId="6" borderId="56" xfId="0" applyNumberFormat="1" applyFont="1" applyFill="1" applyBorder="1" applyAlignment="1">
      <alignment horizontal="center" vertical="center"/>
    </xf>
    <xf numFmtId="178" fontId="4" fillId="0" borderId="56" xfId="0" applyNumberFormat="1" applyFont="1" applyBorder="1" applyAlignment="1">
      <alignment horizontal="center" vertical="center"/>
    </xf>
    <xf numFmtId="6" fontId="0" fillId="0" borderId="1" xfId="0" applyNumberFormat="1" applyBorder="1" applyAlignment="1">
      <alignment vertical="center"/>
    </xf>
    <xf numFmtId="0" fontId="30" fillId="0" borderId="0" xfId="2" applyFont="1" applyAlignment="1">
      <alignment horizontal="center" vertical="center" wrapText="1"/>
    </xf>
    <xf numFmtId="0" fontId="7" fillId="0" borderId="0" xfId="2" applyAlignment="1">
      <alignment horizontal="right" vertical="center" wrapText="1"/>
    </xf>
    <xf numFmtId="10" fontId="0" fillId="0" borderId="0" xfId="3" applyNumberFormat="1" applyFont="1" applyFill="1" applyBorder="1" applyAlignment="1" applyProtection="1">
      <alignment horizontal="center" vertical="center"/>
    </xf>
    <xf numFmtId="0" fontId="69" fillId="0" borderId="0" xfId="2" applyFont="1" applyAlignment="1">
      <alignment horizontal="center" vertical="center" wrapText="1"/>
    </xf>
    <xf numFmtId="180" fontId="4" fillId="0" borderId="7" xfId="0" applyNumberFormat="1" applyFont="1" applyBorder="1" applyAlignment="1">
      <alignment horizontal="center" vertical="center"/>
    </xf>
    <xf numFmtId="181" fontId="4" fillId="0" borderId="55" xfId="0" applyNumberFormat="1" applyFont="1" applyBorder="1" applyAlignment="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6" fillId="0" borderId="0" xfId="0" applyFont="1"/>
    <xf numFmtId="0" fontId="96" fillId="0" borderId="0" xfId="0" applyFont="1" applyAlignment="1">
      <alignment vertical="center"/>
    </xf>
    <xf numFmtId="0" fontId="4" fillId="0" borderId="0" xfId="0" applyFont="1" applyAlignment="1">
      <alignment horizontal="right"/>
    </xf>
    <xf numFmtId="168" fontId="2" fillId="0" borderId="0" xfId="0" applyNumberFormat="1" applyFont="1" applyAlignment="1">
      <alignment vertical="top"/>
    </xf>
    <xf numFmtId="168" fontId="2" fillId="0" borderId="0" xfId="0" applyNumberFormat="1" applyFont="1" applyAlignment="1">
      <alignment horizontal="right" vertical="top" wrapText="1"/>
    </xf>
    <xf numFmtId="0" fontId="0" fillId="0" borderId="0" xfId="0" applyAlignment="1">
      <alignment horizontal="right" vertical="top"/>
    </xf>
    <xf numFmtId="0" fontId="98" fillId="0" borderId="0" xfId="0" applyFont="1"/>
    <xf numFmtId="182" fontId="12" fillId="6" borderId="74" xfId="0" applyNumberFormat="1" applyFont="1" applyFill="1" applyBorder="1" applyAlignment="1">
      <alignment horizontal="center" vertical="center"/>
    </xf>
    <xf numFmtId="9" fontId="12"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4" fillId="13" borderId="0" xfId="0" applyFont="1" applyFill="1" applyAlignment="1">
      <alignment vertical="center"/>
    </xf>
    <xf numFmtId="0" fontId="0" fillId="13" borderId="0" xfId="0" applyFill="1" applyAlignment="1">
      <alignment horizontal="right" vertical="center"/>
    </xf>
    <xf numFmtId="0" fontId="99" fillId="0" borderId="0" xfId="2" applyFont="1"/>
    <xf numFmtId="38" fontId="4" fillId="0" borderId="0" xfId="0" quotePrefix="1" applyNumberFormat="1" applyFont="1" applyAlignment="1">
      <alignment horizontal="center" vertical="center"/>
    </xf>
    <xf numFmtId="0" fontId="12" fillId="0" borderId="0" xfId="0" applyFont="1" applyAlignment="1">
      <alignment horizontal="left" vertical="center"/>
    </xf>
    <xf numFmtId="44" fontId="92" fillId="0" borderId="0" xfId="1" applyFont="1" applyFill="1" applyBorder="1" applyAlignment="1" applyProtection="1">
      <alignment horizontal="right" vertical="center"/>
    </xf>
    <xf numFmtId="44" fontId="90" fillId="0" borderId="0" xfId="1" applyFont="1" applyFill="1" applyBorder="1" applyAlignment="1" applyProtection="1">
      <alignment horizontal="left" vertical="center"/>
    </xf>
    <xf numFmtId="3" fontId="12" fillId="6" borderId="56" xfId="0" applyNumberFormat="1" applyFont="1" applyFill="1" applyBorder="1" applyAlignment="1">
      <alignment horizontal="center" vertical="center"/>
    </xf>
    <xf numFmtId="38" fontId="4" fillId="0" borderId="0" xfId="0" applyNumberFormat="1" applyFont="1" applyAlignment="1">
      <alignment vertical="center"/>
    </xf>
    <xf numFmtId="176" fontId="12" fillId="6" borderId="56" xfId="0" applyNumberFormat="1" applyFont="1" applyFill="1" applyBorder="1" applyAlignment="1">
      <alignment horizontal="center" vertical="center"/>
    </xf>
    <xf numFmtId="0" fontId="0" fillId="0" borderId="0" xfId="0" applyAlignment="1">
      <alignment horizontal="center" vertical="top"/>
    </xf>
    <xf numFmtId="38" fontId="4" fillId="0" borderId="0" xfId="0" applyNumberFormat="1" applyFont="1" applyAlignment="1">
      <alignment horizontal="center"/>
    </xf>
    <xf numFmtId="38" fontId="0" fillId="0" borderId="0" xfId="0" applyNumberFormat="1" applyAlignment="1">
      <alignment horizontal="center"/>
    </xf>
    <xf numFmtId="0" fontId="67" fillId="0" borderId="0" xfId="2" applyFont="1" applyAlignment="1">
      <alignment horizontal="right"/>
    </xf>
    <xf numFmtId="0" fontId="50" fillId="0" borderId="0" xfId="2" applyFont="1" applyAlignment="1">
      <alignment vertical="top" wrapText="1"/>
    </xf>
    <xf numFmtId="0" fontId="61" fillId="0" borderId="0" xfId="0" applyFont="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7" fillId="0" borderId="22" xfId="2" applyBorder="1"/>
    <xf numFmtId="0" fontId="7" fillId="0" borderId="2" xfId="2" applyBorder="1"/>
    <xf numFmtId="9" fontId="12"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2" fillId="6" borderId="82" xfId="4" applyFont="1" applyFill="1" applyBorder="1" applyAlignment="1">
      <alignment horizontal="center" vertical="center"/>
    </xf>
    <xf numFmtId="9" fontId="12" fillId="6" borderId="83" xfId="4" applyFont="1" applyFill="1" applyBorder="1" applyAlignment="1">
      <alignment horizontal="center" vertical="center"/>
    </xf>
    <xf numFmtId="38" fontId="12"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7" fillId="0" borderId="0" xfId="2" applyAlignment="1">
      <alignment horizontal="right"/>
    </xf>
    <xf numFmtId="171" fontId="7" fillId="0" borderId="0" xfId="2" applyNumberFormat="1" applyAlignment="1">
      <alignment horizontal="center" vertical="center"/>
    </xf>
    <xf numFmtId="186" fontId="0" fillId="0" borderId="15" xfId="4" applyNumberFormat="1" applyFont="1" applyBorder="1" applyAlignment="1">
      <alignment horizontal="center" vertical="center"/>
    </xf>
    <xf numFmtId="166" fontId="2" fillId="0" borderId="0" xfId="0" applyNumberFormat="1" applyFont="1" applyAlignment="1">
      <alignment horizontal="right" vertical="top" wrapText="1"/>
    </xf>
    <xf numFmtId="0" fontId="0" fillId="0" borderId="82" xfId="0" applyBorder="1" applyAlignment="1">
      <alignment vertical="center"/>
    </xf>
    <xf numFmtId="9" fontId="4" fillId="0" borderId="75" xfId="4" applyFont="1" applyFill="1" applyBorder="1" applyAlignment="1">
      <alignment horizontal="center" vertical="center"/>
    </xf>
    <xf numFmtId="0" fontId="4"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2" fillId="18" borderId="56" xfId="0" applyNumberFormat="1" applyFont="1" applyFill="1" applyBorder="1" applyAlignment="1">
      <alignment horizontal="center" vertical="center"/>
    </xf>
    <xf numFmtId="0" fontId="2" fillId="0" borderId="0" xfId="0" applyFont="1" applyAlignment="1">
      <alignment horizontal="center"/>
    </xf>
    <xf numFmtId="0" fontId="2" fillId="17" borderId="0" xfId="0" applyFont="1" applyFill="1" applyAlignment="1">
      <alignment horizontal="center"/>
    </xf>
    <xf numFmtId="0" fontId="103"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3"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5" fillId="0" borderId="0" xfId="0" applyFont="1" applyAlignment="1">
      <alignment vertical="center"/>
    </xf>
    <xf numFmtId="0" fontId="48" fillId="0" borderId="0" xfId="2" applyFont="1" applyAlignment="1">
      <alignment horizontal="right"/>
    </xf>
    <xf numFmtId="9" fontId="7" fillId="0" borderId="0" xfId="2" applyNumberFormat="1" applyAlignment="1">
      <alignment horizontal="center" vertical="center"/>
    </xf>
    <xf numFmtId="10" fontId="7" fillId="0" borderId="0" xfId="2" applyNumberFormat="1" applyAlignment="1">
      <alignment horizontal="center" vertical="center"/>
    </xf>
    <xf numFmtId="0" fontId="76" fillId="0" borderId="0" xfId="2" applyFont="1" applyAlignment="1">
      <alignment horizontal="right" vertical="center"/>
    </xf>
    <xf numFmtId="0" fontId="104" fillId="0" borderId="0" xfId="2" applyFont="1" applyAlignment="1">
      <alignment horizontal="left" vertical="center" wrapText="1"/>
    </xf>
    <xf numFmtId="0" fontId="76" fillId="0" borderId="0" xfId="2" applyFont="1" applyAlignment="1">
      <alignment horizontal="right" wrapText="1"/>
    </xf>
    <xf numFmtId="0" fontId="76" fillId="0" borderId="0" xfId="2" applyFont="1" applyAlignment="1">
      <alignment horizontal="left" vertical="center" wrapText="1"/>
    </xf>
    <xf numFmtId="0" fontId="76" fillId="0" borderId="0" xfId="2" quotePrefix="1" applyFont="1" applyAlignment="1">
      <alignment horizontal="left" vertical="center" wrapText="1"/>
    </xf>
    <xf numFmtId="0" fontId="7" fillId="0" borderId="0" xfId="2" applyAlignment="1">
      <alignment horizontal="left" vertical="center" wrapText="1"/>
    </xf>
    <xf numFmtId="0" fontId="78" fillId="0" borderId="0" xfId="2" applyFont="1" applyAlignment="1">
      <alignment horizontal="center" wrapText="1"/>
    </xf>
    <xf numFmtId="0" fontId="78" fillId="0" borderId="0" xfId="2" applyFont="1" applyAlignment="1">
      <alignment horizontal="left"/>
    </xf>
    <xf numFmtId="174" fontId="7" fillId="0" borderId="0" xfId="2" applyNumberFormat="1"/>
    <xf numFmtId="0" fontId="5" fillId="0" borderId="0" xfId="0" applyFont="1"/>
    <xf numFmtId="38" fontId="2"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44" fontId="7" fillId="0" borderId="0" xfId="1" applyFont="1"/>
    <xf numFmtId="0" fontId="105" fillId="0" borderId="0" xfId="2" applyFont="1"/>
    <xf numFmtId="0" fontId="80" fillId="0" borderId="0" xfId="2" quotePrefix="1" applyFont="1"/>
    <xf numFmtId="173" fontId="75"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0" fontId="0" fillId="0" borderId="11" xfId="0" applyBorder="1" applyAlignment="1">
      <alignment horizontal="center" vertical="center" wrapText="1"/>
    </xf>
    <xf numFmtId="1" fontId="0" fillId="0" borderId="21" xfId="0" applyNumberFormat="1" applyBorder="1" applyAlignment="1">
      <alignment horizontal="center" vertical="center"/>
    </xf>
    <xf numFmtId="1" fontId="0" fillId="0" borderId="90" xfId="0" applyNumberFormat="1" applyBorder="1" applyAlignment="1">
      <alignment horizontal="center" vertical="center"/>
    </xf>
    <xf numFmtId="0" fontId="0" fillId="0" borderId="91" xfId="0" applyBorder="1" applyAlignment="1">
      <alignment horizontal="center" vertical="center" wrapText="1"/>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2"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2" fillId="0" borderId="19" xfId="4" applyFont="1" applyBorder="1" applyAlignment="1" applyProtection="1">
      <alignment horizontal="center" vertical="center"/>
    </xf>
    <xf numFmtId="38" fontId="0" fillId="0" borderId="9" xfId="4" applyNumberFormat="1" applyFont="1" applyBorder="1" applyAlignment="1">
      <alignment horizontal="center" vertical="center" wrapText="1"/>
    </xf>
    <xf numFmtId="1" fontId="0" fillId="0" borderId="111" xfId="0" applyNumberFormat="1" applyBorder="1" applyAlignment="1">
      <alignment horizontal="center" vertical="center"/>
    </xf>
    <xf numFmtId="38" fontId="0" fillId="0" borderId="38" xfId="4" applyNumberFormat="1" applyFont="1" applyBorder="1" applyAlignment="1" applyProtection="1">
      <alignment horizontal="center" vertical="center" wrapText="1"/>
    </xf>
    <xf numFmtId="0" fontId="0" fillId="3" borderId="110" xfId="0" applyFill="1" applyBorder="1" applyAlignment="1">
      <alignment horizontal="left" vertical="center"/>
    </xf>
    <xf numFmtId="9" fontId="0" fillId="0" borderId="19" xfId="4" applyFont="1" applyBorder="1" applyAlignment="1">
      <alignment horizontal="center" vertical="center"/>
    </xf>
    <xf numFmtId="9" fontId="0" fillId="7" borderId="0" xfId="4" applyFont="1" applyFill="1" applyAlignment="1">
      <alignment horizontal="center" vertical="center"/>
    </xf>
    <xf numFmtId="0" fontId="4" fillId="7" borderId="0" xfId="0" applyFont="1" applyFill="1" applyAlignment="1">
      <alignment horizontal="center" vertical="center"/>
    </xf>
    <xf numFmtId="0" fontId="0" fillId="0" borderId="0" xfId="4" applyNumberFormat="1" applyFont="1" applyAlignment="1">
      <alignment vertical="top" wrapText="1"/>
    </xf>
    <xf numFmtId="0" fontId="4" fillId="0" borderId="15" xfId="0" applyFont="1" applyBorder="1"/>
    <xf numFmtId="0" fontId="4" fillId="0" borderId="16" xfId="0" applyFont="1" applyBorder="1"/>
    <xf numFmtId="0" fontId="58" fillId="0" borderId="16" xfId="0" applyFont="1" applyBorder="1"/>
    <xf numFmtId="0" fontId="58"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4" fillId="0" borderId="0" xfId="0" applyFont="1" applyAlignment="1">
      <alignment horizontal="center" vertical="center"/>
    </xf>
    <xf numFmtId="0" fontId="28" fillId="0" borderId="2" xfId="2" applyFont="1" applyBorder="1"/>
    <xf numFmtId="40" fontId="44" fillId="0" borderId="2" xfId="2" applyNumberFormat="1" applyFont="1" applyBorder="1"/>
    <xf numFmtId="40" fontId="40" fillId="0" borderId="2" xfId="2" applyNumberFormat="1" applyFont="1" applyBorder="1"/>
    <xf numFmtId="40" fontId="34" fillId="0" borderId="0" xfId="2" applyNumberFormat="1" applyFont="1"/>
    <xf numFmtId="0" fontId="2" fillId="8" borderId="0" xfId="0" applyFont="1" applyFill="1" applyAlignment="1">
      <alignment vertical="top"/>
    </xf>
    <xf numFmtId="0" fontId="2"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70" fillId="0" borderId="0" xfId="2" applyFont="1"/>
    <xf numFmtId="1" fontId="0" fillId="0" borderId="98" xfId="0" applyNumberFormat="1" applyBorder="1" applyAlignment="1">
      <alignment horizontal="center" vertical="center"/>
    </xf>
    <xf numFmtId="1" fontId="0" fillId="0" borderId="113"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38" fillId="0" borderId="0" xfId="2" applyFont="1" applyAlignment="1">
      <alignment horizontal="center"/>
    </xf>
    <xf numFmtId="174" fontId="82" fillId="0" borderId="0" xfId="2" applyNumberFormat="1" applyFont="1"/>
    <xf numFmtId="174" fontId="82" fillId="0" borderId="0" xfId="2" quotePrefix="1" applyNumberFormat="1" applyFont="1"/>
    <xf numFmtId="0" fontId="85" fillId="0" borderId="15" xfId="0" applyFont="1" applyBorder="1" applyAlignment="1">
      <alignment vertical="center"/>
    </xf>
    <xf numFmtId="0" fontId="7" fillId="0" borderId="15" xfId="2" applyBorder="1"/>
    <xf numFmtId="8" fontId="7" fillId="0" borderId="15" xfId="2" applyNumberFormat="1" applyBorder="1"/>
    <xf numFmtId="0" fontId="7" fillId="0" borderId="15" xfId="2" quotePrefix="1" applyBorder="1"/>
    <xf numFmtId="0" fontId="0" fillId="0" borderId="0" xfId="4" applyNumberFormat="1" applyFont="1" applyAlignment="1">
      <alignment vertical="top"/>
    </xf>
    <xf numFmtId="0" fontId="0" fillId="0" borderId="0" xfId="4" applyNumberFormat="1" applyFont="1" applyAlignment="1"/>
    <xf numFmtId="0" fontId="8" fillId="0" borderId="0" xfId="0" applyFont="1"/>
    <xf numFmtId="0" fontId="58"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100" fillId="0" borderId="0" xfId="0" applyFont="1"/>
    <xf numFmtId="0" fontId="4" fillId="0" borderId="0" xfId="4" applyNumberFormat="1" applyFont="1" applyFill="1" applyBorder="1" applyAlignment="1">
      <alignment horizontal="center" vertical="center"/>
    </xf>
    <xf numFmtId="0" fontId="0" fillId="0" borderId="74" xfId="0" applyBorder="1"/>
    <xf numFmtId="0" fontId="9" fillId="21" borderId="7" xfId="0" applyFont="1" applyFill="1" applyBorder="1"/>
    <xf numFmtId="0" fontId="0" fillId="21" borderId="1" xfId="0" applyFill="1" applyBorder="1"/>
    <xf numFmtId="0" fontId="0" fillId="21" borderId="6" xfId="0" applyFill="1" applyBorder="1" applyAlignment="1">
      <alignment horizontal="center"/>
    </xf>
    <xf numFmtId="0" fontId="7" fillId="7" borderId="0" xfId="2" applyFill="1"/>
    <xf numFmtId="0" fontId="98" fillId="0" borderId="0" xfId="0" applyFont="1" applyAlignment="1">
      <alignment vertical="center"/>
    </xf>
    <xf numFmtId="0" fontId="80" fillId="0" borderId="0" xfId="2" applyFont="1"/>
    <xf numFmtId="0" fontId="34" fillId="0" borderId="0" xfId="2" applyFont="1" applyAlignment="1">
      <alignment horizontal="center" vertical="center"/>
    </xf>
    <xf numFmtId="0" fontId="72" fillId="0" borderId="0" xfId="2" applyFont="1" applyAlignment="1">
      <alignment vertical="center" wrapText="1"/>
    </xf>
    <xf numFmtId="173" fontId="35" fillId="0" borderId="0" xfId="2" applyNumberFormat="1" applyFont="1"/>
    <xf numFmtId="9" fontId="4"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58" fillId="0" borderId="53" xfId="0" applyFont="1" applyBorder="1"/>
    <xf numFmtId="0" fontId="0" fillId="0" borderId="53" xfId="0" applyBorder="1" applyAlignment="1">
      <alignment horizontal="center" vertical="center"/>
    </xf>
    <xf numFmtId="0" fontId="58"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182" fontId="12" fillId="6" borderId="82" xfId="0" applyNumberFormat="1" applyFont="1" applyFill="1" applyBorder="1" applyAlignment="1">
      <alignment horizontal="center" vertical="center"/>
    </xf>
    <xf numFmtId="0" fontId="12" fillId="6" borderId="0" xfId="0" applyFont="1" applyFill="1" applyAlignment="1">
      <alignment horizontal="center" vertical="center"/>
    </xf>
    <xf numFmtId="9" fontId="12" fillId="6" borderId="82" xfId="0" applyNumberFormat="1" applyFont="1" applyFill="1" applyBorder="1" applyAlignment="1">
      <alignment horizontal="center" vertical="center"/>
    </xf>
    <xf numFmtId="0" fontId="12" fillId="6" borderId="75" xfId="0" applyFont="1" applyFill="1" applyBorder="1" applyAlignment="1">
      <alignment horizontal="center" vertical="center"/>
    </xf>
    <xf numFmtId="0" fontId="110" fillId="8" borderId="0" xfId="0" quotePrefix="1" applyFont="1" applyFill="1" applyAlignment="1">
      <alignment vertical="center"/>
    </xf>
    <xf numFmtId="38" fontId="0" fillId="0" borderId="0" xfId="0" applyNumberFormat="1"/>
    <xf numFmtId="0" fontId="6"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2" fillId="0" borderId="0" xfId="0" applyFont="1" applyAlignment="1">
      <alignment horizontal="right" vertical="center"/>
    </xf>
    <xf numFmtId="0" fontId="2" fillId="0" borderId="0" xfId="0" applyFont="1" applyAlignment="1">
      <alignment horizontal="right" vertical="top"/>
    </xf>
    <xf numFmtId="168" fontId="2" fillId="0" borderId="0" xfId="0" applyNumberFormat="1" applyFont="1" applyAlignment="1">
      <alignment horizontal="right" vertical="top"/>
    </xf>
    <xf numFmtId="168" fontId="2" fillId="0" borderId="0" xfId="0" applyNumberFormat="1" applyFont="1" applyAlignment="1">
      <alignment horizontal="right"/>
    </xf>
    <xf numFmtId="168" fontId="2"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174" fontId="38" fillId="0" borderId="10" xfId="2" quotePrefix="1" applyNumberFormat="1" applyFont="1" applyBorder="1"/>
    <xf numFmtId="174" fontId="38" fillId="0" borderId="13" xfId="2" applyNumberFormat="1" applyFont="1" applyBorder="1"/>
    <xf numFmtId="174" fontId="38" fillId="0" borderId="13" xfId="2" quotePrefix="1" applyNumberFormat="1" applyFont="1" applyBorder="1"/>
    <xf numFmtId="174" fontId="109" fillId="0" borderId="13" xfId="2" applyNumberFormat="1" applyFont="1" applyBorder="1"/>
    <xf numFmtId="0" fontId="38" fillId="0" borderId="13" xfId="2" quotePrefix="1" applyFont="1" applyBorder="1"/>
    <xf numFmtId="174" fontId="38" fillId="0" borderId="11" xfId="2" applyNumberFormat="1" applyFont="1" applyBorder="1"/>
    <xf numFmtId="0" fontId="12" fillId="0" borderId="0" xfId="0" applyFont="1" applyAlignment="1">
      <alignment vertical="center"/>
    </xf>
    <xf numFmtId="180" fontId="4" fillId="0" borderId="10" xfId="0" applyNumberFormat="1" applyFont="1" applyBorder="1" applyAlignment="1">
      <alignment horizontal="center" vertical="center"/>
    </xf>
    <xf numFmtId="0" fontId="4" fillId="8" borderId="0" xfId="0" applyFont="1" applyFill="1" applyAlignment="1">
      <alignment horizontal="left" vertical="top"/>
    </xf>
    <xf numFmtId="0" fontId="4" fillId="8" borderId="0" xfId="0" applyFont="1" applyFill="1" applyAlignment="1">
      <alignment horizontal="left" vertical="top" wrapText="1"/>
    </xf>
    <xf numFmtId="168" fontId="10" fillId="0" borderId="0" xfId="0" applyNumberFormat="1" applyFont="1" applyAlignment="1">
      <alignment horizontal="right" vertical="top"/>
    </xf>
    <xf numFmtId="0" fontId="0" fillId="8" borderId="0" xfId="0" applyFill="1" applyAlignment="1">
      <alignment vertical="center"/>
    </xf>
    <xf numFmtId="0" fontId="112" fillId="0" borderId="0" xfId="0" applyFont="1"/>
    <xf numFmtId="0" fontId="112" fillId="0" borderId="0" xfId="0" applyFont="1" applyAlignment="1">
      <alignment vertical="center"/>
    </xf>
    <xf numFmtId="0" fontId="0" fillId="8" borderId="1" xfId="0" applyFill="1" applyBorder="1" applyAlignment="1">
      <alignment horizontal="righ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5"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9" fillId="0" borderId="7" xfId="0" applyFont="1" applyBorder="1" applyAlignment="1">
      <alignment vertical="center"/>
    </xf>
    <xf numFmtId="0" fontId="6" fillId="0" borderId="7" xfId="0" applyFont="1" applyBorder="1" applyAlignment="1">
      <alignment horizontal="center" vertical="center"/>
    </xf>
    <xf numFmtId="0" fontId="12" fillId="6" borderId="74" xfId="0" applyFont="1" applyFill="1" applyBorder="1" applyAlignment="1">
      <alignment horizontal="center" vertical="center"/>
    </xf>
    <xf numFmtId="0" fontId="98" fillId="0" borderId="0" xfId="0" applyFont="1" applyAlignment="1">
      <alignment horizontal="right" vertical="center"/>
    </xf>
    <xf numFmtId="194" fontId="12" fillId="6" borderId="56" xfId="0" applyNumberFormat="1" applyFont="1" applyFill="1" applyBorder="1" applyAlignment="1">
      <alignment horizontal="center" vertical="center"/>
    </xf>
    <xf numFmtId="194" fontId="12" fillId="6" borderId="57" xfId="0" applyNumberFormat="1" applyFont="1" applyFill="1" applyBorder="1" applyAlignment="1">
      <alignment horizontal="center" vertical="center"/>
    </xf>
    <xf numFmtId="195" fontId="4" fillId="0" borderId="116"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88"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5" fillId="0" borderId="0" xfId="0" applyNumberFormat="1" applyFont="1" applyAlignment="1">
      <alignment horizontal="right"/>
    </xf>
    <xf numFmtId="178" fontId="2" fillId="0" borderId="7" xfId="0" applyNumberFormat="1" applyFont="1" applyBorder="1" applyAlignment="1">
      <alignment horizontal="center" vertical="center"/>
    </xf>
    <xf numFmtId="0" fontId="96" fillId="0" borderId="0" xfId="0" applyFont="1" applyAlignment="1">
      <alignment vertical="top"/>
    </xf>
    <xf numFmtId="194" fontId="12" fillId="6" borderId="114"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5" fillId="0" borderId="0" xfId="0" applyFont="1" applyAlignment="1">
      <alignment horizontal="left" wrapText="1"/>
    </xf>
    <xf numFmtId="0" fontId="4" fillId="0" borderId="0" xfId="0" applyFont="1" applyAlignment="1">
      <alignment horizontal="center"/>
    </xf>
    <xf numFmtId="0" fontId="8" fillId="13" borderId="0" xfId="7" applyFont="1" applyFill="1" applyAlignment="1">
      <alignment horizontal="left" vertical="center" wrapText="1"/>
    </xf>
    <xf numFmtId="0" fontId="8" fillId="13" borderId="0" xfId="6" applyFont="1" applyFill="1" applyBorder="1" applyAlignment="1" applyProtection="1">
      <alignment horizontal="left" vertical="center" wrapText="1"/>
    </xf>
    <xf numFmtId="0" fontId="8" fillId="13" borderId="0" xfId="9" applyFont="1" applyFill="1" applyAlignment="1">
      <alignment horizontal="center" vertical="center" wrapText="1"/>
    </xf>
    <xf numFmtId="0" fontId="8" fillId="13" borderId="0" xfId="6" applyFont="1" applyFill="1" applyBorder="1" applyAlignment="1" applyProtection="1">
      <alignment horizontal="center" vertical="center" wrapText="1"/>
    </xf>
    <xf numFmtId="0" fontId="8" fillId="13" borderId="0" xfId="7" applyFont="1" applyFill="1" applyAlignment="1">
      <alignment horizontal="center" vertical="center" wrapText="1"/>
    </xf>
    <xf numFmtId="0" fontId="8" fillId="13" borderId="0" xfId="7" applyFont="1" applyFill="1" applyAlignment="1">
      <alignment horizontal="left" vertical="center"/>
    </xf>
    <xf numFmtId="0" fontId="8" fillId="13" borderId="0" xfId="7" applyFont="1" applyFill="1" applyAlignment="1">
      <alignment horizontal="center" vertical="center"/>
    </xf>
    <xf numFmtId="199" fontId="8" fillId="13" borderId="0" xfId="8" applyNumberFormat="1" applyFont="1" applyFill="1" applyAlignment="1">
      <alignment horizontal="left" vertical="center" wrapText="1"/>
    </xf>
    <xf numFmtId="0" fontId="8" fillId="13" borderId="0" xfId="8" applyFont="1" applyFill="1" applyAlignment="1">
      <alignment horizontal="left" vertical="center" wrapText="1"/>
    </xf>
    <xf numFmtId="199" fontId="8" fillId="13" borderId="0" xfId="7" applyNumberFormat="1" applyFont="1" applyFill="1" applyAlignment="1">
      <alignment horizontal="left" vertical="center" wrapText="1"/>
    </xf>
    <xf numFmtId="199" fontId="117" fillId="13" borderId="0" xfId="8" applyNumberFormat="1" applyFont="1" applyFill="1" applyAlignment="1">
      <alignment horizontal="left" vertical="center" wrapText="1" readingOrder="1"/>
    </xf>
    <xf numFmtId="0" fontId="117" fillId="13" borderId="0" xfId="8" applyFont="1" applyFill="1" applyAlignment="1">
      <alignment horizontal="left" vertical="center" wrapText="1" readingOrder="1"/>
    </xf>
    <xf numFmtId="0" fontId="118" fillId="13" borderId="0" xfId="6" applyFont="1" applyFill="1" applyBorder="1" applyAlignment="1" applyProtection="1">
      <alignment horizontal="left" vertical="center" wrapText="1"/>
    </xf>
    <xf numFmtId="0" fontId="118" fillId="13" borderId="0" xfId="9" applyFont="1" applyFill="1" applyAlignment="1">
      <alignment horizontal="center" vertical="center" wrapText="1"/>
    </xf>
    <xf numFmtId="0" fontId="118" fillId="13" borderId="0" xfId="7" applyFont="1" applyFill="1" applyAlignment="1">
      <alignment horizontal="left" vertical="center"/>
    </xf>
    <xf numFmtId="0" fontId="118" fillId="13" borderId="0" xfId="7" applyFont="1" applyFill="1" applyAlignment="1">
      <alignment horizontal="left" vertical="center" wrapText="1"/>
    </xf>
    <xf numFmtId="0" fontId="118" fillId="13" borderId="0" xfId="7" applyFont="1" applyFill="1" applyAlignment="1">
      <alignment horizontal="center" vertical="center" wrapText="1"/>
    </xf>
    <xf numFmtId="0" fontId="118" fillId="13" borderId="0" xfId="7" applyFont="1" applyFill="1" applyAlignment="1">
      <alignment horizontal="center" vertical="center"/>
    </xf>
    <xf numFmtId="0" fontId="8" fillId="13" borderId="0" xfId="11" applyFont="1" applyFill="1" applyAlignment="1">
      <alignment horizontal="left" vertical="center" wrapText="1"/>
    </xf>
    <xf numFmtId="49" fontId="8" fillId="13" borderId="0" xfId="7" applyNumberFormat="1" applyFont="1" applyFill="1" applyAlignment="1">
      <alignment horizontal="left" vertical="center" wrapText="1"/>
    </xf>
    <xf numFmtId="2" fontId="4" fillId="0" borderId="1" xfId="0" applyNumberFormat="1" applyFont="1" applyBorder="1" applyAlignment="1">
      <alignment horizontal="center" vertical="center"/>
    </xf>
    <xf numFmtId="38" fontId="12" fillId="2" borderId="18" xfId="0" applyNumberFormat="1" applyFont="1" applyFill="1" applyBorder="1" applyAlignment="1" applyProtection="1">
      <alignment horizontal="center" vertical="center"/>
      <protection locked="0"/>
    </xf>
    <xf numFmtId="38" fontId="12" fillId="2" borderId="19" xfId="0" applyNumberFormat="1" applyFont="1" applyFill="1" applyBorder="1" applyAlignment="1" applyProtection="1">
      <alignment horizontal="center" vertical="center"/>
      <protection locked="0"/>
    </xf>
    <xf numFmtId="38" fontId="12" fillId="2" borderId="102" xfId="0" applyNumberFormat="1" applyFont="1" applyFill="1" applyBorder="1" applyAlignment="1" applyProtection="1">
      <alignment horizontal="center" vertical="center"/>
      <protection locked="0"/>
    </xf>
    <xf numFmtId="38" fontId="4"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0" fillId="0" borderId="7" xfId="0" applyFont="1" applyBorder="1" applyAlignment="1">
      <alignment horizontal="center"/>
    </xf>
    <xf numFmtId="0" fontId="4" fillId="8" borderId="0" xfId="0" applyFont="1" applyFill="1"/>
    <xf numFmtId="49" fontId="0" fillId="8" borderId="0" xfId="0" applyNumberFormat="1" applyFill="1"/>
    <xf numFmtId="0" fontId="0" fillId="8" borderId="0" xfId="0" applyFill="1" applyAlignment="1">
      <alignment horizontal="left" vertical="center"/>
    </xf>
    <xf numFmtId="0" fontId="4" fillId="8" borderId="0" xfId="0" applyFont="1" applyFill="1" applyAlignment="1">
      <alignment vertical="center"/>
    </xf>
    <xf numFmtId="0" fontId="12" fillId="2" borderId="0" xfId="0" applyFont="1" applyFill="1" applyAlignment="1">
      <alignment vertical="center"/>
    </xf>
    <xf numFmtId="167" fontId="2" fillId="0" borderId="0" xfId="0" applyNumberFormat="1" applyFont="1" applyAlignment="1">
      <alignment horizontal="left" vertical="top" wrapText="1"/>
    </xf>
    <xf numFmtId="0" fontId="110" fillId="0" borderId="0" xfId="0" applyFont="1" applyAlignment="1">
      <alignment vertical="top" wrapText="1"/>
    </xf>
    <xf numFmtId="0" fontId="4" fillId="8" borderId="0" xfId="0" applyFont="1" applyFill="1" applyAlignment="1">
      <alignment horizontal="left" vertical="center"/>
    </xf>
    <xf numFmtId="0" fontId="4" fillId="8" borderId="0" xfId="0" applyFont="1" applyFill="1" applyAlignment="1">
      <alignment horizontal="left"/>
    </xf>
    <xf numFmtId="0" fontId="89" fillId="0" borderId="0" xfId="0" applyFont="1" applyAlignment="1">
      <alignment horizontal="left" vertical="center"/>
    </xf>
    <xf numFmtId="0" fontId="0" fillId="16" borderId="0" xfId="0" applyFill="1"/>
    <xf numFmtId="0" fontId="13" fillId="0" borderId="0" xfId="0" applyFont="1" applyAlignment="1">
      <alignment horizontal="center" vertical="center"/>
    </xf>
    <xf numFmtId="0" fontId="96" fillId="0" borderId="0" xfId="0" applyFont="1" applyAlignment="1">
      <alignment horizontal="center" vertical="center"/>
    </xf>
    <xf numFmtId="0" fontId="0" fillId="0" borderId="122" xfId="0" applyBorder="1" applyAlignment="1">
      <alignment horizontal="center" vertical="center"/>
    </xf>
    <xf numFmtId="0" fontId="4" fillId="0" borderId="0" xfId="0" applyFont="1" applyAlignment="1" applyProtection="1">
      <alignment vertical="center"/>
      <protection locked="0"/>
    </xf>
    <xf numFmtId="0" fontId="0" fillId="0" borderId="114" xfId="0" applyBorder="1" applyAlignment="1">
      <alignment horizontal="left" vertical="top"/>
    </xf>
    <xf numFmtId="178" fontId="4" fillId="8" borderId="7" xfId="0" applyNumberFormat="1" applyFont="1" applyFill="1" applyBorder="1" applyAlignment="1">
      <alignment horizontal="center" vertical="center"/>
    </xf>
    <xf numFmtId="0" fontId="0" fillId="0" borderId="0" xfId="0" applyProtection="1">
      <protection locked="0"/>
    </xf>
    <xf numFmtId="49" fontId="5"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4" fillId="0" borderId="15" xfId="0" applyFont="1" applyBorder="1" applyAlignment="1" applyProtection="1">
      <alignment horizontal="center" vertical="center"/>
      <protection locked="0"/>
    </xf>
    <xf numFmtId="0" fontId="4"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1" fillId="0" borderId="0" xfId="0" applyFont="1" applyAlignment="1">
      <alignment vertical="center"/>
    </xf>
    <xf numFmtId="0" fontId="21" fillId="0" borderId="0" xfId="0" applyFont="1" applyAlignment="1">
      <alignment horizontal="right" vertical="center"/>
    </xf>
    <xf numFmtId="38" fontId="12" fillId="2" borderId="23" xfId="0" applyNumberFormat="1" applyFont="1" applyFill="1" applyBorder="1" applyAlignment="1" applyProtection="1">
      <alignment horizontal="left" vertical="center" wrapText="1"/>
      <protection locked="0"/>
    </xf>
    <xf numFmtId="38" fontId="4" fillId="0" borderId="0" xfId="0" applyNumberFormat="1" applyFont="1" applyAlignment="1">
      <alignment vertical="center" wrapText="1"/>
    </xf>
    <xf numFmtId="0" fontId="6"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3" fillId="8" borderId="0" xfId="0" applyFont="1" applyFill="1" applyAlignment="1">
      <alignment horizontal="left" vertical="center"/>
    </xf>
    <xf numFmtId="0" fontId="2" fillId="8" borderId="0" xfId="0" applyFont="1" applyFill="1" applyAlignment="1">
      <alignment vertical="center"/>
    </xf>
    <xf numFmtId="49" fontId="0" fillId="8" borderId="0" xfId="0" applyNumberFormat="1" applyFill="1" applyAlignment="1">
      <alignment vertical="center"/>
    </xf>
    <xf numFmtId="0" fontId="12" fillId="8" borderId="0" xfId="0" applyFont="1" applyFill="1" applyAlignment="1">
      <alignment vertical="center"/>
    </xf>
    <xf numFmtId="0" fontId="1" fillId="0" borderId="0" xfId="7" applyFont="1" applyAlignment="1">
      <alignment horizontal="left" vertical="center"/>
    </xf>
    <xf numFmtId="0" fontId="1" fillId="0" borderId="0" xfId="7" applyFont="1" applyAlignment="1">
      <alignment horizontal="left" vertical="center" wrapText="1"/>
    </xf>
    <xf numFmtId="0" fontId="1" fillId="0" borderId="0" xfId="6" applyFont="1" applyFill="1" applyBorder="1" applyAlignment="1" applyProtection="1">
      <alignment horizontal="left" vertical="center" wrapText="1"/>
    </xf>
    <xf numFmtId="0" fontId="1" fillId="0" borderId="0" xfId="6" applyFont="1" applyFill="1" applyBorder="1" applyAlignment="1" applyProtection="1">
      <alignment horizontal="center" vertical="center" wrapText="1"/>
    </xf>
    <xf numFmtId="0" fontId="4" fillId="0" borderId="0" xfId="6" applyFont="1" applyFill="1" applyBorder="1" applyAlignment="1" applyProtection="1">
      <alignment horizontal="left" vertical="center" wrapText="1"/>
    </xf>
    <xf numFmtId="0" fontId="1" fillId="0" borderId="0" xfId="0" applyFont="1"/>
    <xf numFmtId="0" fontId="120" fillId="0" borderId="0" xfId="0" applyFont="1" applyAlignment="1">
      <alignment horizontal="left" vertical="top"/>
    </xf>
    <xf numFmtId="0" fontId="2" fillId="0" borderId="59" xfId="0" applyFont="1" applyBorder="1"/>
    <xf numFmtId="38" fontId="2" fillId="0" borderId="59" xfId="0" applyNumberFormat="1" applyFont="1" applyBorder="1" applyAlignment="1">
      <alignment horizontal="center" vertical="center"/>
    </xf>
    <xf numFmtId="0" fontId="2" fillId="0" borderId="59" xfId="0" applyFont="1" applyBorder="1" applyAlignment="1">
      <alignment horizontal="center" vertical="center"/>
    </xf>
    <xf numFmtId="38" fontId="0" fillId="0" borderId="59" xfId="0" applyNumberFormat="1" applyBorder="1" applyAlignment="1">
      <alignment horizontal="center" vertical="center"/>
    </xf>
    <xf numFmtId="0" fontId="13" fillId="0" borderId="14" xfId="0" applyFont="1" applyBorder="1" applyAlignment="1">
      <alignment horizontal="center"/>
    </xf>
    <xf numFmtId="0" fontId="13" fillId="0" borderId="127" xfId="0" applyFont="1" applyBorder="1" applyAlignment="1">
      <alignment horizontal="center"/>
    </xf>
    <xf numFmtId="0" fontId="13" fillId="0" borderId="128" xfId="0" applyFont="1" applyBorder="1" applyAlignment="1">
      <alignment horizontal="center"/>
    </xf>
    <xf numFmtId="0" fontId="13" fillId="0" borderId="44" xfId="0" applyFont="1" applyBorder="1" applyAlignment="1">
      <alignment horizontal="center"/>
    </xf>
    <xf numFmtId="0" fontId="13" fillId="0" borderId="12" xfId="0" applyFont="1" applyBorder="1" applyAlignment="1">
      <alignment horizontal="center"/>
    </xf>
    <xf numFmtId="0" fontId="13" fillId="0" borderId="2" xfId="0" applyFont="1" applyBorder="1" applyAlignment="1">
      <alignment horizontal="center"/>
    </xf>
    <xf numFmtId="0" fontId="13" fillId="0" borderId="52" xfId="0" applyFont="1" applyBorder="1" applyAlignment="1">
      <alignment horizontal="center"/>
    </xf>
    <xf numFmtId="0" fontId="0" fillId="0" borderId="14" xfId="0" applyBorder="1" applyAlignment="1">
      <alignment horizontal="center" vertical="center"/>
    </xf>
    <xf numFmtId="0" fontId="0" fillId="0" borderId="127" xfId="0" applyBorder="1" applyAlignment="1">
      <alignment horizontal="center" vertical="center"/>
    </xf>
    <xf numFmtId="0" fontId="0" fillId="0" borderId="127"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7" xfId="0" applyFill="1" applyBorder="1" applyAlignment="1">
      <alignment horizontal="center" vertical="center"/>
    </xf>
    <xf numFmtId="0" fontId="0" fillId="0" borderId="14" xfId="0" applyBorder="1" applyAlignment="1">
      <alignment horizontal="left"/>
    </xf>
    <xf numFmtId="0" fontId="0" fillId="16" borderId="127"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7"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3" xfId="0" applyBorder="1" applyAlignment="1">
      <alignment horizontal="center" vertical="center"/>
    </xf>
    <xf numFmtId="0" fontId="0" fillId="0" borderId="46" xfId="0" applyBorder="1" applyAlignment="1">
      <alignment horizontal="left"/>
    </xf>
    <xf numFmtId="0" fontId="0" fillId="0" borderId="123" xfId="0" applyBorder="1" applyAlignment="1">
      <alignment horizontal="left"/>
    </xf>
    <xf numFmtId="6" fontId="0" fillId="0" borderId="46" xfId="0" applyNumberFormat="1" applyBorder="1" applyAlignment="1">
      <alignment horizontal="center" vertical="center"/>
    </xf>
    <xf numFmtId="0" fontId="101" fillId="0" borderId="23" xfId="2" applyFont="1" applyBorder="1" applyAlignment="1" applyProtection="1">
      <alignment horizontal="center" vertical="center"/>
      <protection locked="0"/>
    </xf>
    <xf numFmtId="38" fontId="52" fillId="0" borderId="0" xfId="2" applyNumberFormat="1" applyFont="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4" fillId="0" borderId="15" xfId="0" applyFont="1" applyBorder="1" applyProtection="1">
      <protection locked="0"/>
    </xf>
    <xf numFmtId="0" fontId="4" fillId="0" borderId="16" xfId="0" applyFont="1" applyBorder="1" applyProtection="1">
      <protection locked="0"/>
    </xf>
    <xf numFmtId="0" fontId="4" fillId="0" borderId="75" xfId="0" applyFont="1" applyBorder="1" applyProtection="1">
      <protection locked="0"/>
    </xf>
    <xf numFmtId="0" fontId="15" fillId="8" borderId="0" xfId="0" applyFont="1" applyFill="1" applyAlignment="1">
      <alignment horizontal="center" vertical="center"/>
    </xf>
    <xf numFmtId="0" fontId="12" fillId="2" borderId="23" xfId="0" applyFont="1" applyFill="1" applyBorder="1" applyAlignment="1" applyProtection="1">
      <alignment vertical="center"/>
      <protection locked="0"/>
    </xf>
    <xf numFmtId="188" fontId="26" fillId="2" borderId="32" xfId="0" applyNumberFormat="1" applyFont="1" applyFill="1" applyBorder="1" applyAlignment="1" applyProtection="1">
      <alignment horizontal="left" vertical="center" wrapText="1"/>
      <protection locked="0"/>
    </xf>
    <xf numFmtId="0" fontId="26" fillId="2" borderId="32" xfId="0" applyFont="1" applyFill="1" applyBorder="1" applyAlignment="1" applyProtection="1">
      <alignment vertical="center"/>
      <protection locked="0"/>
    </xf>
    <xf numFmtId="165" fontId="26" fillId="2" borderId="32" xfId="0" applyNumberFormat="1" applyFont="1" applyFill="1" applyBorder="1" applyAlignment="1" applyProtection="1">
      <alignment horizontal="left" vertical="center"/>
      <protection locked="0"/>
    </xf>
    <xf numFmtId="0" fontId="26" fillId="2" borderId="23" xfId="0" applyFont="1" applyFill="1" applyBorder="1" applyAlignment="1" applyProtection="1">
      <alignment vertical="center"/>
      <protection locked="0"/>
    </xf>
    <xf numFmtId="0" fontId="12" fillId="2" borderId="23" xfId="0" applyFont="1" applyFill="1" applyBorder="1" applyAlignment="1" applyProtection="1">
      <alignment horizontal="center" vertical="center"/>
      <protection locked="0"/>
    </xf>
    <xf numFmtId="1" fontId="12" fillId="2" borderId="134" xfId="0" applyNumberFormat="1" applyFont="1" applyFill="1" applyBorder="1" applyAlignment="1" applyProtection="1">
      <alignment horizontal="center" vertical="center"/>
      <protection locked="0"/>
    </xf>
    <xf numFmtId="1" fontId="12" fillId="2" borderId="135" xfId="0" applyNumberFormat="1" applyFont="1" applyFill="1" applyBorder="1" applyAlignment="1" applyProtection="1">
      <alignment horizontal="center" vertical="center"/>
      <protection locked="0"/>
    </xf>
    <xf numFmtId="1" fontId="12" fillId="2" borderId="136"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12" borderId="0" xfId="0" applyFill="1"/>
    <xf numFmtId="49" fontId="0" fillId="12" borderId="53" xfId="0" applyNumberFormat="1" applyFill="1" applyBorder="1" applyAlignment="1">
      <alignment vertical="center"/>
    </xf>
    <xf numFmtId="0" fontId="12"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2" fillId="12" borderId="0" xfId="0" applyNumberFormat="1" applyFont="1" applyFill="1" applyAlignment="1">
      <alignment horizontal="center" vertical="center"/>
    </xf>
    <xf numFmtId="49" fontId="0" fillId="12" borderId="0" xfId="0" applyNumberFormat="1" applyFill="1" applyAlignment="1">
      <alignment vertical="center"/>
    </xf>
    <xf numFmtId="0" fontId="2" fillId="0" borderId="16" xfId="0" applyFont="1" applyBorder="1" applyAlignment="1">
      <alignment vertical="center"/>
    </xf>
    <xf numFmtId="0" fontId="12" fillId="8" borderId="0" xfId="0" applyFont="1" applyFill="1" applyAlignment="1">
      <alignment horizontal="center" vertical="center"/>
    </xf>
    <xf numFmtId="0" fontId="2" fillId="16" borderId="16" xfId="0" applyFont="1" applyFill="1" applyBorder="1" applyAlignment="1">
      <alignment vertical="center"/>
    </xf>
    <xf numFmtId="0" fontId="4" fillId="0" borderId="2" xfId="0" applyFont="1" applyBorder="1" applyAlignment="1">
      <alignment horizontal="left" vertical="top"/>
    </xf>
    <xf numFmtId="38" fontId="4" fillId="24" borderId="115" xfId="0" applyNumberFormat="1" applyFont="1" applyFill="1" applyBorder="1" applyAlignment="1">
      <alignment horizontal="center" vertical="center"/>
    </xf>
    <xf numFmtId="38" fontId="4" fillId="0" borderId="2" xfId="0" applyNumberFormat="1" applyFont="1" applyBorder="1" applyAlignment="1">
      <alignment horizontal="center" vertical="center"/>
    </xf>
    <xf numFmtId="38" fontId="12" fillId="6" borderId="141"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42" xfId="0" applyBorder="1"/>
    <xf numFmtId="0" fontId="0" fillId="7" borderId="0" xfId="0" quotePrefix="1" applyFill="1" applyAlignment="1">
      <alignment vertical="center"/>
    </xf>
    <xf numFmtId="0" fontId="89" fillId="0" borderId="0" xfId="0" applyFont="1" applyAlignment="1">
      <alignment vertical="center"/>
    </xf>
    <xf numFmtId="0" fontId="2" fillId="0" borderId="33" xfId="0" applyFont="1" applyBorder="1" applyAlignment="1">
      <alignment vertical="center"/>
    </xf>
    <xf numFmtId="0" fontId="0" fillId="0" borderId="33" xfId="0" applyBorder="1" applyAlignment="1">
      <alignment vertical="center"/>
    </xf>
    <xf numFmtId="0" fontId="0" fillId="0" borderId="33" xfId="0" applyBorder="1"/>
    <xf numFmtId="0" fontId="2" fillId="25" borderId="33" xfId="0" applyFont="1" applyFill="1" applyBorder="1" applyAlignment="1">
      <alignment vertical="center"/>
    </xf>
    <xf numFmtId="0" fontId="0" fillId="25" borderId="33" xfId="0" applyFill="1" applyBorder="1"/>
    <xf numFmtId="9" fontId="0" fillId="0" borderId="146" xfId="4" applyFont="1" applyBorder="1" applyAlignment="1">
      <alignment horizontal="center" vertical="center"/>
    </xf>
    <xf numFmtId="9" fontId="4" fillId="0" borderId="147" xfId="4" applyFont="1" applyBorder="1" applyAlignment="1">
      <alignment horizontal="center" vertical="center"/>
    </xf>
    <xf numFmtId="9" fontId="0" fillId="0" borderId="148" xfId="4" applyFont="1" applyBorder="1" applyAlignment="1">
      <alignment horizontal="center" vertical="center"/>
    </xf>
    <xf numFmtId="9" fontId="0" fillId="0" borderId="150" xfId="4" applyFont="1" applyBorder="1" applyAlignment="1">
      <alignment horizontal="center" vertical="center"/>
    </xf>
    <xf numFmtId="0" fontId="0" fillId="16" borderId="155" xfId="0" applyFill="1" applyBorder="1"/>
    <xf numFmtId="0" fontId="0" fillId="0" borderId="156" xfId="0" applyBorder="1" applyAlignment="1">
      <alignment horizontal="center" vertical="center"/>
    </xf>
    <xf numFmtId="0" fontId="0" fillId="16" borderId="145" xfId="0" applyFill="1" applyBorder="1" applyAlignment="1">
      <alignment horizontal="center" vertical="center"/>
    </xf>
    <xf numFmtId="0" fontId="0" fillId="16" borderId="156" xfId="0" applyFill="1" applyBorder="1" applyAlignment="1">
      <alignment horizontal="center" vertical="center"/>
    </xf>
    <xf numFmtId="0" fontId="0" fillId="16" borderId="146" xfId="0" applyFill="1" applyBorder="1" applyAlignment="1">
      <alignment horizontal="center" vertical="center"/>
    </xf>
    <xf numFmtId="0" fontId="0" fillId="16" borderId="147" xfId="0" applyFill="1" applyBorder="1" applyAlignment="1">
      <alignment horizontal="center" vertical="center"/>
    </xf>
    <xf numFmtId="0" fontId="0" fillId="16" borderId="157" xfId="0" applyFill="1" applyBorder="1" applyAlignment="1">
      <alignment horizontal="center" vertical="center"/>
    </xf>
    <xf numFmtId="0" fontId="0" fillId="16" borderId="148" xfId="0" applyFill="1" applyBorder="1" applyAlignment="1">
      <alignment horizontal="center" vertical="center"/>
    </xf>
    <xf numFmtId="208" fontId="12" fillId="6" borderId="18" xfId="0" applyNumberFormat="1" applyFont="1" applyFill="1" applyBorder="1" applyAlignment="1">
      <alignment horizontal="center" vertical="center"/>
    </xf>
    <xf numFmtId="208" fontId="12" fillId="6" borderId="19" xfId="0" applyNumberFormat="1" applyFont="1" applyFill="1" applyBorder="1" applyAlignment="1">
      <alignment horizontal="center" vertical="center"/>
    </xf>
    <xf numFmtId="208" fontId="12" fillId="6" borderId="20" xfId="0" applyNumberFormat="1" applyFont="1" applyFill="1" applyBorder="1" applyAlignment="1">
      <alignment horizontal="center" vertical="center"/>
    </xf>
    <xf numFmtId="9" fontId="12" fillId="6" borderId="145" xfId="4" applyFont="1" applyFill="1" applyBorder="1" applyAlignment="1">
      <alignment horizontal="center" vertical="center"/>
    </xf>
    <xf numFmtId="0" fontId="12" fillId="6" borderId="144" xfId="0" applyFont="1" applyFill="1" applyBorder="1" applyAlignment="1">
      <alignment horizontal="center" vertical="center"/>
    </xf>
    <xf numFmtId="0" fontId="12" fillId="6" borderId="145" xfId="0" applyFont="1" applyFill="1" applyBorder="1" applyAlignment="1">
      <alignment horizontal="center" vertical="center"/>
    </xf>
    <xf numFmtId="209" fontId="12" fillId="6" borderId="150" xfId="4" applyNumberFormat="1" applyFont="1" applyFill="1" applyBorder="1" applyAlignment="1">
      <alignment horizontal="center" vertical="center"/>
    </xf>
    <xf numFmtId="209" fontId="12" fillId="6" borderId="146" xfId="4" applyNumberFormat="1" applyFont="1" applyFill="1" applyBorder="1" applyAlignment="1">
      <alignment horizontal="center" vertical="center"/>
    </xf>
    <xf numFmtId="0" fontId="2" fillId="0" borderId="152" xfId="0" applyFont="1" applyBorder="1" applyAlignment="1">
      <alignment horizontal="center"/>
    </xf>
    <xf numFmtId="0" fontId="2" fillId="0" borderId="151" xfId="0" applyFont="1" applyBorder="1" applyAlignment="1">
      <alignment horizontal="center"/>
    </xf>
    <xf numFmtId="0" fontId="2" fillId="0" borderId="153" xfId="0" applyFont="1" applyBorder="1" applyAlignment="1">
      <alignment horizontal="center"/>
    </xf>
    <xf numFmtId="0" fontId="2" fillId="0" borderId="154" xfId="0" applyFont="1" applyBorder="1" applyAlignment="1">
      <alignment horizontal="center"/>
    </xf>
    <xf numFmtId="174" fontId="82" fillId="0" borderId="0" xfId="1" applyNumberFormat="1" applyFont="1" applyFill="1"/>
    <xf numFmtId="9" fontId="12" fillId="0" borderId="0" xfId="4" applyFont="1" applyFill="1" applyBorder="1" applyAlignment="1">
      <alignment horizontal="center" vertical="center"/>
    </xf>
    <xf numFmtId="38" fontId="15" fillId="8" borderId="0" xfId="0" applyNumberFormat="1" applyFont="1" applyFill="1" applyAlignment="1">
      <alignment horizontal="center" vertical="center"/>
    </xf>
    <xf numFmtId="0" fontId="4" fillId="0" borderId="0" xfId="0" applyFont="1" applyAlignment="1">
      <alignment horizontal="center" vertical="top"/>
    </xf>
    <xf numFmtId="0" fontId="12" fillId="2" borderId="1" xfId="0" applyFont="1" applyFill="1" applyBorder="1" applyAlignment="1">
      <alignment horizontal="center" vertical="center"/>
    </xf>
    <xf numFmtId="0" fontId="8" fillId="0" borderId="0" xfId="0" applyFont="1" applyAlignment="1">
      <alignment vertical="center"/>
    </xf>
    <xf numFmtId="0" fontId="110" fillId="0" borderId="0" xfId="0" applyFont="1" applyAlignment="1">
      <alignment horizontal="left" wrapText="1"/>
    </xf>
    <xf numFmtId="0" fontId="96" fillId="0" borderId="0" xfId="0" quotePrefix="1" applyFont="1" applyAlignment="1">
      <alignment horizontal="right" vertical="center"/>
    </xf>
    <xf numFmtId="210" fontId="12" fillId="6" borderId="56" xfId="0" applyNumberFormat="1" applyFont="1" applyFill="1" applyBorder="1" applyAlignment="1">
      <alignment horizontal="center" vertical="center" wrapText="1"/>
    </xf>
    <xf numFmtId="211" fontId="12" fillId="6" borderId="56" xfId="0" applyNumberFormat="1" applyFont="1" applyFill="1" applyBorder="1" applyAlignment="1">
      <alignment horizontal="center" vertical="center" wrapText="1"/>
    </xf>
    <xf numFmtId="0" fontId="4" fillId="0" borderId="15" xfId="0" applyFont="1" applyBorder="1" applyAlignment="1">
      <alignment horizontal="center" vertical="center"/>
    </xf>
    <xf numFmtId="0" fontId="4" fillId="0" borderId="40" xfId="0" applyFont="1" applyBorder="1" applyAlignment="1">
      <alignment horizontal="center" vertical="center"/>
    </xf>
    <xf numFmtId="0" fontId="96" fillId="0" borderId="0" xfId="0" applyFont="1" applyAlignment="1">
      <alignment horizontal="left" vertical="top"/>
    </xf>
    <xf numFmtId="38" fontId="96" fillId="0" borderId="0" xfId="0" applyNumberFormat="1" applyFont="1" applyAlignment="1">
      <alignment horizontal="left" vertical="center"/>
    </xf>
    <xf numFmtId="0" fontId="96" fillId="0" borderId="0" xfId="0" applyFont="1" applyAlignment="1">
      <alignment horizontal="left" vertical="center"/>
    </xf>
    <xf numFmtId="0" fontId="96" fillId="8" borderId="0" xfId="0" applyFont="1" applyFill="1" applyAlignment="1">
      <alignment horizontal="left" vertical="center"/>
    </xf>
    <xf numFmtId="0" fontId="96" fillId="8" borderId="0" xfId="0" applyFont="1" applyFill="1"/>
    <xf numFmtId="0" fontId="96" fillId="0" borderId="0" xfId="0" applyFont="1" applyAlignment="1">
      <alignment horizontal="left"/>
    </xf>
    <xf numFmtId="0" fontId="15" fillId="0" borderId="0" xfId="0" applyFont="1" applyAlignment="1">
      <alignment horizontal="center" vertical="top"/>
    </xf>
    <xf numFmtId="0" fontId="15" fillId="8" borderId="0" xfId="0" applyFont="1" applyFill="1" applyAlignment="1">
      <alignment horizontal="center" vertical="top"/>
    </xf>
    <xf numFmtId="0" fontId="121" fillId="0" borderId="0" xfId="0" applyFont="1" applyAlignment="1">
      <alignment horizontal="left" vertical="center"/>
    </xf>
    <xf numFmtId="0" fontId="121" fillId="0" borderId="0" xfId="0" applyFont="1"/>
    <xf numFmtId="0" fontId="121" fillId="0" borderId="0" xfId="0" applyFont="1" applyAlignment="1">
      <alignment horizontal="left" vertical="top"/>
    </xf>
    <xf numFmtId="38" fontId="0" fillId="0" borderId="1" xfId="0" applyNumberFormat="1" applyBorder="1" applyAlignment="1">
      <alignment horizontal="center" vertical="center" wrapText="1"/>
    </xf>
    <xf numFmtId="0" fontId="4" fillId="0" borderId="0" xfId="0" quotePrefix="1" applyFont="1" applyAlignment="1">
      <alignment horizontal="left" vertical="center"/>
    </xf>
    <xf numFmtId="0" fontId="25"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quotePrefix="1" applyAlignment="1">
      <alignment horizontal="center" vertical="center"/>
    </xf>
    <xf numFmtId="186" fontId="0" fillId="0" borderId="0" xfId="4" quotePrefix="1" applyNumberFormat="1" applyFont="1" applyFill="1" applyAlignment="1">
      <alignment horizontal="center" vertic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4" fillId="0" borderId="161" xfId="0" applyNumberFormat="1" applyFont="1" applyBorder="1" applyAlignment="1">
      <alignment horizontal="center" vertical="center"/>
    </xf>
    <xf numFmtId="0" fontId="10" fillId="0" borderId="164" xfId="0" applyFont="1" applyBorder="1" applyAlignment="1">
      <alignment horizontal="center" vertical="center"/>
    </xf>
    <xf numFmtId="0" fontId="4"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1" fillId="0" borderId="0" xfId="0" applyFont="1" applyAlignment="1">
      <alignment textRotation="90"/>
    </xf>
    <xf numFmtId="201" fontId="96" fillId="0" borderId="84" xfId="0" applyNumberFormat="1" applyFont="1" applyBorder="1" applyAlignment="1">
      <alignment vertical="center"/>
    </xf>
    <xf numFmtId="164" fontId="25" fillId="0" borderId="149" xfId="4" applyNumberFormat="1" applyFont="1" applyBorder="1" applyAlignment="1">
      <alignment horizontal="center" vertical="center"/>
    </xf>
    <xf numFmtId="164" fontId="25" fillId="0" borderId="146" xfId="4" applyNumberFormat="1" applyFont="1" applyBorder="1" applyAlignment="1">
      <alignment horizontal="center" vertical="center"/>
    </xf>
    <xf numFmtId="0" fontId="123" fillId="0" borderId="67" xfId="0" applyFont="1" applyBorder="1" applyAlignment="1">
      <alignment horizontal="right" vertical="center"/>
    </xf>
    <xf numFmtId="9" fontId="0" fillId="0" borderId="0" xfId="4" quotePrefix="1" applyFont="1" applyFill="1" applyBorder="1" applyAlignment="1" applyProtection="1">
      <alignment horizontal="center" vertical="center"/>
    </xf>
    <xf numFmtId="0" fontId="15" fillId="0" borderId="0" xfId="0" applyFont="1" applyAlignment="1">
      <alignment horizontal="center" vertical="center"/>
    </xf>
    <xf numFmtId="38" fontId="15" fillId="0" borderId="0" xfId="0" applyNumberFormat="1" applyFont="1" applyAlignment="1">
      <alignment horizontal="center" vertical="center"/>
    </xf>
    <xf numFmtId="0" fontId="3" fillId="0" borderId="15" xfId="0" applyFont="1" applyBorder="1"/>
    <xf numFmtId="0" fontId="0" fillId="0" borderId="16" xfId="0" applyBorder="1" applyAlignment="1">
      <alignment horizontal="center"/>
    </xf>
    <xf numFmtId="0" fontId="4" fillId="0" borderId="16" xfId="0" applyFont="1" applyBorder="1" applyAlignment="1">
      <alignment horizontal="center" vertical="center"/>
    </xf>
    <xf numFmtId="0" fontId="4" fillId="0" borderId="16" xfId="0" applyFont="1" applyBorder="1" applyAlignment="1">
      <alignment horizontal="right" vertical="center"/>
    </xf>
    <xf numFmtId="213" fontId="12" fillId="6" borderId="56" xfId="0" applyNumberFormat="1" applyFont="1" applyFill="1" applyBorder="1" applyAlignment="1">
      <alignment horizontal="center" vertical="center" wrapText="1"/>
    </xf>
    <xf numFmtId="38" fontId="15" fillId="27" borderId="56" xfId="0" applyNumberFormat="1" applyFont="1" applyFill="1" applyBorder="1" applyAlignment="1">
      <alignment horizontal="center" vertical="center"/>
    </xf>
    <xf numFmtId="0" fontId="0" fillId="0" borderId="15" xfId="0" quotePrefix="1" applyBorder="1" applyAlignment="1">
      <alignment vertical="top"/>
    </xf>
    <xf numFmtId="177" fontId="15" fillId="11" borderId="0" xfId="0" applyNumberFormat="1" applyFont="1" applyFill="1" applyAlignment="1">
      <alignment horizontal="center" vertical="center" wrapText="1"/>
    </xf>
    <xf numFmtId="0" fontId="96" fillId="10" borderId="0" xfId="0" applyFont="1" applyFill="1" applyAlignment="1">
      <alignment horizontal="left" vertical="center"/>
    </xf>
    <xf numFmtId="0" fontId="96" fillId="10" borderId="0" xfId="0" applyFont="1" applyFill="1"/>
    <xf numFmtId="1" fontId="15" fillId="0" borderId="44" xfId="0" applyNumberFormat="1" applyFont="1" applyBorder="1" applyAlignment="1">
      <alignment horizontal="center" vertical="center"/>
    </xf>
    <xf numFmtId="0" fontId="25" fillId="0" borderId="0" xfId="0" quotePrefix="1" applyFont="1" applyAlignment="1">
      <alignment vertical="center"/>
    </xf>
    <xf numFmtId="38" fontId="12"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2" fillId="6" borderId="56" xfId="0" applyNumberFormat="1" applyFont="1" applyFill="1" applyBorder="1" applyAlignment="1">
      <alignment horizontal="center" vertical="center" wrapText="1"/>
    </xf>
    <xf numFmtId="0" fontId="96" fillId="10" borderId="0" xfId="0" applyFont="1" applyFill="1" applyAlignment="1">
      <alignment vertical="center"/>
    </xf>
    <xf numFmtId="0" fontId="15" fillId="0" borderId="0" xfId="0" applyFont="1" applyAlignment="1">
      <alignment horizontal="left" vertical="top"/>
    </xf>
    <xf numFmtId="168" fontId="2" fillId="0" borderId="0" xfId="0" applyNumberFormat="1" applyFont="1" applyAlignment="1">
      <alignment horizontal="left" vertical="top" wrapText="1"/>
    </xf>
    <xf numFmtId="170" fontId="0" fillId="0" borderId="0" xfId="0" applyNumberFormat="1" applyAlignment="1">
      <alignment horizontal="left" vertical="top" wrapText="1"/>
    </xf>
    <xf numFmtId="0" fontId="96" fillId="10" borderId="0" xfId="0" applyFont="1" applyFill="1" applyAlignment="1">
      <alignment vertical="center" textRotation="90"/>
    </xf>
    <xf numFmtId="217" fontId="12"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0" fontId="15" fillId="11" borderId="0" xfId="0" applyFont="1" applyFill="1" applyAlignment="1">
      <alignment horizontal="center" vertical="center"/>
    </xf>
    <xf numFmtId="44" fontId="0" fillId="0" borderId="0" xfId="0" quotePrefix="1" applyNumberFormat="1" applyAlignment="1">
      <alignment horizontal="center"/>
    </xf>
    <xf numFmtId="0" fontId="4" fillId="0" borderId="0" xfId="0" quotePrefix="1" applyFont="1" applyAlignment="1">
      <alignment horizontal="center"/>
    </xf>
    <xf numFmtId="174" fontId="0" fillId="0" borderId="0" xfId="0" applyNumberFormat="1" applyAlignment="1">
      <alignment horizontal="center"/>
    </xf>
    <xf numFmtId="0" fontId="89" fillId="0" borderId="0" xfId="0" applyFont="1" applyAlignment="1">
      <alignment horizontal="center"/>
    </xf>
    <xf numFmtId="0" fontId="3" fillId="0" borderId="16" xfId="0" applyFont="1" applyBorder="1" applyAlignment="1">
      <alignment vertical="center"/>
    </xf>
    <xf numFmtId="9" fontId="4" fillId="0" borderId="74" xfId="4" applyFont="1" applyFill="1" applyBorder="1" applyAlignment="1" applyProtection="1">
      <alignment horizontal="center" vertical="center"/>
    </xf>
    <xf numFmtId="186" fontId="4"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2" fillId="9" borderId="7" xfId="0" applyFont="1" applyFill="1" applyBorder="1" applyAlignment="1">
      <alignment horizontal="center" wrapText="1"/>
    </xf>
    <xf numFmtId="0" fontId="2" fillId="28" borderId="8" xfId="0" applyFont="1" applyFill="1" applyBorder="1"/>
    <xf numFmtId="0" fontId="2" fillId="28" borderId="7" xfId="0" applyFont="1" applyFill="1" applyBorder="1" applyAlignment="1">
      <alignment wrapText="1"/>
    </xf>
    <xf numFmtId="0" fontId="2" fillId="28" borderId="5" xfId="0" applyFont="1" applyFill="1" applyBorder="1"/>
    <xf numFmtId="0" fontId="0" fillId="29" borderId="0" xfId="0" applyFill="1" applyAlignment="1">
      <alignment vertical="center"/>
    </xf>
    <xf numFmtId="0" fontId="26" fillId="2" borderId="23" xfId="0" applyFont="1" applyFill="1" applyBorder="1" applyAlignment="1" applyProtection="1">
      <alignment vertical="center" wrapText="1"/>
      <protection locked="0"/>
    </xf>
    <xf numFmtId="0" fontId="8" fillId="29" borderId="0" xfId="7" applyFont="1" applyFill="1" applyAlignment="1">
      <alignment horizontal="left" vertical="center" wrapText="1"/>
    </xf>
    <xf numFmtId="0" fontId="0" fillId="30" borderId="0" xfId="0" applyFill="1" applyAlignment="1">
      <alignment horizontal="right"/>
    </xf>
    <xf numFmtId="0" fontId="4" fillId="0" borderId="0" xfId="0" applyFont="1" applyAlignment="1">
      <alignment vertical="center" wrapText="1"/>
    </xf>
    <xf numFmtId="6" fontId="0" fillId="0" borderId="0" xfId="0" applyNumberFormat="1" applyAlignment="1">
      <alignment vertical="top"/>
    </xf>
    <xf numFmtId="0" fontId="4" fillId="30" borderId="7" xfId="0" applyFont="1" applyFill="1" applyBorder="1" applyAlignment="1">
      <alignment horizontal="center" vertical="center" wrapText="1"/>
    </xf>
    <xf numFmtId="0" fontId="4" fillId="30" borderId="0" xfId="0" applyFont="1" applyFill="1" applyAlignment="1">
      <alignment vertical="center"/>
    </xf>
    <xf numFmtId="0" fontId="4" fillId="30" borderId="0" xfId="0" applyFont="1" applyFill="1" applyAlignment="1">
      <alignment horizontal="right"/>
    </xf>
    <xf numFmtId="0" fontId="4" fillId="30" borderId="0" xfId="0" applyFont="1" applyFill="1" applyAlignment="1">
      <alignment horizontal="right" vertical="center"/>
    </xf>
    <xf numFmtId="215" fontId="12" fillId="6" borderId="56" xfId="0" applyNumberFormat="1" applyFont="1" applyFill="1" applyBorder="1" applyAlignment="1">
      <alignment horizontal="center" vertical="center"/>
    </xf>
    <xf numFmtId="0" fontId="0" fillId="0" borderId="0" xfId="0" applyAlignment="1">
      <alignment horizontal="left" vertical="top" indent="2"/>
    </xf>
    <xf numFmtId="9" fontId="12" fillId="2" borderId="23" xfId="0" applyNumberFormat="1" applyFont="1" applyFill="1" applyBorder="1" applyAlignment="1" applyProtection="1">
      <alignment horizontal="center" vertical="center"/>
      <protection locked="0"/>
    </xf>
    <xf numFmtId="177" fontId="15" fillId="11" borderId="56" xfId="0" applyNumberFormat="1" applyFont="1" applyFill="1" applyBorder="1" applyAlignment="1">
      <alignment horizontal="center" vertical="center" wrapText="1"/>
    </xf>
    <xf numFmtId="0" fontId="2" fillId="8" borderId="0" xfId="0" applyFont="1" applyFill="1" applyAlignment="1">
      <alignment horizontal="right" vertical="top"/>
    </xf>
    <xf numFmtId="0" fontId="3" fillId="0" borderId="0" xfId="0" applyFont="1" applyAlignment="1">
      <alignment horizontal="center"/>
    </xf>
    <xf numFmtId="6" fontId="0" fillId="0" borderId="165" xfId="0" applyNumberFormat="1" applyBorder="1" applyAlignment="1">
      <alignment horizontal="right" vertical="top"/>
    </xf>
    <xf numFmtId="215" fontId="4" fillId="0" borderId="0" xfId="0" applyNumberFormat="1" applyFont="1" applyAlignment="1">
      <alignment horizontal="center" vertical="center"/>
    </xf>
    <xf numFmtId="0" fontId="96" fillId="10" borderId="0" xfId="0" applyFont="1" applyFill="1" applyAlignment="1">
      <alignment horizontal="center" vertical="center" wrapText="1"/>
    </xf>
    <xf numFmtId="0" fontId="0" fillId="0" borderId="114" xfId="0" applyBorder="1" applyAlignment="1">
      <alignment vertical="center"/>
    </xf>
    <xf numFmtId="6" fontId="0" fillId="0" borderId="165" xfId="0" applyNumberFormat="1" applyBorder="1"/>
    <xf numFmtId="10" fontId="0" fillId="0" borderId="165" xfId="4" applyNumberFormat="1" applyFont="1" applyBorder="1" applyProtection="1"/>
    <xf numFmtId="38" fontId="0" fillId="0" borderId="165" xfId="0" applyNumberFormat="1" applyBorder="1"/>
    <xf numFmtId="9" fontId="0" fillId="0" borderId="165" xfId="4" applyFont="1" applyBorder="1" applyProtection="1"/>
    <xf numFmtId="0" fontId="25" fillId="0" borderId="14" xfId="0" applyFont="1" applyBorder="1" applyAlignment="1">
      <alignment vertical="center"/>
    </xf>
    <xf numFmtId="8" fontId="0" fillId="0" borderId="165" xfId="0" applyNumberFormat="1" applyBorder="1" applyAlignment="1">
      <alignment horizontal="right"/>
    </xf>
    <xf numFmtId="10" fontId="0" fillId="0" borderId="165" xfId="0" applyNumberFormat="1" applyBorder="1"/>
    <xf numFmtId="38" fontId="4" fillId="0" borderId="165" xfId="0" applyNumberFormat="1" applyFont="1" applyBorder="1"/>
    <xf numFmtId="8" fontId="4" fillId="0" borderId="165" xfId="0" applyNumberFormat="1" applyFont="1" applyBorder="1"/>
    <xf numFmtId="10" fontId="0" fillId="0" borderId="0" xfId="0" applyNumberFormat="1"/>
    <xf numFmtId="0" fontId="4" fillId="0" borderId="0" xfId="0" applyFont="1" applyAlignment="1">
      <alignment wrapText="1"/>
    </xf>
    <xf numFmtId="0" fontId="128" fillId="0" borderId="0" xfId="0" applyFont="1" applyAlignment="1">
      <alignment horizontal="left" vertical="center"/>
    </xf>
    <xf numFmtId="0" fontId="12" fillId="2" borderId="165" xfId="0" applyFont="1" applyFill="1" applyBorder="1" applyAlignment="1" applyProtection="1">
      <alignment horizontal="center" vertical="center"/>
      <protection locked="0"/>
    </xf>
    <xf numFmtId="49" fontId="26" fillId="2" borderId="32" xfId="0" applyNumberFormat="1" applyFont="1" applyFill="1" applyBorder="1" applyAlignment="1" applyProtection="1">
      <alignment horizontal="left" vertical="center"/>
      <protection locked="0"/>
    </xf>
    <xf numFmtId="49" fontId="26" fillId="2" borderId="32" xfId="0" applyNumberFormat="1" applyFont="1" applyFill="1" applyBorder="1" applyAlignment="1" applyProtection="1">
      <alignment horizontal="left" vertical="center" wrapText="1"/>
      <protection locked="0"/>
    </xf>
    <xf numFmtId="0" fontId="12" fillId="16" borderId="32" xfId="0" applyFont="1" applyFill="1" applyBorder="1" applyAlignment="1">
      <alignment horizontal="center" vertical="center"/>
    </xf>
    <xf numFmtId="0" fontId="12" fillId="16" borderId="0" xfId="0" applyFont="1" applyFill="1" applyAlignment="1">
      <alignment horizontal="center" vertical="center"/>
    </xf>
    <xf numFmtId="0" fontId="25" fillId="0" borderId="0" xfId="0" applyFont="1"/>
    <xf numFmtId="0" fontId="7" fillId="0" borderId="0" xfId="2" applyAlignment="1">
      <alignment horizontal="right" indent="1"/>
    </xf>
    <xf numFmtId="0" fontId="4" fillId="8" borderId="165" xfId="0" applyFont="1" applyFill="1" applyBorder="1" applyAlignment="1">
      <alignment horizontal="center" vertical="center"/>
    </xf>
    <xf numFmtId="0" fontId="0" fillId="0" borderId="165" xfId="0" applyBorder="1" applyAlignment="1">
      <alignment horizontal="center" vertical="center"/>
    </xf>
    <xf numFmtId="0" fontId="0" fillId="19" borderId="0" xfId="0" applyFill="1" applyAlignment="1">
      <alignment horizontal="left" vertical="center"/>
    </xf>
    <xf numFmtId="0" fontId="4" fillId="2" borderId="1" xfId="0" applyFont="1" applyFill="1" applyBorder="1" applyAlignment="1">
      <alignment horizontal="center" vertical="center"/>
    </xf>
    <xf numFmtId="38" fontId="12" fillId="6" borderId="74" xfId="0" applyNumberFormat="1" applyFont="1" applyFill="1" applyBorder="1" applyAlignment="1">
      <alignment horizontal="center" vertical="center"/>
    </xf>
    <xf numFmtId="0" fontId="124" fillId="0" borderId="0" xfId="0" applyFont="1" applyAlignment="1">
      <alignment horizontal="right" vertical="center"/>
    </xf>
    <xf numFmtId="177" fontId="15" fillId="27" borderId="56" xfId="0" applyNumberFormat="1" applyFont="1" applyFill="1" applyBorder="1" applyAlignment="1">
      <alignment horizontal="center" vertical="center" wrapText="1"/>
    </xf>
    <xf numFmtId="8" fontId="12" fillId="6" borderId="16" xfId="0" applyNumberFormat="1" applyFont="1" applyFill="1" applyBorder="1" applyAlignment="1">
      <alignment horizontal="right" vertical="center"/>
    </xf>
    <xf numFmtId="8" fontId="4"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2" fillId="6" borderId="16" xfId="4" applyFont="1" applyFill="1" applyBorder="1" applyAlignment="1">
      <alignment horizontal="right" vertical="center"/>
    </xf>
    <xf numFmtId="0" fontId="12" fillId="6" borderId="16" xfId="0" applyFont="1" applyFill="1" applyBorder="1" applyAlignment="1">
      <alignment horizontal="right" vertical="center"/>
    </xf>
    <xf numFmtId="0" fontId="13" fillId="0" borderId="16" xfId="0" applyFont="1" applyBorder="1" applyAlignment="1">
      <alignment horizontal="center"/>
    </xf>
    <xf numFmtId="6" fontId="0" fillId="0" borderId="16" xfId="0" applyNumberFormat="1" applyBorder="1" applyAlignment="1">
      <alignment horizontal="center"/>
    </xf>
    <xf numFmtId="0" fontId="5" fillId="0" borderId="16" xfId="0" applyFont="1" applyBorder="1" applyAlignment="1">
      <alignment horizontal="right"/>
    </xf>
    <xf numFmtId="9" fontId="12" fillId="6" borderId="16" xfId="4" applyFont="1" applyFill="1" applyBorder="1" applyAlignment="1" applyProtection="1">
      <alignment horizontal="right" vertical="center"/>
    </xf>
    <xf numFmtId="38" fontId="15" fillId="27" borderId="114" xfId="0" applyNumberFormat="1" applyFont="1" applyFill="1" applyBorder="1" applyAlignment="1">
      <alignment horizontal="center" vertical="center"/>
    </xf>
    <xf numFmtId="0" fontId="12" fillId="6" borderId="23" xfId="0" applyFont="1" applyFill="1" applyBorder="1" applyAlignment="1">
      <alignment horizontal="center" vertical="center"/>
    </xf>
    <xf numFmtId="0" fontId="0" fillId="0" borderId="0" xfId="0" applyAlignment="1">
      <alignment horizontal="center" vertical="center"/>
    </xf>
    <xf numFmtId="0" fontId="2"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42" xfId="0" applyBorder="1" applyAlignment="1">
      <alignment horizontal="left" vertical="center"/>
    </xf>
    <xf numFmtId="0" fontId="12" fillId="6" borderId="32" xfId="0" applyFont="1" applyFill="1" applyBorder="1" applyAlignment="1">
      <alignment horizontal="center" vertical="center"/>
    </xf>
    <xf numFmtId="9" fontId="12" fillId="6" borderId="15" xfId="4" applyFont="1" applyFill="1" applyBorder="1" applyAlignment="1">
      <alignment horizontal="center" vertical="center"/>
    </xf>
    <xf numFmtId="0" fontId="10" fillId="0" borderId="6" xfId="0" applyFont="1" applyBorder="1" applyAlignment="1">
      <alignment horizontal="center"/>
    </xf>
    <xf numFmtId="0" fontId="25" fillId="0" borderId="0" xfId="0" applyFont="1" applyAlignment="1">
      <alignment horizontal="right" vertical="center" wrapText="1"/>
    </xf>
    <xf numFmtId="0" fontId="26"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 fillId="0" borderId="0" xfId="0" applyFont="1" applyAlignment="1">
      <alignment horizontal="center" vertical="center" wrapText="1"/>
    </xf>
    <xf numFmtId="0" fontId="0" fillId="8" borderId="0" xfId="0" applyFill="1" applyAlignment="1">
      <alignment horizontal="left" vertical="top" wrapText="1"/>
    </xf>
    <xf numFmtId="0" fontId="12" fillId="2" borderId="23" xfId="0" applyFont="1" applyFill="1" applyBorder="1" applyAlignment="1" applyProtection="1">
      <alignment horizontal="left" vertical="center"/>
      <protection locked="0"/>
    </xf>
    <xf numFmtId="0" fontId="2" fillId="0" borderId="0" xfId="0" applyFont="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0"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horizontal="right" vertical="center"/>
    </xf>
    <xf numFmtId="0" fontId="3" fillId="0" borderId="0" xfId="0" applyFont="1" applyAlignment="1">
      <alignment horizontal="left" vertical="top" wrapText="1"/>
    </xf>
    <xf numFmtId="0" fontId="4" fillId="0" borderId="0" xfId="0" applyFont="1" applyAlignment="1">
      <alignment horizontal="left" vertical="center" wrapText="1"/>
    </xf>
    <xf numFmtId="0" fontId="2" fillId="0" borderId="7" xfId="0" applyFont="1" applyBorder="1" applyAlignment="1">
      <alignment horizontal="left" vertical="center" wrapText="1"/>
    </xf>
    <xf numFmtId="38" fontId="15" fillId="27" borderId="0" xfId="0" applyNumberFormat="1" applyFont="1" applyFill="1" applyAlignment="1">
      <alignment horizontal="center" vertical="center"/>
    </xf>
    <xf numFmtId="0" fontId="0" fillId="0" borderId="0" xfId="0" applyAlignment="1">
      <alignment horizontal="center" vertical="center" wrapText="1"/>
    </xf>
    <xf numFmtId="38" fontId="4" fillId="0" borderId="0" xfId="0" applyNumberFormat="1" applyFont="1" applyAlignment="1">
      <alignment horizontal="center" vertical="center"/>
    </xf>
    <xf numFmtId="0" fontId="2" fillId="0" borderId="0" xfId="0" applyFont="1" applyAlignment="1">
      <alignment horizontal="left"/>
    </xf>
    <xf numFmtId="0" fontId="4" fillId="0" borderId="0" xfId="0" applyFont="1" applyAlignment="1">
      <alignment horizontal="left" vertical="center"/>
    </xf>
    <xf numFmtId="0" fontId="0" fillId="0" borderId="0" xfId="0" applyAlignment="1">
      <alignment horizontal="left"/>
    </xf>
    <xf numFmtId="0" fontId="25" fillId="0" borderId="0" xfId="0" applyFont="1" applyAlignment="1">
      <alignment horizontal="left" vertical="top" wrapText="1"/>
    </xf>
    <xf numFmtId="0" fontId="0" fillId="0" borderId="94" xfId="0" applyBorder="1" applyAlignment="1">
      <alignment horizontal="center" wrapText="1"/>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25" fillId="0" borderId="0" xfId="0" quotePrefix="1" applyFont="1" applyAlignment="1">
      <alignment horizontal="left" vertical="top" wrapText="1"/>
    </xf>
    <xf numFmtId="0" fontId="0" fillId="0" borderId="0" xfId="0" applyAlignment="1">
      <alignment vertical="top"/>
    </xf>
    <xf numFmtId="0" fontId="11" fillId="0" borderId="0" xfId="0" applyFont="1" applyAlignment="1">
      <alignment horizontal="left" vertical="center" wrapText="1"/>
    </xf>
    <xf numFmtId="38" fontId="15"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2" fillId="0" borderId="0" xfId="4" quotePrefix="1" applyFont="1" applyAlignment="1">
      <alignment horizontal="right"/>
    </xf>
    <xf numFmtId="0" fontId="7" fillId="0" borderId="0" xfId="2" applyAlignment="1">
      <alignment horizontal="right" vertical="center"/>
    </xf>
    <xf numFmtId="0" fontId="34" fillId="0" borderId="0" xfId="2" applyFont="1" applyAlignment="1">
      <alignment horizontal="center"/>
    </xf>
    <xf numFmtId="0" fontId="78" fillId="0" borderId="0" xfId="2" applyFont="1" applyAlignment="1">
      <alignment horizontal="center"/>
    </xf>
    <xf numFmtId="0" fontId="121" fillId="8" borderId="0" xfId="0" applyFont="1" applyFill="1" applyAlignment="1">
      <alignment horizontal="left" vertical="center"/>
    </xf>
    <xf numFmtId="38" fontId="4" fillId="8"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165" xfId="0" applyBorder="1"/>
    <xf numFmtId="0" fontId="0" fillId="16" borderId="165" xfId="0" applyFill="1" applyBorder="1" applyAlignment="1">
      <alignment horizontal="center" vertical="center"/>
    </xf>
    <xf numFmtId="0" fontId="0" fillId="16" borderId="142" xfId="0" applyFill="1" applyBorder="1" applyAlignment="1">
      <alignment horizontal="center" vertical="center"/>
    </xf>
    <xf numFmtId="0" fontId="0" fillId="16" borderId="165" xfId="0" applyFill="1" applyBorder="1" applyAlignment="1">
      <alignment horizontal="left"/>
    </xf>
    <xf numFmtId="0" fontId="0" fillId="16" borderId="142" xfId="0" applyFill="1" applyBorder="1" applyAlignment="1">
      <alignment horizontal="left"/>
    </xf>
    <xf numFmtId="6" fontId="0" fillId="0" borderId="142" xfId="0" applyNumberFormat="1" applyBorder="1" applyAlignment="1">
      <alignment horizontal="center" vertical="center"/>
    </xf>
    <xf numFmtId="195" fontId="4" fillId="0" borderId="165" xfId="0" applyNumberFormat="1" applyFont="1" applyBorder="1" applyAlignment="1">
      <alignment horizontal="center" vertical="center"/>
    </xf>
    <xf numFmtId="191" fontId="0" fillId="0" borderId="165" xfId="0" applyNumberFormat="1" applyBorder="1" applyAlignment="1">
      <alignment vertical="center"/>
    </xf>
    <xf numFmtId="178" fontId="0" fillId="0" borderId="165" xfId="0" applyNumberFormat="1" applyBorder="1" applyAlignment="1">
      <alignment horizontal="center" vertical="center"/>
    </xf>
    <xf numFmtId="6" fontId="12" fillId="6" borderId="165" xfId="0" applyNumberFormat="1" applyFont="1" applyFill="1" applyBorder="1" applyAlignment="1">
      <alignment horizontal="center" vertical="center"/>
    </xf>
    <xf numFmtId="0" fontId="89" fillId="0" borderId="0" xfId="0" applyFont="1"/>
    <xf numFmtId="0" fontId="4" fillId="0" borderId="165" xfId="0" applyFont="1" applyBorder="1" applyAlignment="1">
      <alignment horizontal="center" vertical="center"/>
    </xf>
    <xf numFmtId="0" fontId="0" fillId="0" borderId="165" xfId="0" applyBorder="1" applyAlignment="1">
      <alignment horizontal="center"/>
    </xf>
    <xf numFmtId="40" fontId="12" fillId="18" borderId="165" xfId="0" applyNumberFormat="1" applyFont="1" applyFill="1" applyBorder="1" applyAlignment="1">
      <alignment horizontal="center" vertical="center"/>
    </xf>
    <xf numFmtId="0" fontId="2" fillId="0" borderId="165" xfId="0" applyFont="1" applyBorder="1" applyAlignment="1">
      <alignment horizontal="center" vertical="center"/>
    </xf>
    <xf numFmtId="0" fontId="12" fillId="2" borderId="165" xfId="0" applyFont="1" applyFill="1" applyBorder="1" applyAlignment="1" applyProtection="1">
      <alignment vertical="center"/>
      <protection locked="0"/>
    </xf>
    <xf numFmtId="0" fontId="4" fillId="0" borderId="165" xfId="0" applyFont="1" applyBorder="1" applyAlignment="1">
      <alignment horizontal="center" vertical="center" wrapText="1"/>
    </xf>
    <xf numFmtId="0" fontId="0" fillId="3" borderId="165" xfId="0" applyFill="1" applyBorder="1" applyAlignment="1">
      <alignment horizontal="left" vertical="center"/>
    </xf>
    <xf numFmtId="200" fontId="4" fillId="0" borderId="165" xfId="0" applyNumberFormat="1" applyFont="1" applyBorder="1"/>
    <xf numFmtId="38" fontId="4" fillId="0" borderId="165" xfId="0" applyNumberFormat="1" applyFont="1" applyBorder="1" applyAlignment="1">
      <alignment horizontal="center" vertical="center" wrapText="1"/>
    </xf>
    <xf numFmtId="6" fontId="0" fillId="0" borderId="165" xfId="0" applyNumberFormat="1" applyBorder="1" applyAlignment="1">
      <alignment horizontal="right" vertical="center"/>
    </xf>
    <xf numFmtId="6" fontId="12" fillId="2" borderId="165" xfId="1" applyNumberFormat="1" applyFont="1" applyFill="1" applyBorder="1" applyAlignment="1" applyProtection="1">
      <alignment horizontal="right" vertical="center"/>
      <protection locked="0"/>
    </xf>
    <xf numFmtId="6" fontId="0" fillId="0" borderId="165" xfId="0" applyNumberFormat="1" applyBorder="1" applyAlignment="1">
      <alignment vertical="center"/>
    </xf>
    <xf numFmtId="6" fontId="0" fillId="0" borderId="165" xfId="0" applyNumberFormat="1" applyBorder="1" applyAlignment="1">
      <alignment horizontal="right" vertical="center" indent="1"/>
    </xf>
    <xf numFmtId="6" fontId="0" fillId="8" borderId="165" xfId="0" applyNumberFormat="1" applyFill="1" applyBorder="1" applyAlignment="1">
      <alignment vertical="center"/>
    </xf>
    <xf numFmtId="0" fontId="12" fillId="2" borderId="165" xfId="0" applyFont="1" applyFill="1" applyBorder="1" applyAlignment="1" applyProtection="1">
      <alignment horizontal="right" vertical="center"/>
      <protection locked="0"/>
    </xf>
    <xf numFmtId="6" fontId="4" fillId="8" borderId="165" xfId="1" applyNumberFormat="1" applyFont="1" applyFill="1" applyBorder="1" applyAlignment="1" applyProtection="1">
      <alignment horizontal="right" vertical="center"/>
    </xf>
    <xf numFmtId="6" fontId="4" fillId="0" borderId="165" xfId="0" applyNumberFormat="1" applyFont="1" applyBorder="1" applyAlignment="1">
      <alignment horizontal="right" vertical="center"/>
    </xf>
    <xf numFmtId="6" fontId="4" fillId="0" borderId="165" xfId="0" quotePrefix="1" applyNumberFormat="1" applyFont="1" applyBorder="1" applyAlignment="1">
      <alignment horizontal="right" vertical="center"/>
    </xf>
    <xf numFmtId="6" fontId="24" fillId="2" borderId="165" xfId="1" applyNumberFormat="1" applyFont="1" applyFill="1" applyBorder="1" applyAlignment="1" applyProtection="1">
      <alignment horizontal="right" vertical="center"/>
      <protection locked="0"/>
    </xf>
    <xf numFmtId="0" fontId="12" fillId="2" borderId="165" xfId="0" applyFont="1" applyFill="1" applyBorder="1" applyAlignment="1" applyProtection="1">
      <alignment horizontal="left" vertical="center"/>
      <protection locked="0"/>
    </xf>
    <xf numFmtId="8" fontId="0" fillId="0" borderId="165" xfId="0" applyNumberFormat="1" applyBorder="1" applyAlignment="1">
      <alignment horizontal="center" vertical="center"/>
    </xf>
    <xf numFmtId="8" fontId="0" fillId="8" borderId="165" xfId="0" applyNumberFormat="1" applyFill="1" applyBorder="1" applyAlignment="1">
      <alignment horizontal="right" vertical="center"/>
    </xf>
    <xf numFmtId="8" fontId="0" fillId="0" borderId="165" xfId="0" applyNumberFormat="1" applyBorder="1" applyAlignment="1">
      <alignment horizontal="right" vertical="center"/>
    </xf>
    <xf numFmtId="0" fontId="0" fillId="0" borderId="165" xfId="0" applyBorder="1" applyAlignment="1">
      <alignment horizontal="right" vertical="center"/>
    </xf>
    <xf numFmtId="185" fontId="0" fillId="0" borderId="165" xfId="0" applyNumberFormat="1" applyBorder="1" applyAlignment="1">
      <alignment horizontal="right" vertical="center"/>
    </xf>
    <xf numFmtId="171" fontId="7" fillId="0" borderId="165" xfId="2" applyNumberFormat="1" applyBorder="1" applyAlignment="1">
      <alignment horizontal="center" vertical="center"/>
    </xf>
    <xf numFmtId="40" fontId="40" fillId="0" borderId="165" xfId="2" applyNumberFormat="1" applyFont="1" applyBorder="1"/>
    <xf numFmtId="40" fontId="40" fillId="0" borderId="166" xfId="2" applyNumberFormat="1" applyFont="1" applyBorder="1"/>
    <xf numFmtId="40" fontId="39" fillId="11" borderId="165" xfId="2" applyNumberFormat="1" applyFont="1" applyFill="1" applyBorder="1"/>
    <xf numFmtId="40" fontId="42" fillId="0" borderId="165" xfId="2" applyNumberFormat="1" applyFont="1" applyBorder="1"/>
    <xf numFmtId="0" fontId="78" fillId="0" borderId="165" xfId="2" quotePrefix="1" applyFont="1" applyBorder="1" applyAlignment="1">
      <alignment horizontal="center"/>
    </xf>
    <xf numFmtId="9" fontId="7" fillId="0" borderId="0" xfId="4" applyFont="1" applyFill="1" applyAlignment="1">
      <alignment horizontal="center"/>
    </xf>
    <xf numFmtId="9" fontId="7" fillId="0" borderId="0" xfId="4" applyFont="1" applyAlignment="1">
      <alignment horizontal="center"/>
    </xf>
    <xf numFmtId="0" fontId="12" fillId="2" borderId="165"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2"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19" fontId="0" fillId="0" borderId="15" xfId="0" applyNumberFormat="1" applyBorder="1" applyAlignment="1">
      <alignment vertical="center"/>
    </xf>
    <xf numFmtId="220" fontId="0" fillId="0" borderId="74" xfId="0" applyNumberFormat="1" applyBorder="1" applyAlignment="1">
      <alignment vertical="center"/>
    </xf>
    <xf numFmtId="220" fontId="0" fillId="0" borderId="56" xfId="0" applyNumberFormat="1" applyBorder="1" applyAlignment="1">
      <alignment vertical="center"/>
    </xf>
    <xf numFmtId="219" fontId="0" fillId="0" borderId="57" xfId="0" applyNumberFormat="1" applyBorder="1" applyAlignment="1">
      <alignment vertical="center"/>
    </xf>
    <xf numFmtId="221" fontId="0" fillId="0" borderId="57" xfId="0" applyNumberFormat="1" applyBorder="1" applyAlignment="1">
      <alignment vertical="center"/>
    </xf>
    <xf numFmtId="221" fontId="0" fillId="0" borderId="83" xfId="0" applyNumberFormat="1" applyBorder="1" applyAlignment="1">
      <alignment vertical="center"/>
    </xf>
    <xf numFmtId="222" fontId="0" fillId="0" borderId="16" xfId="0" applyNumberFormat="1" applyBorder="1" applyAlignment="1">
      <alignment vertical="center"/>
    </xf>
    <xf numFmtId="223" fontId="0" fillId="0" borderId="16" xfId="0" applyNumberFormat="1" applyBorder="1" applyAlignment="1">
      <alignment vertical="center"/>
    </xf>
    <xf numFmtId="219" fontId="0" fillId="0" borderId="83" xfId="0" applyNumberFormat="1" applyBorder="1" applyAlignment="1">
      <alignment vertical="center"/>
    </xf>
    <xf numFmtId="0" fontId="96" fillId="10" borderId="0" xfId="0" applyFont="1" applyFill="1" applyAlignment="1">
      <alignment vertical="center" wrapText="1"/>
    </xf>
    <xf numFmtId="194" fontId="12" fillId="6" borderId="115" xfId="0" applyNumberFormat="1" applyFont="1" applyFill="1" applyBorder="1" applyAlignment="1">
      <alignment horizontal="center" vertical="center"/>
    </xf>
    <xf numFmtId="0" fontId="0" fillId="0" borderId="165" xfId="0" applyBorder="1" applyAlignment="1">
      <alignment vertical="center"/>
    </xf>
    <xf numFmtId="0" fontId="0" fillId="0" borderId="158"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7"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8" xfId="0" applyBorder="1" applyAlignment="1">
      <alignment horizontal="right" vertical="center"/>
    </xf>
    <xf numFmtId="0" fontId="0" fillId="0" borderId="117" xfId="0" applyBorder="1" applyAlignment="1">
      <alignment vertical="center"/>
    </xf>
    <xf numFmtId="0" fontId="0" fillId="0" borderId="118" xfId="0" applyBorder="1" applyAlignment="1">
      <alignment vertical="center"/>
    </xf>
    <xf numFmtId="0" fontId="0" fillId="2" borderId="0" xfId="0" applyFill="1" applyAlignment="1">
      <alignment vertical="center"/>
    </xf>
    <xf numFmtId="0" fontId="0" fillId="0" borderId="169"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70" xfId="0" applyBorder="1" applyAlignment="1">
      <alignment horizontal="right" vertical="center"/>
    </xf>
    <xf numFmtId="0" fontId="0" fillId="0" borderId="119" xfId="0" applyBorder="1" applyAlignment="1">
      <alignment vertical="center"/>
    </xf>
    <xf numFmtId="0" fontId="0" fillId="0" borderId="171" xfId="0" applyBorder="1" applyAlignment="1">
      <alignment horizontal="right" vertical="center"/>
    </xf>
    <xf numFmtId="0" fontId="0" fillId="0" borderId="172" xfId="0" applyBorder="1" applyAlignment="1">
      <alignment vertical="center"/>
    </xf>
    <xf numFmtId="0" fontId="0" fillId="0" borderId="34" xfId="0" applyBorder="1" applyAlignment="1">
      <alignment vertical="center"/>
    </xf>
    <xf numFmtId="192" fontId="0" fillId="0" borderId="165" xfId="0" applyNumberFormat="1" applyBorder="1" applyAlignment="1">
      <alignment horizontal="right" vertical="center"/>
    </xf>
    <xf numFmtId="0" fontId="0" fillId="16" borderId="0" xfId="0" applyFill="1" applyAlignment="1">
      <alignment vertical="center"/>
    </xf>
    <xf numFmtId="0" fontId="15" fillId="11" borderId="0" xfId="0" applyFont="1" applyFill="1"/>
    <xf numFmtId="0" fontId="85" fillId="0" borderId="0" xfId="0" applyFont="1" applyAlignment="1">
      <alignment vertical="top" wrapText="1"/>
    </xf>
    <xf numFmtId="38" fontId="15"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5" fillId="0" borderId="0" xfId="0" applyFont="1" applyAlignment="1">
      <alignment horizontal="right" vertical="center"/>
    </xf>
    <xf numFmtId="0" fontId="0" fillId="0" borderId="116" xfId="0" applyBorder="1" applyAlignment="1">
      <alignment horizontal="center" vertical="center"/>
    </xf>
    <xf numFmtId="0" fontId="106" fillId="0" borderId="0" xfId="0" applyFont="1" applyAlignment="1">
      <alignment horizontal="center"/>
    </xf>
    <xf numFmtId="191" fontId="58" fillId="0" borderId="0" xfId="0" applyNumberFormat="1" applyFont="1" applyAlignment="1">
      <alignment horizontal="center" vertical="center"/>
    </xf>
    <xf numFmtId="191" fontId="58" fillId="0" borderId="165" xfId="0" applyNumberFormat="1" applyFont="1" applyBorder="1" applyAlignment="1">
      <alignment horizontal="center" vertical="center"/>
    </xf>
    <xf numFmtId="0" fontId="5" fillId="25" borderId="0" xfId="0" applyFont="1" applyFill="1" applyAlignment="1">
      <alignment horizontal="center"/>
    </xf>
    <xf numFmtId="191" fontId="5"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4" fillId="0" borderId="2" xfId="0" applyFont="1" applyBorder="1" applyAlignment="1">
      <alignment horizontal="center" vertical="center"/>
    </xf>
    <xf numFmtId="0" fontId="0" fillId="16" borderId="16" xfId="0" applyFill="1" applyBorder="1" applyAlignment="1">
      <alignment vertical="center"/>
    </xf>
    <xf numFmtId="0" fontId="2" fillId="0" borderId="16" xfId="0" applyFont="1" applyBorder="1" applyAlignment="1">
      <alignment horizontal="center" vertical="center"/>
    </xf>
    <xf numFmtId="0" fontId="124" fillId="0" borderId="0" xfId="0" applyFont="1" applyAlignment="1">
      <alignment horizontal="left" vertical="top" wrapText="1"/>
    </xf>
    <xf numFmtId="40" fontId="0" fillId="0" borderId="0" xfId="0" applyNumberFormat="1" applyAlignment="1">
      <alignment horizontal="center"/>
    </xf>
    <xf numFmtId="40" fontId="4" fillId="0" borderId="0" xfId="0" applyNumberFormat="1" applyFont="1" applyAlignment="1">
      <alignment horizontal="center"/>
    </xf>
    <xf numFmtId="0" fontId="4" fillId="0" borderId="0" xfId="0" applyFont="1" applyAlignment="1">
      <alignment horizontal="right" vertical="top" wrapText="1"/>
    </xf>
    <xf numFmtId="38" fontId="12" fillId="2" borderId="7" xfId="0" applyNumberFormat="1"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5" fillId="0" borderId="84" xfId="0" applyFont="1" applyBorder="1" applyAlignment="1">
      <alignment vertical="center"/>
    </xf>
    <xf numFmtId="0" fontId="15" fillId="0" borderId="44" xfId="0" applyFont="1" applyBorder="1" applyAlignment="1" applyProtection="1">
      <alignment horizontal="center" vertical="center"/>
      <protection locked="0"/>
    </xf>
    <xf numFmtId="167" fontId="2" fillId="0" borderId="0" xfId="0" applyNumberFormat="1" applyFont="1" applyAlignment="1">
      <alignment vertical="top"/>
    </xf>
    <xf numFmtId="191" fontId="0" fillId="0" borderId="16" xfId="0" applyNumberFormat="1" applyBorder="1" applyAlignment="1">
      <alignment vertical="center"/>
    </xf>
    <xf numFmtId="227" fontId="4"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3" fillId="0" borderId="16" xfId="0" applyFont="1" applyBorder="1"/>
    <xf numFmtId="0" fontId="96" fillId="0" borderId="0" xfId="0" applyFont="1" applyAlignment="1">
      <alignment horizontal="center" wrapText="1"/>
    </xf>
    <xf numFmtId="0" fontId="2" fillId="0" borderId="16" xfId="0" applyFont="1" applyBorder="1"/>
    <xf numFmtId="0" fontId="25" fillId="0" borderId="7" xfId="0" applyFont="1" applyBorder="1" applyAlignment="1">
      <alignment horizontal="center" wrapText="1"/>
    </xf>
    <xf numFmtId="1" fontId="12" fillId="2" borderId="165" xfId="0" applyNumberFormat="1" applyFont="1" applyFill="1" applyBorder="1" applyAlignment="1" applyProtection="1">
      <alignment horizontal="center" vertical="center"/>
      <protection locked="0"/>
    </xf>
    <xf numFmtId="0" fontId="132" fillId="0" borderId="33" xfId="0" applyFont="1" applyBorder="1" applyAlignment="1">
      <alignment horizontal="right" vertical="center"/>
    </xf>
    <xf numFmtId="0" fontId="100" fillId="7" borderId="15" xfId="0" applyFont="1" applyFill="1" applyBorder="1" applyAlignment="1">
      <alignment vertical="center"/>
    </xf>
    <xf numFmtId="0" fontId="110" fillId="0" borderId="0" xfId="0" applyFont="1" applyAlignment="1">
      <alignment horizontal="left" vertical="center"/>
    </xf>
    <xf numFmtId="0" fontId="2" fillId="0" borderId="0" xfId="0" applyFont="1" applyAlignment="1">
      <alignment horizontal="right"/>
    </xf>
    <xf numFmtId="0" fontId="4"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4" fillId="7" borderId="0" xfId="0" applyFont="1" applyFill="1" applyAlignment="1">
      <alignment horizontal="left" vertical="center"/>
    </xf>
    <xf numFmtId="0" fontId="6" fillId="0" borderId="15" xfId="0" applyFont="1" applyBorder="1" applyAlignment="1">
      <alignment horizontal="left" indent="1"/>
    </xf>
    <xf numFmtId="196" fontId="12" fillId="6" borderId="15" xfId="0" applyNumberFormat="1" applyFont="1" applyFill="1" applyBorder="1" applyAlignment="1">
      <alignment horizontal="center" vertical="center"/>
    </xf>
    <xf numFmtId="196" fontId="12" fillId="6" borderId="16" xfId="0" applyNumberFormat="1" applyFont="1" applyFill="1" applyBorder="1" applyAlignment="1">
      <alignment horizontal="center" vertical="center"/>
    </xf>
    <xf numFmtId="196" fontId="12" fillId="6" borderId="53" xfId="0" applyNumberFormat="1" applyFont="1" applyFill="1" applyBorder="1" applyAlignment="1">
      <alignment horizontal="center" vertical="center"/>
    </xf>
    <xf numFmtId="196" fontId="12" fillId="6" borderId="165" xfId="0" applyNumberFormat="1" applyFont="1" applyFill="1" applyBorder="1" applyAlignment="1">
      <alignment horizontal="center" vertical="center"/>
    </xf>
    <xf numFmtId="196" fontId="12" fillId="6" borderId="54" xfId="0" applyNumberFormat="1" applyFont="1" applyFill="1" applyBorder="1" applyAlignment="1">
      <alignment horizontal="center" vertical="center"/>
    </xf>
    <xf numFmtId="195" fontId="4" fillId="0" borderId="57" xfId="0" applyNumberFormat="1" applyFont="1" applyBorder="1" applyAlignment="1">
      <alignment horizontal="center" vertical="center"/>
    </xf>
    <xf numFmtId="0" fontId="3" fillId="0" borderId="0" xfId="0" applyFont="1" applyAlignment="1">
      <alignment horizontal="left" vertical="center" wrapText="1"/>
    </xf>
    <xf numFmtId="9" fontId="12" fillId="6" borderId="15" xfId="4" applyFont="1" applyFill="1" applyBorder="1" applyAlignment="1">
      <alignment horizontal="right" vertical="center"/>
    </xf>
    <xf numFmtId="0" fontId="0" fillId="21" borderId="0" xfId="0" applyFill="1" applyAlignment="1">
      <alignment horizontal="center"/>
    </xf>
    <xf numFmtId="0" fontId="135" fillId="0" borderId="0" xfId="0" applyFont="1" applyAlignment="1">
      <alignment vertical="center"/>
    </xf>
    <xf numFmtId="0" fontId="135" fillId="0" borderId="165" xfId="0" applyFont="1" applyBorder="1" applyAlignment="1">
      <alignment vertical="center"/>
    </xf>
    <xf numFmtId="0" fontId="2" fillId="0" borderId="143" xfId="0" applyFont="1" applyBorder="1" applyAlignment="1">
      <alignment vertical="center"/>
    </xf>
    <xf numFmtId="0" fontId="0" fillId="0" borderId="143" xfId="0" applyBorder="1" applyAlignment="1">
      <alignment vertical="center"/>
    </xf>
    <xf numFmtId="0" fontId="0" fillId="2" borderId="0" xfId="0" applyFill="1" applyAlignment="1">
      <alignment horizontal="left" vertical="center" wrapText="1"/>
    </xf>
    <xf numFmtId="49" fontId="12" fillId="2" borderId="165" xfId="0" applyNumberFormat="1" applyFont="1" applyFill="1" applyBorder="1" applyAlignment="1" applyProtection="1">
      <alignment horizontal="center" vertical="center" wrapText="1"/>
      <protection locked="0"/>
    </xf>
    <xf numFmtId="8" fontId="12" fillId="2" borderId="23" xfId="0" applyNumberFormat="1" applyFont="1" applyFill="1" applyBorder="1" applyAlignment="1" applyProtection="1">
      <alignment horizontal="right" vertical="center" wrapText="1" indent="1"/>
      <protection locked="0"/>
    </xf>
    <xf numFmtId="8" fontId="4" fillId="0" borderId="23" xfId="0" applyNumberFormat="1" applyFont="1" applyBorder="1" applyAlignment="1">
      <alignment horizontal="right" vertical="center"/>
    </xf>
    <xf numFmtId="0" fontId="0" fillId="26" borderId="75" xfId="0" applyFill="1" applyBorder="1"/>
    <xf numFmtId="0" fontId="0" fillId="33" borderId="15" xfId="0" applyFill="1" applyBorder="1"/>
    <xf numFmtId="0" fontId="0" fillId="33" borderId="16" xfId="0" applyFill="1" applyBorder="1"/>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33" borderId="82" xfId="0" applyFill="1" applyBorder="1"/>
    <xf numFmtId="0" fontId="0" fillId="33" borderId="82" xfId="0" applyFill="1" applyBorder="1" applyAlignment="1">
      <alignment horizontal="right" vertical="center"/>
    </xf>
    <xf numFmtId="0" fontId="0" fillId="33" borderId="16" xfId="0" applyFill="1" applyBorder="1" applyAlignment="1">
      <alignment horizontal="right" vertical="center"/>
    </xf>
    <xf numFmtId="0" fontId="0" fillId="33" borderId="15" xfId="0" applyFill="1" applyBorder="1" applyAlignment="1">
      <alignment horizontal="right" vertical="center"/>
    </xf>
    <xf numFmtId="0" fontId="0" fillId="33" borderId="75" xfId="0" applyFill="1" applyBorder="1"/>
    <xf numFmtId="0" fontId="0" fillId="37" borderId="82" xfId="0" applyFill="1" applyBorder="1"/>
    <xf numFmtId="0" fontId="0" fillId="37" borderId="82"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4"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4" fillId="0" borderId="15" xfId="0" applyNumberFormat="1" applyFont="1" applyBorder="1" applyAlignment="1">
      <alignment horizontal="right" vertical="center"/>
    </xf>
    <xf numFmtId="0" fontId="12" fillId="6" borderId="84" xfId="0" applyFont="1" applyFill="1" applyBorder="1" applyAlignment="1">
      <alignment horizontal="center" vertical="center"/>
    </xf>
    <xf numFmtId="8" fontId="4"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38" fontId="0" fillId="33" borderId="15" xfId="0" applyNumberFormat="1" applyFill="1" applyBorder="1" applyAlignment="1">
      <alignment horizontal="center" vertical="center"/>
    </xf>
    <xf numFmtId="0" fontId="0" fillId="33" borderId="0" xfId="0" applyFill="1" applyAlignment="1">
      <alignment vertical="center"/>
    </xf>
    <xf numFmtId="0" fontId="0" fillId="33" borderId="0" xfId="0" applyFill="1"/>
    <xf numFmtId="0" fontId="0" fillId="33" borderId="0" xfId="0" applyFill="1" applyAlignment="1">
      <alignment horizontal="center" vertical="center"/>
    </xf>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100"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4" fillId="7" borderId="75" xfId="0" quotePrefix="1" applyFont="1" applyFill="1" applyBorder="1" applyAlignment="1">
      <alignment horizontal="left" vertical="center"/>
    </xf>
    <xf numFmtId="0" fontId="4" fillId="26" borderId="0" xfId="0" applyFont="1" applyFill="1" applyAlignment="1">
      <alignment horizontal="center" vertical="center"/>
    </xf>
    <xf numFmtId="0" fontId="4"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6" fillId="31" borderId="0" xfId="0" applyFont="1" applyFill="1" applyAlignment="1">
      <alignment vertical="top"/>
    </xf>
    <xf numFmtId="0" fontId="102" fillId="0" borderId="0" xfId="0" applyFont="1" applyAlignment="1">
      <alignment horizontal="left" vertical="center"/>
    </xf>
    <xf numFmtId="0" fontId="102" fillId="0" borderId="0" xfId="0" applyFont="1" applyAlignment="1">
      <alignment vertical="top"/>
    </xf>
    <xf numFmtId="0" fontId="11" fillId="0" borderId="0" xfId="0" applyFont="1"/>
    <xf numFmtId="0" fontId="11" fillId="0" borderId="165" xfId="0" applyFont="1" applyBorder="1"/>
    <xf numFmtId="0" fontId="0" fillId="31" borderId="0" xfId="0" applyFill="1" applyAlignment="1">
      <alignment horizontal="center" vertical="center"/>
    </xf>
    <xf numFmtId="0" fontId="88"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4" fillId="0" borderId="53" xfId="0" applyFont="1" applyBorder="1" applyAlignment="1">
      <alignment vertical="center"/>
    </xf>
    <xf numFmtId="0" fontId="12" fillId="0" borderId="0" xfId="0" applyFont="1" applyAlignment="1">
      <alignment horizontal="right" vertical="center"/>
    </xf>
    <xf numFmtId="0" fontId="13" fillId="0" borderId="0" xfId="0" applyFont="1" applyAlignment="1">
      <alignment horizontal="right"/>
    </xf>
    <xf numFmtId="231" fontId="0" fillId="0" borderId="52" xfId="0" applyNumberFormat="1" applyBorder="1" applyAlignment="1">
      <alignment horizontal="center" vertical="center"/>
    </xf>
    <xf numFmtId="231" fontId="0" fillId="0" borderId="44" xfId="0" applyNumberFormat="1" applyBorder="1" applyAlignment="1">
      <alignment horizontal="center" vertical="center"/>
    </xf>
    <xf numFmtId="231" fontId="0" fillId="0" borderId="142" xfId="0" applyNumberFormat="1" applyBorder="1" applyAlignment="1">
      <alignment horizontal="center" vertical="center"/>
    </xf>
    <xf numFmtId="232" fontId="0" fillId="0" borderId="12" xfId="0" applyNumberFormat="1" applyBorder="1" applyAlignment="1">
      <alignment horizontal="center" vertical="center"/>
    </xf>
    <xf numFmtId="232" fontId="0" fillId="0" borderId="14" xfId="0" applyNumberFormat="1" applyBorder="1" applyAlignment="1">
      <alignment horizontal="center" vertical="center"/>
    </xf>
    <xf numFmtId="232" fontId="0" fillId="0" borderId="46" xfId="0" applyNumberFormat="1" applyBorder="1" applyAlignment="1">
      <alignment horizontal="center" vertical="center"/>
    </xf>
    <xf numFmtId="232" fontId="0" fillId="0" borderId="12" xfId="0" applyNumberFormat="1" applyBorder="1" applyAlignment="1">
      <alignment vertical="center"/>
    </xf>
    <xf numFmtId="232" fontId="0" fillId="0" borderId="14" xfId="0" applyNumberFormat="1" applyBorder="1" applyAlignment="1">
      <alignment vertical="center"/>
    </xf>
    <xf numFmtId="232" fontId="0" fillId="0" borderId="46" xfId="0" applyNumberFormat="1" applyBorder="1" applyAlignment="1">
      <alignment vertical="center"/>
    </xf>
    <xf numFmtId="231" fontId="0" fillId="0" borderId="2" xfId="0" applyNumberFormat="1" applyBorder="1" applyAlignment="1">
      <alignment vertical="center"/>
    </xf>
    <xf numFmtId="231" fontId="0" fillId="0" borderId="0" xfId="0" applyNumberFormat="1" applyAlignment="1">
      <alignment vertical="center"/>
    </xf>
    <xf numFmtId="231" fontId="0" fillId="0" borderId="165"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6" fillId="0" borderId="94" xfId="0" applyFont="1" applyBorder="1" applyAlignment="1">
      <alignment vertical="center"/>
    </xf>
    <xf numFmtId="0" fontId="56" fillId="0" borderId="24" xfId="0" applyFont="1" applyBorder="1"/>
    <xf numFmtId="0" fontId="56" fillId="0" borderId="24" xfId="0" applyFont="1" applyBorder="1" applyAlignment="1">
      <alignment horizontal="right"/>
    </xf>
    <xf numFmtId="0" fontId="56" fillId="0" borderId="95" xfId="0" applyFont="1" applyBorder="1" applyAlignment="1">
      <alignment horizontal="right"/>
    </xf>
    <xf numFmtId="0" fontId="0" fillId="0" borderId="193" xfId="0" applyBorder="1"/>
    <xf numFmtId="0" fontId="0" fillId="0" borderId="194" xfId="0" applyBorder="1"/>
    <xf numFmtId="0" fontId="87" fillId="0" borderId="0" xfId="0" applyFont="1" applyAlignment="1">
      <alignment horizontal="right"/>
    </xf>
    <xf numFmtId="8" fontId="12" fillId="14" borderId="63" xfId="0" applyNumberFormat="1" applyFont="1" applyFill="1" applyBorder="1" applyAlignment="1" applyProtection="1">
      <alignment horizontal="center" vertical="center"/>
      <protection locked="0"/>
    </xf>
    <xf numFmtId="8" fontId="12" fillId="14" borderId="65" xfId="0" applyNumberFormat="1" applyFont="1" applyFill="1" applyBorder="1" applyAlignment="1" applyProtection="1">
      <alignment horizontal="center" vertical="center"/>
      <protection locked="0"/>
    </xf>
    <xf numFmtId="0" fontId="0" fillId="0" borderId="184" xfId="0" applyBorder="1"/>
    <xf numFmtId="0" fontId="0" fillId="0" borderId="77" xfId="0" applyBorder="1" applyAlignment="1">
      <alignment vertical="center"/>
    </xf>
    <xf numFmtId="8" fontId="12"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2" fillId="14" borderId="32" xfId="0" applyNumberFormat="1" applyFont="1" applyFill="1" applyBorder="1" applyAlignment="1" applyProtection="1">
      <alignment vertical="center"/>
      <protection locked="0"/>
    </xf>
    <xf numFmtId="8" fontId="4" fillId="16" borderId="69" xfId="0" applyNumberFormat="1" applyFont="1" applyFill="1" applyBorder="1" applyAlignment="1">
      <alignment vertical="center"/>
    </xf>
    <xf numFmtId="8" fontId="0" fillId="0" borderId="65" xfId="0" applyNumberFormat="1" applyBorder="1" applyAlignment="1">
      <alignment vertical="center"/>
    </xf>
    <xf numFmtId="8" fontId="4" fillId="16" borderId="15" xfId="0" applyNumberFormat="1" applyFont="1" applyFill="1" applyBorder="1" applyAlignment="1">
      <alignment vertical="center"/>
    </xf>
    <xf numFmtId="8" fontId="0" fillId="0" borderId="65" xfId="0" applyNumberFormat="1" applyBorder="1" applyAlignment="1">
      <alignment horizontal="right" vertical="center"/>
    </xf>
    <xf numFmtId="8" fontId="12"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5" fillId="0" borderId="12" xfId="0" applyFont="1" applyBorder="1" applyAlignment="1">
      <alignment horizontal="center"/>
    </xf>
    <xf numFmtId="0" fontId="5" fillId="0" borderId="2" xfId="0" applyFont="1" applyBorder="1" applyAlignment="1">
      <alignment horizontal="center"/>
    </xf>
    <xf numFmtId="0" fontId="5" fillId="0" borderId="52" xfId="0" applyFont="1" applyBorder="1" applyAlignment="1">
      <alignment horizontal="center"/>
    </xf>
    <xf numFmtId="0" fontId="0" fillId="0" borderId="46" xfId="0" applyBorder="1" applyAlignment="1">
      <alignment horizontal="center"/>
    </xf>
    <xf numFmtId="49" fontId="0" fillId="0" borderId="165" xfId="0" applyNumberFormat="1" applyBorder="1" applyAlignment="1">
      <alignment horizontal="center"/>
    </xf>
    <xf numFmtId="49" fontId="0" fillId="0" borderId="142" xfId="0" applyNumberFormat="1" applyBorder="1" applyAlignment="1">
      <alignment horizontal="center"/>
    </xf>
    <xf numFmtId="0" fontId="3"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6" fillId="8" borderId="0" xfId="0" quotePrefix="1" applyFont="1" applyFill="1"/>
    <xf numFmtId="8" fontId="12" fillId="0" borderId="16" xfId="0" applyNumberFormat="1" applyFont="1" applyBorder="1" applyAlignment="1">
      <alignment horizontal="right" vertical="center"/>
    </xf>
    <xf numFmtId="8" fontId="12" fillId="0" borderId="53" xfId="0" applyNumberFormat="1" applyFont="1" applyBorder="1" applyAlignment="1">
      <alignment horizontal="right" vertical="center"/>
    </xf>
    <xf numFmtId="8" fontId="12"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2" fillId="6" borderId="6" xfId="0" applyFont="1" applyFill="1" applyBorder="1" applyAlignment="1">
      <alignment horizontal="center" vertical="center"/>
    </xf>
    <xf numFmtId="8" fontId="12"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2" fillId="0" borderId="15" xfId="4" applyFont="1" applyFill="1" applyBorder="1" applyAlignment="1">
      <alignment horizontal="right" vertical="center"/>
    </xf>
    <xf numFmtId="0" fontId="0" fillId="0" borderId="15" xfId="0" applyBorder="1" applyAlignment="1">
      <alignment horizontal="left" vertical="top" wrapText="1"/>
    </xf>
    <xf numFmtId="6" fontId="0" fillId="0" borderId="165" xfId="0" applyNumberFormat="1" applyBorder="1" applyAlignment="1">
      <alignment horizontal="right"/>
    </xf>
    <xf numFmtId="6" fontId="0" fillId="0" borderId="16" xfId="0" applyNumberFormat="1" applyBorder="1" applyAlignment="1">
      <alignment horizontal="center" vertical="center"/>
    </xf>
    <xf numFmtId="6" fontId="0" fillId="0" borderId="195" xfId="0" applyNumberFormat="1" applyBorder="1" applyAlignment="1">
      <alignment horizontal="right" vertical="center"/>
    </xf>
    <xf numFmtId="8" fontId="4" fillId="0" borderId="195" xfId="0" applyNumberFormat="1" applyFont="1" applyBorder="1" applyAlignment="1">
      <alignment vertical="top"/>
    </xf>
    <xf numFmtId="38" fontId="4" fillId="2" borderId="18" xfId="0" applyNumberFormat="1" applyFont="1" applyFill="1" applyBorder="1" applyAlignment="1" applyProtection="1">
      <alignment horizontal="center" vertical="center"/>
      <protection locked="0"/>
    </xf>
    <xf numFmtId="38" fontId="4" fillId="2" borderId="19" xfId="0" applyNumberFormat="1" applyFont="1" applyFill="1" applyBorder="1" applyAlignment="1" applyProtection="1">
      <alignment horizontal="center" vertical="center"/>
      <protection locked="0"/>
    </xf>
    <xf numFmtId="38" fontId="4" fillId="2" borderId="102" xfId="0" applyNumberFormat="1" applyFont="1" applyFill="1" applyBorder="1" applyAlignment="1" applyProtection="1">
      <alignment horizontal="center" vertical="center"/>
      <protection locked="0"/>
    </xf>
    <xf numFmtId="6" fontId="4" fillId="0" borderId="195" xfId="0" applyNumberFormat="1" applyFont="1" applyBorder="1"/>
    <xf numFmtId="6" fontId="12" fillId="2" borderId="195" xfId="1" applyNumberFormat="1" applyFont="1" applyFill="1" applyBorder="1" applyAlignment="1" applyProtection="1">
      <alignment horizontal="right" vertical="center"/>
      <protection locked="0"/>
    </xf>
    <xf numFmtId="6" fontId="0" fillId="0" borderId="195" xfId="0" applyNumberFormat="1" applyBorder="1"/>
    <xf numFmtId="38" fontId="12" fillId="6" borderId="16" xfId="0" applyNumberFormat="1" applyFont="1" applyFill="1" applyBorder="1" applyAlignment="1">
      <alignment horizontal="right" vertical="center"/>
    </xf>
    <xf numFmtId="0" fontId="15" fillId="27" borderId="196" xfId="0" applyFont="1" applyFill="1" applyBorder="1" applyAlignment="1">
      <alignment horizontal="center"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192" xfId="0" applyBorder="1" applyAlignment="1">
      <alignment vertical="center"/>
    </xf>
    <xf numFmtId="0" fontId="0" fillId="0" borderId="54" xfId="0" applyBorder="1" applyAlignment="1">
      <alignment vertical="center"/>
    </xf>
    <xf numFmtId="0" fontId="0" fillId="0" borderId="142" xfId="0" applyBorder="1" applyAlignment="1">
      <alignment vertical="center"/>
    </xf>
    <xf numFmtId="0" fontId="12"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0" fillId="13" borderId="15" xfId="0" applyFill="1" applyBorder="1" applyAlignment="1">
      <alignment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2" fillId="6" borderId="16" xfId="0" applyFont="1" applyFill="1" applyBorder="1" applyAlignment="1">
      <alignment horizontal="left" vertical="center"/>
    </xf>
    <xf numFmtId="0" fontId="0" fillId="0" borderId="16" xfId="0" applyBorder="1" applyAlignment="1">
      <alignment horizontal="right" vertical="center"/>
    </xf>
    <xf numFmtId="0" fontId="5" fillId="0" borderId="16" xfId="0" applyFont="1" applyBorder="1" applyAlignment="1">
      <alignment horizontal="right" vertical="center"/>
    </xf>
    <xf numFmtId="6" fontId="12"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3" fillId="0" borderId="0" xfId="0" quotePrefix="1" applyFont="1"/>
    <xf numFmtId="0" fontId="112" fillId="0" borderId="15"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5" xfId="0" quotePrefix="1" applyNumberFormat="1" applyBorder="1"/>
    <xf numFmtId="0" fontId="0" fillId="0" borderId="0" xfId="0" applyAlignment="1">
      <alignment vertical="center"/>
    </xf>
    <xf numFmtId="38" fontId="12" fillId="6" borderId="56" xfId="0" applyNumberFormat="1" applyFont="1" applyFill="1" applyBorder="1" applyAlignment="1">
      <alignment horizontal="center" vertical="center"/>
    </xf>
    <xf numFmtId="0" fontId="34"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4" fillId="0" borderId="0" xfId="2" quotePrefix="1" applyFont="1" applyAlignment="1">
      <alignment horizontal="center"/>
    </xf>
    <xf numFmtId="49" fontId="34" fillId="0" borderId="0" xfId="2" applyNumberFormat="1" applyFont="1" applyAlignment="1">
      <alignment horizontal="center"/>
    </xf>
    <xf numFmtId="0" fontId="7" fillId="0" borderId="0" xfId="2" applyBorder="1"/>
    <xf numFmtId="6" fontId="0" fillId="0" borderId="0" xfId="0" applyNumberFormat="1" applyAlignment="1">
      <alignment horizontal="right" vertical="center"/>
    </xf>
    <xf numFmtId="0" fontId="0" fillId="0" borderId="0" xfId="0" applyAlignment="1">
      <alignment vertical="center"/>
    </xf>
    <xf numFmtId="0" fontId="11" fillId="0" borderId="0" xfId="0" applyFont="1" applyAlignment="1">
      <alignment horizontal="right" vertical="center" wrapText="1"/>
    </xf>
    <xf numFmtId="0" fontId="12" fillId="6" borderId="16" xfId="0" applyFont="1" applyFill="1" applyBorder="1" applyAlignment="1">
      <alignment horizontal="center" vertical="center"/>
    </xf>
    <xf numFmtId="0" fontId="12" fillId="6" borderId="23" xfId="0" applyFont="1" applyFill="1" applyBorder="1" applyAlignment="1">
      <alignment horizontal="center" vertical="center"/>
    </xf>
    <xf numFmtId="38" fontId="15" fillId="11" borderId="0" xfId="0" applyNumberFormat="1" applyFont="1" applyFill="1" applyAlignment="1">
      <alignment horizontal="center" vertical="center"/>
    </xf>
    <xf numFmtId="8" fontId="4" fillId="0" borderId="195" xfId="0" applyNumberFormat="1" applyFont="1" applyBorder="1" applyAlignment="1">
      <alignment horizontal="right" vertical="center"/>
    </xf>
    <xf numFmtId="0" fontId="12" fillId="6" borderId="7" xfId="0" applyFont="1" applyFill="1" applyBorder="1" applyAlignment="1">
      <alignment horizontal="center"/>
    </xf>
    <xf numFmtId="0" fontId="4" fillId="0" borderId="195" xfId="0" applyFont="1" applyBorder="1" applyAlignment="1">
      <alignment horizontal="center" vertical="center"/>
    </xf>
    <xf numFmtId="0" fontId="99" fillId="0" borderId="0" xfId="2" quotePrefix="1" applyFont="1"/>
    <xf numFmtId="0" fontId="0" fillId="0" borderId="15" xfId="0" quotePrefix="1" applyFill="1" applyBorder="1" applyAlignment="1">
      <alignment vertical="top"/>
    </xf>
    <xf numFmtId="0" fontId="0" fillId="0" borderId="15" xfId="0" applyFill="1" applyBorder="1" applyAlignment="1">
      <alignment vertical="top"/>
    </xf>
    <xf numFmtId="6" fontId="0" fillId="0" borderId="165" xfId="0" applyNumberFormat="1" applyFill="1" applyBorder="1" applyAlignment="1">
      <alignment horizontal="right" vertical="top"/>
    </xf>
    <xf numFmtId="172" fontId="7" fillId="0" borderId="0" xfId="2" applyNumberFormat="1" applyAlignment="1">
      <alignment horizontal="center" vertical="center"/>
    </xf>
    <xf numFmtId="0" fontId="7" fillId="0" borderId="0" xfId="2" applyAlignment="1">
      <alignment horizontal="center"/>
    </xf>
    <xf numFmtId="0" fontId="78" fillId="0" borderId="0" xfId="2" applyFont="1" applyBorder="1" applyAlignment="1">
      <alignment horizontal="center"/>
    </xf>
    <xf numFmtId="174" fontId="7" fillId="0" borderId="0" xfId="2" applyNumberFormat="1" applyAlignment="1">
      <alignment horizontal="center" vertical="center"/>
    </xf>
    <xf numFmtId="9" fontId="7" fillId="0" borderId="0" xfId="4" applyFont="1" applyAlignment="1">
      <alignment horizontal="center" vertical="center"/>
    </xf>
    <xf numFmtId="9" fontId="137" fillId="0" borderId="0" xfId="4" applyFont="1" applyAlignment="1">
      <alignment horizontal="center" vertical="center"/>
    </xf>
    <xf numFmtId="172" fontId="7" fillId="0" borderId="0" xfId="2" applyNumberFormat="1"/>
    <xf numFmtId="174" fontId="137" fillId="0" borderId="0" xfId="2" applyNumberFormat="1" applyFont="1" applyAlignment="1">
      <alignment horizontal="center" vertical="center"/>
    </xf>
    <xf numFmtId="174" fontId="137" fillId="0" borderId="0" xfId="2" applyNumberFormat="1" applyFont="1"/>
    <xf numFmtId="183" fontId="137" fillId="0" borderId="0" xfId="4" applyNumberFormat="1" applyFont="1"/>
    <xf numFmtId="6" fontId="7" fillId="0" borderId="0" xfId="2" applyNumberFormat="1" applyBorder="1" applyAlignment="1">
      <alignment horizontal="center"/>
    </xf>
    <xf numFmtId="0" fontId="76" fillId="0" borderId="0" xfId="2" quotePrefix="1" applyFont="1"/>
    <xf numFmtId="0" fontId="4" fillId="0" borderId="7" xfId="0" applyFont="1" applyFill="1" applyBorder="1" applyAlignment="1">
      <alignment horizontal="center" vertical="center"/>
    </xf>
    <xf numFmtId="0" fontId="7" fillId="0" borderId="12" xfId="2" applyBorder="1"/>
    <xf numFmtId="0" fontId="7" fillId="0" borderId="52" xfId="2" applyBorder="1"/>
    <xf numFmtId="0" fontId="78" fillId="0" borderId="14" xfId="2" applyFont="1" applyBorder="1"/>
    <xf numFmtId="0" fontId="7" fillId="0" borderId="46" xfId="2" applyBorder="1"/>
    <xf numFmtId="0" fontId="7" fillId="0" borderId="165" xfId="2" applyBorder="1"/>
    <xf numFmtId="0" fontId="0" fillId="0" borderId="0" xfId="0" applyBorder="1"/>
    <xf numFmtId="0" fontId="0" fillId="0" borderId="0" xfId="0" applyAlignment="1">
      <alignment vertical="top"/>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8" borderId="0" xfId="0" applyFill="1" applyAlignment="1">
      <alignment horizontal="left" vertical="center" wrapText="1"/>
    </xf>
    <xf numFmtId="0" fontId="4" fillId="0" borderId="0" xfId="0" applyFont="1" applyAlignment="1">
      <alignment horizontal="left" vertical="center"/>
    </xf>
    <xf numFmtId="0" fontId="0" fillId="0" borderId="0" xfId="0" applyAlignment="1">
      <alignment vertical="center"/>
    </xf>
    <xf numFmtId="0" fontId="2" fillId="0" borderId="165"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5"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2" fillId="6" borderId="16" xfId="0" applyFont="1" applyFill="1" applyBorder="1" applyAlignment="1">
      <alignment horizontal="center" vertical="center"/>
    </xf>
    <xf numFmtId="0" fontId="0" fillId="0" borderId="0" xfId="0" applyAlignment="1">
      <alignment vertical="center"/>
    </xf>
    <xf numFmtId="0" fontId="8" fillId="29" borderId="0" xfId="0" applyFont="1" applyFill="1"/>
    <xf numFmtId="0" fontId="4" fillId="0" borderId="2" xfId="0" applyFont="1" applyFill="1" applyBorder="1" applyAlignment="1">
      <alignment horizontal="center" vertical="center"/>
    </xf>
    <xf numFmtId="0" fontId="4" fillId="0" borderId="165" xfId="0" applyFont="1" applyFill="1" applyBorder="1" applyAlignment="1">
      <alignment horizontal="center" vertical="center"/>
    </xf>
    <xf numFmtId="0" fontId="139" fillId="0" borderId="0" xfId="0" applyFont="1" applyAlignment="1">
      <alignment horizontal="right"/>
    </xf>
    <xf numFmtId="0" fontId="4" fillId="0" borderId="15" xfId="0" applyFont="1" applyFill="1" applyBorder="1" applyAlignment="1">
      <alignment vertical="center"/>
    </xf>
    <xf numFmtId="0" fontId="4" fillId="0" borderId="15" xfId="0" applyFont="1" applyFill="1" applyBorder="1"/>
    <xf numFmtId="0" fontId="4" fillId="0" borderId="15" xfId="0" applyFont="1" applyFill="1" applyBorder="1" applyAlignment="1">
      <alignment horizontal="right" vertical="center" wrapText="1"/>
    </xf>
    <xf numFmtId="0" fontId="4" fillId="0" borderId="15" xfId="0" applyFont="1" applyFill="1" applyBorder="1" applyAlignment="1">
      <alignment horizontal="center" vertical="center"/>
    </xf>
    <xf numFmtId="0" fontId="4" fillId="0" borderId="7" xfId="0" applyFont="1" applyBorder="1" applyAlignment="1">
      <alignment horizontal="center"/>
    </xf>
    <xf numFmtId="0" fontId="4" fillId="0" borderId="0" xfId="0" applyFont="1" applyFill="1"/>
    <xf numFmtId="0" fontId="13" fillId="43" borderId="0" xfId="0" applyFont="1" applyFill="1" applyAlignment="1">
      <alignment horizontal="center" vertical="center"/>
    </xf>
    <xf numFmtId="183" fontId="4" fillId="43" borderId="0" xfId="4" applyNumberFormat="1" applyFont="1" applyFill="1" applyBorder="1" applyAlignment="1">
      <alignment horizontal="center" vertical="center"/>
    </xf>
    <xf numFmtId="38" fontId="4" fillId="43" borderId="0" xfId="0" applyNumberFormat="1" applyFont="1" applyFill="1" applyAlignment="1">
      <alignment horizontal="center" vertical="center"/>
    </xf>
    <xf numFmtId="0" fontId="4" fillId="43" borderId="0" xfId="0" applyFont="1" applyFill="1" applyAlignment="1">
      <alignment horizontal="center" vertical="center"/>
    </xf>
    <xf numFmtId="0" fontId="13" fillId="43" borderId="0" xfId="0" applyFont="1" applyFill="1" applyAlignment="1">
      <alignment horizontal="left" vertical="center"/>
    </xf>
    <xf numFmtId="227" fontId="4" fillId="43" borderId="0" xfId="0" applyNumberFormat="1" applyFont="1" applyFill="1" applyAlignment="1">
      <alignment horizontal="left" vertical="center"/>
    </xf>
    <xf numFmtId="208" fontId="4" fillId="43" borderId="0" xfId="0" applyNumberFormat="1" applyFont="1" applyFill="1" applyAlignment="1">
      <alignment horizontal="left" vertical="center"/>
    </xf>
    <xf numFmtId="0" fontId="5" fillId="44" borderId="0" xfId="0" applyFont="1" applyFill="1" applyAlignment="1">
      <alignment horizontal="center" vertical="center"/>
    </xf>
    <xf numFmtId="183" fontId="4" fillId="44" borderId="0" xfId="4" applyNumberFormat="1" applyFont="1" applyFill="1" applyBorder="1" applyAlignment="1">
      <alignment horizontal="center" vertical="center"/>
    </xf>
    <xf numFmtId="38" fontId="4" fillId="44" borderId="0" xfId="0" applyNumberFormat="1" applyFont="1" applyFill="1" applyAlignment="1">
      <alignment horizontal="center" vertical="center"/>
    </xf>
    <xf numFmtId="0" fontId="4" fillId="44" borderId="0" xfId="0" applyFont="1" applyFill="1" applyAlignment="1">
      <alignment horizontal="center" vertical="center"/>
    </xf>
    <xf numFmtId="0" fontId="5" fillId="44" borderId="0" xfId="0" applyFont="1" applyFill="1" applyAlignment="1">
      <alignment horizontal="left" vertical="center"/>
    </xf>
    <xf numFmtId="227" fontId="4" fillId="44" borderId="0" xfId="0" applyNumberFormat="1" applyFont="1" applyFill="1" applyAlignment="1">
      <alignment horizontal="left" vertical="center"/>
    </xf>
    <xf numFmtId="208" fontId="4" fillId="44" borderId="0" xfId="0" applyNumberFormat="1" applyFont="1" applyFill="1" applyAlignment="1">
      <alignment horizontal="left" vertical="center"/>
    </xf>
    <xf numFmtId="0" fontId="12" fillId="2" borderId="198" xfId="0" applyFont="1" applyFill="1" applyBorder="1" applyAlignment="1" applyProtection="1">
      <alignment vertical="center" wrapText="1"/>
      <protection locked="0"/>
    </xf>
    <xf numFmtId="2" fontId="12" fillId="2" borderId="198" xfId="0" applyNumberFormat="1" applyFont="1" applyFill="1" applyBorder="1" applyAlignment="1" applyProtection="1">
      <alignment horizontal="center" vertical="center"/>
      <protection locked="0"/>
    </xf>
    <xf numFmtId="0" fontId="12" fillId="2" borderId="199" xfId="0" applyFont="1" applyFill="1" applyBorder="1" applyAlignment="1" applyProtection="1">
      <alignment vertical="center" wrapText="1"/>
      <protection locked="0"/>
    </xf>
    <xf numFmtId="2" fontId="12" fillId="2" borderId="199" xfId="0" applyNumberFormat="1" applyFont="1" applyFill="1" applyBorder="1" applyAlignment="1" applyProtection="1">
      <alignment horizontal="center" vertical="center"/>
      <protection locked="0"/>
    </xf>
    <xf numFmtId="49" fontId="12" fillId="2" borderId="198" xfId="0" applyNumberFormat="1" applyFont="1" applyFill="1" applyBorder="1" applyAlignment="1" applyProtection="1">
      <alignment horizontal="center" vertical="center"/>
      <protection locked="0"/>
    </xf>
    <xf numFmtId="49" fontId="12" fillId="2" borderId="199" xfId="0" applyNumberFormat="1" applyFont="1" applyFill="1" applyBorder="1" applyAlignment="1" applyProtection="1">
      <alignment horizontal="center" vertical="center"/>
      <protection locked="0"/>
    </xf>
    <xf numFmtId="38" fontId="12" fillId="2" borderId="23" xfId="0" applyNumberFormat="1" applyFont="1" applyFill="1" applyBorder="1" applyAlignment="1" applyProtection="1">
      <alignment horizontal="center" vertical="center"/>
      <protection locked="0"/>
    </xf>
    <xf numFmtId="0" fontId="4" fillId="0" borderId="32" xfId="0" applyFont="1" applyFill="1" applyBorder="1" applyAlignment="1">
      <alignment horizontal="center" vertical="center"/>
    </xf>
    <xf numFmtId="9" fontId="7" fillId="0" borderId="0" xfId="4" applyFont="1" applyAlignment="1">
      <alignment horizontal="center"/>
    </xf>
    <xf numFmtId="0" fontId="7" fillId="0" borderId="0" xfId="2" applyAlignment="1">
      <alignment horizontal="center"/>
    </xf>
    <xf numFmtId="0" fontId="12" fillId="6" borderId="15" xfId="0" applyFont="1" applyFill="1" applyBorder="1" applyAlignment="1">
      <alignment horizontal="center" vertical="center"/>
    </xf>
    <xf numFmtId="9" fontId="7" fillId="0" borderId="0" xfId="4" quotePrefix="1" applyFont="1" applyAlignment="1">
      <alignment horizontal="center"/>
    </xf>
    <xf numFmtId="0" fontId="7" fillId="0" borderId="0" xfId="2" applyFill="1"/>
    <xf numFmtId="9" fontId="7" fillId="0" borderId="0" xfId="4" applyFont="1" applyBorder="1" applyAlignment="1">
      <alignment horizontal="center"/>
    </xf>
    <xf numFmtId="0" fontId="7" fillId="0" borderId="0" xfId="2" applyFill="1" applyBorder="1" applyAlignment="1">
      <alignment horizontal="center"/>
    </xf>
    <xf numFmtId="0" fontId="7" fillId="0" borderId="0" xfId="2" applyFont="1" applyAlignment="1">
      <alignment horizontal="left"/>
    </xf>
    <xf numFmtId="0" fontId="78" fillId="0" borderId="0" xfId="2" applyFont="1" applyFill="1"/>
    <xf numFmtId="0" fontId="7" fillId="0" borderId="0" xfId="2" applyFont="1" applyFill="1"/>
    <xf numFmtId="0" fontId="7" fillId="0" borderId="0" xfId="2" applyAlignment="1"/>
    <xf numFmtId="172" fontId="7" fillId="0" borderId="0" xfId="1" quotePrefix="1" applyNumberFormat="1" applyFont="1" applyFill="1" applyBorder="1" applyAlignment="1"/>
    <xf numFmtId="172" fontId="7" fillId="0" borderId="0" xfId="1" applyNumberFormat="1" applyFont="1" applyFill="1" applyBorder="1" applyAlignment="1"/>
    <xf numFmtId="0" fontId="7" fillId="0" borderId="0" xfId="2" applyFont="1" applyFill="1" applyAlignment="1">
      <alignment horizontal="center"/>
    </xf>
    <xf numFmtId="174" fontId="7" fillId="0" borderId="0" xfId="2" quotePrefix="1" applyNumberFormat="1" applyFont="1"/>
    <xf numFmtId="0" fontId="74" fillId="0" borderId="0" xfId="2" applyFont="1" applyFill="1"/>
    <xf numFmtId="0" fontId="69" fillId="0" borderId="0" xfId="2" applyFont="1" applyFill="1"/>
    <xf numFmtId="0" fontId="7" fillId="0" borderId="0" xfId="2" applyFill="1" applyBorder="1"/>
    <xf numFmtId="44" fontId="7" fillId="0" borderId="0" xfId="2" applyNumberFormat="1" applyAlignment="1">
      <alignment horizontal="center"/>
    </xf>
    <xf numFmtId="44" fontId="7" fillId="0" borderId="0" xfId="2" quotePrefix="1" applyNumberFormat="1" applyFont="1" applyFill="1" applyBorder="1" applyAlignment="1">
      <alignment horizontal="center"/>
    </xf>
    <xf numFmtId="44" fontId="7" fillId="0" borderId="0" xfId="2" applyNumberFormat="1" applyFont="1" applyFill="1" applyBorder="1" applyAlignment="1">
      <alignment horizontal="center"/>
    </xf>
    <xf numFmtId="44" fontId="7" fillId="0" borderId="0" xfId="2" applyNumberFormat="1" applyBorder="1" applyAlignment="1">
      <alignment horizontal="center"/>
    </xf>
    <xf numFmtId="44" fontId="7" fillId="0" borderId="22" xfId="2" applyNumberFormat="1" applyFill="1" applyBorder="1"/>
    <xf numFmtId="44" fontId="7" fillId="0" borderId="0" xfId="2" applyNumberFormat="1" applyFill="1"/>
    <xf numFmtId="174" fontId="137" fillId="0" borderId="0" xfId="2" applyNumberFormat="1" applyFont="1" applyFill="1"/>
    <xf numFmtId="0" fontId="136" fillId="0" borderId="0" xfId="2" applyFont="1" applyFill="1"/>
    <xf numFmtId="0" fontId="7" fillId="0" borderId="0" xfId="2" quotePrefix="1" applyFill="1"/>
    <xf numFmtId="172" fontId="7" fillId="0" borderId="0" xfId="2" quotePrefix="1" applyNumberFormat="1" applyFill="1"/>
    <xf numFmtId="0" fontId="138" fillId="0" borderId="0" xfId="2" applyFont="1" applyFill="1"/>
    <xf numFmtId="174" fontId="7" fillId="0" borderId="0" xfId="2" applyNumberFormat="1" applyFill="1"/>
    <xf numFmtId="40" fontId="35" fillId="0" borderId="165" xfId="2" applyNumberFormat="1" applyFont="1" applyFill="1" applyBorder="1"/>
    <xf numFmtId="0" fontId="30" fillId="0" borderId="0" xfId="2" applyFont="1" applyFill="1"/>
    <xf numFmtId="0" fontId="141" fillId="0" borderId="0" xfId="2" applyFont="1" applyFill="1"/>
    <xf numFmtId="174" fontId="7" fillId="0" borderId="0" xfId="2" applyNumberFormat="1" applyFont="1" applyFill="1"/>
    <xf numFmtId="0" fontId="76" fillId="0" borderId="0" xfId="2" quotePrefix="1" applyFont="1" applyFill="1"/>
    <xf numFmtId="0" fontId="0" fillId="0" borderId="0" xfId="0" applyFill="1" applyAlignment="1">
      <alignment horizontal="left" vertical="center"/>
    </xf>
    <xf numFmtId="40" fontId="40" fillId="0" borderId="166" xfId="2" applyNumberFormat="1" applyFont="1" applyFill="1" applyBorder="1"/>
    <xf numFmtId="0" fontId="140" fillId="0" borderId="0" xfId="2" applyFont="1" applyFill="1" applyAlignment="1">
      <alignment horizontal="center"/>
    </xf>
    <xf numFmtId="0" fontId="38" fillId="0" borderId="0" xfId="2" applyFont="1" applyFill="1"/>
    <xf numFmtId="0" fontId="125" fillId="42" borderId="0" xfId="0" applyFont="1" applyFill="1"/>
    <xf numFmtId="164" fontId="12" fillId="6" borderId="15" xfId="4" applyNumberFormat="1" applyFont="1" applyFill="1" applyBorder="1" applyAlignment="1">
      <alignment horizontal="center" vertical="center"/>
    </xf>
    <xf numFmtId="0" fontId="125" fillId="42" borderId="0" xfId="0" applyFont="1" applyFill="1" applyAlignment="1">
      <alignment horizontal="center"/>
    </xf>
    <xf numFmtId="40" fontId="35" fillId="0" borderId="165" xfId="2" applyNumberFormat="1" applyFont="1" applyBorder="1" applyProtection="1"/>
    <xf numFmtId="0" fontId="107" fillId="42" borderId="0" xfId="0" applyFont="1" applyFill="1"/>
    <xf numFmtId="167" fontId="30" fillId="46" borderId="0" xfId="2" applyNumberFormat="1" applyFont="1" applyFill="1" applyAlignment="1">
      <alignment horizontal="center"/>
    </xf>
    <xf numFmtId="0" fontId="0" fillId="0" borderId="74" xfId="0" applyFill="1" applyBorder="1"/>
    <xf numFmtId="0" fontId="0" fillId="0" borderId="15" xfId="0" applyFill="1" applyBorder="1"/>
    <xf numFmtId="0" fontId="9" fillId="0" borderId="7" xfId="0" applyFont="1" applyFill="1" applyBorder="1" applyAlignment="1">
      <alignment vertical="center"/>
    </xf>
    <xf numFmtId="0" fontId="7" fillId="0" borderId="0" xfId="2" applyAlignment="1">
      <alignment horizontal="left" vertical="top" wrapText="1"/>
    </xf>
    <xf numFmtId="0" fontId="82" fillId="0" borderId="0" xfId="2" applyFont="1" applyAlignment="1">
      <alignment horizontal="right"/>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172" fontId="12" fillId="6" borderId="57" xfId="1" applyNumberFormat="1" applyFont="1" applyFill="1" applyBorder="1" applyAlignment="1">
      <alignment horizontal="center" vertical="center"/>
    </xf>
    <xf numFmtId="0" fontId="96" fillId="0" borderId="0" xfId="0" applyFont="1" applyFill="1"/>
    <xf numFmtId="40" fontId="39" fillId="11" borderId="165" xfId="2" applyNumberFormat="1" applyFont="1" applyFill="1" applyBorder="1" applyProtection="1">
      <protection locked="0"/>
    </xf>
    <xf numFmtId="0" fontId="72" fillId="0" borderId="16" xfId="2" applyFont="1" applyBorder="1" applyAlignment="1">
      <alignment vertical="center" wrapText="1"/>
    </xf>
    <xf numFmtId="40" fontId="7" fillId="0" borderId="0" xfId="2" applyNumberFormat="1" applyBorder="1"/>
    <xf numFmtId="40" fontId="35" fillId="11" borderId="165" xfId="2" applyNumberFormat="1" applyFont="1" applyFill="1" applyBorder="1" applyProtection="1">
      <protection locked="0"/>
    </xf>
    <xf numFmtId="40" fontId="40" fillId="11" borderId="165" xfId="2" applyNumberFormat="1" applyFont="1" applyFill="1" applyBorder="1" applyProtection="1"/>
    <xf numFmtId="0" fontId="36" fillId="0" borderId="0" xfId="2" applyFont="1" applyFill="1" applyAlignment="1">
      <alignment horizontal="left"/>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2" fillId="0" borderId="0" xfId="0" applyFont="1" applyFill="1" applyBorder="1" applyAlignment="1" applyProtection="1">
      <alignment horizontal="center" vertical="center" wrapText="1"/>
      <protection locked="0"/>
    </xf>
    <xf numFmtId="167" fontId="10" fillId="0" borderId="0" xfId="0" applyNumberFormat="1" applyFont="1" applyAlignment="1">
      <alignment vertical="top"/>
    </xf>
    <xf numFmtId="0" fontId="12" fillId="45" borderId="23" xfId="0" applyFont="1" applyFill="1" applyBorder="1" applyAlignment="1">
      <alignment horizontal="center" vertical="center"/>
    </xf>
    <xf numFmtId="0" fontId="58" fillId="0" borderId="15" xfId="0" applyFont="1" applyFill="1" applyBorder="1" applyAlignment="1">
      <alignment vertical="center"/>
    </xf>
    <xf numFmtId="0" fontId="58" fillId="0" borderId="16" xfId="0" applyFont="1" applyFill="1" applyBorder="1" applyAlignment="1">
      <alignment vertical="center"/>
    </xf>
    <xf numFmtId="0" fontId="58" fillId="0" borderId="53" xfId="0" applyFont="1" applyFill="1" applyBorder="1" applyAlignment="1">
      <alignment vertical="center"/>
    </xf>
    <xf numFmtId="0" fontId="58"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200" fontId="12"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0" fontId="2" fillId="0" borderId="0" xfId="0" applyFont="1" applyAlignment="1">
      <alignment horizontal="left" vertical="center"/>
    </xf>
    <xf numFmtId="233" fontId="12" fillId="6" borderId="56" xfId="0" applyNumberFormat="1" applyFont="1" applyFill="1" applyBorder="1" applyAlignment="1">
      <alignment horizontal="center" vertical="center" wrapText="1"/>
    </xf>
    <xf numFmtId="0" fontId="4" fillId="0" borderId="0" xfId="0" applyFont="1" applyFill="1" applyBorder="1" applyAlignment="1">
      <alignment vertical="center"/>
    </xf>
    <xf numFmtId="0" fontId="8" fillId="13" borderId="0" xfId="6" applyFont="1" applyFill="1" applyAlignment="1">
      <alignment horizontal="left" vertical="center" wrapText="1"/>
    </xf>
    <xf numFmtId="0" fontId="8" fillId="13" borderId="0" xfId="6" applyFont="1" applyFill="1" applyAlignment="1">
      <alignment horizontal="center" vertical="center" wrapText="1"/>
    </xf>
    <xf numFmtId="0" fontId="12" fillId="2" borderId="165" xfId="0" applyFont="1" applyFill="1" applyBorder="1" applyAlignment="1" applyProtection="1">
      <alignment horizontal="left" vertical="center"/>
      <protection locked="0"/>
    </xf>
    <xf numFmtId="0" fontId="0" fillId="0" borderId="0" xfId="0" applyAlignment="1">
      <alignment vertical="center"/>
    </xf>
    <xf numFmtId="0" fontId="75" fillId="0" borderId="0" xfId="2" applyFont="1" applyAlignment="1">
      <alignment horizontal="right"/>
    </xf>
    <xf numFmtId="0" fontId="75" fillId="0" borderId="0" xfId="2" applyFont="1" applyAlignment="1">
      <alignment horizontal="center"/>
    </xf>
    <xf numFmtId="0" fontId="66" fillId="0" borderId="0" xfId="2" applyFont="1" applyAlignment="1">
      <alignment horizontal="right"/>
    </xf>
    <xf numFmtId="0" fontId="7" fillId="0" borderId="33" xfId="2" applyBorder="1"/>
    <xf numFmtId="0" fontId="76" fillId="0" borderId="33" xfId="2" quotePrefix="1" applyFont="1" applyBorder="1"/>
    <xf numFmtId="44" fontId="7" fillId="0" borderId="33" xfId="2" applyNumberFormat="1" applyBorder="1" applyAlignment="1">
      <alignment horizontal="center"/>
    </xf>
    <xf numFmtId="9" fontId="12"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2" fillId="0" borderId="0" xfId="0" applyNumberFormat="1" applyFont="1" applyAlignment="1">
      <alignment horizontal="center" vertical="center"/>
    </xf>
    <xf numFmtId="38" fontId="4" fillId="0" borderId="0" xfId="0" applyNumberFormat="1" applyFont="1" applyAlignment="1">
      <alignment horizontal="center" vertical="center"/>
    </xf>
    <xf numFmtId="0" fontId="124" fillId="0" borderId="0" xfId="0" applyFont="1" applyAlignment="1">
      <alignment horizontal="left" vertical="top" wrapText="1"/>
    </xf>
    <xf numFmtId="0" fontId="0" fillId="0" borderId="0" xfId="0" applyAlignment="1">
      <alignment vertical="center"/>
    </xf>
    <xf numFmtId="38" fontId="4" fillId="0" borderId="7" xfId="0" applyNumberFormat="1" applyFont="1" applyBorder="1" applyAlignment="1" applyProtection="1">
      <alignment horizontal="center" vertical="center"/>
    </xf>
    <xf numFmtId="164" fontId="4"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8" fillId="29" borderId="0" xfId="0" applyFont="1" applyFill="1" applyAlignment="1">
      <alignment horizontal="left" vertical="center"/>
    </xf>
    <xf numFmtId="0" fontId="8" fillId="28" borderId="11" xfId="7" applyFont="1" applyFill="1" applyBorder="1" applyAlignment="1">
      <alignment horizontal="left" vertical="center" wrapText="1"/>
    </xf>
    <xf numFmtId="0" fontId="0" fillId="29" borderId="0" xfId="0" applyFill="1" applyAlignment="1">
      <alignment horizontal="left" vertical="center"/>
    </xf>
    <xf numFmtId="0" fontId="0" fillId="2" borderId="16" xfId="0" applyFill="1" applyBorder="1" applyAlignment="1">
      <alignment vertical="center"/>
    </xf>
    <xf numFmtId="0" fontId="0" fillId="0" borderId="0" xfId="6" applyFont="1" applyAlignment="1">
      <alignment horizontal="center" vertical="center" wrapText="1"/>
    </xf>
    <xf numFmtId="0" fontId="1"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6" fontId="0" fillId="0" borderId="165" xfId="0" quotePrefix="1" applyNumberFormat="1" applyBorder="1"/>
    <xf numFmtId="0" fontId="0" fillId="0" borderId="11" xfId="0" applyBorder="1" applyAlignment="1">
      <alignment horizontal="center" vertical="center"/>
    </xf>
    <xf numFmtId="0" fontId="4" fillId="7" borderId="10" xfId="0" applyFont="1" applyFill="1" applyBorder="1" applyAlignment="1">
      <alignment vertical="center"/>
    </xf>
    <xf numFmtId="0" fontId="4" fillId="7" borderId="13" xfId="0" applyFont="1" applyFill="1" applyBorder="1" applyAlignment="1">
      <alignment vertical="center"/>
    </xf>
    <xf numFmtId="0" fontId="4" fillId="7" borderId="11" xfId="0" applyFont="1" applyFill="1" applyBorder="1" applyAlignment="1">
      <alignment vertical="center"/>
    </xf>
    <xf numFmtId="0" fontId="12" fillId="6" borderId="11" xfId="0" applyFont="1" applyFill="1" applyBorder="1" applyAlignment="1" applyProtection="1">
      <alignment horizontal="center" vertical="center"/>
    </xf>
    <xf numFmtId="0" fontId="0" fillId="0" borderId="0" xfId="0" applyFill="1" applyAlignment="1">
      <alignment horizontal="right" vertical="center"/>
    </xf>
    <xf numFmtId="0" fontId="58" fillId="0" borderId="0" xfId="0" applyFont="1" applyFill="1" applyAlignment="1">
      <alignment vertical="center"/>
    </xf>
    <xf numFmtId="0" fontId="0" fillId="0" borderId="75" xfId="0" applyFill="1" applyBorder="1" applyAlignment="1">
      <alignment vertical="center"/>
    </xf>
    <xf numFmtId="9" fontId="12" fillId="6" borderId="75" xfId="4" applyFont="1" applyFill="1" applyBorder="1" applyAlignment="1">
      <alignment horizontal="center" vertical="center"/>
    </xf>
    <xf numFmtId="9" fontId="12" fillId="6" borderId="53" xfId="4" applyFont="1" applyFill="1" applyBorder="1" applyAlignment="1">
      <alignment horizontal="center" vertical="center"/>
    </xf>
    <xf numFmtId="38" fontId="12" fillId="6" borderId="82" xfId="4" applyNumberFormat="1" applyFont="1" applyFill="1" applyBorder="1" applyAlignment="1">
      <alignment horizontal="center" vertical="center"/>
    </xf>
    <xf numFmtId="38" fontId="12" fillId="6" borderId="75" xfId="4" applyNumberFormat="1" applyFont="1" applyFill="1" applyBorder="1" applyAlignment="1">
      <alignment horizontal="center" vertical="center"/>
    </xf>
    <xf numFmtId="38" fontId="12" fillId="6" borderId="74" xfId="4" applyNumberFormat="1" applyFont="1" applyFill="1" applyBorder="1" applyAlignment="1">
      <alignment horizontal="center" vertical="center"/>
    </xf>
    <xf numFmtId="9" fontId="12" fillId="6" borderId="0" xfId="4" applyFont="1" applyFill="1" applyBorder="1" applyAlignment="1">
      <alignment horizontal="center" vertical="center"/>
    </xf>
    <xf numFmtId="0" fontId="58" fillId="0" borderId="15" xfId="0" applyFont="1" applyFill="1" applyBorder="1"/>
    <xf numFmtId="0" fontId="87" fillId="0" borderId="0" xfId="0" applyFont="1" applyFill="1" applyAlignment="1">
      <alignment horizontal="right"/>
    </xf>
    <xf numFmtId="0" fontId="0" fillId="0" borderId="17" xfId="0" applyFill="1" applyBorder="1" applyAlignment="1">
      <alignment vertical="center"/>
    </xf>
    <xf numFmtId="0" fontId="12" fillId="0" borderId="56" xfId="0" applyFont="1" applyFill="1" applyBorder="1" applyAlignment="1">
      <alignment horizontal="center" vertical="center"/>
    </xf>
    <xf numFmtId="0" fontId="2" fillId="0" borderId="195" xfId="0" applyFont="1" applyBorder="1" applyAlignment="1">
      <alignment horizontal="center" vertical="center"/>
    </xf>
    <xf numFmtId="234" fontId="12" fillId="6" borderId="56" xfId="0" applyNumberFormat="1" applyFont="1" applyFill="1" applyBorder="1" applyAlignment="1">
      <alignment horizontal="center" vertical="center" wrapText="1"/>
    </xf>
    <xf numFmtId="0" fontId="0" fillId="0" borderId="195" xfId="0" quotePrefix="1" applyBorder="1" applyAlignment="1">
      <alignment horizontal="center" vertical="center"/>
    </xf>
    <xf numFmtId="0" fontId="0" fillId="0" borderId="2" xfId="0" quotePrefix="1" applyBorder="1" applyAlignment="1">
      <alignment horizontal="center" vertical="center"/>
    </xf>
    <xf numFmtId="0" fontId="3" fillId="0" borderId="0" xfId="0" applyFont="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center"/>
    </xf>
    <xf numFmtId="0" fontId="144"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1" fillId="0" borderId="16" xfId="0" applyFont="1" applyBorder="1" applyAlignment="1">
      <alignment horizontal="center" vertical="center"/>
    </xf>
    <xf numFmtId="40" fontId="12" fillId="6" borderId="165" xfId="0" applyNumberFormat="1" applyFont="1" applyFill="1" applyBorder="1" applyAlignment="1">
      <alignment horizontal="center" vertical="center"/>
    </xf>
    <xf numFmtId="0" fontId="2" fillId="0" borderId="0" xfId="0" applyFont="1" applyFill="1" applyAlignment="1">
      <alignment horizontal="center"/>
    </xf>
    <xf numFmtId="38" fontId="12" fillId="16" borderId="7" xfId="0" applyNumberFormat="1" applyFont="1" applyFill="1" applyBorder="1" applyAlignment="1" applyProtection="1">
      <alignment horizontal="center" vertical="center"/>
    </xf>
    <xf numFmtId="0" fontId="12" fillId="16" borderId="7" xfId="0" applyFont="1" applyFill="1" applyBorder="1" applyAlignment="1" applyProtection="1">
      <alignment horizontal="center" vertical="center"/>
    </xf>
    <xf numFmtId="38" fontId="15" fillId="47" borderId="56" xfId="0" applyNumberFormat="1" applyFont="1" applyFill="1" applyBorder="1" applyAlignment="1">
      <alignment horizontal="center" vertical="center"/>
    </xf>
    <xf numFmtId="0" fontId="0" fillId="0" borderId="0" xfId="0" applyAlignment="1">
      <alignment vertical="center"/>
    </xf>
    <xf numFmtId="0" fontId="4" fillId="0" borderId="202" xfId="0" applyFont="1" applyBorder="1" applyAlignment="1">
      <alignment vertical="center"/>
    </xf>
    <xf numFmtId="0" fontId="4" fillId="16" borderId="202" xfId="0" applyFont="1" applyFill="1" applyBorder="1" applyAlignment="1">
      <alignment vertical="center"/>
    </xf>
    <xf numFmtId="6" fontId="0" fillId="0" borderId="0" xfId="0" quotePrefix="1" applyNumberFormat="1"/>
    <xf numFmtId="0" fontId="4" fillId="0" borderId="0" xfId="0" applyFont="1" applyFill="1" applyAlignment="1">
      <alignment horizontal="left" vertical="top"/>
    </xf>
    <xf numFmtId="0" fontId="0" fillId="0" borderId="0" xfId="0" applyFill="1" applyAlignment="1">
      <alignment horizontal="left" vertical="top"/>
    </xf>
    <xf numFmtId="0" fontId="15" fillId="11" borderId="0" xfId="0" applyFont="1" applyFill="1" applyAlignment="1">
      <alignment horizontal="center" vertical="center" wrapText="1"/>
    </xf>
    <xf numFmtId="9" fontId="4" fillId="0" borderId="16" xfId="4" applyFont="1" applyFill="1" applyBorder="1" applyAlignment="1">
      <alignment horizontal="center" vertical="center"/>
    </xf>
    <xf numFmtId="38" fontId="12" fillId="6" borderId="56" xfId="0" applyNumberFormat="1" applyFont="1" applyFill="1" applyBorder="1" applyAlignment="1">
      <alignment horizontal="center" vertical="center"/>
    </xf>
    <xf numFmtId="177" fontId="0" fillId="0" borderId="0" xfId="0" applyNumberFormat="1"/>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45" fillId="27" borderId="56" xfId="0" applyNumberFormat="1" applyFont="1" applyFill="1" applyBorder="1" applyAlignment="1">
      <alignment horizontal="center" vertical="center" wrapText="1"/>
    </xf>
    <xf numFmtId="40" fontId="38" fillId="0" borderId="0" xfId="2" applyNumberFormat="1" applyFont="1" applyBorder="1"/>
    <xf numFmtId="40" fontId="28" fillId="0" borderId="0" xfId="2" applyNumberFormat="1" applyFont="1" applyBorder="1"/>
    <xf numFmtId="0" fontId="0" fillId="0" borderId="16" xfId="0" applyFont="1" applyFill="1" applyBorder="1" applyAlignment="1">
      <alignment horizontal="center" vertical="center"/>
    </xf>
    <xf numFmtId="0" fontId="146"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0" fontId="136"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4" fillId="0" borderId="0" xfId="0" applyFont="1" applyFill="1" applyAlignment="1">
      <alignment horizontal="left" vertical="center"/>
    </xf>
    <xf numFmtId="0" fontId="12"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2" fillId="6" borderId="0" xfId="0" applyNumberFormat="1" applyFont="1" applyFill="1" applyBorder="1" applyAlignment="1">
      <alignment horizontal="center" vertical="center"/>
    </xf>
    <xf numFmtId="0" fontId="0" fillId="0" borderId="0" xfId="0" applyFill="1" applyAlignment="1">
      <alignment vertical="top"/>
    </xf>
    <xf numFmtId="38" fontId="12" fillId="0" borderId="0" xfId="0" applyNumberFormat="1" applyFont="1" applyFill="1" applyBorder="1" applyAlignment="1">
      <alignment horizontal="center" vertical="center"/>
    </xf>
    <xf numFmtId="0" fontId="4" fillId="0" borderId="205"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40" fontId="40" fillId="0" borderId="165" xfId="2" applyNumberFormat="1" applyFont="1" applyFill="1" applyBorder="1"/>
    <xf numFmtId="0" fontId="4" fillId="0" borderId="0" xfId="0" applyFont="1" applyFill="1" applyAlignment="1">
      <alignment vertical="center"/>
    </xf>
    <xf numFmtId="0" fontId="124"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2" fillId="0" borderId="208" xfId="0" applyFont="1" applyBorder="1" applyAlignment="1">
      <alignment vertical="center"/>
    </xf>
    <xf numFmtId="0" fontId="0" fillId="0" borderId="208" xfId="0" applyBorder="1"/>
    <xf numFmtId="0" fontId="0" fillId="2" borderId="15" xfId="0" applyFill="1" applyBorder="1" applyAlignment="1">
      <alignment vertical="center"/>
    </xf>
    <xf numFmtId="0" fontId="0" fillId="26" borderId="15" xfId="0" applyFill="1" applyBorder="1" applyAlignment="1">
      <alignment vertical="center"/>
    </xf>
    <xf numFmtId="0" fontId="2" fillId="0" borderId="15" xfId="0" applyFont="1" applyBorder="1" applyAlignment="1">
      <alignment vertical="center"/>
    </xf>
    <xf numFmtId="200" fontId="12" fillId="6" borderId="209" xfId="4" applyNumberFormat="1" applyFont="1" applyFill="1" applyBorder="1" applyAlignment="1">
      <alignment horizontal="center" vertical="center"/>
    </xf>
    <xf numFmtId="200" fontId="4" fillId="0" borderId="209" xfId="4" applyNumberFormat="1" applyFont="1" applyFill="1" applyBorder="1" applyAlignment="1">
      <alignment vertical="center"/>
    </xf>
    <xf numFmtId="0" fontId="0" fillId="0" borderId="208" xfId="0" applyBorder="1" applyAlignment="1">
      <alignment vertical="center"/>
    </xf>
    <xf numFmtId="0" fontId="0" fillId="2" borderId="208" xfId="0" applyFill="1" applyBorder="1" applyAlignment="1">
      <alignment vertical="center"/>
    </xf>
    <xf numFmtId="0" fontId="0" fillId="2" borderId="208" xfId="0" applyFill="1" applyBorder="1"/>
    <xf numFmtId="0" fontId="0" fillId="26" borderId="208" xfId="0" applyFill="1" applyBorder="1" applyAlignment="1">
      <alignment vertical="center"/>
    </xf>
    <xf numFmtId="0" fontId="0" fillId="26" borderId="208" xfId="0" applyFill="1" applyBorder="1"/>
    <xf numFmtId="0" fontId="0" fillId="0" borderId="209" xfId="0" applyFont="1" applyBorder="1"/>
    <xf numFmtId="0" fontId="0" fillId="0" borderId="209" xfId="0" applyBorder="1"/>
    <xf numFmtId="0" fontId="0" fillId="0" borderId="210" xfId="0" applyBorder="1"/>
    <xf numFmtId="0" fontId="2" fillId="16" borderId="15" xfId="0" applyFont="1" applyFill="1" applyBorder="1" applyAlignment="1">
      <alignment vertical="center"/>
    </xf>
    <xf numFmtId="200" fontId="12"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8" xfId="0" applyFont="1" applyBorder="1" applyAlignment="1">
      <alignment vertical="center"/>
    </xf>
    <xf numFmtId="0" fontId="0" fillId="0" borderId="208" xfId="0" applyFont="1" applyFill="1" applyBorder="1" applyAlignment="1">
      <alignment horizontal="left" vertical="center"/>
    </xf>
    <xf numFmtId="0" fontId="2" fillId="0" borderId="211" xfId="0" applyFont="1" applyFill="1" applyBorder="1" applyAlignment="1">
      <alignment vertical="center"/>
    </xf>
    <xf numFmtId="0" fontId="2" fillId="0" borderId="209" xfId="0" applyFont="1" applyBorder="1" applyAlignment="1">
      <alignment vertical="center"/>
    </xf>
    <xf numFmtId="0" fontId="0" fillId="0" borderId="209" xfId="0" applyFont="1" applyBorder="1" applyAlignment="1">
      <alignment vertical="center"/>
    </xf>
    <xf numFmtId="49" fontId="0" fillId="0" borderId="209" xfId="0" quotePrefix="1" applyNumberFormat="1" applyFont="1" applyBorder="1" applyAlignment="1">
      <alignment vertical="center"/>
    </xf>
    <xf numFmtId="38" fontId="12" fillId="2" borderId="10" xfId="0" applyNumberFormat="1" applyFont="1" applyFill="1" applyBorder="1" applyAlignment="1" applyProtection="1">
      <alignment horizontal="center" vertical="center"/>
      <protection locked="0"/>
    </xf>
    <xf numFmtId="38" fontId="2" fillId="0" borderId="55" xfId="0" applyNumberFormat="1" applyFont="1" applyBorder="1" applyAlignment="1">
      <alignment horizontal="center" vertical="center"/>
    </xf>
    <xf numFmtId="200" fontId="4" fillId="2" borderId="209" xfId="4" applyNumberFormat="1" applyFont="1" applyFill="1" applyBorder="1" applyAlignment="1">
      <alignment vertical="center"/>
    </xf>
    <xf numFmtId="40" fontId="40" fillId="0" borderId="165"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4" fillId="0" borderId="0" xfId="0" applyFont="1" applyFill="1" applyBorder="1" applyAlignment="1">
      <alignment horizontal="left" vertical="top"/>
    </xf>
    <xf numFmtId="0" fontId="0" fillId="0" borderId="0" xfId="0" applyFill="1" applyBorder="1" applyAlignment="1">
      <alignment vertical="center"/>
    </xf>
    <xf numFmtId="38" fontId="145" fillId="47" borderId="56" xfId="0" applyNumberFormat="1" applyFont="1" applyFill="1" applyBorder="1" applyAlignment="1">
      <alignment horizontal="center" vertical="center"/>
    </xf>
    <xf numFmtId="38" fontId="4" fillId="0" borderId="0" xfId="0" applyNumberFormat="1" applyFont="1" applyBorder="1" applyAlignment="1">
      <alignment horizontal="center" vertical="center"/>
    </xf>
    <xf numFmtId="0" fontId="0" fillId="0" borderId="0" xfId="0" applyBorder="1" applyAlignment="1">
      <alignment horizontal="left" vertical="center"/>
    </xf>
    <xf numFmtId="226" fontId="12" fillId="0" borderId="0" xfId="0" applyNumberFormat="1" applyFont="1" applyFill="1" applyBorder="1" applyAlignment="1">
      <alignment vertical="center" wrapText="1"/>
    </xf>
    <xf numFmtId="0" fontId="4"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4" fillId="0" borderId="0" xfId="0" applyNumberFormat="1" applyFont="1" applyAlignment="1">
      <alignment horizontal="center" vertical="center"/>
    </xf>
    <xf numFmtId="0" fontId="0" fillId="0" borderId="211" xfId="0" applyFill="1" applyBorder="1" applyAlignment="1">
      <alignment vertical="center"/>
    </xf>
    <xf numFmtId="0" fontId="4" fillId="0" borderId="33" xfId="0" applyFont="1" applyBorder="1" applyAlignment="1">
      <alignment vertical="center"/>
    </xf>
    <xf numFmtId="0" fontId="15" fillId="0" borderId="52" xfId="0" applyFont="1" applyFill="1" applyBorder="1" applyAlignment="1">
      <alignment horizontal="center" vertical="center"/>
    </xf>
    <xf numFmtId="38" fontId="145" fillId="47" borderId="115" xfId="0" applyNumberFormat="1" applyFont="1" applyFill="1" applyBorder="1" applyAlignment="1">
      <alignment horizontal="center" vertical="center"/>
    </xf>
    <xf numFmtId="0" fontId="0" fillId="49" borderId="206" xfId="0" applyFill="1" applyBorder="1" applyAlignment="1">
      <alignment vertical="top" wrapText="1"/>
    </xf>
    <xf numFmtId="0" fontId="0" fillId="49" borderId="206" xfId="0" applyFill="1" applyBorder="1"/>
    <xf numFmtId="0" fontId="0" fillId="49" borderId="207" xfId="0" applyFill="1" applyBorder="1"/>
    <xf numFmtId="0" fontId="4" fillId="49" borderId="2" xfId="0" applyFont="1" applyFill="1" applyBorder="1" applyAlignment="1">
      <alignment horizontal="left" vertical="top"/>
    </xf>
    <xf numFmtId="38" fontId="4" fillId="49" borderId="2" xfId="0" applyNumberFormat="1" applyFont="1" applyFill="1" applyBorder="1" applyAlignment="1">
      <alignment horizontal="center" vertical="center"/>
    </xf>
    <xf numFmtId="0" fontId="0" fillId="49" borderId="2" xfId="0" applyFill="1" applyBorder="1" applyAlignment="1">
      <alignment horizontal="left" vertical="center"/>
    </xf>
    <xf numFmtId="0" fontId="0" fillId="49" borderId="206" xfId="0" applyFill="1" applyBorder="1" applyAlignment="1">
      <alignment horizontal="center"/>
    </xf>
    <xf numFmtId="0" fontId="0" fillId="49" borderId="212" xfId="0" applyFill="1" applyBorder="1" applyAlignment="1">
      <alignment horizontal="center"/>
    </xf>
    <xf numFmtId="0" fontId="2" fillId="16" borderId="211" xfId="0" applyFont="1" applyFill="1" applyBorder="1" applyAlignment="1">
      <alignment vertical="center"/>
    </xf>
    <xf numFmtId="0" fontId="4" fillId="0" borderId="211" xfId="0" applyFont="1" applyFill="1" applyBorder="1" applyAlignment="1">
      <alignment vertical="center"/>
    </xf>
    <xf numFmtId="0" fontId="4" fillId="0" borderId="0" xfId="0" applyFont="1" applyAlignment="1">
      <alignment horizontal="center" vertical="center"/>
    </xf>
    <xf numFmtId="0" fontId="0" fillId="0" borderId="0" xfId="0" applyAlignment="1">
      <alignment horizontal="left" vertical="center"/>
    </xf>
    <xf numFmtId="0" fontId="12" fillId="2" borderId="19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9" fontId="0" fillId="0" borderId="214" xfId="4" applyFont="1" applyFill="1" applyBorder="1" applyAlignment="1" applyProtection="1">
      <alignment horizontal="center" vertical="center" wrapText="1"/>
    </xf>
    <xf numFmtId="9" fontId="0" fillId="0" borderId="215" xfId="4" applyFont="1" applyFill="1" applyBorder="1" applyAlignment="1" applyProtection="1">
      <alignment horizontal="center" vertical="center" wrapText="1"/>
    </xf>
    <xf numFmtId="1" fontId="4" fillId="0" borderId="37" xfId="0" applyNumberFormat="1" applyFont="1" applyFill="1" applyBorder="1" applyAlignment="1">
      <alignment horizontal="center" vertical="center"/>
    </xf>
    <xf numFmtId="9" fontId="0" fillId="0" borderId="218" xfId="4" applyFont="1" applyBorder="1" applyAlignment="1" applyProtection="1">
      <alignment horizontal="center" vertical="center"/>
    </xf>
    <xf numFmtId="9" fontId="0" fillId="0" borderId="213" xfId="4" applyFont="1" applyFill="1" applyBorder="1" applyAlignment="1" applyProtection="1">
      <alignment horizontal="center" vertical="center" wrapText="1"/>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6" fontId="12"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6" fillId="0" borderId="0" xfId="0" applyFont="1" applyBorder="1" applyAlignment="1">
      <alignment horizontal="center" vertical="center"/>
    </xf>
    <xf numFmtId="38" fontId="0" fillId="0" borderId="0" xfId="0" applyNumberFormat="1" applyBorder="1" applyAlignment="1">
      <alignment horizontal="center" vertical="center"/>
    </xf>
    <xf numFmtId="0" fontId="12" fillId="2" borderId="206" xfId="0" applyFont="1" applyFill="1" applyBorder="1" applyAlignment="1" applyProtection="1">
      <alignment horizontal="left" vertical="center"/>
      <protection locked="0"/>
    </xf>
    <xf numFmtId="6" fontId="0" fillId="0" borderId="206" xfId="0" applyNumberFormat="1" applyBorder="1" applyAlignment="1">
      <alignment vertical="center"/>
    </xf>
    <xf numFmtId="38" fontId="145" fillId="11" borderId="56" xfId="0" applyNumberFormat="1" applyFont="1" applyFill="1" applyBorder="1" applyAlignment="1">
      <alignment horizontal="center" vertical="center"/>
    </xf>
    <xf numFmtId="237" fontId="12" fillId="6" borderId="56" xfId="0" applyNumberFormat="1" applyFont="1" applyFill="1" applyBorder="1" applyAlignment="1">
      <alignment horizontal="center" vertical="center" wrapText="1"/>
    </xf>
    <xf numFmtId="0" fontId="15" fillId="0" borderId="44" xfId="0" applyFont="1" applyFill="1" applyBorder="1" applyAlignment="1" applyProtection="1">
      <alignment horizontal="center" vertical="center"/>
    </xf>
    <xf numFmtId="38" fontId="12" fillId="2" borderId="0" xfId="0" applyNumberFormat="1" applyFont="1" applyFill="1" applyAlignment="1" applyProtection="1">
      <alignment horizontal="center" vertical="center"/>
      <protection locked="0"/>
    </xf>
    <xf numFmtId="0" fontId="12" fillId="0" borderId="0" xfId="0" applyFont="1" applyFill="1" applyBorder="1" applyAlignment="1" applyProtection="1">
      <alignment horizontal="center"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100" fillId="10" borderId="0" xfId="0" applyFont="1" applyFill="1"/>
    <xf numFmtId="0" fontId="0" fillId="0" borderId="0" xfId="0" applyAlignment="1">
      <alignment horizontal="left" vertical="center"/>
    </xf>
    <xf numFmtId="38" fontId="4" fillId="0" borderId="0" xfId="0" applyNumberFormat="1" applyFont="1" applyAlignment="1">
      <alignment horizontal="center" vertical="center"/>
    </xf>
    <xf numFmtId="38" fontId="15" fillId="11" borderId="0" xfId="0" applyNumberFormat="1" applyFont="1" applyFill="1" applyAlignment="1">
      <alignment horizontal="center" vertical="center"/>
    </xf>
    <xf numFmtId="6" fontId="0" fillId="0" borderId="206" xfId="0" applyNumberFormat="1" applyFill="1" applyBorder="1" applyAlignment="1">
      <alignment vertical="center"/>
    </xf>
    <xf numFmtId="6" fontId="4" fillId="0" borderId="206" xfId="1" applyNumberFormat="1" applyFont="1" applyFill="1" applyBorder="1" applyAlignment="1">
      <alignment horizontal="right" vertical="center"/>
    </xf>
    <xf numFmtId="6" fontId="0" fillId="0" borderId="206" xfId="0" applyNumberFormat="1" applyFill="1" applyBorder="1"/>
    <xf numFmtId="167" fontId="2" fillId="0" borderId="0" xfId="0" quotePrefix="1" applyNumberFormat="1" applyFont="1" applyAlignment="1">
      <alignment horizontal="left" vertical="top"/>
    </xf>
    <xf numFmtId="238" fontId="12" fillId="6" borderId="56" xfId="0" applyNumberFormat="1" applyFont="1" applyFill="1" applyBorder="1" applyAlignment="1">
      <alignment horizontal="center" vertical="center" wrapText="1"/>
    </xf>
    <xf numFmtId="0" fontId="4" fillId="0" borderId="16" xfId="0" applyFont="1" applyFill="1" applyBorder="1" applyAlignment="1">
      <alignment vertical="center"/>
    </xf>
    <xf numFmtId="0" fontId="0" fillId="0" borderId="174" xfId="0" applyBorder="1"/>
    <xf numFmtId="0" fontId="0" fillId="0" borderId="174" xfId="0" applyFill="1" applyBorder="1" applyAlignment="1">
      <alignment vertical="center"/>
    </xf>
    <xf numFmtId="0" fontId="2" fillId="0" borderId="174" xfId="0" applyFont="1" applyBorder="1" applyAlignment="1">
      <alignment horizontal="center"/>
    </xf>
    <xf numFmtId="0" fontId="5" fillId="0" borderId="174" xfId="0" applyFont="1" applyBorder="1" applyAlignment="1">
      <alignment horizontal="center"/>
    </xf>
    <xf numFmtId="0" fontId="0" fillId="7" borderId="219" xfId="0" applyFill="1" applyBorder="1" applyAlignment="1">
      <alignment horizontal="center" vertical="center"/>
    </xf>
    <xf numFmtId="0" fontId="0" fillId="7" borderId="174" xfId="0" applyFill="1" applyBorder="1" applyAlignment="1">
      <alignment horizontal="center" vertical="center"/>
    </xf>
    <xf numFmtId="0" fontId="0" fillId="7" borderId="220" xfId="0" applyFill="1" applyBorder="1" applyAlignment="1">
      <alignment horizontal="center" vertical="center"/>
    </xf>
    <xf numFmtId="0" fontId="5" fillId="0" borderId="174" xfId="0" applyFont="1" applyFill="1" applyBorder="1" applyAlignment="1">
      <alignment horizontal="center" vertical="center"/>
    </xf>
    <xf numFmtId="0" fontId="133" fillId="7" borderId="174" xfId="0" applyFont="1" applyFill="1" applyBorder="1" applyAlignment="1">
      <alignment horizontal="center" vertical="center"/>
    </xf>
    <xf numFmtId="9" fontId="4" fillId="35" borderId="174" xfId="4" applyFont="1" applyFill="1" applyBorder="1" applyAlignment="1" applyProtection="1">
      <alignment horizontal="center" vertical="center"/>
    </xf>
    <xf numFmtId="9" fontId="4" fillId="35" borderId="220" xfId="4" applyFont="1" applyFill="1" applyBorder="1" applyAlignment="1" applyProtection="1">
      <alignment horizontal="center" vertical="center"/>
    </xf>
    <xf numFmtId="8" fontId="61" fillId="0" borderId="15" xfId="0" applyNumberFormat="1" applyFont="1" applyBorder="1" applyAlignment="1">
      <alignment horizontal="left" vertical="center"/>
    </xf>
    <xf numFmtId="0" fontId="6" fillId="0" borderId="15" xfId="0" applyFont="1" applyBorder="1" applyAlignment="1">
      <alignment horizontal="left" vertical="center"/>
    </xf>
    <xf numFmtId="0" fontId="3" fillId="0" borderId="0" xfId="0" applyFont="1" applyAlignment="1">
      <alignment horizontal="center" vertical="center"/>
    </xf>
    <xf numFmtId="171" fontId="12" fillId="2" borderId="206" xfId="0" applyNumberFormat="1" applyFont="1" applyFill="1" applyBorder="1" applyAlignment="1" applyProtection="1">
      <alignment horizontal="right" vertical="center"/>
      <protection locked="0"/>
    </xf>
    <xf numFmtId="0" fontId="0" fillId="0" borderId="0" xfId="0" applyBorder="1" applyAlignment="1">
      <alignment vertical="top"/>
    </xf>
    <xf numFmtId="0" fontId="6" fillId="0" borderId="0" xfId="0" applyFont="1" applyBorder="1" applyAlignment="1">
      <alignment horizontal="left" indent="1"/>
    </xf>
    <xf numFmtId="0" fontId="0" fillId="0" borderId="0" xfId="0" applyBorder="1" applyAlignment="1">
      <alignment vertical="center"/>
    </xf>
    <xf numFmtId="0" fontId="6" fillId="0" borderId="0" xfId="0" applyFont="1" applyBorder="1" applyAlignment="1">
      <alignment horizontal="left" vertical="center"/>
    </xf>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0" borderId="206" xfId="0" applyFont="1" applyBorder="1"/>
    <xf numFmtId="0" fontId="13" fillId="16" borderId="0" xfId="0" applyFont="1" applyFill="1" applyAlignment="1">
      <alignment horizontal="center" wrapText="1"/>
    </xf>
    <xf numFmtId="6" fontId="0" fillId="16" borderId="0" xfId="0" applyNumberFormat="1" applyFill="1" applyAlignment="1">
      <alignment horizontal="center" vertical="center"/>
    </xf>
    <xf numFmtId="0" fontId="61" fillId="0" borderId="0" xfId="0" applyFont="1" applyFill="1"/>
    <xf numFmtId="0" fontId="86" fillId="0" borderId="0" xfId="0" applyFont="1" applyFill="1" applyAlignment="1">
      <alignment horizontal="center"/>
    </xf>
    <xf numFmtId="6" fontId="4" fillId="0" borderId="0" xfId="0" applyNumberFormat="1" applyFont="1" applyFill="1" applyBorder="1" applyAlignment="1" applyProtection="1">
      <alignment horizontal="right" vertical="center"/>
    </xf>
    <xf numFmtId="6" fontId="4" fillId="0" borderId="165" xfId="0" applyNumberFormat="1" applyFont="1" applyBorder="1" applyAlignment="1" applyProtection="1">
      <alignment horizontal="right"/>
    </xf>
    <xf numFmtId="6" fontId="4" fillId="0" borderId="165" xfId="0" applyNumberFormat="1" applyFont="1" applyBorder="1" applyAlignment="1" applyProtection="1">
      <alignment horizontal="right" vertical="center"/>
    </xf>
    <xf numFmtId="6" fontId="4" fillId="0" borderId="0" xfId="0" applyNumberFormat="1" applyFont="1" applyBorder="1" applyAlignment="1" applyProtection="1">
      <alignment horizontal="right" vertical="center"/>
    </xf>
    <xf numFmtId="239" fontId="0" fillId="0" borderId="0" xfId="0" applyNumberFormat="1" applyAlignment="1">
      <alignment horizontal="center"/>
    </xf>
    <xf numFmtId="0" fontId="0" fillId="0" borderId="0" xfId="0" applyFont="1" applyAlignment="1">
      <alignment horizontal="center" vertical="center"/>
    </xf>
    <xf numFmtId="0" fontId="102" fillId="0" borderId="0" xfId="0" applyFont="1" applyFill="1" applyAlignment="1">
      <alignment horizontal="left" vertical="center"/>
    </xf>
    <xf numFmtId="177" fontId="145" fillId="47"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2" fillId="0" borderId="0" xfId="0" applyNumberFormat="1" applyFont="1" applyAlignment="1">
      <alignment horizontal="center"/>
    </xf>
    <xf numFmtId="218" fontId="4" fillId="0" borderId="0" xfId="0" applyNumberFormat="1" applyFont="1" applyFill="1" applyBorder="1" applyAlignment="1">
      <alignment vertical="center" textRotation="90"/>
    </xf>
    <xf numFmtId="3" fontId="12" fillId="6" borderId="222" xfId="0" applyNumberFormat="1" applyFont="1" applyFill="1" applyBorder="1" applyAlignment="1">
      <alignment horizontal="center" vertical="center" wrapText="1"/>
    </xf>
    <xf numFmtId="3" fontId="12" fillId="6" borderId="223" xfId="0" applyNumberFormat="1" applyFont="1" applyFill="1" applyBorder="1" applyAlignment="1">
      <alignment horizontal="center" vertical="center" wrapText="1"/>
    </xf>
    <xf numFmtId="0" fontId="0" fillId="0" borderId="0" xfId="0" applyAlignment="1">
      <alignment horizontal="left" vertical="center"/>
    </xf>
    <xf numFmtId="6" fontId="0" fillId="0" borderId="0" xfId="0" applyNumberFormat="1" applyFill="1" applyAlignment="1">
      <alignment horizontal="right" vertical="center"/>
    </xf>
    <xf numFmtId="0" fontId="99" fillId="0" borderId="0" xfId="2" applyFont="1" applyFill="1"/>
    <xf numFmtId="38"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12" fillId="6" borderId="15" xfId="0" applyFont="1" applyFill="1" applyBorder="1" applyAlignment="1">
      <alignment horizontal="center" vertical="center"/>
    </xf>
    <xf numFmtId="0" fontId="0" fillId="0" borderId="0" xfId="0" applyAlignment="1">
      <alignment horizontal="center" vertical="center"/>
    </xf>
    <xf numFmtId="0" fontId="2" fillId="0" borderId="0" xfId="0" applyFont="1" applyBorder="1"/>
    <xf numFmtId="38" fontId="2" fillId="0" borderId="0" xfId="0" applyNumberFormat="1" applyFont="1" applyBorder="1" applyAlignment="1">
      <alignment horizontal="center" vertical="center"/>
    </xf>
    <xf numFmtId="0" fontId="2" fillId="0" borderId="0" xfId="0" applyFont="1" applyBorder="1" applyAlignment="1">
      <alignment horizontal="center" vertical="center"/>
    </xf>
    <xf numFmtId="204" fontId="0" fillId="0" borderId="0" xfId="0" applyNumberFormat="1" applyBorder="1" applyAlignment="1">
      <alignment horizontal="center" vertical="center"/>
    </xf>
    <xf numFmtId="0" fontId="2" fillId="16" borderId="0" xfId="0" applyFont="1" applyFill="1" applyBorder="1"/>
    <xf numFmtId="0" fontId="4" fillId="51" borderId="7" xfId="0" applyFont="1" applyFill="1" applyBorder="1" applyAlignment="1">
      <alignment horizontal="center" vertical="center" wrapText="1"/>
    </xf>
    <xf numFmtId="0" fontId="0" fillId="53" borderId="7" xfId="0" applyFill="1" applyBorder="1" applyAlignment="1">
      <alignment horizontal="center" vertical="center" wrapText="1"/>
    </xf>
    <xf numFmtId="0" fontId="2"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9" fontId="0" fillId="0" borderId="218" xfId="4" applyFont="1" applyFill="1" applyBorder="1" applyAlignment="1" applyProtection="1">
      <alignment horizontal="center" vertical="center" wrapText="1"/>
    </xf>
    <xf numFmtId="9" fontId="0" fillId="0" borderId="227"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228"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9" fontId="0" fillId="0" borderId="229" xfId="4" applyFont="1" applyFill="1" applyBorder="1" applyAlignment="1" applyProtection="1">
      <alignment horizontal="center" vertical="center" wrapText="1"/>
    </xf>
    <xf numFmtId="1" fontId="12" fillId="2" borderId="230" xfId="0" applyNumberFormat="1" applyFont="1" applyFill="1" applyBorder="1" applyAlignment="1" applyProtection="1">
      <alignment horizontal="center" vertical="center"/>
      <protection locked="0"/>
    </xf>
    <xf numFmtId="9" fontId="0" fillId="0" borderId="99" xfId="4" applyFont="1" applyBorder="1" applyAlignment="1">
      <alignment horizontal="center" vertical="center"/>
    </xf>
    <xf numFmtId="1" fontId="12" fillId="2" borderId="231"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15" xfId="0" applyFont="1" applyBorder="1" applyAlignment="1">
      <alignment horizontal="left" vertical="center"/>
    </xf>
    <xf numFmtId="6" fontId="0" fillId="0" borderId="54" xfId="0" applyNumberFormat="1" applyFont="1" applyBorder="1" applyAlignment="1">
      <alignment horizontal="right" vertical="center"/>
    </xf>
    <xf numFmtId="6" fontId="0" fillId="0" borderId="1" xfId="0" applyNumberFormat="1" applyFont="1" applyBorder="1" applyAlignment="1">
      <alignment horizontal="right" vertical="center"/>
    </xf>
    <xf numFmtId="0" fontId="4"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6" fontId="0" fillId="0" borderId="165" xfId="0" quotePrefix="1" applyNumberFormat="1" applyBorder="1" applyAlignment="1">
      <alignment vertical="center" wrapText="1"/>
    </xf>
    <xf numFmtId="242"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0" fontId="0" fillId="0" borderId="21" xfId="4" applyNumberFormat="1" applyFont="1" applyFill="1" applyBorder="1" applyAlignment="1" applyProtection="1">
      <alignment horizontal="center" vertical="center"/>
    </xf>
    <xf numFmtId="243" fontId="25" fillId="0" borderId="0" xfId="0" applyNumberFormat="1" applyFont="1" applyAlignment="1">
      <alignment horizontal="center" vertical="center"/>
    </xf>
    <xf numFmtId="241" fontId="0" fillId="0" borderId="0" xfId="0" applyNumberFormat="1" applyAlignment="1">
      <alignment horizontal="right" vertical="center"/>
    </xf>
    <xf numFmtId="0" fontId="4" fillId="0" borderId="0" xfId="0" applyFont="1" applyFill="1" applyBorder="1"/>
    <xf numFmtId="0" fontId="4" fillId="0" borderId="0" xfId="0" applyFont="1" applyFill="1" applyBorder="1" applyAlignment="1">
      <alignment horizontal="right" vertical="center" wrapText="1"/>
    </xf>
    <xf numFmtId="0" fontId="4" fillId="0" borderId="0" xfId="0" applyFont="1" applyFill="1" applyBorder="1" applyAlignment="1">
      <alignment horizontal="center" vertical="center"/>
    </xf>
    <xf numFmtId="0" fontId="4" fillId="0" borderId="0" xfId="0" applyFont="1" applyFill="1" applyAlignment="1"/>
    <xf numFmtId="186" fontId="0" fillId="0" borderId="74" xfId="4" applyNumberFormat="1" applyFont="1" applyFill="1" applyBorder="1" applyAlignment="1">
      <alignment horizontal="center" vertical="center"/>
    </xf>
    <xf numFmtId="0" fontId="4" fillId="0" borderId="75" xfId="0" applyFont="1" applyFill="1" applyBorder="1" applyAlignment="1">
      <alignment vertical="center"/>
    </xf>
    <xf numFmtId="0" fontId="155" fillId="7" borderId="0" xfId="0" applyFont="1" applyFill="1"/>
    <xf numFmtId="9" fontId="12"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5" borderId="0" xfId="0" applyFill="1" applyAlignment="1">
      <alignment horizontal="center" vertical="center" wrapText="1"/>
    </xf>
    <xf numFmtId="0" fontId="0" fillId="50" borderId="7" xfId="0" applyFill="1" applyBorder="1" applyAlignment="1">
      <alignment horizontal="center" vertical="center"/>
    </xf>
    <xf numFmtId="0" fontId="0" fillId="55" borderId="0" xfId="0" applyFill="1"/>
    <xf numFmtId="0" fontId="0" fillId="54"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4" fillId="0" borderId="0" xfId="0" applyFont="1" applyFill="1" applyAlignment="1">
      <alignment vertical="center"/>
    </xf>
    <xf numFmtId="0" fontId="0" fillId="0" borderId="0" xfId="0" applyFill="1" applyBorder="1"/>
    <xf numFmtId="0" fontId="96" fillId="30" borderId="0" xfId="0" applyFont="1" applyFill="1" applyAlignment="1">
      <alignment vertical="center"/>
    </xf>
    <xf numFmtId="0" fontId="96" fillId="30" borderId="0" xfId="0" applyFont="1" applyFill="1" applyAlignment="1">
      <alignment horizontal="right"/>
    </xf>
    <xf numFmtId="0" fontId="151" fillId="0" borderId="14" xfId="0" applyFont="1" applyBorder="1" applyAlignment="1">
      <alignment horizontal="right"/>
    </xf>
    <xf numFmtId="0" fontId="151" fillId="0" borderId="0" xfId="0" applyFont="1" applyBorder="1" applyAlignment="1">
      <alignment horizontal="right"/>
    </xf>
    <xf numFmtId="0" fontId="151" fillId="0" borderId="44" xfId="0" applyFont="1" applyBorder="1" applyAlignment="1">
      <alignment horizontal="right"/>
    </xf>
    <xf numFmtId="0" fontId="0" fillId="0" borderId="14" xfId="0" applyBorder="1"/>
    <xf numFmtId="0" fontId="0" fillId="0" borderId="44" xfId="0" applyBorder="1"/>
    <xf numFmtId="0" fontId="0" fillId="0" borderId="206" xfId="0" applyBorder="1"/>
    <xf numFmtId="0" fontId="0" fillId="0" borderId="207" xfId="0" applyBorder="1"/>
    <xf numFmtId="0" fontId="0" fillId="0" borderId="0" xfId="0" applyAlignment="1">
      <alignment horizontal="right" vertical="center"/>
    </xf>
    <xf numFmtId="0" fontId="0" fillId="0" borderId="0" xfId="0" applyAlignment="1">
      <alignment vertical="center"/>
    </xf>
    <xf numFmtId="0" fontId="89" fillId="0" borderId="0" xfId="0" applyFont="1" applyBorder="1"/>
    <xf numFmtId="186" fontId="0" fillId="0" borderId="70" xfId="0" applyNumberFormat="1" applyBorder="1" applyAlignment="1">
      <alignment horizontal="center" vertical="center"/>
    </xf>
    <xf numFmtId="0" fontId="0" fillId="0" borderId="192" xfId="0" applyBorder="1"/>
    <xf numFmtId="0" fontId="0" fillId="0" borderId="179" xfId="0" applyBorder="1" applyAlignment="1">
      <alignment horizontal="center" vertical="center"/>
    </xf>
    <xf numFmtId="0" fontId="0" fillId="0" borderId="71" xfId="0" applyBorder="1" applyAlignment="1">
      <alignment horizontal="center" vertical="center"/>
    </xf>
    <xf numFmtId="0" fontId="4"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2" xfId="4" applyNumberFormat="1" applyFont="1" applyBorder="1" applyAlignment="1">
      <alignment horizontal="center" vertical="center"/>
    </xf>
    <xf numFmtId="0" fontId="0" fillId="0" borderId="179" xfId="0" applyBorder="1" applyAlignment="1">
      <alignment horizontal="left" vertical="center"/>
    </xf>
    <xf numFmtId="244" fontId="12"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5"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4" xfId="4" applyNumberFormat="1" applyFont="1" applyFill="1" applyBorder="1" applyAlignment="1">
      <alignment horizontal="center" vertical="center"/>
    </xf>
    <xf numFmtId="0" fontId="0" fillId="0" borderId="235" xfId="0" applyBorder="1" applyAlignment="1">
      <alignment horizontal="center" vertical="center"/>
    </xf>
    <xf numFmtId="0" fontId="0" fillId="0" borderId="207" xfId="0" applyBorder="1" applyAlignment="1">
      <alignment horizontal="center" vertical="center"/>
    </xf>
    <xf numFmtId="38" fontId="15" fillId="27" borderId="0" xfId="0" applyNumberFormat="1" applyFont="1" applyFill="1" applyAlignment="1">
      <alignment horizontal="center" vertical="center"/>
    </xf>
    <xf numFmtId="0" fontId="12" fillId="6" borderId="15" xfId="0" applyFon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4"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4"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4" fillId="0" borderId="206" xfId="0" applyNumberFormat="1" applyFont="1" applyBorder="1" applyAlignment="1">
      <alignment horizontal="center" vertical="center"/>
    </xf>
    <xf numFmtId="179" fontId="0" fillId="16" borderId="206" xfId="0" applyNumberFormat="1" applyFill="1" applyBorder="1" applyAlignment="1">
      <alignment horizontal="center" vertical="center"/>
    </xf>
    <xf numFmtId="0" fontId="0" fillId="0" borderId="239" xfId="0" applyFill="1" applyBorder="1" applyAlignment="1">
      <alignment horizontal="center" vertical="center" wrapText="1"/>
    </xf>
    <xf numFmtId="164" fontId="4" fillId="0" borderId="236" xfId="4" applyNumberFormat="1" applyFont="1" applyFill="1" applyBorder="1" applyAlignment="1" applyProtection="1">
      <alignment horizontal="center" vertical="center"/>
    </xf>
    <xf numFmtId="164" fontId="4" fillId="0" borderId="237" xfId="4" applyNumberFormat="1" applyFont="1" applyFill="1" applyBorder="1" applyAlignment="1" applyProtection="1">
      <alignment horizontal="center" vertical="center"/>
    </xf>
    <xf numFmtId="164" fontId="4" fillId="0" borderId="238" xfId="4" applyNumberFormat="1" applyFont="1" applyFill="1" applyBorder="1" applyAlignment="1" applyProtection="1">
      <alignment horizontal="center" vertical="center"/>
    </xf>
    <xf numFmtId="164" fontId="4" fillId="3" borderId="240" xfId="4" applyNumberFormat="1" applyFont="1" applyFill="1" applyBorder="1" applyAlignment="1">
      <alignment horizontal="center" vertical="center" wrapText="1"/>
    </xf>
    <xf numFmtId="164" fontId="4" fillId="0" borderId="175" xfId="4" applyNumberFormat="1" applyFont="1" applyFill="1" applyBorder="1" applyAlignment="1">
      <alignment horizontal="center" vertical="center" wrapText="1"/>
    </xf>
    <xf numFmtId="0" fontId="11" fillId="0" borderId="0" xfId="0" applyFont="1" applyFill="1" applyAlignment="1">
      <alignment horizontal="left" vertical="center" wrapText="1"/>
    </xf>
    <xf numFmtId="0" fontId="121" fillId="0" borderId="0" xfId="0" applyFont="1" applyFill="1" applyAlignment="1">
      <alignment horizontal="left" vertical="center"/>
    </xf>
    <xf numFmtId="9" fontId="0" fillId="0" borderId="0" xfId="4" quotePrefix="1" applyNumberFormat="1"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left" vertical="center"/>
    </xf>
    <xf numFmtId="0" fontId="12" fillId="6" borderId="15" xfId="0" applyFont="1" applyFill="1" applyBorder="1" applyAlignment="1">
      <alignment horizontal="center" vertical="center"/>
    </xf>
    <xf numFmtId="0" fontId="0" fillId="0" borderId="0" xfId="0" applyAlignment="1">
      <alignment vertical="center"/>
    </xf>
    <xf numFmtId="243" fontId="25" fillId="0" borderId="15" xfId="0" applyNumberFormat="1" applyFont="1" applyBorder="1" applyAlignment="1">
      <alignment horizontal="center" vertical="center"/>
    </xf>
    <xf numFmtId="6" fontId="25" fillId="0" borderId="15" xfId="0" applyNumberFormat="1" applyFont="1" applyBorder="1" applyAlignment="1">
      <alignment horizontal="center" vertical="center"/>
    </xf>
    <xf numFmtId="243" fontId="25" fillId="0" borderId="16" xfId="0" applyNumberFormat="1" applyFont="1" applyBorder="1" applyAlignment="1">
      <alignment horizontal="center" vertical="center"/>
    </xf>
    <xf numFmtId="0" fontId="25" fillId="0" borderId="15" xfId="0" applyFont="1" applyBorder="1" applyAlignment="1">
      <alignment horizontal="center" vertical="center"/>
    </xf>
    <xf numFmtId="0" fontId="153" fillId="0" borderId="15" xfId="0" applyFont="1" applyBorder="1" applyAlignment="1">
      <alignment horizontal="center" vertical="center"/>
    </xf>
    <xf numFmtId="0" fontId="153" fillId="0" borderId="16" xfId="0" applyFont="1" applyBorder="1" applyAlignment="1">
      <alignment horizontal="center" vertical="center"/>
    </xf>
    <xf numFmtId="6" fontId="25" fillId="0" borderId="16" xfId="0" applyNumberFormat="1" applyFont="1" applyBorder="1" applyAlignment="1">
      <alignment horizontal="center" vertical="center"/>
    </xf>
    <xf numFmtId="38" fontId="25" fillId="0" borderId="16" xfId="0" applyNumberFormat="1" applyFont="1" applyBorder="1" applyAlignment="1">
      <alignment horizontal="center" vertical="center"/>
    </xf>
    <xf numFmtId="0" fontId="0" fillId="26" borderId="82" xfId="0" applyFill="1" applyBorder="1" applyAlignment="1">
      <alignment vertical="center"/>
    </xf>
    <xf numFmtId="0" fontId="0" fillId="26" borderId="75" xfId="0" applyFill="1" applyBorder="1" applyAlignment="1">
      <alignment vertical="center"/>
    </xf>
    <xf numFmtId="0" fontId="0" fillId="33" borderId="15" xfId="0" applyFill="1" applyBorder="1" applyAlignment="1">
      <alignment vertical="center"/>
    </xf>
    <xf numFmtId="0" fontId="0" fillId="33" borderId="16" xfId="0" applyFill="1" applyBorder="1" applyAlignment="1">
      <alignment vertical="center"/>
    </xf>
    <xf numFmtId="0" fontId="0" fillId="33" borderId="74" xfId="0" applyFill="1" applyBorder="1" applyAlignment="1">
      <alignment vertical="center"/>
    </xf>
    <xf numFmtId="0" fontId="0" fillId="37" borderId="75" xfId="0" applyFill="1" applyBorder="1" applyAlignment="1">
      <alignment vertical="center"/>
    </xf>
    <xf numFmtId="0" fontId="0" fillId="0" borderId="33" xfId="0" applyBorder="1" applyAlignment="1">
      <alignment vertical="center" wrapText="1"/>
    </xf>
    <xf numFmtId="0" fontId="9" fillId="0" borderId="7" xfId="0" applyFont="1" applyBorder="1"/>
    <xf numFmtId="0" fontId="0" fillId="7" borderId="82" xfId="0" applyFill="1" applyBorder="1"/>
    <xf numFmtId="0" fontId="0" fillId="56" borderId="82" xfId="0" applyFill="1" applyBorder="1"/>
    <xf numFmtId="0" fontId="0" fillId="56" borderId="82" xfId="0" applyFill="1" applyBorder="1" applyAlignment="1">
      <alignment horizontal="right" vertical="center"/>
    </xf>
    <xf numFmtId="0" fontId="0" fillId="7" borderId="82" xfId="0" applyFill="1" applyBorder="1" applyAlignment="1">
      <alignment horizontal="left" vertical="center"/>
    </xf>
    <xf numFmtId="0" fontId="2" fillId="0" borderId="0" xfId="0" applyFont="1" applyBorder="1" applyAlignment="1">
      <alignment vertical="center" wrapText="1"/>
    </xf>
    <xf numFmtId="0" fontId="4" fillId="7" borderId="15" xfId="0" applyFont="1" applyFill="1" applyBorder="1" applyAlignment="1">
      <alignment vertical="center"/>
    </xf>
    <xf numFmtId="0" fontId="15" fillId="0" borderId="0" xfId="0" applyFont="1"/>
    <xf numFmtId="0" fontId="0" fillId="0" borderId="0" xfId="0" applyFont="1" applyAlignment="1">
      <alignment vertical="top"/>
    </xf>
    <xf numFmtId="49" fontId="0" fillId="2" borderId="0" xfId="0" applyNumberFormat="1" applyFont="1" applyFill="1" applyAlignment="1">
      <alignment vertical="center"/>
    </xf>
    <xf numFmtId="49" fontId="0" fillId="0" borderId="16" xfId="0" applyNumberFormat="1" applyFill="1" applyBorder="1"/>
    <xf numFmtId="0" fontId="9" fillId="0" borderId="1" xfId="0" applyFont="1" applyFill="1" applyBorder="1" applyAlignment="1">
      <alignment vertical="center"/>
    </xf>
    <xf numFmtId="235" fontId="96" fillId="48" borderId="241" xfId="0" applyNumberFormat="1" applyFont="1" applyFill="1" applyBorder="1" applyAlignment="1">
      <alignment horizontal="center" vertical="center" wrapText="1"/>
    </xf>
    <xf numFmtId="0" fontId="3" fillId="16" borderId="0" xfId="0" applyFont="1" applyFill="1" applyAlignment="1">
      <alignment vertical="center"/>
    </xf>
    <xf numFmtId="0" fontId="12"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179" fontId="0" fillId="0" borderId="0" xfId="0" applyNumberFormat="1" applyFill="1" applyBorder="1" applyAlignment="1">
      <alignment horizontal="center" vertical="center"/>
    </xf>
    <xf numFmtId="179" fontId="4" fillId="0" borderId="0" xfId="0" applyNumberFormat="1" applyFont="1" applyFill="1" applyBorder="1" applyAlignment="1">
      <alignment horizontal="center" vertical="center"/>
    </xf>
    <xf numFmtId="0" fontId="12" fillId="57"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38" fontId="4" fillId="0" borderId="0" xfId="0" applyNumberFormat="1" applyFont="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4" fillId="0" borderId="7" xfId="0" applyFont="1" applyFill="1" applyBorder="1"/>
    <xf numFmtId="0" fontId="4" fillId="0" borderId="82" xfId="0" applyFont="1" applyFill="1" applyBorder="1" applyAlignment="1">
      <alignment vertical="center"/>
    </xf>
    <xf numFmtId="179" fontId="0" fillId="0" borderId="14" xfId="0" applyNumberFormat="1" applyFill="1" applyBorder="1" applyAlignment="1">
      <alignment horizontal="center" vertical="center"/>
    </xf>
    <xf numFmtId="0" fontId="89" fillId="0" borderId="0" xfId="0" applyFont="1" applyFill="1" applyAlignment="1">
      <alignment horizontal="left" vertical="center"/>
    </xf>
    <xf numFmtId="38" fontId="4" fillId="57" borderId="56" xfId="0" applyNumberFormat="1" applyFont="1" applyFill="1" applyBorder="1" applyAlignment="1">
      <alignment horizontal="center" vertical="center"/>
    </xf>
    <xf numFmtId="0" fontId="6" fillId="0" borderId="0" xfId="0" applyFont="1" applyFill="1" applyAlignment="1">
      <alignment vertical="center"/>
    </xf>
    <xf numFmtId="0" fontId="0" fillId="0" borderId="0" xfId="0"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0" fillId="0" borderId="0" xfId="0" applyAlignment="1">
      <alignment vertical="top" wrapText="1"/>
    </xf>
    <xf numFmtId="0" fontId="3" fillId="0" borderId="0" xfId="0" applyFont="1" applyAlignment="1">
      <alignment horizontal="right" vertical="top"/>
    </xf>
    <xf numFmtId="0" fontId="3" fillId="0" borderId="0" xfId="0" applyFont="1" applyFill="1" applyAlignment="1">
      <alignment horizontal="right" vertical="center"/>
    </xf>
    <xf numFmtId="0" fontId="119" fillId="0" borderId="0" xfId="0" applyFont="1" applyAlignment="1">
      <alignment horizontal="right" vertical="top"/>
    </xf>
    <xf numFmtId="0" fontId="2" fillId="0" borderId="0" xfId="0" applyFont="1" applyFill="1"/>
    <xf numFmtId="0" fontId="0" fillId="0" borderId="0" xfId="0" applyFill="1" applyAlignment="1">
      <alignment horizontal="left" vertical="top" wrapText="1"/>
    </xf>
    <xf numFmtId="44" fontId="7" fillId="0" borderId="0" xfId="2" applyNumberFormat="1" applyFill="1" applyBorder="1"/>
    <xf numFmtId="0" fontId="0" fillId="58" borderId="15" xfId="0" applyFill="1" applyBorder="1" applyAlignment="1">
      <alignment horizontal="center" vertical="center"/>
    </xf>
    <xf numFmtId="0" fontId="157" fillId="58" borderId="0" xfId="0" applyFont="1" applyFill="1" applyAlignment="1">
      <alignment vertical="center"/>
    </xf>
    <xf numFmtId="0" fontId="0" fillId="0" borderId="0" xfId="0" applyAlignment="1">
      <alignment horizontal="center" vertical="center"/>
    </xf>
    <xf numFmtId="0" fontId="0" fillId="0" borderId="0" xfId="0" applyAlignment="1">
      <alignment horizontal="left" vertical="center" wrapText="1"/>
    </xf>
    <xf numFmtId="0" fontId="0" fillId="33" borderId="0" xfId="0" applyFill="1" applyAlignment="1">
      <alignment horizontal="center" vertical="center"/>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quotePrefix="1" applyAlignment="1">
      <alignment horizontal="right" vertical="center"/>
    </xf>
    <xf numFmtId="186" fontId="0" fillId="0" borderId="15" xfId="4" quotePrefix="1" applyNumberFormat="1" applyFont="1" applyFill="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6" fontId="4" fillId="0" borderId="56" xfId="0" applyNumberFormat="1" applyFont="1" applyFill="1" applyBorder="1" applyAlignment="1">
      <alignment horizontal="center" vertical="center" wrapText="1"/>
    </xf>
    <xf numFmtId="0" fontId="4" fillId="2" borderId="82" xfId="0" applyFont="1" applyFill="1" applyBorder="1" applyAlignment="1">
      <alignment horizontal="right" vertical="center"/>
    </xf>
    <xf numFmtId="0" fontId="4" fillId="26" borderId="16" xfId="0" applyFont="1" applyFill="1" applyBorder="1" applyAlignment="1">
      <alignment horizontal="right" vertical="center"/>
    </xf>
    <xf numFmtId="0" fontId="4" fillId="33" borderId="16" xfId="0" applyFont="1" applyFill="1" applyBorder="1" applyAlignment="1">
      <alignment horizontal="right" vertical="center"/>
    </xf>
    <xf numFmtId="0" fontId="4" fillId="37" borderId="15" xfId="0" applyFont="1" applyFill="1" applyBorder="1" applyAlignment="1">
      <alignment horizontal="right" vertical="center"/>
    </xf>
    <xf numFmtId="0" fontId="10" fillId="2" borderId="74" xfId="0" applyFont="1" applyFill="1" applyBorder="1" applyAlignment="1">
      <alignment horizontal="right" vertical="center"/>
    </xf>
    <xf numFmtId="0" fontId="10" fillId="26" borderId="75" xfId="0" applyFont="1" applyFill="1" applyBorder="1" applyAlignment="1">
      <alignment horizontal="right" vertical="center"/>
    </xf>
    <xf numFmtId="0" fontId="10" fillId="33" borderId="75" xfId="0" applyFont="1" applyFill="1" applyBorder="1" applyAlignment="1">
      <alignment horizontal="right" vertical="center"/>
    </xf>
    <xf numFmtId="0" fontId="10" fillId="37" borderId="75" xfId="0" applyFont="1" applyFill="1" applyBorder="1" applyAlignment="1">
      <alignment horizontal="right" vertical="center"/>
    </xf>
    <xf numFmtId="9" fontId="0" fillId="0" borderId="92" xfId="4" quotePrefix="1" applyFont="1" applyFill="1" applyBorder="1" applyAlignment="1" applyProtection="1">
      <alignment horizontal="center" vertical="center"/>
    </xf>
    <xf numFmtId="0" fontId="0" fillId="0" borderId="0" xfId="0" applyAlignment="1"/>
    <xf numFmtId="9" fontId="0" fillId="0" borderId="38" xfId="4" applyFont="1" applyFill="1" applyBorder="1" applyAlignment="1" applyProtection="1">
      <alignment horizontal="center" vertical="center"/>
    </xf>
    <xf numFmtId="0" fontId="12" fillId="6" borderId="15" xfId="0" applyFont="1" applyFill="1" applyBorder="1" applyAlignment="1">
      <alignment horizontal="center" vertical="center"/>
    </xf>
    <xf numFmtId="0" fontId="6" fillId="0" borderId="7" xfId="0" applyFont="1" applyFill="1" applyBorder="1" applyAlignment="1">
      <alignment horizontal="left" vertical="center"/>
    </xf>
    <xf numFmtId="0" fontId="0" fillId="0" borderId="0" xfId="0" applyAlignment="1">
      <alignment horizontal="left" vertical="center"/>
    </xf>
    <xf numFmtId="40" fontId="25" fillId="0" borderId="0" xfId="0" applyNumberFormat="1" applyFont="1" applyAlignment="1">
      <alignment horizontal="center" vertical="top" wrapText="1"/>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applyFill="1" applyAlignment="1">
      <alignment horizontal="right" vertical="top" wrapText="1"/>
    </xf>
    <xf numFmtId="0" fontId="0" fillId="0" borderId="15" xfId="0" applyFill="1" applyBorder="1" applyAlignment="1">
      <alignment horizontal="center" vertical="center"/>
    </xf>
    <xf numFmtId="40" fontId="25" fillId="0" borderId="0" xfId="0" applyNumberFormat="1" applyFont="1" applyBorder="1" applyAlignment="1">
      <alignment horizontal="center" vertical="top" wrapText="1"/>
    </xf>
    <xf numFmtId="1" fontId="0" fillId="0" borderId="226" xfId="0" applyNumberFormat="1" applyBorder="1" applyAlignment="1">
      <alignment horizontal="center" vertical="center"/>
    </xf>
    <xf numFmtId="9" fontId="0" fillId="0" borderId="242" xfId="4" applyFont="1" applyFill="1" applyBorder="1" applyAlignment="1" applyProtection="1">
      <alignment horizontal="center" vertical="center" wrapText="1"/>
    </xf>
    <xf numFmtId="8" fontId="12" fillId="6" borderId="53" xfId="0" applyNumberFormat="1" applyFont="1" applyFill="1" applyBorder="1" applyAlignment="1">
      <alignment horizontal="right" vertical="center"/>
    </xf>
    <xf numFmtId="0" fontId="4" fillId="0" borderId="16" xfId="0" applyFont="1" applyBorder="1" applyAlignment="1">
      <alignment vertical="center"/>
    </xf>
    <xf numFmtId="0" fontId="31" fillId="0" borderId="16" xfId="0" applyFont="1" applyBorder="1" applyAlignment="1">
      <alignment vertical="center"/>
    </xf>
    <xf numFmtId="0" fontId="31" fillId="0" borderId="53" xfId="0" applyFont="1" applyBorder="1" applyAlignment="1">
      <alignment vertical="center"/>
    </xf>
    <xf numFmtId="0" fontId="154" fillId="0" borderId="16" xfId="0" applyFont="1" applyBorder="1" applyAlignment="1">
      <alignment horizontal="center" vertical="center"/>
    </xf>
    <xf numFmtId="0" fontId="0" fillId="0" borderId="0" xfId="0" applyAlignment="1">
      <alignment vertical="center"/>
    </xf>
    <xf numFmtId="0" fontId="0" fillId="0" borderId="0" xfId="0" applyAlignment="1" applyProtection="1">
      <alignment vertical="center"/>
      <protection locked="0"/>
    </xf>
    <xf numFmtId="0" fontId="0" fillId="16" borderId="0" xfId="0" applyFill="1" applyProtection="1">
      <protection locked="0"/>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25" fillId="0" borderId="114" xfId="0" applyFont="1" applyBorder="1" applyAlignment="1">
      <alignment horizontal="center" vertical="top" wrapText="1"/>
    </xf>
    <xf numFmtId="0" fontId="0" fillId="0" borderId="206" xfId="0" applyBorder="1" applyAlignment="1">
      <alignment horizontal="center" vertical="center"/>
    </xf>
    <xf numFmtId="0" fontId="0" fillId="0" borderId="0" xfId="0" applyAlignment="1">
      <alignment vertical="center"/>
    </xf>
    <xf numFmtId="0" fontId="0" fillId="0" borderId="206" xfId="0" applyBorder="1" applyAlignment="1">
      <alignment vertical="center"/>
    </xf>
    <xf numFmtId="8" fontId="12" fillId="6" borderId="206" xfId="0" applyNumberFormat="1" applyFont="1" applyFill="1" applyBorder="1" applyAlignment="1">
      <alignment horizontal="right" vertical="center"/>
    </xf>
    <xf numFmtId="0" fontId="0" fillId="0" borderId="206" xfId="0" applyFill="1" applyBorder="1" applyAlignment="1">
      <alignment vertical="center"/>
    </xf>
    <xf numFmtId="8" fontId="0" fillId="0" borderId="15" xfId="0" applyNumberFormat="1" applyBorder="1" applyAlignment="1">
      <alignment horizontal="right" vertical="center"/>
    </xf>
    <xf numFmtId="8" fontId="0" fillId="0" borderId="16" xfId="0" applyNumberFormat="1" applyBorder="1" applyAlignment="1">
      <alignment horizontal="right" vertical="center"/>
    </xf>
    <xf numFmtId="8" fontId="0" fillId="0" borderId="54" xfId="0" applyNumberFormat="1" applyBorder="1" applyAlignment="1">
      <alignment horizontal="right" vertical="center"/>
    </xf>
    <xf numFmtId="8" fontId="0" fillId="0" borderId="206" xfId="0" applyNumberFormat="1" applyBorder="1" applyAlignment="1">
      <alignment horizontal="right" vertical="center"/>
    </xf>
    <xf numFmtId="0" fontId="0" fillId="0" borderId="54" xfId="0" applyFill="1" applyBorder="1" applyAlignment="1">
      <alignment vertical="center"/>
    </xf>
    <xf numFmtId="243" fontId="25" fillId="0" borderId="54" xfId="0" applyNumberFormat="1" applyFont="1" applyBorder="1" applyAlignment="1">
      <alignment horizontal="center" vertical="center"/>
    </xf>
    <xf numFmtId="0" fontId="0" fillId="0" borderId="0" xfId="0" applyAlignment="1">
      <alignment horizontal="center" vertical="center"/>
    </xf>
    <xf numFmtId="0" fontId="25" fillId="0" borderId="0" xfId="0" applyFont="1" applyAlignment="1">
      <alignment horizontal="right" vertical="center" wrapText="1"/>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38" fontId="15" fillId="27" borderId="0" xfId="0" applyNumberFormat="1" applyFont="1" applyFill="1" applyAlignment="1">
      <alignment horizontal="center" vertical="center"/>
    </xf>
    <xf numFmtId="0" fontId="121" fillId="0" borderId="0" xfId="0" applyFont="1" applyAlignment="1">
      <alignment horizontal="left" vertical="center" wrapText="1"/>
    </xf>
    <xf numFmtId="0" fontId="124" fillId="0" borderId="206" xfId="0" quotePrefix="1" applyFont="1" applyBorder="1" applyAlignment="1">
      <alignment horizontal="center" vertical="center" wrapText="1"/>
    </xf>
    <xf numFmtId="0" fontId="159" fillId="0" borderId="0" xfId="0" applyFont="1"/>
    <xf numFmtId="0" fontId="0" fillId="0" borderId="0" xfId="0" applyAlignment="1">
      <alignment vertical="center"/>
    </xf>
    <xf numFmtId="6" fontId="0" fillId="0" borderId="1" xfId="0" applyNumberFormat="1" applyFill="1" applyBorder="1" applyAlignment="1">
      <alignment horizontal="right" vertical="center"/>
    </xf>
    <xf numFmtId="0" fontId="0" fillId="2" borderId="74" xfId="0" applyFill="1" applyBorder="1" applyAlignment="1">
      <alignment vertical="center"/>
    </xf>
    <xf numFmtId="0" fontId="0" fillId="0" borderId="74" xfId="0" applyBorder="1" applyAlignment="1">
      <alignment horizontal="left" vertical="center"/>
    </xf>
    <xf numFmtId="0" fontId="12" fillId="6" borderId="74" xfId="0" applyFont="1" applyFill="1" applyBorder="1" applyAlignment="1" applyProtection="1">
      <alignment horizontal="center" vertical="center"/>
    </xf>
    <xf numFmtId="1" fontId="0" fillId="0" borderId="244" xfId="0" applyNumberFormat="1" applyBorder="1" applyAlignment="1">
      <alignment horizontal="center" vertical="center"/>
    </xf>
    <xf numFmtId="0" fontId="0" fillId="0" borderId="0" xfId="0" applyAlignment="1">
      <alignment horizontal="center" vertical="center"/>
    </xf>
    <xf numFmtId="0" fontId="25" fillId="7" borderId="0" xfId="0" applyFont="1" applyFill="1" applyAlignment="1">
      <alignment horizontal="center" vertical="center"/>
    </xf>
    <xf numFmtId="0" fontId="0" fillId="7" borderId="0" xfId="0" applyFill="1" applyAlignment="1">
      <alignment horizontal="center" vertical="center"/>
    </xf>
    <xf numFmtId="0" fontId="0" fillId="7" borderId="0" xfId="0" applyFont="1" applyFill="1" applyAlignment="1">
      <alignment horizontal="center" vertical="center"/>
    </xf>
    <xf numFmtId="0" fontId="110" fillId="0" borderId="0" xfId="0" applyFont="1" applyAlignment="1">
      <alignment horizontal="center" vertical="center"/>
    </xf>
    <xf numFmtId="0" fontId="25" fillId="0" borderId="0" xfId="0" applyFont="1" applyAlignment="1">
      <alignment horizontal="center" vertical="center"/>
    </xf>
    <xf numFmtId="0" fontId="0" fillId="0" borderId="0" xfId="0" quotePrefix="1" applyAlignment="1">
      <alignment horizontal="center" vertical="center"/>
    </xf>
    <xf numFmtId="186" fontId="0" fillId="0" borderId="0" xfId="4" quotePrefix="1" applyNumberFormat="1" applyFont="1" applyFill="1" applyBorder="1" applyAlignment="1">
      <alignment horizontal="center" vertical="center"/>
    </xf>
    <xf numFmtId="0" fontId="0" fillId="0" borderId="0" xfId="0" quotePrefix="1" applyBorder="1" applyAlignment="1">
      <alignment horizontal="center" vertical="center"/>
    </xf>
    <xf numFmtId="0" fontId="0" fillId="16" borderId="0" xfId="0" quotePrefix="1" applyFill="1" applyBorder="1" applyAlignment="1">
      <alignment horizontal="center" vertical="center"/>
    </xf>
    <xf numFmtId="6" fontId="25" fillId="0" borderId="16" xfId="0" applyNumberFormat="1" applyFont="1" applyFill="1" applyBorder="1" applyAlignment="1">
      <alignment horizontal="center" vertical="center"/>
    </xf>
    <xf numFmtId="0" fontId="92" fillId="0" borderId="0" xfId="1" applyNumberFormat="1" applyFont="1" applyFill="1" applyAlignment="1">
      <alignment horizontal="right" wrapText="1"/>
    </xf>
    <xf numFmtId="44" fontId="92" fillId="0" borderId="0" xfId="1" applyFont="1" applyFill="1" applyBorder="1" applyAlignment="1" applyProtection="1">
      <alignment horizontal="right" wrapText="1"/>
    </xf>
    <xf numFmtId="0" fontId="0" fillId="7" borderId="0" xfId="0" applyFill="1" applyAlignment="1">
      <alignment horizontal="left" vertical="center"/>
    </xf>
    <xf numFmtId="0" fontId="4" fillId="0" borderId="0" xfId="0" applyFont="1" applyAlignment="1">
      <alignment horizontal="left" vertical="center"/>
    </xf>
    <xf numFmtId="8" fontId="0" fillId="0" borderId="16" xfId="0" applyNumberFormat="1" applyFill="1" applyBorder="1" applyAlignment="1">
      <alignment horizontal="right" vertical="center"/>
    </xf>
    <xf numFmtId="0" fontId="57" fillId="0" borderId="0" xfId="0" applyFont="1" applyFill="1" applyAlignment="1">
      <alignment wrapText="1"/>
    </xf>
    <xf numFmtId="0" fontId="15" fillId="47" borderId="16" xfId="0" applyFont="1" applyFill="1" applyBorder="1" applyAlignment="1">
      <alignment horizontal="right" vertical="center"/>
    </xf>
    <xf numFmtId="0" fontId="0" fillId="0" borderId="72" xfId="0" applyFill="1" applyBorder="1" applyAlignment="1">
      <alignment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0" fontId="2" fillId="0" borderId="0" xfId="0" applyNumberFormat="1" applyFont="1" applyFill="1" applyAlignment="1">
      <alignment vertical="top"/>
    </xf>
    <xf numFmtId="49" fontId="0" fillId="0" borderId="0" xfId="0" applyNumberFormat="1" applyFill="1"/>
    <xf numFmtId="0" fontId="57" fillId="16" borderId="0" xfId="0" applyFont="1" applyFill="1" applyAlignment="1">
      <alignment wrapText="1"/>
    </xf>
    <xf numFmtId="0" fontId="13" fillId="16" borderId="0" xfId="0" applyFont="1" applyFill="1" applyAlignment="1">
      <alignment horizontal="left"/>
    </xf>
    <xf numFmtId="0" fontId="0" fillId="16" borderId="0" xfId="0" applyFill="1" applyAlignment="1">
      <alignment horizontal="left" vertical="center"/>
    </xf>
    <xf numFmtId="38" fontId="0" fillId="0" borderId="0" xfId="0" applyNumberFormat="1" applyFill="1"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horizontal="center" vertical="center"/>
    </xf>
    <xf numFmtId="0" fontId="0" fillId="0" borderId="0" xfId="0" applyBorder="1" applyAlignment="1">
      <alignment horizontal="left" vertical="center" wrapText="1"/>
    </xf>
    <xf numFmtId="0" fontId="0" fillId="0" borderId="0" xfId="0" applyAlignment="1">
      <alignment horizontal="left" vertical="center"/>
    </xf>
    <xf numFmtId="0" fontId="2"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2" borderId="23" xfId="0" applyFont="1" applyFill="1" applyBorder="1" applyAlignment="1" applyProtection="1">
      <alignment horizontal="center" vertical="center"/>
      <protection locked="0"/>
    </xf>
    <xf numFmtId="0" fontId="0" fillId="0" borderId="0" xfId="0" applyFill="1" applyAlignment="1">
      <alignment horizontal="left" vertical="top" wrapText="1"/>
    </xf>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248" fontId="12" fillId="6" borderId="56" xfId="0" applyNumberFormat="1" applyFont="1" applyFill="1" applyBorder="1" applyAlignment="1">
      <alignment horizontal="center" vertical="center" wrapText="1"/>
    </xf>
    <xf numFmtId="0" fontId="9" fillId="10" borderId="0" xfId="0" applyFont="1" applyFill="1" applyAlignment="1">
      <alignment vertical="center" wrapText="1"/>
    </xf>
    <xf numFmtId="0" fontId="2" fillId="0" borderId="0" xfId="0" quotePrefix="1" applyFont="1" applyFill="1" applyAlignment="1">
      <alignment horizontal="left" vertical="top" wrapText="1"/>
    </xf>
    <xf numFmtId="0" fontId="2" fillId="0" borderId="0" xfId="0" applyNumberFormat="1" applyFont="1" applyAlignment="1">
      <alignment horizontal="left" vertical="top"/>
    </xf>
    <xf numFmtId="0" fontId="11" fillId="0" borderId="0" xfId="0" applyFont="1" applyFill="1" applyAlignment="1">
      <alignment wrapText="1"/>
    </xf>
    <xf numFmtId="0" fontId="25" fillId="0" borderId="0" xfId="0" applyFont="1" applyAlignment="1">
      <alignment wrapText="1"/>
    </xf>
    <xf numFmtId="0" fontId="5" fillId="0" borderId="15" xfId="0" applyFont="1" applyBorder="1" applyAlignment="1">
      <alignment horizontal="right" vertical="center"/>
    </xf>
    <xf numFmtId="8" fontId="4" fillId="0" borderId="16" xfId="0" applyNumberFormat="1" applyFont="1" applyFill="1" applyBorder="1" applyAlignment="1">
      <alignment horizontal="right" vertical="center"/>
    </xf>
    <xf numFmtId="0" fontId="0" fillId="0" borderId="0" xfId="0" applyBorder="1" applyAlignment="1">
      <alignment vertical="center" wrapText="1"/>
    </xf>
    <xf numFmtId="0" fontId="0" fillId="0" borderId="33" xfId="0" applyBorder="1" applyAlignment="1">
      <alignment horizontal="right" vertical="center"/>
    </xf>
    <xf numFmtId="0" fontId="0" fillId="0" borderId="110" xfId="0" applyBorder="1" applyAlignment="1">
      <alignment horizontal="center" vertical="center"/>
    </xf>
    <xf numFmtId="0" fontId="0" fillId="0" borderId="245" xfId="0" applyBorder="1" applyAlignment="1">
      <alignment horizontal="center" vertical="center" wrapText="1"/>
    </xf>
    <xf numFmtId="0" fontId="0" fillId="0" borderId="246" xfId="0" applyBorder="1" applyAlignment="1">
      <alignment horizontal="center" vertical="center" wrapText="1"/>
    </xf>
    <xf numFmtId="0" fontId="0" fillId="0" borderId="247" xfId="0" applyBorder="1" applyAlignment="1">
      <alignment horizontal="center" vertical="center" wrapText="1"/>
    </xf>
    <xf numFmtId="0" fontId="0" fillId="16" borderId="246" xfId="0" applyFill="1" applyBorder="1" applyAlignment="1">
      <alignment horizontal="center" vertical="center" wrapText="1"/>
    </xf>
    <xf numFmtId="0" fontId="0" fillId="16" borderId="85" xfId="0" applyFill="1" applyBorder="1" applyAlignment="1">
      <alignment horizontal="center" vertical="center" wrapText="1"/>
    </xf>
    <xf numFmtId="0" fontId="0" fillId="16" borderId="74" xfId="0" applyFill="1" applyBorder="1" applyAlignment="1">
      <alignment horizontal="center" vertical="center" wrapText="1"/>
    </xf>
    <xf numFmtId="6" fontId="0" fillId="0" borderId="2" xfId="0" applyNumberFormat="1" applyFill="1" applyBorder="1" applyAlignment="1">
      <alignment vertical="center"/>
    </xf>
    <xf numFmtId="0" fontId="0" fillId="60" borderId="0" xfId="0" applyFill="1"/>
    <xf numFmtId="0" fontId="0" fillId="60" borderId="0" xfId="0" applyFill="1" applyAlignment="1">
      <alignment horizontal="center" vertical="center"/>
    </xf>
    <xf numFmtId="0" fontId="0" fillId="60" borderId="0" xfId="0" applyFill="1" applyBorder="1" applyAlignment="1">
      <alignment horizontal="center" vertical="center"/>
    </xf>
    <xf numFmtId="0" fontId="161" fillId="59" borderId="16" xfId="0" applyFont="1" applyFill="1" applyBorder="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12" fillId="6" borderId="15" xfId="0" applyFont="1" applyFill="1" applyBorder="1" applyAlignment="1">
      <alignment horizontal="center"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0" fontId="4" fillId="0" borderId="0" xfId="0" applyFont="1" applyFill="1" applyAlignment="1">
      <alignment horizontal="center" vertical="center"/>
    </xf>
    <xf numFmtId="0" fontId="0" fillId="0" borderId="0" xfId="0" applyAlignment="1">
      <alignment horizontal="center" vertical="center"/>
    </xf>
    <xf numFmtId="0" fontId="2" fillId="0" borderId="0" xfId="0" applyFont="1" applyAlignment="1">
      <alignment horizontal="left" vertical="top"/>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left" vertical="top" wrapText="1"/>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4" fillId="0" borderId="0" xfId="0" applyFont="1" applyFill="1" applyBorder="1" applyAlignment="1" applyProtection="1">
      <alignment horizontal="left" vertical="top" wrapText="1"/>
    </xf>
    <xf numFmtId="0" fontId="4" fillId="0" borderId="22" xfId="0" applyFont="1" applyFill="1" applyBorder="1" applyAlignment="1" applyProtection="1">
      <alignment horizontal="left" vertical="top" wrapText="1"/>
    </xf>
    <xf numFmtId="0" fontId="10" fillId="0" borderId="0" xfId="0" applyFont="1" applyAlignment="1">
      <alignment horizontal="center" vertical="top"/>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0" fontId="0" fillId="0" borderId="0" xfId="0" applyAlignment="1">
      <alignment vertical="top" wrapText="1"/>
    </xf>
    <xf numFmtId="0" fontId="9" fillId="0" borderId="15" xfId="0" applyFont="1" applyBorder="1" applyAlignment="1">
      <alignment vertical="center"/>
    </xf>
    <xf numFmtId="38" fontId="162" fillId="6" borderId="56" xfId="0" applyNumberFormat="1" applyFont="1" applyFill="1" applyBorder="1" applyAlignment="1">
      <alignment horizontal="center" vertical="center" wrapText="1"/>
    </xf>
    <xf numFmtId="0" fontId="0" fillId="0" borderId="0" xfId="0" applyAlignment="1">
      <alignment horizontal="left" vertical="center" wrapText="1"/>
    </xf>
    <xf numFmtId="0" fontId="2" fillId="0" borderId="0" xfId="0" applyFont="1" applyAlignment="1">
      <alignment horizontal="left" vertical="center"/>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2" fillId="0" borderId="0" xfId="0" applyFont="1" applyAlignment="1">
      <alignment horizontal="left" vertical="top"/>
    </xf>
    <xf numFmtId="0" fontId="0" fillId="0" borderId="0" xfId="0" applyAlignment="1">
      <alignment horizontal="left" vertical="center"/>
    </xf>
    <xf numFmtId="0" fontId="12" fillId="2" borderId="16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96" fillId="0" borderId="0" xfId="0" applyFont="1" applyAlignment="1">
      <alignment horizontal="right" vertical="center"/>
    </xf>
    <xf numFmtId="0" fontId="0" fillId="8" borderId="0" xfId="0" applyFill="1" applyAlignment="1">
      <alignment horizontal="left" vertical="center" wrapText="1"/>
    </xf>
    <xf numFmtId="0" fontId="0" fillId="0" borderId="0" xfId="0" applyAlignment="1">
      <alignment vertical="center"/>
    </xf>
    <xf numFmtId="38" fontId="12" fillId="6" borderId="56" xfId="0" applyNumberFormat="1" applyFont="1" applyFill="1" applyBorder="1" applyAlignment="1">
      <alignment horizontal="center" vertical="center"/>
    </xf>
    <xf numFmtId="0" fontId="15" fillId="0" borderId="0" xfId="0" applyFont="1" applyAlignment="1">
      <alignment horizontal="right" vertical="top"/>
    </xf>
    <xf numFmtId="0" fontId="0" fillId="0" borderId="0" xfId="0" applyAlignment="1">
      <alignment vertical="center"/>
    </xf>
    <xf numFmtId="0" fontId="0" fillId="0" borderId="0" xfId="0" applyAlignment="1">
      <alignment vertical="top"/>
    </xf>
    <xf numFmtId="38" fontId="12" fillId="6" borderId="56" xfId="0" applyNumberFormat="1" applyFont="1" applyFill="1" applyBorder="1" applyAlignment="1">
      <alignment horizontal="center" vertical="center"/>
    </xf>
    <xf numFmtId="0" fontId="0" fillId="0" borderId="0" xfId="0" applyFont="1" applyAlignment="1">
      <alignment vertical="center"/>
    </xf>
    <xf numFmtId="38" fontId="0" fillId="0" borderId="0" xfId="0" applyNumberFormat="1" applyFont="1" applyAlignment="1">
      <alignment horizontal="center" vertical="center"/>
    </xf>
    <xf numFmtId="0" fontId="0" fillId="0" borderId="0" xfId="0" applyFont="1" applyAlignment="1">
      <alignment horizontal="left" vertical="center" wrapText="1"/>
    </xf>
    <xf numFmtId="38" fontId="0"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center"/>
    </xf>
    <xf numFmtId="0" fontId="2" fillId="0" borderId="0" xfId="0" applyFont="1" applyFill="1" applyAlignment="1">
      <alignment horizontal="left" vertical="center" wrapText="1"/>
    </xf>
    <xf numFmtId="0" fontId="12" fillId="0" borderId="0" xfId="0" applyFont="1" applyFill="1" applyBorder="1" applyAlignment="1" applyProtection="1">
      <alignment horizontal="left" vertical="center"/>
    </xf>
    <xf numFmtId="0" fontId="0" fillId="0" borderId="0" xfId="0" applyFont="1" applyFill="1" applyAlignment="1">
      <alignment vertical="center"/>
    </xf>
    <xf numFmtId="0" fontId="0" fillId="0" borderId="0" xfId="0" applyFont="1" applyFill="1" applyAlignment="1">
      <alignment horizontal="left" vertical="center"/>
    </xf>
    <xf numFmtId="0" fontId="2" fillId="0" borderId="0" xfId="0" applyNumberFormat="1" applyFont="1" applyAlignment="1">
      <alignment vertical="center"/>
    </xf>
    <xf numFmtId="0" fontId="2" fillId="0" borderId="0" xfId="0" applyNumberFormat="1" applyFont="1" applyAlignment="1">
      <alignment vertical="center" wrapText="1"/>
    </xf>
    <xf numFmtId="0" fontId="2" fillId="0" borderId="0" xfId="0" applyNumberFormat="1" applyFont="1" applyAlignment="1">
      <alignment vertical="top"/>
    </xf>
    <xf numFmtId="250" fontId="0" fillId="0" borderId="0" xfId="0" applyNumberFormat="1"/>
    <xf numFmtId="0" fontId="0" fillId="0" borderId="0" xfId="0" applyAlignment="1">
      <alignment horizontal="right" vertical="center" indent="1"/>
    </xf>
    <xf numFmtId="0" fontId="163" fillId="0" borderId="221" xfId="0" applyFont="1" applyBorder="1" applyAlignment="1">
      <alignment horizontal="center" wrapText="1"/>
    </xf>
    <xf numFmtId="0" fontId="0" fillId="0" borderId="0" xfId="0" applyAlignment="1">
      <alignment horizontal="left" vertical="top"/>
    </xf>
    <xf numFmtId="40" fontId="164" fillId="0" borderId="0" xfId="2" applyNumberFormat="1" applyFont="1"/>
    <xf numFmtId="40" fontId="78" fillId="0" borderId="22" xfId="2" applyNumberFormat="1" applyFont="1" applyBorder="1"/>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25" fillId="0" borderId="74" xfId="0" applyFont="1" applyBorder="1" applyAlignment="1">
      <alignment vertical="center"/>
    </xf>
    <xf numFmtId="0" fontId="3" fillId="0" borderId="75" xfId="0" applyFont="1" applyBorder="1"/>
    <xf numFmtId="38" fontId="4" fillId="0" borderId="0" xfId="0" applyNumberFormat="1" applyFont="1" applyAlignment="1">
      <alignment horizontal="left" vertical="center"/>
    </xf>
    <xf numFmtId="0" fontId="0" fillId="8" borderId="0" xfId="0" applyNumberFormat="1" applyFill="1" applyAlignment="1">
      <alignment vertical="center"/>
    </xf>
    <xf numFmtId="0" fontId="0" fillId="0" borderId="0" xfId="0" applyNumberFormat="1" applyAlignment="1">
      <alignment horizontal="center" vertical="top"/>
    </xf>
    <xf numFmtId="0" fontId="2" fillId="0" borderId="0" xfId="0" applyNumberFormat="1" applyFont="1" applyAlignment="1">
      <alignment horizontal="left" vertical="top" wrapText="1"/>
    </xf>
    <xf numFmtId="251" fontId="0" fillId="0" borderId="0" xfId="0" applyNumberFormat="1" applyAlignment="1">
      <alignment horizontal="center" vertical="top"/>
    </xf>
    <xf numFmtId="166" fontId="0" fillId="0" borderId="0" xfId="0" applyNumberFormat="1"/>
    <xf numFmtId="0" fontId="12" fillId="6" borderId="16" xfId="0" applyFont="1" applyFill="1" applyBorder="1" applyAlignment="1">
      <alignment horizontal="center" vertical="center"/>
    </xf>
    <xf numFmtId="0" fontId="0" fillId="0" borderId="0" xfId="0" applyAlignment="1">
      <alignment vertical="center"/>
    </xf>
    <xf numFmtId="1" fontId="15" fillId="0" borderId="0" xfId="0" applyNumberFormat="1" applyFont="1" applyBorder="1" applyAlignment="1">
      <alignment horizontal="center" vertical="center"/>
    </xf>
    <xf numFmtId="40" fontId="40" fillId="0" borderId="0" xfId="2" quotePrefix="1" applyNumberFormat="1" applyFont="1" applyFill="1"/>
    <xf numFmtId="0" fontId="38" fillId="0" borderId="0" xfId="2" applyFont="1" applyFill="1" applyAlignment="1">
      <alignment horizontal="center"/>
    </xf>
    <xf numFmtId="40" fontId="40" fillId="0" borderId="0" xfId="2" applyNumberFormat="1" applyFont="1" applyFill="1"/>
    <xf numFmtId="169" fontId="28" fillId="0" borderId="0" xfId="2" applyNumberFormat="1" applyFont="1" applyFill="1" applyAlignment="1">
      <alignment horizontal="right"/>
    </xf>
    <xf numFmtId="0" fontId="28" fillId="0" borderId="0" xfId="2" applyFont="1" applyFill="1"/>
    <xf numFmtId="40" fontId="35" fillId="0" borderId="0" xfId="2" applyNumberFormat="1" applyFont="1" applyFill="1"/>
    <xf numFmtId="0" fontId="35" fillId="0" borderId="0" xfId="2" applyFont="1" applyFill="1"/>
    <xf numFmtId="40" fontId="28" fillId="0" borderId="0" xfId="2" applyNumberFormat="1" applyFont="1" applyFill="1"/>
    <xf numFmtId="0" fontId="33" fillId="0" borderId="0" xfId="2" applyFont="1" applyFill="1"/>
    <xf numFmtId="0" fontId="28" fillId="0" borderId="0" xfId="2" applyFont="1" applyFill="1" applyAlignment="1">
      <alignment horizontal="right"/>
    </xf>
    <xf numFmtId="40" fontId="55" fillId="0" borderId="0" xfId="2" applyNumberFormat="1" applyFont="1" applyFill="1"/>
    <xf numFmtId="0" fontId="35" fillId="0" borderId="0" xfId="2" applyFont="1" applyFill="1" applyAlignment="1">
      <alignment horizontal="right"/>
    </xf>
    <xf numFmtId="0" fontId="55" fillId="0" borderId="0" xfId="2" applyFont="1" applyFill="1" applyAlignment="1">
      <alignment horizontal="center"/>
    </xf>
    <xf numFmtId="0" fontId="35" fillId="0" borderId="0" xfId="2" applyFont="1" applyFill="1" applyAlignment="1">
      <alignment horizontal="left"/>
    </xf>
    <xf numFmtId="40" fontId="39" fillId="0" borderId="23" xfId="2" applyNumberFormat="1" applyFont="1" applyFill="1" applyBorder="1" applyProtection="1">
      <protection locked="0"/>
    </xf>
    <xf numFmtId="0" fontId="109" fillId="0" borderId="0" xfId="2" applyFont="1" applyFill="1" applyAlignment="1">
      <alignment horizontal="center"/>
    </xf>
    <xf numFmtId="8" fontId="7" fillId="0" borderId="0" xfId="2" quotePrefix="1" applyNumberFormat="1" applyFill="1" applyAlignment="1">
      <alignment horizontal="center"/>
    </xf>
    <xf numFmtId="40" fontId="35" fillId="0" borderId="195" xfId="2" applyNumberFormat="1" applyFont="1" applyFill="1" applyBorder="1" applyProtection="1"/>
    <xf numFmtId="40" fontId="40" fillId="0" borderId="31" xfId="2" applyNumberFormat="1" applyFont="1" applyFill="1" applyBorder="1"/>
    <xf numFmtId="43" fontId="75" fillId="0" borderId="200" xfId="12" applyFont="1" applyFill="1" applyBorder="1" applyAlignment="1">
      <alignment horizontal="center"/>
    </xf>
    <xf numFmtId="40" fontId="35" fillId="0" borderId="0" xfId="2" applyNumberFormat="1" applyFont="1" applyFill="1" applyBorder="1" applyProtection="1"/>
    <xf numFmtId="0" fontId="5" fillId="0" borderId="0" xfId="0" applyFont="1" applyAlignment="1">
      <alignment horizont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0" fontId="0" fillId="0" borderId="0" xfId="0" applyAlignment="1">
      <alignment horizontal="center"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horizontal="right" vertical="center"/>
    </xf>
    <xf numFmtId="1" fontId="12" fillId="2" borderId="23" xfId="0" applyNumberFormat="1" applyFont="1" applyFill="1" applyBorder="1" applyAlignment="1" applyProtection="1">
      <alignment horizontal="center" vertical="center"/>
      <protection locked="0"/>
    </xf>
    <xf numFmtId="0" fontId="6" fillId="0" borderId="0" xfId="0" applyFont="1" applyAlignment="1">
      <alignment horizontal="center" vertical="center"/>
    </xf>
    <xf numFmtId="8" fontId="0" fillId="0" borderId="1" xfId="0" applyNumberFormat="1" applyBorder="1" applyAlignment="1">
      <alignment horizontal="right" vertical="center"/>
    </xf>
    <xf numFmtId="0" fontId="0" fillId="0" borderId="0" xfId="0" applyAlignment="1">
      <alignment horizontal="left" vertical="top" wrapText="1"/>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Fill="1" applyAlignment="1">
      <alignment horizontal="center"/>
    </xf>
    <xf numFmtId="0" fontId="125" fillId="0" borderId="0" xfId="0" applyFont="1" applyFill="1"/>
    <xf numFmtId="0" fontId="0" fillId="0" borderId="0" xfId="0" applyFill="1" applyAlignment="1">
      <alignment horizontal="right"/>
    </xf>
    <xf numFmtId="0" fontId="0" fillId="0" borderId="0" xfId="0" applyAlignment="1">
      <alignment horizontal="right" vertical="center"/>
    </xf>
    <xf numFmtId="0" fontId="96" fillId="0" borderId="0" xfId="0" applyFont="1" applyAlignment="1">
      <alignment horizontal="right" vertical="center"/>
    </xf>
    <xf numFmtId="0" fontId="0" fillId="0" borderId="0" xfId="0" applyAlignment="1">
      <alignment vertical="center"/>
    </xf>
    <xf numFmtId="38" fontId="145" fillId="27" borderId="56" xfId="0" applyNumberFormat="1" applyFont="1" applyFill="1" applyBorder="1" applyAlignment="1">
      <alignment horizontal="center" vertical="center"/>
    </xf>
    <xf numFmtId="0" fontId="12" fillId="6" borderId="16" xfId="0" applyFont="1" applyFill="1" applyBorder="1" applyAlignment="1">
      <alignment horizontal="center" vertical="center"/>
    </xf>
    <xf numFmtId="0" fontId="0" fillId="0" borderId="0" xfId="0" applyAlignment="1">
      <alignment horizontal="right" vertical="center"/>
    </xf>
    <xf numFmtId="0" fontId="12" fillId="0" borderId="56" xfId="0" applyFont="1" applyBorder="1" applyAlignment="1">
      <alignment vertical="center" wrapText="1"/>
    </xf>
    <xf numFmtId="0" fontId="12" fillId="0" borderId="57" xfId="0" applyFont="1" applyBorder="1" applyAlignment="1">
      <alignment vertical="center" wrapText="1"/>
    </xf>
    <xf numFmtId="0" fontId="11" fillId="0" borderId="0" xfId="0" applyFont="1" applyAlignment="1">
      <alignment horizontal="right" vertical="top" wrapText="1"/>
    </xf>
    <xf numFmtId="38" fontId="0" fillId="0" borderId="206" xfId="0" applyNumberFormat="1" applyBorder="1" applyAlignment="1">
      <alignment horizontal="center" vertical="center"/>
    </xf>
    <xf numFmtId="0" fontId="4" fillId="62" borderId="0" xfId="0" applyFont="1" applyFill="1" applyAlignment="1">
      <alignment vertical="center"/>
    </xf>
    <xf numFmtId="0" fontId="96" fillId="62" borderId="0" xfId="0" applyFont="1" applyFill="1" applyAlignment="1">
      <alignment horizontal="right" vertical="center"/>
    </xf>
    <xf numFmtId="0" fontId="4" fillId="16" borderId="0" xfId="0" applyFont="1" applyFill="1" applyAlignment="1">
      <alignment horizontal="right" vertical="center"/>
    </xf>
    <xf numFmtId="0" fontId="0" fillId="0" borderId="0" xfId="0"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0" fontId="166" fillId="0" borderId="16" xfId="0" applyFont="1" applyFill="1" applyBorder="1" applyAlignment="1">
      <alignment vertical="center"/>
    </xf>
    <xf numFmtId="212" fontId="166" fillId="0" borderId="16" xfId="0" applyNumberFormat="1" applyFont="1" applyBorder="1" applyAlignment="1">
      <alignment vertical="center"/>
    </xf>
    <xf numFmtId="0" fontId="91" fillId="0" borderId="0" xfId="0" applyFont="1" applyFill="1" applyAlignment="1">
      <alignment horizontal="center" wrapText="1"/>
    </xf>
    <xf numFmtId="0" fontId="12" fillId="6" borderId="15" xfId="0" applyFont="1" applyFill="1" applyBorder="1" applyAlignment="1">
      <alignment horizontal="center" vertical="center"/>
    </xf>
    <xf numFmtId="0" fontId="4" fillId="0" borderId="195" xfId="0" applyFont="1" applyFill="1" applyBorder="1" applyAlignment="1">
      <alignment horizontal="center" vertical="center"/>
    </xf>
    <xf numFmtId="0" fontId="0" fillId="0" borderId="195" xfId="0" applyBorder="1"/>
    <xf numFmtId="0" fontId="0" fillId="0" borderId="1" xfId="0" applyBorder="1"/>
    <xf numFmtId="0" fontId="25" fillId="10" borderId="0" xfId="0" applyFont="1" applyFill="1"/>
    <xf numFmtId="0" fontId="25" fillId="13" borderId="0" xfId="0" applyFont="1" applyFill="1"/>
    <xf numFmtId="0" fontId="25" fillId="13" borderId="0" xfId="0" quotePrefix="1" applyFont="1" applyFill="1"/>
    <xf numFmtId="44" fontId="25" fillId="13" borderId="0" xfId="0" quotePrefix="1" applyNumberFormat="1" applyFont="1" applyFill="1"/>
    <xf numFmtId="0" fontId="153" fillId="10" borderId="0" xfId="0" applyFont="1" applyFill="1"/>
    <xf numFmtId="0" fontId="25" fillId="22" borderId="0" xfId="0" applyFont="1" applyFill="1"/>
    <xf numFmtId="0" fontId="153" fillId="9" borderId="6" xfId="0" applyFont="1" applyFill="1" applyBorder="1" applyAlignment="1">
      <alignment horizontal="left" wrapText="1"/>
    </xf>
    <xf numFmtId="0" fontId="153" fillId="9" borderId="7" xfId="0" applyFont="1" applyFill="1" applyBorder="1" applyAlignment="1">
      <alignment horizontal="center" wrapText="1"/>
    </xf>
    <xf numFmtId="0" fontId="153" fillId="23" borderId="7" xfId="0" applyFont="1" applyFill="1" applyBorder="1" applyAlignment="1">
      <alignment horizontal="center" wrapText="1"/>
    </xf>
    <xf numFmtId="0" fontId="25" fillId="10" borderId="0" xfId="0" applyFont="1" applyFill="1" applyAlignment="1">
      <alignment wrapText="1"/>
    </xf>
    <xf numFmtId="44" fontId="25" fillId="13" borderId="0" xfId="1" quotePrefix="1" applyFont="1" applyFill="1"/>
    <xf numFmtId="44" fontId="25" fillId="0" borderId="0" xfId="1" applyFont="1"/>
    <xf numFmtId="44" fontId="25" fillId="22" borderId="0" xfId="1" applyFont="1" applyFill="1"/>
    <xf numFmtId="0" fontId="0" fillId="0" borderId="249" xfId="0" applyBorder="1" applyAlignment="1">
      <alignment horizontal="center" vertical="center"/>
    </xf>
    <xf numFmtId="0" fontId="0" fillId="0" borderId="250" xfId="0" applyBorder="1" applyAlignment="1">
      <alignment vertical="center"/>
    </xf>
    <xf numFmtId="0" fontId="0" fillId="0" borderId="251" xfId="0" applyBorder="1" applyAlignment="1">
      <alignment horizontal="center" vertical="center"/>
    </xf>
    <xf numFmtId="0" fontId="0" fillId="0" borderId="252" xfId="0" applyBorder="1" applyAlignment="1">
      <alignment vertical="center"/>
    </xf>
    <xf numFmtId="0" fontId="0" fillId="0" borderId="253" xfId="0" applyBorder="1" applyAlignment="1">
      <alignment horizontal="center" vertical="center"/>
    </xf>
    <xf numFmtId="0" fontId="0" fillId="0" borderId="254" xfId="0" applyBorder="1" applyAlignment="1">
      <alignment vertical="center"/>
    </xf>
    <xf numFmtId="0" fontId="25" fillId="0" borderId="0" xfId="0" applyFont="1" applyFill="1"/>
    <xf numFmtId="252" fontId="25" fillId="0" borderId="0" xfId="1" applyNumberFormat="1" applyFont="1" applyFill="1"/>
    <xf numFmtId="0" fontId="25" fillId="0" borderId="0" xfId="0" applyFont="1" applyFill="1" applyAlignment="1">
      <alignment horizontal="left"/>
    </xf>
    <xf numFmtId="44" fontId="25" fillId="13" borderId="0" xfId="1" quotePrefix="1" applyNumberFormat="1" applyFont="1" applyFill="1"/>
    <xf numFmtId="44" fontId="25" fillId="0" borderId="0" xfId="1" applyNumberFormat="1" applyFont="1"/>
    <xf numFmtId="44" fontId="25" fillId="22" borderId="0" xfId="1" applyNumberFormat="1" applyFont="1" applyFill="1"/>
    <xf numFmtId="0" fontId="2" fillId="0" borderId="0" xfId="0" applyFont="1" applyFill="1" applyAlignment="1"/>
    <xf numFmtId="9" fontId="7" fillId="0" borderId="0" xfId="4" applyFont="1" applyFill="1" applyBorder="1" applyAlignment="1"/>
    <xf numFmtId="9" fontId="7" fillId="0" borderId="165" xfId="4" applyFont="1" applyBorder="1" applyAlignment="1"/>
    <xf numFmtId="0" fontId="12" fillId="0" borderId="15" xfId="0" applyFont="1" applyFill="1" applyBorder="1" applyAlignment="1">
      <alignment horizontal="center" vertical="center"/>
    </xf>
    <xf numFmtId="0" fontId="6" fillId="0" borderId="59" xfId="0" applyFont="1" applyBorder="1" applyAlignment="1">
      <alignment horizontal="center"/>
    </xf>
    <xf numFmtId="0" fontId="0" fillId="0" borderId="59" xfId="0" applyBorder="1" applyAlignment="1">
      <alignment horizontal="center"/>
    </xf>
    <xf numFmtId="0" fontId="0" fillId="0" borderId="33" xfId="0" applyFill="1" applyBorder="1" applyAlignment="1">
      <alignment horizontal="center"/>
    </xf>
    <xf numFmtId="0" fontId="25" fillId="0" borderId="14" xfId="0" applyFont="1" applyFill="1" applyBorder="1" applyAlignment="1">
      <alignment vertical="center"/>
    </xf>
    <xf numFmtId="189" fontId="0" fillId="0" borderId="1" xfId="0" applyNumberFormat="1" applyFill="1" applyBorder="1" applyAlignment="1">
      <alignment vertical="center"/>
    </xf>
    <xf numFmtId="0" fontId="168" fillId="0" borderId="15" xfId="0" applyFont="1" applyFill="1" applyBorder="1" applyAlignment="1">
      <alignment horizontal="center" vertical="center"/>
    </xf>
    <xf numFmtId="0" fontId="0" fillId="64" borderId="0" xfId="0" applyFill="1"/>
    <xf numFmtId="0" fontId="0" fillId="0" borderId="0" xfId="0" quotePrefix="1" applyFill="1" applyAlignment="1">
      <alignment horizontal="center"/>
    </xf>
    <xf numFmtId="0" fontId="11" fillId="0" borderId="0" xfId="0" applyFont="1" applyFill="1"/>
    <xf numFmtId="0" fontId="0" fillId="0" borderId="33" xfId="0" applyBorder="1" applyAlignment="1">
      <alignment horizontal="center"/>
    </xf>
    <xf numFmtId="0" fontId="4" fillId="0" borderId="195" xfId="0" applyFont="1" applyFill="1" applyBorder="1"/>
    <xf numFmtId="0" fontId="0" fillId="0" borderId="195" xfId="0" applyFill="1" applyBorder="1" applyAlignment="1">
      <alignment horizontal="center"/>
    </xf>
    <xf numFmtId="0" fontId="12" fillId="6" borderId="195" xfId="0" applyFont="1" applyFill="1" applyBorder="1" applyAlignment="1">
      <alignment horizontal="center" vertical="center"/>
    </xf>
    <xf numFmtId="0" fontId="11" fillId="0" borderId="195" xfId="0" applyFont="1" applyFill="1" applyBorder="1"/>
    <xf numFmtId="0" fontId="168" fillId="0" borderId="195" xfId="0" applyFont="1" applyFill="1" applyBorder="1" applyAlignment="1">
      <alignment horizontal="center" vertical="center"/>
    </xf>
    <xf numFmtId="0" fontId="0" fillId="0" borderId="0" xfId="0" applyFill="1" applyBorder="1" applyAlignment="1">
      <alignment horizontal="center"/>
    </xf>
    <xf numFmtId="0" fontId="11" fillId="0" borderId="0" xfId="0" applyFont="1" applyFill="1" applyBorder="1"/>
    <xf numFmtId="0" fontId="0" fillId="0" borderId="195" xfId="0" applyFill="1" applyBorder="1"/>
    <xf numFmtId="0" fontId="12" fillId="57" borderId="195" xfId="0" applyFont="1" applyFill="1" applyBorder="1" applyAlignment="1">
      <alignment horizontal="center" vertical="center"/>
    </xf>
    <xf numFmtId="0" fontId="12" fillId="0" borderId="195" xfId="0" applyFont="1" applyBorder="1"/>
    <xf numFmtId="0" fontId="0" fillId="0" borderId="195" xfId="0" quotePrefix="1" applyFill="1" applyBorder="1" applyAlignment="1">
      <alignment horizontal="center"/>
    </xf>
    <xf numFmtId="0" fontId="4" fillId="0" borderId="1" xfId="0" applyFont="1" applyFill="1" applyBorder="1"/>
    <xf numFmtId="3" fontId="0" fillId="0" borderId="1" xfId="0" applyNumberFormat="1" applyBorder="1"/>
    <xf numFmtId="0" fontId="0" fillId="0" borderId="1" xfId="0" applyFill="1" applyBorder="1" applyAlignment="1">
      <alignment horizontal="center"/>
    </xf>
    <xf numFmtId="0" fontId="12" fillId="6" borderId="1" xfId="0" applyFont="1" applyFill="1" applyBorder="1" applyAlignment="1">
      <alignment horizontal="center" vertical="center"/>
    </xf>
    <xf numFmtId="0" fontId="11" fillId="0" borderId="1" xfId="0" applyFont="1" applyFill="1" applyBorder="1"/>
    <xf numFmtId="0" fontId="92" fillId="0" borderId="0" xfId="0" applyFont="1" applyFill="1"/>
    <xf numFmtId="0" fontId="92" fillId="0" borderId="195" xfId="0" applyFont="1" applyFill="1" applyBorder="1"/>
    <xf numFmtId="2" fontId="168" fillId="0" borderId="195" xfId="0" applyNumberFormat="1" applyFont="1" applyFill="1" applyBorder="1" applyAlignment="1">
      <alignment horizontal="center" vertical="center"/>
    </xf>
    <xf numFmtId="2" fontId="168" fillId="0" borderId="1" xfId="0" applyNumberFormat="1" applyFont="1" applyFill="1" applyBorder="1" applyAlignment="1">
      <alignment horizontal="center" vertical="center"/>
    </xf>
    <xf numFmtId="2" fontId="4" fillId="0" borderId="15" xfId="0" applyNumberFormat="1" applyFont="1" applyFill="1" applyBorder="1" applyAlignment="1">
      <alignment horizontal="center" vertical="center"/>
    </xf>
    <xf numFmtId="0" fontId="7" fillId="0" borderId="14" xfId="2" applyFill="1" applyBorder="1"/>
    <xf numFmtId="0" fontId="78" fillId="0" borderId="14" xfId="2" applyFont="1" applyFill="1" applyBorder="1"/>
    <xf numFmtId="0" fontId="28" fillId="0" borderId="14" xfId="2" applyFont="1" applyFill="1" applyBorder="1"/>
    <xf numFmtId="0" fontId="7" fillId="0" borderId="14" xfId="2" applyFont="1" applyFill="1" applyBorder="1"/>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0" fontId="0" fillId="0" borderId="0" xfId="0" applyAlignment="1">
      <alignment vertical="top"/>
    </xf>
    <xf numFmtId="0" fontId="0" fillId="0" borderId="44" xfId="0" quotePrefix="1" applyFill="1" applyBorder="1"/>
    <xf numFmtId="0" fontId="0" fillId="0" borderId="207" xfId="0" quotePrefix="1" applyFill="1" applyBorder="1"/>
    <xf numFmtId="0" fontId="151" fillId="0" borderId="44" xfId="0" applyFont="1" applyFill="1" applyBorder="1" applyAlignment="1">
      <alignment horizontal="right"/>
    </xf>
    <xf numFmtId="0" fontId="0" fillId="13" borderId="0" xfId="0" applyNumberFormat="1" applyFill="1" applyAlignment="1">
      <alignment horizontal="right"/>
    </xf>
    <xf numFmtId="0" fontId="0" fillId="13" borderId="0" xfId="0" applyNumberFormat="1" applyFill="1" applyAlignment="1">
      <alignment horizontal="right" vertical="center"/>
    </xf>
    <xf numFmtId="0" fontId="8" fillId="0" borderId="0" xfId="7" applyFont="1" applyFill="1" applyAlignment="1">
      <alignment horizontal="left" vertical="center" wrapText="1"/>
    </xf>
    <xf numFmtId="0" fontId="8" fillId="0" borderId="0" xfId="6" applyFont="1" applyFill="1" applyAlignment="1">
      <alignment horizontal="left" vertical="center" wrapText="1"/>
    </xf>
    <xf numFmtId="0" fontId="8" fillId="0" borderId="0" xfId="9" applyFont="1" applyFill="1" applyAlignment="1">
      <alignment horizontal="center" vertical="center" wrapText="1"/>
    </xf>
    <xf numFmtId="0" fontId="8" fillId="0" borderId="0" xfId="6" applyFont="1" applyFill="1" applyAlignment="1">
      <alignment horizontal="center" vertical="center" wrapText="1"/>
    </xf>
    <xf numFmtId="0" fontId="0" fillId="0" borderId="7" xfId="0" applyFill="1" applyBorder="1" applyAlignment="1">
      <alignment vertical="center"/>
    </xf>
    <xf numFmtId="0" fontId="1" fillId="0" borderId="0" xfId="7" applyFont="1" applyFill="1" applyAlignment="1">
      <alignment horizontal="left" vertical="center" wrapText="1"/>
    </xf>
    <xf numFmtId="0" fontId="0" fillId="0" borderId="0" xfId="0" applyAlignment="1">
      <alignment vertical="center"/>
    </xf>
    <xf numFmtId="0" fontId="0" fillId="7" borderId="74" xfId="0" applyFill="1" applyBorder="1" applyAlignment="1">
      <alignment vertical="center"/>
    </xf>
    <xf numFmtId="0" fontId="0" fillId="7" borderId="195" xfId="0" applyFill="1" applyBorder="1" applyAlignment="1">
      <alignment vertical="center"/>
    </xf>
    <xf numFmtId="0" fontId="118" fillId="63" borderId="165" xfId="0" applyFont="1" applyFill="1" applyBorder="1" applyAlignment="1">
      <alignment horizontal="center" vertical="center"/>
    </xf>
    <xf numFmtId="0" fontId="169" fillId="0" borderId="0" xfId="2" applyFont="1" applyFill="1" applyBorder="1" applyAlignment="1">
      <alignment vertical="center" wrapText="1"/>
    </xf>
    <xf numFmtId="0" fontId="0" fillId="0" borderId="0" xfId="0" applyAlignment="1">
      <alignment horizontal="center" vertical="center"/>
    </xf>
    <xf numFmtId="0" fontId="2" fillId="9" borderId="0" xfId="0" applyFont="1" applyFill="1" applyBorder="1" applyAlignment="1">
      <alignment horizontal="left"/>
    </xf>
    <xf numFmtId="8" fontId="12" fillId="0" borderId="23" xfId="0" applyNumberFormat="1" applyFont="1" applyBorder="1" applyAlignment="1" applyProtection="1">
      <alignment vertical="center"/>
      <protection locked="0"/>
    </xf>
    <xf numFmtId="8" fontId="4" fillId="0" borderId="15" xfId="0" applyNumberFormat="1" applyFont="1" applyBorder="1" applyAlignment="1">
      <alignment vertical="center"/>
    </xf>
    <xf numFmtId="9" fontId="0" fillId="0" borderId="99" xfId="4" applyFont="1" applyFill="1" applyBorder="1" applyAlignment="1" applyProtection="1">
      <alignment horizontal="center" vertical="center" wrapText="1"/>
    </xf>
    <xf numFmtId="9" fontId="0" fillId="0" borderId="257" xfId="4" applyFont="1" applyFill="1" applyBorder="1" applyAlignment="1" applyProtection="1">
      <alignment horizontal="center" vertical="center" wrapText="1"/>
    </xf>
    <xf numFmtId="1" fontId="0" fillId="0" borderId="113" xfId="0" applyNumberFormat="1" applyFill="1" applyBorder="1" applyAlignment="1">
      <alignment horizontal="center" vertical="center"/>
    </xf>
    <xf numFmtId="9" fontId="0" fillId="0" borderId="260"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wrapText="1"/>
    </xf>
    <xf numFmtId="0" fontId="25" fillId="0" borderId="38" xfId="0" applyFont="1" applyBorder="1" applyAlignment="1">
      <alignment horizontal="center" vertical="center" wrapText="1"/>
    </xf>
    <xf numFmtId="0" fontId="0" fillId="42" borderId="0" xfId="0" applyFill="1"/>
    <xf numFmtId="0" fontId="2" fillId="0" borderId="263" xfId="0" applyFont="1" applyBorder="1" applyAlignment="1">
      <alignment horizontal="center"/>
    </xf>
    <xf numFmtId="0" fontId="2" fillId="17" borderId="264" xfId="0" applyFont="1" applyFill="1" applyBorder="1" applyAlignment="1">
      <alignment horizontal="center"/>
    </xf>
    <xf numFmtId="40" fontId="12" fillId="6" borderId="265" xfId="0" applyNumberFormat="1" applyFont="1" applyFill="1" applyBorder="1" applyAlignment="1">
      <alignment horizontal="center" vertical="center"/>
    </xf>
    <xf numFmtId="40" fontId="12" fillId="18" borderId="266" xfId="0" applyNumberFormat="1" applyFont="1" applyFill="1" applyBorder="1" applyAlignment="1">
      <alignment horizontal="center" vertical="center"/>
    </xf>
    <xf numFmtId="40" fontId="108" fillId="16" borderId="265" xfId="0" applyNumberFormat="1" applyFont="1" applyFill="1" applyBorder="1" applyAlignment="1">
      <alignment horizontal="center" vertical="center"/>
    </xf>
    <xf numFmtId="40" fontId="108" fillId="16" borderId="266" xfId="0" applyNumberFormat="1" applyFont="1" applyFill="1" applyBorder="1" applyAlignment="1">
      <alignment horizontal="center" vertical="center"/>
    </xf>
    <xf numFmtId="40" fontId="108" fillId="16" borderId="267" xfId="0" applyNumberFormat="1" applyFont="1" applyFill="1" applyBorder="1" applyAlignment="1">
      <alignment horizontal="center" vertical="center"/>
    </xf>
    <xf numFmtId="40" fontId="108" fillId="16" borderId="268" xfId="0" applyNumberFormat="1" applyFont="1" applyFill="1" applyBorder="1" applyAlignment="1">
      <alignment horizontal="center" vertical="center"/>
    </xf>
    <xf numFmtId="40" fontId="108" fillId="16" borderId="269" xfId="0" applyNumberFormat="1" applyFont="1" applyFill="1" applyBorder="1" applyAlignment="1">
      <alignment horizontal="center" vertical="center"/>
    </xf>
    <xf numFmtId="40" fontId="108" fillId="16" borderId="270" xfId="0" applyNumberFormat="1" applyFont="1" applyFill="1" applyBorder="1" applyAlignment="1">
      <alignment horizontal="center" vertical="center"/>
    </xf>
    <xf numFmtId="0" fontId="0" fillId="0" borderId="0" xfId="0" applyAlignment="1">
      <alignment horizontal="left" vertical="top" wrapText="1"/>
    </xf>
    <xf numFmtId="0" fontId="2" fillId="0" borderId="0" xfId="0" applyFont="1" applyAlignment="1">
      <alignment horizontal="left" vertical="top"/>
    </xf>
    <xf numFmtId="0" fontId="0" fillId="0" borderId="0" xfId="0" applyAlignment="1">
      <alignment vertical="top"/>
    </xf>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right" vertical="center"/>
    </xf>
    <xf numFmtId="0" fontId="2" fillId="0" borderId="7" xfId="0" applyFont="1" applyFill="1" applyBorder="1" applyAlignment="1">
      <alignment horizontal="left" vertical="center" wrapText="1"/>
    </xf>
    <xf numFmtId="38" fontId="0" fillId="42" borderId="0" xfId="0" applyNumberFormat="1" applyFill="1" applyAlignment="1">
      <alignment horizontal="center" vertical="center"/>
    </xf>
    <xf numFmtId="38" fontId="0" fillId="42" borderId="0" xfId="0" quotePrefix="1" applyNumberFormat="1" applyFill="1" applyAlignment="1">
      <alignment horizontal="center" vertical="center"/>
    </xf>
    <xf numFmtId="0" fontId="12" fillId="2" borderId="23" xfId="0" applyFont="1" applyFill="1" applyBorder="1" applyAlignment="1">
      <alignment horizontal="center" vertical="center"/>
    </xf>
    <xf numFmtId="0" fontId="12" fillId="2" borderId="271" xfId="0" applyFont="1" applyFill="1" applyBorder="1" applyAlignment="1">
      <alignment horizontal="center" vertical="center"/>
    </xf>
    <xf numFmtId="0" fontId="0" fillId="0" borderId="0" xfId="0" applyAlignment="1">
      <alignment vertical="top"/>
    </xf>
    <xf numFmtId="38" fontId="2" fillId="0" borderId="59" xfId="0" applyNumberFormat="1" applyFont="1" applyFill="1" applyBorder="1" applyAlignment="1">
      <alignment horizontal="center" vertical="center"/>
    </xf>
    <xf numFmtId="0" fontId="2" fillId="0" borderId="59" xfId="0" applyFont="1" applyFill="1" applyBorder="1" applyAlignment="1">
      <alignment horizontal="center" vertical="center"/>
    </xf>
    <xf numFmtId="0" fontId="2" fillId="0" borderId="59" xfId="0" applyFont="1" applyFill="1" applyBorder="1"/>
    <xf numFmtId="0" fontId="92" fillId="0" borderId="0" xfId="0" applyFont="1" applyAlignment="1">
      <alignment vertical="top"/>
    </xf>
    <xf numFmtId="0" fontId="0" fillId="0" borderId="0" xfId="0" applyAlignment="1">
      <alignment horizontal="left" vertical="center"/>
    </xf>
    <xf numFmtId="38" fontId="4" fillId="0" borderId="0" xfId="0" applyNumberFormat="1" applyFont="1" applyAlignment="1">
      <alignment horizontal="center" vertical="center"/>
    </xf>
    <xf numFmtId="0" fontId="4" fillId="0" borderId="0" xfId="0" applyFont="1" applyFill="1" applyAlignment="1">
      <alignment horizontal="left" vertical="center" wrapText="1"/>
    </xf>
    <xf numFmtId="0" fontId="0" fillId="0" borderId="0" xfId="0" applyAlignment="1">
      <alignment horizontal="right"/>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5" fillId="10" borderId="12" xfId="0" applyFont="1" applyFill="1" applyBorder="1" applyAlignment="1">
      <alignment horizontal="center"/>
    </xf>
    <xf numFmtId="0" fontId="5" fillId="10" borderId="2" xfId="0" applyFont="1" applyFill="1" applyBorder="1" applyAlignment="1">
      <alignment horizontal="center"/>
    </xf>
    <xf numFmtId="0" fontId="5" fillId="10" borderId="52" xfId="0" applyFont="1" applyFill="1" applyBorder="1" applyAlignment="1">
      <alignment horizontal="center"/>
    </xf>
    <xf numFmtId="0" fontId="136" fillId="0" borderId="0" xfId="0" applyFont="1" applyBorder="1" applyAlignment="1">
      <alignment vertical="center" wrapText="1"/>
    </xf>
    <xf numFmtId="9" fontId="136" fillId="0" borderId="0" xfId="0" applyNumberFormat="1" applyFont="1" applyBorder="1" applyAlignment="1">
      <alignment horizontal="center" vertical="center" wrapText="1"/>
    </xf>
    <xf numFmtId="0" fontId="0" fillId="64" borderId="0" xfId="0" applyFill="1" applyBorder="1"/>
    <xf numFmtId="0" fontId="136" fillId="0" borderId="0" xfId="0" applyFont="1" applyBorder="1" applyAlignment="1">
      <alignment horizontal="center" vertical="center" wrapText="1"/>
    </xf>
    <xf numFmtId="0" fontId="171" fillId="0" borderId="33" xfId="0" applyFont="1" applyBorder="1" applyAlignment="1">
      <alignment vertical="center" wrapText="1"/>
    </xf>
    <xf numFmtId="0" fontId="171" fillId="0" borderId="33" xfId="0" applyFont="1" applyBorder="1" applyAlignment="1">
      <alignment horizontal="center"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xf numFmtId="49" fontId="12" fillId="2" borderId="195" xfId="0" applyNumberFormat="1" applyFont="1" applyFill="1" applyBorder="1" applyAlignment="1" applyProtection="1">
      <alignment horizontal="right" vertical="center"/>
      <protection locked="0"/>
    </xf>
    <xf numFmtId="0" fontId="12" fillId="2" borderId="195" xfId="0" applyFont="1" applyFill="1" applyBorder="1" applyAlignment="1" applyProtection="1">
      <alignment horizontal="right" vertical="center"/>
      <protection locked="0"/>
    </xf>
    <xf numFmtId="0" fontId="85" fillId="0" borderId="0" xfId="0" applyFont="1" applyFill="1" applyAlignment="1">
      <alignment horizontal="right"/>
    </xf>
    <xf numFmtId="38" fontId="12" fillId="2" borderId="23" xfId="0" applyNumberFormat="1" applyFont="1" applyFill="1" applyBorder="1" applyAlignment="1">
      <alignment horizontal="center" vertical="center" wrapText="1"/>
    </xf>
    <xf numFmtId="0" fontId="12" fillId="6" borderId="15"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4" fillId="0" borderId="0" xfId="0" applyFont="1" applyAlignment="1">
      <alignment horizontal="right" vertical="center"/>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10" fillId="8" borderId="0" xfId="0" applyFont="1" applyFill="1" applyAlignment="1">
      <alignment vertical="center"/>
    </xf>
    <xf numFmtId="0" fontId="25" fillId="0" borderId="16" xfId="0" applyFont="1" applyBorder="1" applyAlignment="1">
      <alignment horizontal="left" vertical="center"/>
    </xf>
    <xf numFmtId="0" fontId="2" fillId="0" borderId="0" xfId="0" quotePrefix="1" applyNumberFormat="1" applyFont="1" applyAlignment="1">
      <alignment vertical="top"/>
    </xf>
    <xf numFmtId="0" fontId="0" fillId="0" borderId="0" xfId="0" applyAlignment="1">
      <alignment horizontal="left" vertical="top"/>
    </xf>
    <xf numFmtId="38" fontId="15" fillId="27" borderId="0" xfId="0" applyNumberFormat="1" applyFont="1" applyFill="1" applyAlignment="1">
      <alignment horizontal="center" vertical="center"/>
    </xf>
    <xf numFmtId="0" fontId="172" fillId="63" borderId="0" xfId="0" applyFont="1" applyFill="1"/>
    <xf numFmtId="254" fontId="15" fillId="27" borderId="56" xfId="0" applyNumberFormat="1" applyFont="1" applyFill="1" applyBorder="1" applyAlignment="1">
      <alignment horizontal="center" vertical="center" wrapText="1"/>
    </xf>
    <xf numFmtId="0" fontId="61" fillId="65" borderId="0" xfId="0" applyFont="1" applyFill="1" applyAlignment="1">
      <alignment horizontal="center" vertical="center" wrapText="1"/>
    </xf>
    <xf numFmtId="0" fontId="121" fillId="65" borderId="0" xfId="0" applyFont="1" applyFill="1" applyAlignment="1">
      <alignment horizontal="left" vertical="center"/>
    </xf>
    <xf numFmtId="0" fontId="4" fillId="65" borderId="0" xfId="0" applyFont="1" applyFill="1" applyAlignment="1">
      <alignment horizontal="center" vertical="center"/>
    </xf>
    <xf numFmtId="0" fontId="0" fillId="65" borderId="0" xfId="0" applyFill="1" applyAlignment="1">
      <alignment horizontal="left" vertical="top"/>
    </xf>
    <xf numFmtId="0" fontId="0" fillId="65" borderId="0" xfId="0" applyFill="1" applyAlignment="1">
      <alignment horizontal="left" vertical="center"/>
    </xf>
    <xf numFmtId="0" fontId="110" fillId="65" borderId="0" xfId="0" applyFont="1" applyFill="1" applyAlignment="1">
      <alignment vertical="top" wrapText="1"/>
    </xf>
    <xf numFmtId="0" fontId="3" fillId="0" borderId="0" xfId="0" applyFont="1" applyFill="1" applyAlignment="1">
      <alignment horizontal="left" vertical="center"/>
    </xf>
    <xf numFmtId="0" fontId="96" fillId="65" borderId="0" xfId="0" applyFont="1" applyFill="1" applyAlignment="1">
      <alignment horizontal="center" vertical="center"/>
    </xf>
    <xf numFmtId="250" fontId="0" fillId="65" borderId="0" xfId="0" applyNumberFormat="1" applyFill="1"/>
    <xf numFmtId="0" fontId="0" fillId="65" borderId="0" xfId="0" applyFill="1"/>
    <xf numFmtId="0" fontId="85" fillId="65" borderId="0" xfId="0" applyFont="1" applyFill="1" applyAlignment="1">
      <alignment horizontal="center" vertical="center" wrapText="1"/>
    </xf>
    <xf numFmtId="0" fontId="119" fillId="0" borderId="0" xfId="0" applyFont="1" applyAlignment="1">
      <alignment horizontal="center" vertical="center"/>
    </xf>
    <xf numFmtId="0" fontId="85" fillId="65" borderId="0" xfId="0" applyFont="1" applyFill="1" applyAlignment="1">
      <alignment horizontal="center" wrapText="1"/>
    </xf>
    <xf numFmtId="255" fontId="15" fillId="27" borderId="56" xfId="0" applyNumberFormat="1" applyFont="1" applyFill="1" applyBorder="1" applyAlignment="1">
      <alignment horizontal="center" vertical="center"/>
    </xf>
    <xf numFmtId="247" fontId="173" fillId="11" borderId="56" xfId="0" applyNumberFormat="1" applyFont="1" applyFill="1" applyBorder="1" applyAlignment="1">
      <alignment horizontal="center" vertical="center" wrapText="1"/>
    </xf>
    <xf numFmtId="38" fontId="12" fillId="6" borderId="56" xfId="0" applyNumberFormat="1" applyFont="1" applyFill="1" applyBorder="1" applyAlignment="1">
      <alignment horizontal="center" vertical="center"/>
    </xf>
    <xf numFmtId="256" fontId="0" fillId="0" borderId="15" xfId="0" quotePrefix="1" applyNumberFormat="1" applyBorder="1" applyAlignment="1">
      <alignment horizontal="center" vertical="center"/>
    </xf>
    <xf numFmtId="257" fontId="0" fillId="0" borderId="16" xfId="0" applyNumberFormat="1" applyBorder="1" applyAlignment="1">
      <alignment horizontal="center" vertical="center"/>
    </xf>
    <xf numFmtId="1" fontId="12" fillId="2" borderId="272" xfId="0" applyNumberFormat="1" applyFont="1" applyFill="1" applyBorder="1" applyAlignment="1" applyProtection="1">
      <alignment horizontal="center" vertical="center"/>
      <protection locked="0"/>
    </xf>
    <xf numFmtId="0" fontId="0" fillId="0" borderId="0" xfId="0" quotePrefix="1" applyAlignment="1"/>
    <xf numFmtId="0" fontId="0" fillId="0" borderId="0" xfId="0" applyAlignment="1">
      <alignment horizontal="left" vertical="center"/>
    </xf>
    <xf numFmtId="38" fontId="4" fillId="0" borderId="0" xfId="0" applyNumberFormat="1" applyFont="1" applyAlignment="1">
      <alignment horizontal="center" vertical="center"/>
    </xf>
    <xf numFmtId="0" fontId="11" fillId="0" borderId="195" xfId="0" applyFont="1" applyBorder="1" applyAlignment="1">
      <alignment horizontal="center" vertical="center"/>
    </xf>
    <xf numFmtId="38" fontId="15" fillId="27" borderId="0" xfId="0" applyNumberFormat="1" applyFont="1" applyFill="1" applyBorder="1" applyAlignment="1">
      <alignment horizontal="center" vertical="center"/>
    </xf>
    <xf numFmtId="9" fontId="12" fillId="6" borderId="15" xfId="4" applyFont="1" applyFill="1" applyBorder="1" applyAlignment="1">
      <alignment horizontal="center" vertical="center"/>
    </xf>
    <xf numFmtId="0" fontId="0" fillId="0" borderId="0" xfId="0" applyBorder="1" applyAlignment="1">
      <alignment horizontal="center" vertical="center" wrapText="1"/>
    </xf>
    <xf numFmtId="0" fontId="0" fillId="0" borderId="0" xfId="0" applyAlignment="1">
      <alignment vertical="center"/>
    </xf>
    <xf numFmtId="9" fontId="0" fillId="0" borderId="0" xfId="4" applyFont="1" applyBorder="1" applyAlignment="1">
      <alignment horizontal="center" vertical="center"/>
    </xf>
    <xf numFmtId="0" fontId="0" fillId="0" borderId="0" xfId="0" applyFill="1" applyBorder="1" applyAlignment="1">
      <alignment horizontal="center" vertical="center"/>
    </xf>
    <xf numFmtId="186" fontId="0" fillId="0" borderId="75" xfId="4" quotePrefix="1" applyNumberFormat="1" applyFont="1" applyFill="1" applyBorder="1" applyAlignment="1">
      <alignment horizontal="center" vertical="center"/>
    </xf>
    <xf numFmtId="0" fontId="0" fillId="0" borderId="75" xfId="0" quotePrefix="1" applyBorder="1" applyAlignment="1">
      <alignment horizontal="center" vertical="center"/>
    </xf>
    <xf numFmtId="0" fontId="0" fillId="0" borderId="53" xfId="0" applyFill="1" applyBorder="1"/>
    <xf numFmtId="0" fontId="0" fillId="0" borderId="75" xfId="0" applyBorder="1" applyAlignment="1">
      <alignment horizontal="right" vertical="center" wrapText="1"/>
    </xf>
    <xf numFmtId="0" fontId="4" fillId="0" borderId="75" xfId="0" applyFont="1" applyFill="1" applyBorder="1" applyAlignment="1">
      <alignment horizontal="center" vertical="center"/>
    </xf>
    <xf numFmtId="0" fontId="0" fillId="16" borderId="75" xfId="0" quotePrefix="1" applyFill="1" applyBorder="1" applyAlignment="1">
      <alignment horizontal="center" vertical="center"/>
    </xf>
    <xf numFmtId="0" fontId="174" fillId="0" borderId="75" xfId="0" applyFont="1" applyFill="1" applyBorder="1" applyAlignment="1">
      <alignment vertical="top"/>
    </xf>
    <xf numFmtId="9" fontId="12" fillId="0" borderId="75" xfId="4" applyFont="1" applyFill="1" applyBorder="1" applyAlignment="1">
      <alignment horizontal="center" vertical="center"/>
    </xf>
    <xf numFmtId="9" fontId="0" fillId="0" borderId="0" xfId="4" applyFont="1" applyFill="1" applyBorder="1" applyAlignment="1">
      <alignment horizontal="center" vertical="center"/>
    </xf>
    <xf numFmtId="0" fontId="12" fillId="6" borderId="53" xfId="0" applyFont="1" applyFill="1" applyBorder="1" applyAlignment="1">
      <alignment horizontal="center" vertical="center"/>
    </xf>
    <xf numFmtId="0" fontId="0" fillId="0" borderId="53" xfId="0" applyBorder="1" applyAlignment="1">
      <alignment horizontal="right" vertical="center"/>
    </xf>
    <xf numFmtId="186" fontId="0" fillId="0" borderId="53" xfId="4" applyNumberFormat="1" applyFont="1" applyBorder="1" applyAlignment="1">
      <alignment horizontal="center" vertical="center"/>
    </xf>
    <xf numFmtId="0" fontId="0" fillId="0" borderId="53" xfId="0" quotePrefix="1" applyBorder="1"/>
    <xf numFmtId="9" fontId="12" fillId="6" borderId="15" xfId="4" applyFont="1" applyFill="1" applyBorder="1" applyAlignment="1">
      <alignment horizontal="center" vertical="center"/>
    </xf>
    <xf numFmtId="0" fontId="0" fillId="0" borderId="0" xfId="0" applyAlignment="1">
      <alignment vertical="center"/>
    </xf>
    <xf numFmtId="0" fontId="6" fillId="0" borderId="53" xfId="0" applyFont="1" applyFill="1" applyBorder="1" applyAlignment="1">
      <alignment horizontal="left" vertical="center"/>
    </xf>
    <xf numFmtId="0" fontId="0" fillId="49" borderId="53" xfId="0" applyFill="1" applyBorder="1" applyAlignment="1">
      <alignment vertical="center"/>
    </xf>
    <xf numFmtId="38" fontId="0" fillId="0" borderId="74" xfId="0" applyNumberFormat="1" applyBorder="1" applyAlignment="1">
      <alignment horizontal="center" vertical="center"/>
    </xf>
    <xf numFmtId="38" fontId="0" fillId="0" borderId="82" xfId="0" applyNumberFormat="1" applyBorder="1" applyAlignment="1">
      <alignment horizontal="center" vertical="center"/>
    </xf>
    <xf numFmtId="0" fontId="0" fillId="0" borderId="201" xfId="0" applyBorder="1" applyAlignment="1">
      <alignment horizontal="center" vertical="center"/>
    </xf>
    <xf numFmtId="0" fontId="9" fillId="0" borderId="10" xfId="0" applyFont="1" applyFill="1" applyBorder="1" applyAlignment="1">
      <alignment vertical="center"/>
    </xf>
    <xf numFmtId="0" fontId="0" fillId="0" borderId="85" xfId="0" applyBorder="1" applyAlignment="1">
      <alignment horizontal="center" vertical="center"/>
    </xf>
    <xf numFmtId="186" fontId="0" fillId="0" borderId="85" xfId="4" applyNumberFormat="1" applyFont="1" applyBorder="1" applyAlignment="1">
      <alignment horizontal="center" vertical="center"/>
    </xf>
    <xf numFmtId="0" fontId="0" fillId="0" borderId="85" xfId="0" applyBorder="1"/>
    <xf numFmtId="0" fontId="0" fillId="0" borderId="85" xfId="0" quotePrefix="1" applyBorder="1"/>
    <xf numFmtId="0" fontId="0" fillId="0" borderId="83" xfId="0" applyFill="1" applyBorder="1"/>
    <xf numFmtId="0" fontId="12" fillId="66" borderId="83" xfId="0" applyFont="1" applyFill="1" applyBorder="1" applyAlignment="1">
      <alignment horizontal="center" vertical="center"/>
    </xf>
    <xf numFmtId="0" fontId="6" fillId="0" borderId="83" xfId="0" quotePrefix="1" applyFont="1" applyFill="1" applyBorder="1" applyAlignment="1">
      <alignment horizontal="left" vertical="center"/>
    </xf>
    <xf numFmtId="0" fontId="0" fillId="0" borderId="83" xfId="0" applyBorder="1"/>
    <xf numFmtId="0" fontId="0" fillId="0" borderId="83" xfId="0" applyBorder="1" applyAlignment="1">
      <alignment horizontal="center" vertical="center"/>
    </xf>
    <xf numFmtId="186" fontId="0" fillId="0" borderId="83" xfId="4" applyNumberFormat="1" applyFont="1" applyBorder="1" applyAlignment="1">
      <alignment horizontal="center" vertical="center"/>
    </xf>
    <xf numFmtId="0" fontId="0" fillId="0" borderId="83" xfId="0" quotePrefix="1" applyBorder="1"/>
    <xf numFmtId="0" fontId="0" fillId="0" borderId="82" xfId="0" applyBorder="1" applyAlignment="1">
      <alignment horizontal="left" vertical="center"/>
    </xf>
    <xf numFmtId="0" fontId="12" fillId="6" borderId="82" xfId="0" applyFont="1" applyFill="1" applyBorder="1" applyAlignment="1">
      <alignment horizontal="center" vertical="center"/>
    </xf>
    <xf numFmtId="0" fontId="6" fillId="0" borderId="82" xfId="0" applyFont="1" applyBorder="1" applyAlignment="1">
      <alignment horizontal="left" vertical="center"/>
    </xf>
    <xf numFmtId="0" fontId="0" fillId="0" borderId="56" xfId="0" applyBorder="1" applyAlignment="1">
      <alignment horizontal="left" vertical="center"/>
    </xf>
    <xf numFmtId="0" fontId="12" fillId="6" borderId="56" xfId="0" applyFont="1" applyFill="1" applyBorder="1" applyAlignment="1">
      <alignment horizontal="center" vertical="center"/>
    </xf>
    <xf numFmtId="0" fontId="6" fillId="0" borderId="56" xfId="0" applyFont="1" applyBorder="1" applyAlignment="1">
      <alignment horizontal="left" vertical="center"/>
    </xf>
    <xf numFmtId="186" fontId="0" fillId="0" borderId="56" xfId="4" applyNumberFormat="1" applyFont="1" applyBorder="1" applyAlignment="1">
      <alignment horizontal="center" vertical="center"/>
    </xf>
    <xf numFmtId="0" fontId="3" fillId="0" borderId="74" xfId="0" applyFont="1" applyBorder="1" applyAlignment="1">
      <alignment horizontal="center" vertical="center"/>
    </xf>
    <xf numFmtId="0" fontId="3" fillId="0" borderId="15" xfId="0" applyFont="1" applyBorder="1" applyAlignment="1">
      <alignment horizontal="center" vertical="center"/>
    </xf>
    <xf numFmtId="0" fontId="0" fillId="0" borderId="0" xfId="0" quotePrefix="1" applyFill="1" applyBorder="1" applyAlignment="1">
      <alignment horizontal="center" vertical="center"/>
    </xf>
    <xf numFmtId="9" fontId="0" fillId="0" borderId="143" xfId="4" applyFont="1" applyBorder="1" applyAlignment="1">
      <alignment horizontal="center" vertical="center"/>
    </xf>
    <xf numFmtId="9" fontId="12" fillId="0" borderId="143" xfId="4" applyFont="1" applyFill="1" applyBorder="1" applyAlignment="1">
      <alignment horizontal="center" vertical="center"/>
    </xf>
    <xf numFmtId="0" fontId="58" fillId="0" borderId="143" xfId="0" applyFont="1" applyFill="1" applyBorder="1" applyAlignment="1">
      <alignment vertical="center"/>
    </xf>
    <xf numFmtId="0" fontId="0" fillId="0" borderId="143" xfId="0" applyBorder="1"/>
    <xf numFmtId="186" fontId="0" fillId="0" borderId="143" xfId="4" quotePrefix="1" applyNumberFormat="1" applyFont="1" applyFill="1" applyBorder="1" applyAlignment="1">
      <alignment horizontal="center" vertical="center"/>
    </xf>
    <xf numFmtId="0" fontId="0" fillId="0" borderId="143" xfId="0" applyFill="1" applyBorder="1" applyAlignment="1">
      <alignment horizontal="center" vertical="center"/>
    </xf>
    <xf numFmtId="0" fontId="0" fillId="0" borderId="143" xfId="0" quotePrefix="1" applyBorder="1" applyAlignment="1">
      <alignment horizontal="center" vertical="center"/>
    </xf>
    <xf numFmtId="0" fontId="0" fillId="16" borderId="143" xfId="0" quotePrefix="1" applyFill="1" applyBorder="1" applyAlignment="1">
      <alignment horizontal="center" vertical="center"/>
    </xf>
    <xf numFmtId="0" fontId="0" fillId="0" borderId="143" xfId="0" applyFill="1" applyBorder="1" applyAlignment="1">
      <alignment vertical="center"/>
    </xf>
    <xf numFmtId="0" fontId="0" fillId="49" borderId="15" xfId="0" applyFill="1" applyBorder="1"/>
    <xf numFmtId="0" fontId="0" fillId="49" borderId="53" xfId="0" applyFill="1" applyBorder="1"/>
    <xf numFmtId="0" fontId="58" fillId="49" borderId="0" xfId="0" applyFont="1" applyFill="1" applyBorder="1" applyAlignment="1">
      <alignment vertical="center"/>
    </xf>
    <xf numFmtId="0" fontId="58" fillId="49" borderId="53" xfId="0" applyFont="1" applyFill="1" applyBorder="1" applyAlignment="1">
      <alignment vertical="center"/>
    </xf>
    <xf numFmtId="0" fontId="58" fillId="49" borderId="15" xfId="0" applyFont="1" applyFill="1" applyBorder="1"/>
    <xf numFmtId="0" fontId="85" fillId="0" borderId="0" xfId="0" applyFont="1" applyAlignment="1">
      <alignment vertical="center"/>
    </xf>
    <xf numFmtId="0" fontId="0" fillId="67" borderId="16" xfId="0" applyFill="1" applyBorder="1" applyAlignment="1">
      <alignment vertical="center"/>
    </xf>
    <xf numFmtId="0" fontId="0" fillId="67" borderId="15" xfId="0" applyFill="1" applyBorder="1" applyAlignment="1">
      <alignment vertical="center"/>
    </xf>
    <xf numFmtId="0" fontId="0" fillId="67" borderId="16" xfId="0" applyFill="1" applyBorder="1"/>
    <xf numFmtId="0" fontId="0" fillId="67" borderId="16" xfId="0" quotePrefix="1" applyFill="1" applyBorder="1"/>
    <xf numFmtId="0" fontId="4" fillId="67" borderId="15" xfId="0" applyFont="1" applyFill="1" applyBorder="1"/>
    <xf numFmtId="9" fontId="12" fillId="67" borderId="143" xfId="4" applyFont="1" applyFill="1" applyBorder="1" applyAlignment="1">
      <alignment horizontal="center" vertical="center"/>
    </xf>
    <xf numFmtId="0" fontId="0" fillId="67" borderId="143" xfId="0" applyFill="1" applyBorder="1" applyAlignment="1">
      <alignment vertical="center"/>
    </xf>
    <xf numFmtId="0" fontId="4" fillId="67" borderId="143" xfId="0" applyFont="1" applyFill="1" applyBorder="1"/>
    <xf numFmtId="0" fontId="0" fillId="67" borderId="143" xfId="0" applyFill="1" applyBorder="1"/>
    <xf numFmtId="186" fontId="0" fillId="67" borderId="143" xfId="4" quotePrefix="1" applyNumberFormat="1" applyFont="1" applyFill="1" applyBorder="1" applyAlignment="1">
      <alignment horizontal="center" vertical="center"/>
    </xf>
    <xf numFmtId="0" fontId="0" fillId="67" borderId="143" xfId="0" quotePrefix="1" applyFill="1" applyBorder="1" applyAlignment="1">
      <alignment horizontal="center" vertical="center"/>
    </xf>
    <xf numFmtId="0" fontId="0" fillId="67" borderId="53" xfId="0" applyFill="1" applyBorder="1" applyAlignment="1">
      <alignment vertical="center"/>
    </xf>
    <xf numFmtId="0" fontId="0" fillId="67" borderId="15" xfId="0" applyFill="1" applyBorder="1"/>
    <xf numFmtId="0" fontId="0" fillId="67" borderId="53" xfId="0" applyFill="1" applyBorder="1"/>
    <xf numFmtId="0" fontId="9" fillId="21" borderId="273" xfId="0" applyFont="1" applyFill="1" applyBorder="1" applyAlignment="1">
      <alignment horizontal="left"/>
    </xf>
    <xf numFmtId="0" fontId="9" fillId="21" borderId="74" xfId="0" applyFont="1" applyFill="1" applyBorder="1" applyAlignment="1">
      <alignment horizontal="left"/>
    </xf>
    <xf numFmtId="0" fontId="9" fillId="21" borderId="274" xfId="0" applyFont="1" applyFill="1" applyBorder="1" applyAlignment="1">
      <alignment horizontal="left"/>
    </xf>
    <xf numFmtId="0" fontId="9" fillId="21" borderId="76" xfId="0" applyFont="1" applyFill="1" applyBorder="1" applyAlignment="1">
      <alignment horizontal="left"/>
    </xf>
    <xf numFmtId="0" fontId="12" fillId="6" borderId="76" xfId="0" applyFont="1" applyFill="1" applyBorder="1" applyAlignment="1">
      <alignment horizontal="center" vertical="center"/>
    </xf>
    <xf numFmtId="0" fontId="0" fillId="0" borderId="0" xfId="0" applyAlignment="1">
      <alignment vertical="top"/>
    </xf>
    <xf numFmtId="0" fontId="0" fillId="7" borderId="0" xfId="0" applyFill="1" applyAlignment="1">
      <alignment horizontal="left" vertical="center"/>
    </xf>
    <xf numFmtId="0" fontId="0" fillId="0" borderId="0" xfId="0" applyAlignment="1">
      <alignment horizontal="left" vertical="center"/>
    </xf>
    <xf numFmtId="0" fontId="0" fillId="0" borderId="0" xfId="0" applyAlignment="1">
      <alignment horizontal="left"/>
    </xf>
    <xf numFmtId="0" fontId="0" fillId="0" borderId="0" xfId="0" applyAlignment="1">
      <alignment vertical="top"/>
    </xf>
    <xf numFmtId="166" fontId="10" fillId="0" borderId="0" xfId="0" applyNumberFormat="1" applyFont="1" applyAlignment="1">
      <alignment horizontal="right" vertical="top" indent="1"/>
    </xf>
    <xf numFmtId="166" fontId="2" fillId="0" borderId="0" xfId="0" applyNumberFormat="1" applyFont="1" applyAlignment="1">
      <alignment horizontal="right" vertical="top" indent="1"/>
    </xf>
    <xf numFmtId="0" fontId="156" fillId="0" borderId="0" xfId="0" applyFont="1" applyFill="1" applyAlignment="1">
      <alignment horizontal="center" vertical="center" wrapText="1"/>
    </xf>
    <xf numFmtId="0" fontId="0" fillId="68" borderId="0" xfId="0" applyFill="1" applyAlignment="1">
      <alignment horizontal="center" vertical="center" wrapText="1"/>
    </xf>
    <xf numFmtId="0" fontId="0" fillId="68" borderId="0" xfId="0" applyFill="1"/>
    <xf numFmtId="0" fontId="0" fillId="68" borderId="0" xfId="0" applyFill="1" applyAlignment="1">
      <alignment horizontal="center" vertical="center"/>
    </xf>
    <xf numFmtId="40" fontId="39" fillId="11" borderId="0" xfId="2" applyNumberFormat="1" applyFont="1" applyFill="1" applyProtection="1">
      <protection locked="0"/>
    </xf>
    <xf numFmtId="0" fontId="0" fillId="69" borderId="0" xfId="0" applyFill="1" applyAlignment="1">
      <alignment horizontal="center" vertical="center"/>
    </xf>
    <xf numFmtId="0" fontId="0" fillId="50" borderId="0" xfId="0" applyFill="1"/>
    <xf numFmtId="0" fontId="0" fillId="0" borderId="275" xfId="0" applyBorder="1"/>
    <xf numFmtId="0" fontId="0" fillId="0" borderId="276" xfId="0" quotePrefix="1" applyFill="1" applyBorder="1"/>
    <xf numFmtId="0" fontId="175" fillId="67" borderId="143" xfId="0" applyFont="1" applyFill="1" applyBorder="1" applyAlignment="1">
      <alignment vertical="top"/>
    </xf>
    <xf numFmtId="0" fontId="176" fillId="0" borderId="143" xfId="0" applyFont="1" applyFill="1" applyBorder="1" applyAlignment="1">
      <alignment vertical="top"/>
    </xf>
    <xf numFmtId="0" fontId="119" fillId="0" borderId="15" xfId="0" applyFont="1" applyBorder="1" applyAlignment="1">
      <alignment vertical="center"/>
    </xf>
    <xf numFmtId="0" fontId="125" fillId="49" borderId="1" xfId="0" applyFont="1" applyFill="1" applyBorder="1" applyAlignment="1">
      <alignment vertical="center"/>
    </xf>
    <xf numFmtId="9" fontId="136" fillId="0" borderId="275" xfId="0" applyNumberFormat="1" applyFont="1" applyFill="1" applyBorder="1" applyAlignment="1">
      <alignment horizontal="center" vertical="center" wrapText="1"/>
    </xf>
    <xf numFmtId="0" fontId="0" fillId="0" borderId="275" xfId="0" applyBorder="1" applyAlignment="1">
      <alignment horizontal="center" vertical="center"/>
    </xf>
    <xf numFmtId="178" fontId="0" fillId="0" borderId="57" xfId="0" applyNumberFormat="1" applyBorder="1" applyAlignment="1">
      <alignment horizontal="center" vertical="center"/>
    </xf>
    <xf numFmtId="0" fontId="0" fillId="0" borderId="57" xfId="0" applyBorder="1"/>
    <xf numFmtId="0" fontId="0" fillId="0" borderId="0" xfId="0" applyAlignment="1">
      <alignment horizontal="left" vertical="top" wrapText="1"/>
    </xf>
    <xf numFmtId="0" fontId="0" fillId="0" borderId="0" xfId="0" applyAlignment="1">
      <alignment horizontal="left" vertical="top"/>
    </xf>
    <xf numFmtId="0" fontId="3" fillId="0" borderId="0" xfId="0" applyFont="1" applyAlignment="1">
      <alignment horizontal="left" vertical="top" wrapText="1"/>
    </xf>
    <xf numFmtId="38" fontId="4" fillId="0" borderId="0" xfId="0" applyNumberFormat="1" applyFont="1" applyAlignment="1">
      <alignment horizontal="center" vertical="center"/>
    </xf>
    <xf numFmtId="0" fontId="4" fillId="0" borderId="0" xfId="0" applyFont="1" applyAlignment="1">
      <alignment horizontal="left"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0" xfId="0" applyFont="1" applyFill="1" applyBorder="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6" xfId="0" applyFill="1" applyBorder="1"/>
    <xf numFmtId="0" fontId="0" fillId="10" borderId="0" xfId="0" applyFill="1"/>
    <xf numFmtId="8" fontId="4" fillId="0" borderId="0" xfId="0" applyNumberFormat="1" applyFont="1" applyBorder="1" applyAlignment="1">
      <alignment horizontal="right" vertical="center"/>
    </xf>
    <xf numFmtId="0" fontId="0" fillId="13" borderId="0" xfId="0" applyFill="1" applyBorder="1" applyAlignment="1">
      <alignment vertical="center"/>
    </xf>
    <xf numFmtId="8" fontId="4" fillId="0" borderId="53" xfId="0" applyNumberFormat="1" applyFont="1" applyBorder="1" applyAlignment="1">
      <alignment horizontal="right" vertical="center"/>
    </xf>
    <xf numFmtId="8" fontId="4" fillId="0" borderId="17" xfId="0" applyNumberFormat="1" applyFont="1" applyBorder="1" applyAlignment="1">
      <alignment horizontal="right" vertical="center"/>
    </xf>
    <xf numFmtId="8" fontId="4" fillId="0" borderId="54" xfId="0" applyNumberFormat="1" applyFont="1" applyBorder="1" applyAlignment="1">
      <alignment horizontal="right" vertical="center"/>
    </xf>
    <xf numFmtId="230" fontId="25" fillId="26" borderId="16" xfId="0" applyNumberFormat="1" applyFont="1" applyFill="1" applyBorder="1" applyAlignment="1">
      <alignment horizontal="center" vertical="center"/>
    </xf>
    <xf numFmtId="0" fontId="3" fillId="26" borderId="53" xfId="0" applyFont="1" applyFill="1" applyBorder="1" applyAlignment="1">
      <alignment horizontal="center" vertical="center"/>
    </xf>
    <xf numFmtId="38" fontId="12" fillId="6" borderId="53" xfId="0" applyNumberFormat="1" applyFont="1" applyFill="1" applyBorder="1" applyAlignment="1">
      <alignment horizontal="right" vertical="center"/>
    </xf>
    <xf numFmtId="230" fontId="25" fillId="70" borderId="17" xfId="0" applyNumberFormat="1" applyFont="1" applyFill="1" applyBorder="1" applyAlignment="1">
      <alignment horizontal="center" vertical="center"/>
    </xf>
    <xf numFmtId="9" fontId="12" fillId="6" borderId="17" xfId="4" applyFont="1" applyFill="1" applyBorder="1" applyAlignment="1">
      <alignment horizontal="right" vertical="center"/>
    </xf>
    <xf numFmtId="0" fontId="0" fillId="13" borderId="16" xfId="0" applyFill="1" applyBorder="1" applyAlignment="1">
      <alignment horizontal="center" vertical="center"/>
    </xf>
    <xf numFmtId="0" fontId="3" fillId="13" borderId="16" xfId="0" applyFont="1" applyFill="1" applyBorder="1" applyAlignment="1">
      <alignment horizontal="center" vertical="center"/>
    </xf>
    <xf numFmtId="0" fontId="3" fillId="13" borderId="54" xfId="0" applyFont="1" applyFill="1" applyBorder="1" applyAlignment="1">
      <alignment horizontal="center" vertical="center"/>
    </xf>
    <xf numFmtId="38" fontId="12" fillId="6" borderId="54" xfId="0" applyNumberFormat="1" applyFont="1" applyFill="1" applyBorder="1" applyAlignment="1">
      <alignment horizontal="right" vertical="center"/>
    </xf>
    <xf numFmtId="0" fontId="3" fillId="71" borderId="17" xfId="0" applyFont="1" applyFill="1" applyBorder="1" applyAlignment="1">
      <alignment horizontal="center" vertical="center"/>
    </xf>
    <xf numFmtId="38" fontId="12" fillId="6" borderId="17" xfId="0" applyNumberFormat="1" applyFont="1" applyFill="1" applyBorder="1" applyAlignment="1">
      <alignment horizontal="right" vertical="center"/>
    </xf>
    <xf numFmtId="0" fontId="3" fillId="71" borderId="16" xfId="0" applyFont="1" applyFill="1" applyBorder="1" applyAlignment="1">
      <alignment horizontal="center" vertical="center"/>
    </xf>
    <xf numFmtId="0" fontId="3" fillId="71" borderId="54" xfId="0" applyFont="1" applyFill="1" applyBorder="1" applyAlignment="1">
      <alignment horizontal="center" vertical="center"/>
    </xf>
    <xf numFmtId="230" fontId="25" fillId="36" borderId="17" xfId="0" applyNumberFormat="1" applyFont="1" applyFill="1" applyBorder="1" applyAlignment="1">
      <alignment horizontal="center" vertical="center"/>
    </xf>
    <xf numFmtId="0" fontId="0" fillId="70" borderId="17" xfId="0" applyFill="1" applyBorder="1" applyAlignment="1">
      <alignment vertical="center"/>
    </xf>
    <xf numFmtId="0" fontId="0" fillId="70" borderId="17" xfId="0" applyFill="1" applyBorder="1" applyAlignment="1">
      <alignment horizontal="center" vertical="center"/>
    </xf>
    <xf numFmtId="0" fontId="0" fillId="13" borderId="16" xfId="0" applyFill="1" applyBorder="1" applyAlignment="1">
      <alignment vertical="center"/>
    </xf>
    <xf numFmtId="0" fontId="0" fillId="13" borderId="54" xfId="0" applyFill="1" applyBorder="1" applyAlignment="1">
      <alignment vertical="center"/>
    </xf>
    <xf numFmtId="0" fontId="0" fillId="13" borderId="54" xfId="0" applyFill="1" applyBorder="1" applyAlignment="1">
      <alignment horizontal="center" vertical="center"/>
    </xf>
    <xf numFmtId="0" fontId="0" fillId="71" borderId="17" xfId="0" applyFill="1" applyBorder="1" applyAlignment="1">
      <alignment vertical="center"/>
    </xf>
    <xf numFmtId="0" fontId="0" fillId="71" borderId="17" xfId="0" applyFill="1" applyBorder="1" applyAlignment="1">
      <alignment horizontal="center" vertical="center"/>
    </xf>
    <xf numFmtId="0" fontId="0" fillId="71" borderId="16" xfId="0" applyFill="1" applyBorder="1" applyAlignment="1">
      <alignment vertical="center"/>
    </xf>
    <xf numFmtId="0" fontId="0" fillId="71" borderId="16" xfId="0" applyFill="1" applyBorder="1" applyAlignment="1">
      <alignment horizontal="center" vertical="center"/>
    </xf>
    <xf numFmtId="0" fontId="0" fillId="71" borderId="54" xfId="0" applyFill="1" applyBorder="1" applyAlignment="1">
      <alignment vertical="center"/>
    </xf>
    <xf numFmtId="0" fontId="0" fillId="71" borderId="54" xfId="0" applyFill="1" applyBorder="1" applyAlignment="1">
      <alignment horizontal="center" vertical="center"/>
    </xf>
    <xf numFmtId="0" fontId="0" fillId="71" borderId="15" xfId="0" applyFill="1" applyBorder="1" applyAlignment="1">
      <alignment horizontal="center" vertical="center"/>
    </xf>
    <xf numFmtId="0" fontId="0" fillId="71" borderId="15" xfId="0" applyFill="1" applyBorder="1" applyAlignment="1">
      <alignment vertical="center"/>
    </xf>
    <xf numFmtId="0" fontId="8" fillId="0" borderId="16" xfId="0" applyFont="1" applyBorder="1" applyAlignment="1">
      <alignment horizontal="center"/>
    </xf>
    <xf numFmtId="0" fontId="12" fillId="6" borderId="54" xfId="0" applyFont="1" applyFill="1" applyBorder="1" applyAlignment="1">
      <alignment horizontal="center" vertical="center"/>
    </xf>
    <xf numFmtId="0" fontId="179" fillId="0" borderId="162" xfId="0" applyFont="1" applyBorder="1" applyAlignment="1">
      <alignment horizontal="center"/>
    </xf>
    <xf numFmtId="0" fontId="12" fillId="6" borderId="160" xfId="0" applyFont="1" applyFill="1" applyBorder="1" applyAlignment="1">
      <alignment horizontal="center" vertical="center"/>
    </xf>
    <xf numFmtId="0" fontId="5" fillId="0" borderId="283" xfId="0" applyFont="1" applyBorder="1" applyAlignment="1">
      <alignment horizontal="center"/>
    </xf>
    <xf numFmtId="0" fontId="5" fillId="0" borderId="162" xfId="0" applyFont="1" applyBorder="1" applyAlignment="1">
      <alignment horizontal="center"/>
    </xf>
    <xf numFmtId="0" fontId="12" fillId="6" borderId="11" xfId="0" applyFont="1" applyFill="1" applyBorder="1" applyAlignment="1">
      <alignment horizontal="center" vertical="center"/>
    </xf>
    <xf numFmtId="171" fontId="12" fillId="2" borderId="275" xfId="0" applyNumberFormat="1" applyFont="1" applyFill="1" applyBorder="1" applyAlignment="1" applyProtection="1">
      <alignment horizontal="right" vertical="center"/>
      <protection locked="0"/>
    </xf>
    <xf numFmtId="6" fontId="4" fillId="0" borderId="275" xfId="0" applyNumberFormat="1" applyFont="1" applyBorder="1" applyAlignment="1">
      <alignment horizontal="right"/>
    </xf>
    <xf numFmtId="6" fontId="4" fillId="0" borderId="275" xfId="0" applyNumberFormat="1" applyFont="1" applyBorder="1" applyAlignment="1">
      <alignment horizontal="right" vertical="center"/>
    </xf>
    <xf numFmtId="9" fontId="12" fillId="6" borderId="0" xfId="4" applyFont="1" applyFill="1" applyBorder="1" applyAlignment="1">
      <alignment horizontal="right" vertical="center"/>
    </xf>
    <xf numFmtId="0" fontId="5" fillId="0" borderId="10" xfId="0" applyFont="1" applyFill="1" applyBorder="1" applyAlignment="1">
      <alignment horizontal="center"/>
    </xf>
    <xf numFmtId="0" fontId="5" fillId="0" borderId="10" xfId="0" applyFont="1" applyBorder="1" applyAlignment="1">
      <alignment horizontal="center"/>
    </xf>
    <xf numFmtId="0" fontId="5" fillId="0" borderId="53" xfId="0" applyFont="1" applyBorder="1" applyAlignment="1">
      <alignment horizontal="right"/>
    </xf>
    <xf numFmtId="8" fontId="4" fillId="0" borderId="75" xfId="0" applyNumberFormat="1" applyFont="1" applyBorder="1" applyAlignment="1">
      <alignment horizontal="right" vertical="center"/>
    </xf>
    <xf numFmtId="0" fontId="3" fillId="71" borderId="53" xfId="0" applyFont="1" applyFill="1" applyBorder="1" applyAlignment="1">
      <alignment horizontal="center" vertical="center"/>
    </xf>
    <xf numFmtId="0" fontId="0" fillId="71" borderId="53" xfId="0" applyFill="1" applyBorder="1" applyAlignment="1">
      <alignment vertical="center"/>
    </xf>
    <xf numFmtId="0" fontId="0" fillId="71" borderId="53" xfId="0" applyFill="1" applyBorder="1" applyAlignment="1">
      <alignment horizontal="center" vertical="center"/>
    </xf>
    <xf numFmtId="0" fontId="0" fillId="36" borderId="17" xfId="0" applyFill="1" applyBorder="1" applyAlignment="1">
      <alignment vertical="center"/>
    </xf>
    <xf numFmtId="0" fontId="0" fillId="36" borderId="17" xfId="0" applyFill="1" applyBorder="1" applyAlignment="1">
      <alignment horizontal="center" vertical="center"/>
    </xf>
    <xf numFmtId="0" fontId="0" fillId="36" borderId="54" xfId="0" applyFill="1" applyBorder="1" applyAlignment="1">
      <alignment vertical="center"/>
    </xf>
    <xf numFmtId="0" fontId="0" fillId="36" borderId="54" xfId="0" applyFill="1" applyBorder="1" applyAlignment="1">
      <alignment horizontal="center" vertical="center"/>
    </xf>
    <xf numFmtId="0" fontId="4" fillId="0" borderId="15" xfId="0" applyFont="1" applyBorder="1" applyAlignment="1">
      <alignment horizontal="right" vertical="center"/>
    </xf>
    <xf numFmtId="9" fontId="12" fillId="6" borderId="54" xfId="4" applyFont="1" applyFill="1" applyBorder="1" applyAlignment="1">
      <alignment horizontal="right" vertical="center"/>
    </xf>
    <xf numFmtId="0" fontId="4" fillId="0" borderId="54" xfId="0" applyFont="1" applyBorder="1" applyAlignment="1">
      <alignment horizontal="center" vertical="center"/>
    </xf>
    <xf numFmtId="8" fontId="4" fillId="0" borderId="54" xfId="0" applyNumberFormat="1" applyFont="1" applyFill="1" applyBorder="1" applyAlignment="1">
      <alignment horizontal="right" vertical="center"/>
    </xf>
    <xf numFmtId="0" fontId="12" fillId="6" borderId="275" xfId="0" applyFont="1" applyFill="1" applyBorder="1" applyAlignment="1">
      <alignment horizontal="center" vertical="center"/>
    </xf>
    <xf numFmtId="0" fontId="0" fillId="71" borderId="0" xfId="0" applyFill="1" applyBorder="1" applyAlignment="1">
      <alignment horizontal="center" vertical="center"/>
    </xf>
    <xf numFmtId="0" fontId="0" fillId="71" borderId="0" xfId="0" applyFill="1" applyBorder="1" applyAlignment="1">
      <alignment vertical="center"/>
    </xf>
    <xf numFmtId="0" fontId="4" fillId="0" borderId="0" xfId="0" applyFont="1" applyBorder="1" applyAlignment="1">
      <alignment horizontal="center" vertical="center"/>
    </xf>
    <xf numFmtId="8" fontId="4" fillId="0" borderId="54" xfId="0" applyNumberFormat="1" applyFont="1" applyBorder="1" applyAlignment="1">
      <alignment horizontal="left" vertical="center"/>
    </xf>
    <xf numFmtId="0" fontId="12" fillId="6" borderId="276" xfId="0" applyFont="1" applyFill="1" applyBorder="1" applyAlignment="1">
      <alignment horizontal="center" vertical="center"/>
    </xf>
    <xf numFmtId="0" fontId="0" fillId="36" borderId="16" xfId="0" applyFill="1" applyBorder="1" applyAlignment="1">
      <alignment vertical="center"/>
    </xf>
    <xf numFmtId="0" fontId="0" fillId="0" borderId="82" xfId="0" applyFill="1" applyBorder="1" applyAlignment="1">
      <alignment horizontal="left" vertical="center"/>
    </xf>
    <xf numFmtId="0" fontId="0" fillId="0" borderId="56" xfId="0" applyFill="1" applyBorder="1" applyAlignment="1">
      <alignment horizontal="left" vertical="center"/>
    </xf>
    <xf numFmtId="0" fontId="0" fillId="0" borderId="5" xfId="0" applyFill="1" applyBorder="1" applyAlignment="1">
      <alignment horizontal="right" vertical="center"/>
    </xf>
    <xf numFmtId="186" fontId="0" fillId="0" borderId="6" xfId="4" applyNumberFormat="1" applyFont="1" applyFill="1" applyBorder="1" applyAlignment="1">
      <alignment horizontal="center" vertical="center"/>
    </xf>
    <xf numFmtId="0" fontId="13" fillId="0" borderId="284" xfId="0" quotePrefix="1" applyFont="1" applyBorder="1" applyAlignment="1">
      <alignment horizontal="center"/>
    </xf>
    <xf numFmtId="0" fontId="13" fillId="0" borderId="284" xfId="0" applyFont="1" applyBorder="1" applyAlignment="1">
      <alignment horizontal="center"/>
    </xf>
    <xf numFmtId="9" fontId="0" fillId="0" borderId="285" xfId="4" quotePrefix="1" applyFont="1" applyBorder="1" applyAlignment="1">
      <alignment horizontal="center" vertical="center"/>
    </xf>
    <xf numFmtId="9" fontId="0" fillId="0" borderId="286" xfId="4" quotePrefix="1" applyFont="1" applyBorder="1" applyAlignment="1">
      <alignment horizontal="center" vertical="center"/>
    </xf>
    <xf numFmtId="9" fontId="0" fillId="0" borderId="287" xfId="4" quotePrefix="1" applyFont="1" applyBorder="1" applyAlignment="1">
      <alignment horizontal="center" vertical="center"/>
    </xf>
    <xf numFmtId="0" fontId="0" fillId="16" borderId="285" xfId="0" quotePrefix="1" applyFill="1" applyBorder="1" applyAlignment="1">
      <alignment horizontal="center" vertical="center"/>
    </xf>
    <xf numFmtId="0" fontId="0" fillId="16" borderId="286" xfId="0" quotePrefix="1" applyFill="1" applyBorder="1" applyAlignment="1">
      <alignment horizontal="center" vertical="center"/>
    </xf>
    <xf numFmtId="0" fontId="0" fillId="16" borderId="287" xfId="0" quotePrefix="1" applyFill="1" applyBorder="1" applyAlignment="1">
      <alignment horizontal="center" vertical="center"/>
    </xf>
    <xf numFmtId="0" fontId="0" fillId="16" borderId="288" xfId="0" quotePrefix="1" applyFill="1" applyBorder="1" applyAlignment="1">
      <alignment horizontal="center" vertical="center"/>
    </xf>
    <xf numFmtId="9" fontId="0" fillId="0" borderId="288" xfId="4" quotePrefix="1" applyFont="1" applyBorder="1" applyAlignment="1">
      <alignment horizontal="center" vertical="center"/>
    </xf>
    <xf numFmtId="0" fontId="0" fillId="0" borderId="286" xfId="0" quotePrefix="1" applyFill="1" applyBorder="1" applyAlignment="1">
      <alignment horizontal="center" vertical="center"/>
    </xf>
    <xf numFmtId="9" fontId="0" fillId="0" borderId="286" xfId="4" quotePrefix="1" applyFont="1" applyFill="1" applyBorder="1" applyAlignment="1">
      <alignment horizontal="center" vertical="center"/>
    </xf>
    <xf numFmtId="0" fontId="0" fillId="0" borderId="286" xfId="0" applyBorder="1" applyAlignment="1">
      <alignment horizontal="center" vertical="center"/>
    </xf>
    <xf numFmtId="0" fontId="0" fillId="0" borderId="286" xfId="0" applyBorder="1" applyAlignment="1">
      <alignment horizontal="center" vertical="center" wrapText="1"/>
    </xf>
    <xf numFmtId="0" fontId="0" fillId="7" borderId="0" xfId="0" applyFill="1" applyBorder="1" applyAlignment="1">
      <alignment vertical="center"/>
    </xf>
    <xf numFmtId="0" fontId="0" fillId="0" borderId="275" xfId="0" applyBorder="1" applyAlignment="1">
      <alignment horizontal="center" vertical="center" wrapText="1"/>
    </xf>
    <xf numFmtId="0" fontId="12" fillId="2" borderId="23" xfId="0" applyFont="1" applyFill="1" applyBorder="1" applyAlignment="1" applyProtection="1">
      <alignment vertical="center"/>
    </xf>
    <xf numFmtId="0" fontId="26" fillId="2" borderId="23" xfId="0" applyFont="1" applyFill="1" applyBorder="1" applyAlignment="1" applyProtection="1">
      <alignment vertical="center" wrapText="1"/>
    </xf>
    <xf numFmtId="0" fontId="0" fillId="10" borderId="75" xfId="0" applyFill="1" applyBorder="1"/>
    <xf numFmtId="0" fontId="9" fillId="42" borderId="0" xfId="0" applyFont="1" applyFill="1"/>
    <xf numFmtId="0" fontId="6" fillId="42" borderId="6" xfId="0" applyFont="1" applyFill="1" applyBorder="1" applyAlignment="1">
      <alignment horizontal="center"/>
    </xf>
    <xf numFmtId="0" fontId="6" fillId="42" borderId="7" xfId="0" applyFont="1" applyFill="1" applyBorder="1" applyAlignment="1">
      <alignment horizontal="center"/>
    </xf>
    <xf numFmtId="40" fontId="12" fillId="72" borderId="56" xfId="0" applyNumberFormat="1" applyFont="1" applyFill="1" applyBorder="1" applyAlignment="1">
      <alignment horizontal="center" vertical="center"/>
    </xf>
    <xf numFmtId="0" fontId="0" fillId="73" borderId="0" xfId="0" applyFill="1"/>
    <xf numFmtId="0" fontId="40" fillId="0" borderId="0" xfId="2" applyFont="1" applyFill="1" applyAlignment="1">
      <alignment horizontal="right" indent="1"/>
    </xf>
    <xf numFmtId="0" fontId="40" fillId="0" borderId="0" xfId="2" applyFont="1" applyFill="1" applyAlignment="1">
      <alignment horizontal="left" indent="1"/>
    </xf>
    <xf numFmtId="0" fontId="0" fillId="0" borderId="5" xfId="0" applyBorder="1" applyAlignment="1">
      <alignment horizontal="center" vertical="center"/>
    </xf>
    <xf numFmtId="0" fontId="0" fillId="0" borderId="1" xfId="0" applyBorder="1" applyAlignment="1">
      <alignment horizontal="center" vertical="center"/>
    </xf>
    <xf numFmtId="0" fontId="0" fillId="0" borderId="10" xfId="0" applyFont="1" applyBorder="1" applyAlignment="1">
      <alignment horizontal="center" wrapText="1"/>
    </xf>
    <xf numFmtId="0" fontId="0" fillId="0" borderId="11" xfId="0" applyFont="1" applyBorder="1" applyAlignment="1">
      <alignment horizontal="center" wrapText="1"/>
    </xf>
    <xf numFmtId="0" fontId="56" fillId="0" borderId="0" xfId="0" applyFont="1" applyAlignment="1">
      <alignment horizontal="center" wrapText="1"/>
    </xf>
    <xf numFmtId="197" fontId="0" fillId="0" borderId="0" xfId="0" applyNumberFormat="1" applyAlignment="1">
      <alignment horizontal="center" vertical="center"/>
    </xf>
    <xf numFmtId="197" fontId="0" fillId="0" borderId="165" xfId="0" applyNumberFormat="1" applyBorder="1" applyAlignment="1">
      <alignment horizontal="center" vertical="center"/>
    </xf>
    <xf numFmtId="0" fontId="0" fillId="0" borderId="46" xfId="0" applyBorder="1" applyAlignment="1">
      <alignment horizontal="center"/>
    </xf>
    <xf numFmtId="0" fontId="0" fillId="0" borderId="207" xfId="0" applyBorder="1" applyAlignment="1">
      <alignment horizontal="center"/>
    </xf>
    <xf numFmtId="38" fontId="12" fillId="6" borderId="23" xfId="4" applyNumberFormat="1" applyFont="1" applyFill="1" applyBorder="1" applyAlignment="1">
      <alignment horizontal="left" vertical="center"/>
    </xf>
    <xf numFmtId="0" fontId="0" fillId="0" borderId="12" xfId="0" applyBorder="1" applyAlignment="1">
      <alignment horizontal="center" vertical="center" wrapText="1"/>
    </xf>
    <xf numFmtId="0" fontId="0" fillId="0" borderId="232" xfId="0" applyBorder="1" applyAlignment="1">
      <alignment horizontal="center" vertical="center" wrapText="1"/>
    </xf>
    <xf numFmtId="0" fontId="12" fillId="6" borderId="15" xfId="0" applyFont="1" applyFill="1" applyBorder="1" applyAlignment="1">
      <alignment horizontal="left" vertical="center" indent="1"/>
    </xf>
    <xf numFmtId="0" fontId="0" fillId="0" borderId="2" xfId="0" applyBorder="1" applyAlignment="1">
      <alignment horizontal="center" vertical="center" wrapText="1"/>
    </xf>
    <xf numFmtId="0" fontId="0" fillId="0" borderId="52" xfId="0" applyBorder="1" applyAlignment="1">
      <alignment horizontal="center" vertical="center" wrapText="1"/>
    </xf>
    <xf numFmtId="0" fontId="0" fillId="0" borderId="46" xfId="0" applyBorder="1" applyAlignment="1">
      <alignment horizontal="center" vertical="center" wrapText="1"/>
    </xf>
    <xf numFmtId="0" fontId="0" fillId="0" borderId="206" xfId="0" applyBorder="1" applyAlignment="1">
      <alignment horizontal="center" vertical="center" wrapText="1"/>
    </xf>
    <xf numFmtId="0" fontId="0" fillId="0" borderId="44" xfId="0" applyBorder="1" applyAlignment="1">
      <alignment horizontal="center" vertical="center" wrapText="1"/>
    </xf>
    <xf numFmtId="9" fontId="12" fillId="6" borderId="15" xfId="4" applyFont="1" applyFill="1" applyBorder="1" applyAlignment="1">
      <alignment horizontal="center" vertical="center"/>
    </xf>
    <xf numFmtId="0" fontId="12" fillId="6" borderId="16" xfId="0" applyFont="1" applyFill="1" applyBorder="1" applyAlignment="1">
      <alignment horizontal="center" vertical="center"/>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2" fillId="6" borderId="15" xfId="0" applyFont="1" applyFill="1" applyBorder="1" applyAlignment="1">
      <alignment horizontal="center" vertic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0" fontId="0" fillId="0" borderId="10" xfId="0" applyBorder="1" applyAlignment="1">
      <alignment horizontal="center" vertical="center" wrapText="1"/>
    </xf>
    <xf numFmtId="0" fontId="0" fillId="0" borderId="201" xfId="0" applyBorder="1" applyAlignment="1">
      <alignment horizontal="center" vertical="center" wrapText="1"/>
    </xf>
    <xf numFmtId="0" fontId="2" fillId="0" borderId="0" xfId="0" applyFont="1" applyAlignment="1">
      <alignment horizontal="center" vertical="center" wrapText="1"/>
    </xf>
    <xf numFmtId="0" fontId="5" fillId="0" borderId="0" xfId="0" applyFont="1" applyAlignment="1">
      <alignment horizontal="center" wrapText="1"/>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38" fontId="4" fillId="0" borderId="16" xfId="0" applyNumberFormat="1" applyFont="1" applyFill="1" applyBorder="1" applyAlignment="1">
      <alignment horizontal="center" vertical="center"/>
    </xf>
    <xf numFmtId="0" fontId="152" fillId="54" borderId="5" xfId="0" applyFont="1" applyFill="1" applyBorder="1" applyAlignment="1">
      <alignment horizontal="center"/>
    </xf>
    <xf numFmtId="0" fontId="152" fillId="54" borderId="1" xfId="0" applyFont="1" applyFill="1" applyBorder="1" applyAlignment="1">
      <alignment horizontal="center"/>
    </xf>
    <xf numFmtId="0" fontId="152" fillId="54" borderId="6" xfId="0" applyFont="1" applyFill="1" applyBorder="1" applyAlignment="1">
      <alignment horizontal="center"/>
    </xf>
    <xf numFmtId="6" fontId="4" fillId="0" borderId="165" xfId="0" applyNumberFormat="1" applyFont="1" applyBorder="1" applyAlignment="1">
      <alignment horizontal="center" vertical="center"/>
    </xf>
    <xf numFmtId="2" fontId="4" fillId="0" borderId="165" xfId="0" applyNumberFormat="1" applyFont="1" applyBorder="1" applyAlignment="1">
      <alignment horizontal="center" vertical="center"/>
    </xf>
    <xf numFmtId="0" fontId="12" fillId="6" borderId="84" xfId="0" applyFont="1" applyFill="1" applyBorder="1" applyAlignment="1">
      <alignment horizontal="center" vertical="center"/>
    </xf>
    <xf numFmtId="190" fontId="0" fillId="0" borderId="165" xfId="0" applyNumberFormat="1" applyBorder="1" applyAlignment="1">
      <alignment horizontal="center" vertical="center"/>
    </xf>
    <xf numFmtId="190" fontId="0" fillId="0" borderId="142" xfId="0" applyNumberFormat="1" applyBorder="1" applyAlignment="1">
      <alignment horizontal="center" vertical="center"/>
    </xf>
    <xf numFmtId="38" fontId="4" fillId="0" borderId="2" xfId="0" applyNumberFormat="1" applyFont="1" applyBorder="1" applyAlignment="1">
      <alignment horizontal="center"/>
    </xf>
    <xf numFmtId="38" fontId="4" fillId="0" borderId="52" xfId="0" applyNumberFormat="1" applyFont="1" applyBorder="1" applyAlignment="1">
      <alignment horizontal="center"/>
    </xf>
    <xf numFmtId="228" fontId="12" fillId="6" borderId="16" xfId="4" applyNumberFormat="1" applyFont="1" applyFill="1" applyBorder="1" applyAlignment="1">
      <alignment horizontal="center" vertical="center"/>
    </xf>
    <xf numFmtId="229" fontId="12" fillId="6" borderId="16" xfId="4" applyNumberFormat="1" applyFont="1" applyFill="1" applyBorder="1" applyAlignment="1">
      <alignment horizontal="center" vertical="center"/>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6" xfId="0" applyFill="1" applyBorder="1" applyAlignment="1">
      <alignment horizontal="left" vertical="top" wrapText="1"/>
    </xf>
    <xf numFmtId="0" fontId="0" fillId="0" borderId="207" xfId="0" applyFill="1" applyBorder="1" applyAlignment="1">
      <alignment horizontal="left" vertical="top" wrapText="1"/>
    </xf>
    <xf numFmtId="0" fontId="0" fillId="0" borderId="233" xfId="0" applyBorder="1" applyAlignment="1">
      <alignment horizontal="center" vertic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2" fillId="49" borderId="0" xfId="0" applyFont="1" applyFill="1" applyBorder="1" applyAlignment="1">
      <alignment horizontal="right" vertical="center" wrapText="1"/>
    </xf>
    <xf numFmtId="0" fontId="12" fillId="6" borderId="0" xfId="0" applyFont="1" applyFill="1" applyBorder="1" applyAlignment="1">
      <alignment horizontal="center" vertical="center"/>
    </xf>
    <xf numFmtId="0" fontId="0" fillId="0" borderId="120" xfId="0" applyBorder="1" applyAlignment="1">
      <alignment horizontal="center" vertical="center"/>
    </xf>
    <xf numFmtId="0" fontId="0" fillId="0" borderId="121" xfId="0" applyBorder="1" applyAlignment="1">
      <alignment horizontal="center" vertical="center"/>
    </xf>
    <xf numFmtId="0" fontId="12" fillId="6" borderId="75" xfId="4" applyNumberFormat="1" applyFont="1" applyFill="1" applyBorder="1" applyAlignment="1">
      <alignment horizontal="center" vertical="center"/>
    </xf>
    <xf numFmtId="0" fontId="100" fillId="33" borderId="5" xfId="0" applyFont="1" applyFill="1" applyBorder="1" applyAlignment="1">
      <alignment horizontal="center"/>
    </xf>
    <xf numFmtId="0" fontId="100" fillId="33" borderId="1" xfId="0" applyFont="1" applyFill="1" applyBorder="1" applyAlignment="1">
      <alignment horizontal="center"/>
    </xf>
    <xf numFmtId="0" fontId="100" fillId="33" borderId="6" xfId="0" applyFont="1" applyFill="1" applyBorder="1" applyAlignment="1">
      <alignment horizontal="center"/>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2" fillId="0" borderId="5" xfId="0" applyFont="1" applyBorder="1" applyAlignment="1">
      <alignment horizontal="center"/>
    </xf>
    <xf numFmtId="0" fontId="2" fillId="0" borderId="124" xfId="0" applyFont="1" applyBorder="1" applyAlignment="1">
      <alignment horizontal="center"/>
    </xf>
    <xf numFmtId="206" fontId="12" fillId="6" borderId="16" xfId="0" applyNumberFormat="1" applyFont="1" applyFill="1" applyBorder="1" applyAlignment="1">
      <alignment horizontal="center" vertical="center" wrapText="1"/>
    </xf>
    <xf numFmtId="8" fontId="2" fillId="0" borderId="16" xfId="0" applyNumberFormat="1" applyFont="1"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0" fontId="2" fillId="0" borderId="3" xfId="0" applyFont="1" applyBorder="1" applyAlignment="1">
      <alignment horizontal="center"/>
    </xf>
    <xf numFmtId="0" fontId="2" fillId="0" borderId="9" xfId="0" applyFont="1" applyBorder="1" applyAlignment="1">
      <alignment horizontal="center"/>
    </xf>
    <xf numFmtId="0" fontId="2" fillId="0" borderId="125" xfId="0" applyFont="1" applyBorder="1" applyAlignment="1">
      <alignment horizontal="center"/>
    </xf>
    <xf numFmtId="0" fontId="2" fillId="0" borderId="126" xfId="0" applyFont="1" applyBorder="1" applyAlignment="1">
      <alignment horizontal="center"/>
    </xf>
    <xf numFmtId="0" fontId="0" fillId="42" borderId="129" xfId="0" applyFill="1" applyBorder="1" applyAlignment="1">
      <alignment horizontal="center" vertical="center"/>
    </xf>
    <xf numFmtId="0" fontId="0" fillId="42" borderId="0" xfId="0" applyFill="1" applyAlignment="1">
      <alignment horizontal="center" vertical="center"/>
    </xf>
    <xf numFmtId="0" fontId="0" fillId="0" borderId="44" xfId="0" applyBorder="1" applyAlignment="1">
      <alignment horizontal="center" vertical="center"/>
    </xf>
    <xf numFmtId="202" fontId="2" fillId="0" borderId="3" xfId="0" applyNumberFormat="1" applyFont="1" applyBorder="1" applyAlignment="1">
      <alignment horizontal="center"/>
    </xf>
    <xf numFmtId="202" fontId="2" fillId="0" borderId="4" xfId="0" applyNumberFormat="1" applyFont="1" applyBorder="1" applyAlignment="1">
      <alignment horizontal="center"/>
    </xf>
    <xf numFmtId="202" fontId="2" fillId="0" borderId="9" xfId="0" applyNumberFormat="1" applyFont="1" applyBorder="1" applyAlignment="1">
      <alignment horizontal="center"/>
    </xf>
    <xf numFmtId="0" fontId="2" fillId="0" borderId="4" xfId="0" applyFont="1" applyBorder="1" applyAlignment="1">
      <alignment horizontal="center"/>
    </xf>
    <xf numFmtId="0" fontId="0" fillId="0" borderId="0" xfId="0" applyAlignment="1">
      <alignment horizontal="center" vertical="center"/>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0" fontId="2" fillId="0" borderId="143" xfId="0" applyFont="1" applyFill="1" applyBorder="1" applyAlignment="1">
      <alignment horizontal="center" vertical="center"/>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164" fontId="4" fillId="0" borderId="16" xfId="4" applyNumberFormat="1" applyFont="1" applyFill="1" applyBorder="1" applyAlignment="1">
      <alignment horizontal="center" vertical="center"/>
    </xf>
    <xf numFmtId="6" fontId="12" fillId="6" borderId="16" xfId="0" applyNumberFormat="1" applyFont="1" applyFill="1" applyBorder="1" applyAlignment="1">
      <alignment horizontal="center" vertic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46" xfId="0" applyBorder="1" applyAlignment="1">
      <alignment horizontal="left" vertical="top" wrapText="1"/>
    </xf>
    <xf numFmtId="0" fontId="0" fillId="0" borderId="165" xfId="0" applyBorder="1" applyAlignment="1">
      <alignment horizontal="left" vertical="top" wrapText="1"/>
    </xf>
    <xf numFmtId="0" fontId="2" fillId="0" borderId="7" xfId="0" applyFont="1" applyBorder="1" applyAlignment="1">
      <alignment horizontal="center"/>
    </xf>
    <xf numFmtId="0" fontId="2" fillId="0" borderId="16" xfId="0" applyFont="1" applyBorder="1" applyAlignment="1">
      <alignment horizontal="center" vertical="center"/>
    </xf>
    <xf numFmtId="8" fontId="0" fillId="0" borderId="16" xfId="0" applyNumberFormat="1" applyFill="1" applyBorder="1" applyAlignment="1">
      <alignment horizontal="center" vertical="center"/>
    </xf>
    <xf numFmtId="0" fontId="0" fillId="7" borderId="46" xfId="0" applyFill="1" applyBorder="1" applyAlignment="1">
      <alignment horizontal="left" vertical="center"/>
    </xf>
    <xf numFmtId="0" fontId="0" fillId="7" borderId="165" xfId="0" applyFill="1" applyBorder="1" applyAlignment="1">
      <alignment horizontal="left" vertical="center"/>
    </xf>
    <xf numFmtId="0" fontId="0" fillId="7" borderId="142" xfId="0" applyFill="1" applyBorder="1" applyAlignment="1">
      <alignment horizontal="left" vertical="center"/>
    </xf>
    <xf numFmtId="0" fontId="3" fillId="0" borderId="5" xfId="0" applyFont="1" applyFill="1" applyBorder="1" applyAlignment="1">
      <alignment horizontal="center"/>
    </xf>
    <xf numFmtId="0" fontId="3" fillId="0" borderId="6" xfId="0" applyFont="1" applyFill="1" applyBorder="1" applyAlignment="1">
      <alignment horizontal="center"/>
    </xf>
    <xf numFmtId="207" fontId="12" fillId="6" borderId="15" xfId="0" applyNumberFormat="1" applyFont="1" applyFill="1" applyBorder="1" applyAlignment="1">
      <alignment horizontal="center" vertical="center" wrapText="1"/>
    </xf>
    <xf numFmtId="0" fontId="0" fillId="0" borderId="6" xfId="0" applyBorder="1" applyAlignment="1">
      <alignment horizontal="center" vertical="center"/>
    </xf>
    <xf numFmtId="0" fontId="0" fillId="0" borderId="5" xfId="0" applyBorder="1" applyAlignment="1">
      <alignment horizontal="center"/>
    </xf>
    <xf numFmtId="0" fontId="0" fillId="0" borderId="1" xfId="0" applyBorder="1" applyAlignment="1">
      <alignment horizontal="center"/>
    </xf>
    <xf numFmtId="0" fontId="0" fillId="0" borderId="6" xfId="0" applyBorder="1" applyAlignment="1">
      <alignment horizontal="center"/>
    </xf>
    <xf numFmtId="0" fontId="2" fillId="0" borderId="1" xfId="0" applyFont="1" applyBorder="1" applyAlignment="1">
      <alignment horizontal="center"/>
    </xf>
    <xf numFmtId="0" fontId="2" fillId="0" borderId="6" xfId="0" applyFont="1" applyBorder="1" applyAlignment="1">
      <alignment horizontal="center"/>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2" fillId="0" borderId="46" xfId="0" applyFont="1" applyBorder="1" applyAlignment="1">
      <alignment horizontal="center"/>
    </xf>
    <xf numFmtId="0" fontId="2" fillId="0" borderId="123" xfId="0" applyFont="1" applyBorder="1" applyAlignment="1">
      <alignment horizontal="center"/>
    </xf>
    <xf numFmtId="0" fontId="2" fillId="0" borderId="165" xfId="0" applyFont="1" applyBorder="1" applyAlignment="1">
      <alignment horizontal="center"/>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206" xfId="0" applyBorder="1" applyAlignment="1">
      <alignment horizontal="left" vertical="top" wrapText="1"/>
    </xf>
    <xf numFmtId="0" fontId="0" fillId="0" borderId="207" xfId="0" applyBorder="1" applyAlignment="1">
      <alignment horizontal="left" vertical="top" wrapText="1"/>
    </xf>
    <xf numFmtId="9" fontId="2" fillId="0" borderId="16" xfId="4" applyFont="1" applyBorder="1" applyAlignment="1">
      <alignment horizontal="center" vertical="center"/>
    </xf>
    <xf numFmtId="0" fontId="156" fillId="55" borderId="5" xfId="0" applyFont="1" applyFill="1" applyBorder="1" applyAlignment="1">
      <alignment horizontal="center"/>
    </xf>
    <xf numFmtId="0" fontId="156" fillId="55" borderId="1" xfId="0" applyFont="1" applyFill="1" applyBorder="1" applyAlignment="1">
      <alignment horizontal="center"/>
    </xf>
    <xf numFmtId="0" fontId="156" fillId="55" borderId="6" xfId="0" applyFont="1" applyFill="1" applyBorder="1" applyAlignment="1">
      <alignment horizontal="center"/>
    </xf>
    <xf numFmtId="0" fontId="12" fillId="6" borderId="56" xfId="0" applyFont="1" applyFill="1" applyBorder="1" applyAlignment="1">
      <alignment horizontal="left" vertical="center"/>
    </xf>
    <xf numFmtId="206" fontId="12" fillId="6" borderId="15" xfId="0" applyNumberFormat="1" applyFont="1" applyFill="1" applyBorder="1" applyAlignment="1">
      <alignment horizontal="center" vertical="center" wrapText="1"/>
    </xf>
    <xf numFmtId="9" fontId="0" fillId="0" borderId="16" xfId="4" applyFont="1" applyBorder="1" applyAlignment="1">
      <alignment horizontal="center" vertical="center"/>
    </xf>
    <xf numFmtId="0" fontId="2" fillId="0" borderId="10" xfId="0" applyFont="1" applyBorder="1" applyAlignment="1">
      <alignment horizontal="center"/>
    </xf>
    <xf numFmtId="0" fontId="2" fillId="0" borderId="11" xfId="0" applyFont="1" applyBorder="1" applyAlignment="1">
      <alignment horizontal="center"/>
    </xf>
    <xf numFmtId="224" fontId="0" fillId="37" borderId="85" xfId="0" applyNumberFormat="1" applyFill="1" applyBorder="1" applyAlignment="1">
      <alignment horizontal="center" vertical="center"/>
    </xf>
    <xf numFmtId="224" fontId="0" fillId="37" borderId="15" xfId="0" applyNumberFormat="1" applyFill="1" applyBorder="1" applyAlignment="1">
      <alignment horizontal="center" vertical="center"/>
    </xf>
    <xf numFmtId="0" fontId="0" fillId="26" borderId="82" xfId="0" applyFill="1" applyBorder="1" applyAlignment="1">
      <alignment horizontal="center" vertical="center"/>
    </xf>
    <xf numFmtId="0" fontId="0" fillId="0" borderId="209" xfId="0" applyBorder="1" applyAlignment="1">
      <alignment horizontal="center" vertical="center"/>
    </xf>
    <xf numFmtId="9" fontId="4" fillId="0" borderId="208" xfId="4" applyFont="1" applyFill="1" applyBorder="1" applyAlignment="1">
      <alignment horizontal="center" vertical="center"/>
    </xf>
    <xf numFmtId="0" fontId="12" fillId="6" borderId="165" xfId="0" applyFont="1" applyFill="1" applyBorder="1" applyAlignment="1">
      <alignment horizontal="center" vertical="center"/>
    </xf>
    <xf numFmtId="184" fontId="4"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212" fontId="0" fillId="0" borderId="16" xfId="0" applyNumberFormat="1" applyFill="1" applyBorder="1" applyAlignment="1">
      <alignment horizontal="center" vertical="center"/>
    </xf>
    <xf numFmtId="9" fontId="2" fillId="0" borderId="208" xfId="4" applyFont="1" applyBorder="1" applyAlignment="1">
      <alignment horizontal="center" vertical="center"/>
    </xf>
    <xf numFmtId="0" fontId="2" fillId="0" borderId="143" xfId="0" quotePrefix="1" applyFont="1" applyFill="1" applyBorder="1" applyAlignment="1">
      <alignment horizontal="center" vertical="center"/>
    </xf>
    <xf numFmtId="0" fontId="12" fillId="6" borderId="75" xfId="0" applyFont="1" applyFill="1" applyBorder="1" applyAlignment="1">
      <alignment horizontal="center" vertical="center"/>
    </xf>
    <xf numFmtId="0" fontId="122" fillId="0" borderId="0" xfId="0" applyFont="1" applyAlignment="1">
      <alignment horizontal="center" vertical="center"/>
    </xf>
    <xf numFmtId="0" fontId="0" fillId="0" borderId="53" xfId="0" applyBorder="1" applyAlignment="1">
      <alignment horizontal="left" vertical="center" wrapText="1"/>
    </xf>
    <xf numFmtId="0" fontId="0" fillId="0" borderId="0" xfId="0" applyBorder="1" applyAlignment="1">
      <alignment horizontal="left" vertical="center" wrapText="1"/>
    </xf>
    <xf numFmtId="0" fontId="0" fillId="0" borderId="209" xfId="0" applyBorder="1" applyAlignment="1">
      <alignment horizontal="left" vertical="center" wrapText="1"/>
    </xf>
    <xf numFmtId="38" fontId="4" fillId="0" borderId="16" xfId="0" applyNumberFormat="1" applyFont="1" applyBorder="1" applyAlignment="1">
      <alignment horizontal="center" vertical="center" wrapText="1"/>
    </xf>
    <xf numFmtId="9" fontId="1" fillId="0" borderId="208" xfId="4" applyFont="1" applyBorder="1" applyAlignment="1">
      <alignment horizontal="center" vertical="center"/>
    </xf>
    <xf numFmtId="9" fontId="4" fillId="0" borderId="15" xfId="4" applyFont="1" applyFill="1" applyBorder="1" applyAlignment="1">
      <alignment horizontal="center" vertical="center"/>
    </xf>
    <xf numFmtId="0" fontId="4" fillId="0" borderId="209" xfId="0" applyFont="1" applyBorder="1" applyAlignment="1">
      <alignment horizontal="center"/>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8" xfId="0" applyFont="1" applyFill="1" applyBorder="1" applyAlignment="1">
      <alignment horizontal="center" vertical="center"/>
    </xf>
    <xf numFmtId="0" fontId="2" fillId="16" borderId="16" xfId="0" applyFont="1" applyFill="1" applyBorder="1" applyAlignment="1">
      <alignment horizontal="center" vertical="center"/>
    </xf>
    <xf numFmtId="0" fontId="0" fillId="0" borderId="85" xfId="0" applyBorder="1" applyAlignment="1">
      <alignment horizontal="center" vertical="center" wrapText="1"/>
    </xf>
    <xf numFmtId="0" fontId="0" fillId="0" borderId="0" xfId="0" applyBorder="1" applyAlignment="1">
      <alignment horizontal="center" vertical="center" wrapText="1"/>
    </xf>
    <xf numFmtId="0" fontId="0" fillId="0" borderId="74" xfId="0" applyBorder="1" applyAlignment="1">
      <alignment horizontal="center" vertical="center" wrapText="1"/>
    </xf>
    <xf numFmtId="224" fontId="0" fillId="37" borderId="0" xfId="0" applyNumberFormat="1" applyFill="1" applyAlignment="1">
      <alignment horizontal="center" vertical="center"/>
    </xf>
    <xf numFmtId="0" fontId="10" fillId="0" borderId="209" xfId="0" applyFont="1" applyBorder="1" applyAlignment="1">
      <alignment horizontal="center"/>
    </xf>
    <xf numFmtId="0" fontId="12" fillId="6" borderId="85" xfId="0" applyFont="1" applyFill="1" applyBorder="1" applyAlignment="1">
      <alignment horizontal="center" vertical="center" wrapText="1"/>
    </xf>
    <xf numFmtId="0" fontId="0" fillId="0" borderId="33" xfId="0" applyBorder="1" applyAlignment="1">
      <alignment horizontal="left" vertical="center" wrapText="1"/>
    </xf>
    <xf numFmtId="0" fontId="2" fillId="0" borderId="248" xfId="0" applyFont="1" applyBorder="1" applyAlignment="1">
      <alignment horizontal="center" vertical="center" wrapText="1"/>
    </xf>
    <xf numFmtId="9" fontId="0" fillId="0" borderId="16" xfId="4" applyFont="1" applyFill="1" applyBorder="1" applyAlignment="1">
      <alignment horizontal="center" vertical="center"/>
    </xf>
    <xf numFmtId="6" fontId="12" fillId="6" borderId="15" xfId="0" applyNumberFormat="1" applyFont="1" applyFill="1" applyBorder="1" applyAlignment="1">
      <alignment horizontal="center" vertical="center"/>
    </xf>
    <xf numFmtId="8" fontId="0" fillId="0" borderId="16" xfId="0" applyNumberFormat="1" applyBorder="1" applyAlignment="1">
      <alignment horizontal="center" vertical="center"/>
    </xf>
    <xf numFmtId="0" fontId="2" fillId="0" borderId="211" xfId="0" applyFont="1" applyFill="1" applyBorder="1" applyAlignment="1">
      <alignment horizontal="center" vertical="center"/>
    </xf>
    <xf numFmtId="6" fontId="0" fillId="0" borderId="16" xfId="0" applyNumberFormat="1" applyBorder="1" applyAlignment="1">
      <alignment horizontal="center" vertical="center"/>
    </xf>
    <xf numFmtId="0" fontId="2" fillId="0" borderId="208" xfId="0" applyFont="1" applyBorder="1" applyAlignment="1">
      <alignment horizontal="center" vertical="center"/>
    </xf>
    <xf numFmtId="0" fontId="2" fillId="0" borderId="143" xfId="0" quotePrefix="1" applyFont="1" applyFill="1" applyBorder="1" applyAlignment="1">
      <alignment horizontal="center" vertical="center" wrapText="1"/>
    </xf>
    <xf numFmtId="0" fontId="2" fillId="0" borderId="143" xfId="0" applyFont="1" applyFill="1" applyBorder="1" applyAlignment="1">
      <alignment horizontal="center" vertical="center" wrapText="1"/>
    </xf>
    <xf numFmtId="184" fontId="4" fillId="0" borderId="16" xfId="0" applyNumberFormat="1" applyFont="1" applyBorder="1" applyAlignment="1">
      <alignment horizontal="center" vertical="center"/>
    </xf>
    <xf numFmtId="0" fontId="0" fillId="0" borderId="0" xfId="0" applyAlignment="1">
      <alignment horizontal="left" vertical="center" wrapText="1"/>
    </xf>
    <xf numFmtId="0" fontId="0" fillId="0" borderId="15" xfId="0" applyBorder="1" applyAlignment="1">
      <alignment horizontal="left" vertical="center" wrapText="1"/>
    </xf>
    <xf numFmtId="0" fontId="2" fillId="16" borderId="211" xfId="0" applyFont="1" applyFill="1" applyBorder="1" applyAlignment="1">
      <alignment horizontal="center" vertical="center"/>
    </xf>
    <xf numFmtId="8" fontId="2" fillId="0" borderId="208" xfId="0" applyNumberFormat="1" applyFont="1" applyBorder="1" applyAlignment="1">
      <alignment horizontal="center" vertical="center"/>
    </xf>
    <xf numFmtId="0" fontId="2" fillId="16" borderId="15" xfId="0" applyFont="1" applyFill="1" applyBorder="1" applyAlignment="1">
      <alignment horizontal="center" vertical="center"/>
    </xf>
    <xf numFmtId="0" fontId="156" fillId="68" borderId="5" xfId="0" applyFont="1" applyFill="1" applyBorder="1" applyAlignment="1">
      <alignment horizontal="center"/>
    </xf>
    <xf numFmtId="0" fontId="156" fillId="68" borderId="1" xfId="0" applyFont="1" applyFill="1" applyBorder="1" applyAlignment="1">
      <alignment horizontal="center"/>
    </xf>
    <xf numFmtId="0" fontId="156" fillId="68" borderId="6" xfId="0" applyFont="1" applyFill="1" applyBorder="1" applyAlignment="1">
      <alignment horizontal="center"/>
    </xf>
    <xf numFmtId="0" fontId="0" fillId="49" borderId="12" xfId="0" applyFill="1" applyBorder="1" applyAlignment="1">
      <alignment horizontal="left" vertical="top" wrapText="1"/>
    </xf>
    <xf numFmtId="0" fontId="0" fillId="49" borderId="2" xfId="0" applyFill="1" applyBorder="1" applyAlignment="1">
      <alignment horizontal="left" vertical="top" wrapText="1"/>
    </xf>
    <xf numFmtId="0" fontId="0" fillId="49" borderId="46" xfId="0" applyFill="1" applyBorder="1" applyAlignment="1">
      <alignment horizontal="left" vertical="top" wrapText="1"/>
    </xf>
    <xf numFmtId="0" fontId="0" fillId="49" borderId="206" xfId="0" applyFill="1" applyBorder="1" applyAlignment="1">
      <alignment horizontal="left" vertical="top" wrapText="1"/>
    </xf>
    <xf numFmtId="0" fontId="0" fillId="49" borderId="12" xfId="0" applyFill="1" applyBorder="1" applyAlignment="1">
      <alignment horizontal="left" vertical="center" wrapText="1"/>
    </xf>
    <xf numFmtId="0" fontId="0" fillId="49" borderId="2" xfId="0" applyFill="1" applyBorder="1" applyAlignment="1">
      <alignment horizontal="left" vertical="center" wrapText="1"/>
    </xf>
    <xf numFmtId="0" fontId="0" fillId="49" borderId="46" xfId="0" applyFill="1" applyBorder="1" applyAlignment="1">
      <alignment horizontal="left" vertical="center" wrapText="1"/>
    </xf>
    <xf numFmtId="0" fontId="0" fillId="49" borderId="206" xfId="0" applyFill="1" applyBorder="1" applyAlignment="1">
      <alignment horizontal="left" vertical="center" wrapText="1"/>
    </xf>
    <xf numFmtId="0" fontId="0" fillId="0" borderId="173" xfId="0" applyBorder="1" applyAlignment="1">
      <alignment horizontal="center" vertical="center" wrapText="1"/>
    </xf>
    <xf numFmtId="0" fontId="0" fillId="0" borderId="174" xfId="0" applyBorder="1" applyAlignment="1">
      <alignment horizontal="center" vertical="center" wrapText="1"/>
    </xf>
    <xf numFmtId="0" fontId="0" fillId="0" borderId="175" xfId="0" applyBorder="1" applyAlignment="1">
      <alignment horizontal="center" vertical="center" wrapText="1"/>
    </xf>
    <xf numFmtId="171" fontId="0" fillId="0" borderId="173" xfId="0" applyNumberFormat="1" applyBorder="1" applyAlignment="1">
      <alignment horizontal="center" vertical="center"/>
    </xf>
    <xf numFmtId="171" fontId="0" fillId="0" borderId="174" xfId="0" applyNumberFormat="1" applyBorder="1" applyAlignment="1">
      <alignment horizontal="center" vertical="center"/>
    </xf>
    <xf numFmtId="171" fontId="0" fillId="0" borderId="175" xfId="0" applyNumberFormat="1" applyBorder="1" applyAlignment="1">
      <alignment horizontal="center" vertical="center"/>
    </xf>
    <xf numFmtId="0" fontId="2" fillId="0" borderId="15" xfId="0" quotePrefix="1" applyFont="1" applyBorder="1" applyAlignment="1">
      <alignment horizontal="center" vertical="center"/>
    </xf>
    <xf numFmtId="0" fontId="2" fillId="0" borderId="15" xfId="0" applyFont="1" applyBorder="1" applyAlignment="1">
      <alignment horizontal="center" vertical="center"/>
    </xf>
    <xf numFmtId="212" fontId="0" fillId="0" borderId="16" xfId="0" quotePrefix="1" applyNumberFormat="1" applyFill="1" applyBorder="1" applyAlignment="1">
      <alignment horizontal="center" vertical="center"/>
    </xf>
    <xf numFmtId="0" fontId="0" fillId="50" borderId="5" xfId="0" applyFill="1" applyBorder="1" applyAlignment="1">
      <alignment horizontal="center" vertical="center"/>
    </xf>
    <xf numFmtId="0" fontId="0" fillId="50" borderId="6" xfId="0" applyFill="1" applyBorder="1" applyAlignment="1">
      <alignment horizontal="center" vertical="center"/>
    </xf>
    <xf numFmtId="0" fontId="150" fillId="0" borderId="12" xfId="0" applyFont="1" applyBorder="1" applyAlignment="1">
      <alignment horizontal="left" wrapText="1"/>
    </xf>
    <xf numFmtId="0" fontId="150" fillId="0" borderId="52" xfId="0" applyFont="1" applyBorder="1" applyAlignment="1">
      <alignment horizontal="left" wrapText="1"/>
    </xf>
    <xf numFmtId="0" fontId="150" fillId="0" borderId="14" xfId="0" applyFont="1" applyBorder="1" applyAlignment="1">
      <alignment horizontal="left" wrapText="1"/>
    </xf>
    <xf numFmtId="0" fontId="150" fillId="0" borderId="44" xfId="0" applyFont="1" applyBorder="1" applyAlignment="1">
      <alignment horizontal="left" wrapText="1"/>
    </xf>
    <xf numFmtId="0" fontId="150" fillId="0" borderId="46" xfId="0" applyFont="1" applyBorder="1" applyAlignment="1">
      <alignment horizontal="left" wrapText="1"/>
    </xf>
    <xf numFmtId="0" fontId="150" fillId="0" borderId="207" xfId="0" applyFont="1" applyBorder="1" applyAlignment="1">
      <alignment horizontal="left" wrapText="1"/>
    </xf>
    <xf numFmtId="0" fontId="150" fillId="0" borderId="10" xfId="0" applyFont="1" applyFill="1" applyBorder="1" applyAlignment="1">
      <alignment horizontal="left" wrapText="1"/>
    </xf>
    <xf numFmtId="0" fontId="150" fillId="0" borderId="13" xfId="0" applyFont="1" applyFill="1" applyBorder="1" applyAlignment="1">
      <alignment horizontal="left" wrapText="1"/>
    </xf>
    <xf numFmtId="0" fontId="150" fillId="0" borderId="11" xfId="0" applyFont="1" applyFill="1" applyBorder="1" applyAlignment="1">
      <alignment horizontal="left" wrapText="1"/>
    </xf>
    <xf numFmtId="0" fontId="150" fillId="0" borderId="10" xfId="0" applyFont="1" applyBorder="1" applyAlignment="1">
      <alignment horizontal="left" wrapText="1"/>
    </xf>
    <xf numFmtId="0" fontId="150" fillId="0" borderId="13" xfId="0" applyFont="1" applyBorder="1" applyAlignment="1">
      <alignment horizontal="left" wrapText="1"/>
    </xf>
    <xf numFmtId="0" fontId="150" fillId="0" borderId="11" xfId="0" applyFont="1" applyBorder="1" applyAlignment="1">
      <alignment horizontal="left" wrapText="1"/>
    </xf>
    <xf numFmtId="0" fontId="128" fillId="0" borderId="12" xfId="0" applyFont="1" applyBorder="1" applyAlignment="1">
      <alignment horizontal="left" wrapText="1"/>
    </xf>
    <xf numFmtId="0" fontId="128" fillId="0" borderId="52" xfId="0" applyFont="1" applyBorder="1" applyAlignment="1">
      <alignment horizontal="left" wrapText="1"/>
    </xf>
    <xf numFmtId="0" fontId="128" fillId="0" borderId="14" xfId="0" applyFont="1" applyBorder="1" applyAlignment="1">
      <alignment horizontal="left" wrapText="1"/>
    </xf>
    <xf numFmtId="0" fontId="128" fillId="0" borderId="44" xfId="0" applyFont="1" applyBorder="1" applyAlignment="1">
      <alignment horizontal="left" wrapText="1"/>
    </xf>
    <xf numFmtId="0" fontId="128" fillId="0" borderId="46" xfId="0" applyFont="1" applyBorder="1" applyAlignment="1">
      <alignment horizontal="left" wrapText="1"/>
    </xf>
    <xf numFmtId="0" fontId="128" fillId="0" borderId="207" xfId="0" applyFont="1" applyBorder="1" applyAlignment="1">
      <alignment horizontal="left" wrapText="1"/>
    </xf>
    <xf numFmtId="0" fontId="0" fillId="33" borderId="0" xfId="0" applyFill="1" applyAlignment="1">
      <alignment horizontal="center" vertical="center"/>
    </xf>
    <xf numFmtId="0" fontId="152" fillId="54" borderId="0" xfId="0" applyFont="1" applyFill="1" applyAlignment="1">
      <alignment horizontal="center" vertical="center" wrapText="1"/>
    </xf>
    <xf numFmtId="0" fontId="4" fillId="30" borderId="5" xfId="0" applyFont="1" applyFill="1" applyBorder="1" applyAlignment="1">
      <alignment horizontal="center" wrapText="1"/>
    </xf>
    <xf numFmtId="0" fontId="4" fillId="30" borderId="6" xfId="0" applyFont="1" applyFill="1" applyBorder="1" applyAlignment="1">
      <alignment horizontal="center" wrapText="1"/>
    </xf>
    <xf numFmtId="0" fontId="0" fillId="51" borderId="5" xfId="0" applyFill="1" applyBorder="1" applyAlignment="1">
      <alignment horizontal="center" vertical="center" wrapText="1"/>
    </xf>
    <xf numFmtId="0" fontId="0" fillId="51" borderId="6" xfId="0" applyFill="1" applyBorder="1" applyAlignment="1">
      <alignment horizontal="center" vertical="center" wrapText="1"/>
    </xf>
    <xf numFmtId="0" fontId="2" fillId="9" borderId="5" xfId="0" applyFont="1" applyFill="1" applyBorder="1" applyAlignment="1">
      <alignment horizontal="center" wrapText="1"/>
    </xf>
    <xf numFmtId="0" fontId="2" fillId="9" borderId="6" xfId="0" applyFont="1" applyFill="1" applyBorder="1" applyAlignment="1">
      <alignment horizontal="center" wrapText="1"/>
    </xf>
    <xf numFmtId="0" fontId="2" fillId="9" borderId="6" xfId="0" applyFont="1" applyFill="1" applyBorder="1" applyAlignment="1">
      <alignment horizontal="center"/>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0" fontId="0" fillId="13" borderId="14" xfId="0" applyFill="1" applyBorder="1" applyAlignment="1">
      <alignment horizontal="left" vertical="center"/>
    </xf>
    <xf numFmtId="0" fontId="0" fillId="13" borderId="0" xfId="0" applyFill="1" applyAlignment="1">
      <alignment horizontal="left" vertical="center"/>
    </xf>
    <xf numFmtId="0" fontId="0" fillId="54" borderId="0" xfId="0" applyFill="1" applyAlignment="1">
      <alignment horizontal="center" vertical="center" wrapText="1"/>
    </xf>
    <xf numFmtId="0" fontId="2" fillId="0" borderId="5" xfId="0" applyFont="1" applyBorder="1" applyAlignment="1">
      <alignment horizontal="left" vertical="center"/>
    </xf>
    <xf numFmtId="0" fontId="2" fillId="0" borderId="1" xfId="0" applyFont="1" applyBorder="1" applyAlignment="1">
      <alignment horizontal="left" vertical="center"/>
    </xf>
    <xf numFmtId="0" fontId="2" fillId="0" borderId="2" xfId="0" applyFont="1" applyBorder="1" applyAlignment="1">
      <alignment horizontal="left" vertical="center"/>
    </xf>
    <xf numFmtId="0" fontId="2" fillId="0" borderId="52" xfId="0" applyFont="1" applyBorder="1" applyAlignment="1">
      <alignment horizontal="left" vertical="center"/>
    </xf>
    <xf numFmtId="0" fontId="2" fillId="30" borderId="5" xfId="0" applyFont="1" applyFill="1" applyBorder="1" applyAlignment="1">
      <alignment horizontal="center" wrapText="1"/>
    </xf>
    <xf numFmtId="0" fontId="2" fillId="30" borderId="6" xfId="0" applyFont="1" applyFill="1" applyBorder="1" applyAlignment="1">
      <alignment horizontal="center"/>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100" fillId="33" borderId="0" xfId="0" applyFont="1" applyFill="1" applyAlignment="1">
      <alignment horizontal="center" vertical="center" wrapText="1"/>
    </xf>
    <xf numFmtId="0" fontId="2" fillId="0" borderId="6" xfId="0" applyFont="1" applyBorder="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25" fillId="30" borderId="5" xfId="0" applyFont="1" applyFill="1" applyBorder="1" applyAlignment="1">
      <alignment horizontal="center" vertical="center"/>
    </xf>
    <xf numFmtId="0" fontId="25" fillId="30" borderId="6" xfId="0" applyFont="1" applyFill="1" applyBorder="1" applyAlignment="1">
      <alignment horizontal="center" vertical="center"/>
    </xf>
    <xf numFmtId="0" fontId="4" fillId="52" borderId="5" xfId="0" applyFont="1" applyFill="1" applyBorder="1" applyAlignment="1">
      <alignment horizontal="center" vertical="center" wrapText="1"/>
    </xf>
    <xf numFmtId="0" fontId="4" fillId="52" borderId="6" xfId="0" applyFont="1" applyFill="1" applyBorder="1" applyAlignment="1">
      <alignment horizontal="center" vertical="center" wrapText="1"/>
    </xf>
    <xf numFmtId="0" fontId="4" fillId="51" borderId="5" xfId="0" applyFont="1" applyFill="1" applyBorder="1" applyAlignment="1">
      <alignment horizontal="center" vertical="center" wrapText="1"/>
    </xf>
    <xf numFmtId="0" fontId="4" fillId="51" borderId="6" xfId="0" applyFont="1" applyFill="1" applyBorder="1" applyAlignment="1">
      <alignment horizontal="center" vertical="center" wrapText="1"/>
    </xf>
    <xf numFmtId="0" fontId="156" fillId="55" borderId="0" xfId="0" applyFont="1" applyFill="1" applyAlignment="1">
      <alignment horizontal="center" vertical="center" wrapText="1"/>
    </xf>
    <xf numFmtId="0" fontId="96" fillId="30" borderId="5" xfId="0" applyFont="1" applyFill="1" applyBorder="1" applyAlignment="1">
      <alignment horizontal="center" vertical="center" wrapText="1"/>
    </xf>
    <xf numFmtId="0" fontId="96" fillId="30" borderId="6" xfId="0" applyFont="1" applyFill="1" applyBorder="1" applyAlignment="1">
      <alignment horizontal="center" vertical="center" wrapText="1"/>
    </xf>
    <xf numFmtId="0" fontId="156" fillId="68" borderId="0" xfId="0" applyFont="1" applyFill="1" applyAlignment="1">
      <alignment horizontal="center" vertical="center" wrapText="1"/>
    </xf>
    <xf numFmtId="259" fontId="0" fillId="13" borderId="279" xfId="0" applyNumberFormat="1" applyFill="1" applyBorder="1" applyAlignment="1">
      <alignment horizontal="center" vertical="center"/>
    </xf>
    <xf numFmtId="259" fontId="0" fillId="13" borderId="280" xfId="0" applyNumberFormat="1" applyFill="1" applyBorder="1" applyAlignment="1">
      <alignment horizontal="center" vertical="center"/>
    </xf>
    <xf numFmtId="0" fontId="4" fillId="71" borderId="2" xfId="0" applyFont="1" applyFill="1" applyBorder="1" applyAlignment="1">
      <alignment horizontal="center" vertical="center"/>
    </xf>
    <xf numFmtId="0" fontId="4" fillId="71" borderId="0" xfId="0" applyFont="1" applyFill="1" applyAlignment="1">
      <alignment horizontal="center" vertical="center"/>
    </xf>
    <xf numFmtId="0" fontId="4" fillId="71" borderId="275" xfId="0" applyFont="1" applyFill="1" applyBorder="1" applyAlignment="1">
      <alignment horizontal="center" vertical="center"/>
    </xf>
    <xf numFmtId="260" fontId="0" fillId="71" borderId="281" xfId="0" applyNumberFormat="1" applyFill="1" applyBorder="1" applyAlignment="1">
      <alignment horizontal="center" vertical="center"/>
    </xf>
    <xf numFmtId="260" fontId="0" fillId="71" borderId="279" xfId="0" applyNumberFormat="1" applyFill="1" applyBorder="1" applyAlignment="1">
      <alignment horizontal="center" vertical="center"/>
    </xf>
    <xf numFmtId="260" fontId="0" fillId="71" borderId="280" xfId="0" applyNumberFormat="1" applyFill="1" applyBorder="1" applyAlignment="1">
      <alignment horizontal="center" vertical="center"/>
    </xf>
    <xf numFmtId="262" fontId="0" fillId="21" borderId="282" xfId="0" applyNumberFormat="1" applyFill="1" applyBorder="1" applyAlignment="1">
      <alignment horizontal="center" vertical="center"/>
    </xf>
    <xf numFmtId="262" fontId="0" fillId="21" borderId="278" xfId="0" applyNumberFormat="1" applyFill="1" applyBorder="1" applyAlignment="1">
      <alignment horizontal="center" vertical="center"/>
    </xf>
    <xf numFmtId="0" fontId="4" fillId="13" borderId="0" xfId="0" applyFont="1" applyFill="1" applyAlignment="1">
      <alignment horizontal="center" vertical="center"/>
    </xf>
    <xf numFmtId="0" fontId="4" fillId="13" borderId="275" xfId="0" applyFont="1" applyFill="1" applyBorder="1" applyAlignment="1">
      <alignment horizontal="center" vertical="center"/>
    </xf>
    <xf numFmtId="0" fontId="2" fillId="0" borderId="5" xfId="0" applyFont="1" applyFill="1" applyBorder="1" applyAlignment="1">
      <alignment horizontal="center"/>
    </xf>
    <xf numFmtId="0" fontId="2" fillId="0" borderId="6" xfId="0" applyFont="1" applyFill="1" applyBorder="1" applyAlignment="1">
      <alignment horizontal="center"/>
    </xf>
    <xf numFmtId="0" fontId="2" fillId="9" borderId="5" xfId="0" applyFont="1" applyFill="1" applyBorder="1" applyAlignment="1">
      <alignment horizontal="left"/>
    </xf>
    <xf numFmtId="0" fontId="2" fillId="9" borderId="1" xfId="0" applyFont="1" applyFill="1" applyBorder="1" applyAlignment="1">
      <alignment horizontal="left"/>
    </xf>
    <xf numFmtId="0" fontId="2" fillId="9" borderId="6" xfId="0" applyFont="1" applyFill="1" applyBorder="1" applyAlignment="1">
      <alignment horizontal="left"/>
    </xf>
    <xf numFmtId="0" fontId="10" fillId="0" borderId="5" xfId="0" applyFont="1" applyFill="1" applyBorder="1" applyAlignment="1">
      <alignment horizontal="center"/>
    </xf>
    <xf numFmtId="0" fontId="10" fillId="0" borderId="1" xfId="0" applyFont="1" applyFill="1" applyBorder="1" applyAlignment="1">
      <alignment horizontal="center"/>
    </xf>
    <xf numFmtId="0" fontId="10" fillId="0" borderId="6" xfId="0" applyFont="1" applyFill="1" applyBorder="1" applyAlignment="1">
      <alignment horizontal="center"/>
    </xf>
    <xf numFmtId="0" fontId="2" fillId="9" borderId="261" xfId="0" applyFont="1" applyFill="1" applyBorder="1" applyAlignment="1">
      <alignment horizontal="center"/>
    </xf>
    <xf numFmtId="0" fontId="2" fillId="9" borderId="262" xfId="0" applyFont="1" applyFill="1" applyBorder="1" applyAlignment="1">
      <alignment horizontal="center"/>
    </xf>
    <xf numFmtId="8" fontId="4" fillId="36" borderId="17" xfId="0" applyNumberFormat="1" applyFont="1" applyFill="1" applyBorder="1" applyAlignment="1">
      <alignment horizontal="center" vertical="center" wrapText="1"/>
    </xf>
    <xf numFmtId="8" fontId="4" fillId="36" borderId="54" xfId="0" applyNumberFormat="1" applyFont="1" applyFill="1" applyBorder="1" applyAlignment="1">
      <alignment horizontal="center" vertical="center" wrapText="1"/>
    </xf>
    <xf numFmtId="8" fontId="4" fillId="26" borderId="16" xfId="0" applyNumberFormat="1" applyFont="1" applyFill="1" applyBorder="1" applyAlignment="1">
      <alignment horizontal="center" vertical="center" wrapText="1"/>
    </xf>
    <xf numFmtId="8" fontId="4" fillId="26" borderId="54" xfId="0" applyNumberFormat="1" applyFont="1" applyFill="1" applyBorder="1" applyAlignment="1">
      <alignment horizontal="center" vertical="center" wrapText="1"/>
    </xf>
    <xf numFmtId="258" fontId="0" fillId="26" borderId="277" xfId="0" applyNumberFormat="1" applyFill="1" applyBorder="1" applyAlignment="1">
      <alignment horizontal="center" vertical="center"/>
    </xf>
    <xf numFmtId="258" fontId="0" fillId="26" borderId="278" xfId="0" applyNumberFormat="1" applyFill="1" applyBorder="1" applyAlignment="1">
      <alignment horizontal="center" vertical="center"/>
    </xf>
    <xf numFmtId="261" fontId="0" fillId="36" borderId="281" xfId="0" applyNumberFormat="1" applyFill="1" applyBorder="1" applyAlignment="1">
      <alignment horizontal="center" vertical="center"/>
    </xf>
    <xf numFmtId="261" fontId="0" fillId="36" borderId="279" xfId="0" applyNumberFormat="1" applyFill="1" applyBorder="1" applyAlignment="1">
      <alignment horizontal="center" vertical="center"/>
    </xf>
    <xf numFmtId="0" fontId="153" fillId="23" borderId="5" xfId="0" applyFont="1" applyFill="1" applyBorder="1" applyAlignment="1">
      <alignment horizontal="center" wrapText="1"/>
    </xf>
    <xf numFmtId="0" fontId="153" fillId="23" borderId="1" xfId="0" applyFont="1" applyFill="1" applyBorder="1" applyAlignment="1">
      <alignment horizontal="center" wrapText="1"/>
    </xf>
    <xf numFmtId="0" fontId="153" fillId="23" borderId="6" xfId="0" applyFont="1" applyFill="1" applyBorder="1" applyAlignment="1">
      <alignment horizontal="center" wrapText="1"/>
    </xf>
    <xf numFmtId="0" fontId="25" fillId="13" borderId="0" xfId="0" quotePrefix="1" applyFont="1" applyFill="1" applyAlignment="1">
      <alignment horizontal="left"/>
    </xf>
    <xf numFmtId="0" fontId="25" fillId="13" borderId="0" xfId="0" applyFont="1" applyFill="1" applyAlignment="1">
      <alignment horizontal="left"/>
    </xf>
    <xf numFmtId="8" fontId="0" fillId="0" borderId="2" xfId="0" applyNumberFormat="1" applyBorder="1" applyAlignment="1">
      <alignment horizontal="right" vertical="center"/>
    </xf>
    <xf numFmtId="8" fontId="0" fillId="0" borderId="206" xfId="0" applyNumberFormat="1" applyBorder="1" applyAlignment="1">
      <alignment horizontal="right" vertical="center"/>
    </xf>
    <xf numFmtId="8" fontId="0" fillId="0" borderId="0" xfId="0" applyNumberFormat="1" applyBorder="1" applyAlignment="1">
      <alignment horizontal="right" vertical="center"/>
    </xf>
    <xf numFmtId="8" fontId="0" fillId="0" borderId="0" xfId="0" applyNumberFormat="1" applyAlignment="1">
      <alignment horizontal="right" vertical="center"/>
    </xf>
    <xf numFmtId="0" fontId="2" fillId="0" borderId="12"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207" xfId="0" applyFont="1" applyBorder="1" applyAlignment="1">
      <alignment horizontal="center" vertical="center" wrapText="1"/>
    </xf>
    <xf numFmtId="0" fontId="25" fillId="22" borderId="0" xfId="0" applyFont="1" applyFill="1" applyAlignment="1">
      <alignment horizontal="left"/>
    </xf>
    <xf numFmtId="0" fontId="2" fillId="9" borderId="46" xfId="0" applyFont="1" applyFill="1" applyBorder="1" applyAlignment="1">
      <alignment horizontal="center"/>
    </xf>
    <xf numFmtId="0" fontId="2" fillId="9" borderId="195" xfId="0" applyFont="1" applyFill="1" applyBorder="1" applyAlignment="1">
      <alignment horizontal="center"/>
    </xf>
    <xf numFmtId="0" fontId="124" fillId="0" borderId="5" xfId="0" applyFont="1" applyBorder="1" applyAlignment="1">
      <alignment horizontal="left" vertical="center" wrapText="1"/>
    </xf>
    <xf numFmtId="0" fontId="124" fillId="0" borderId="1" xfId="0" applyFont="1" applyBorder="1" applyAlignment="1">
      <alignment horizontal="left" vertical="center" wrapText="1"/>
    </xf>
    <xf numFmtId="0" fontId="124" fillId="0" borderId="6" xfId="0" applyFont="1" applyBorder="1" applyAlignment="1">
      <alignment horizontal="left" vertical="center" wrapText="1"/>
    </xf>
    <xf numFmtId="249" fontId="118" fillId="0" borderId="0" xfId="0" applyNumberFormat="1" applyFont="1" applyFill="1" applyBorder="1" applyAlignment="1">
      <alignment horizontal="center" vertical="center"/>
    </xf>
    <xf numFmtId="0" fontId="97" fillId="0" borderId="0" xfId="0" applyFont="1" applyAlignment="1">
      <alignment horizontal="left" vertical="center" wrapText="1"/>
    </xf>
    <xf numFmtId="0" fontId="126" fillId="10" borderId="0" xfId="0" applyFont="1" applyFill="1" applyAlignment="1">
      <alignment horizontal="right" vertical="center" wrapText="1"/>
    </xf>
    <xf numFmtId="0" fontId="12" fillId="2" borderId="32" xfId="0" applyFont="1" applyFill="1" applyBorder="1" applyAlignment="1" applyProtection="1">
      <alignment horizontal="left" vertical="center" wrapText="1"/>
      <protection locked="0"/>
    </xf>
    <xf numFmtId="0" fontId="25" fillId="0" borderId="0" xfId="0" applyFont="1" applyAlignment="1">
      <alignment horizontal="right" vertical="center" wrapText="1"/>
    </xf>
    <xf numFmtId="0" fontId="0" fillId="0" borderId="0" xfId="0" applyAlignment="1">
      <alignment horizontal="left" vertical="top" wrapText="1"/>
    </xf>
    <xf numFmtId="0" fontId="2" fillId="0" borderId="0" xfId="0" applyFont="1" applyAlignment="1">
      <alignment horizontal="left" vertical="top" wrapText="1"/>
    </xf>
    <xf numFmtId="49" fontId="12" fillId="2" borderId="23" xfId="0" applyNumberFormat="1" applyFont="1" applyFill="1" applyBorder="1" applyAlignment="1" applyProtection="1">
      <alignment horizontal="left" vertical="center" wrapText="1"/>
      <protection locked="0"/>
    </xf>
    <xf numFmtId="0" fontId="97" fillId="0" borderId="22" xfId="0" applyFont="1" applyBorder="1" applyAlignment="1">
      <alignment horizontal="left" vertical="center" wrapText="1"/>
    </xf>
    <xf numFmtId="0" fontId="25" fillId="0" borderId="0" xfId="0" applyFont="1" applyBorder="1" applyAlignment="1">
      <alignment horizontal="right" vertical="center" wrapText="1"/>
    </xf>
    <xf numFmtId="0" fontId="97" fillId="0" borderId="0" xfId="0" applyFont="1" applyBorder="1" applyAlignment="1">
      <alignment horizontal="left" vertical="center" wrapText="1"/>
    </xf>
    <xf numFmtId="0" fontId="26" fillId="2" borderId="32" xfId="0" applyFont="1" applyFill="1" applyBorder="1" applyAlignment="1" applyProtection="1">
      <alignment horizontal="left" vertical="center" wrapText="1"/>
      <protection locked="0"/>
    </xf>
    <xf numFmtId="0" fontId="26" fillId="2" borderId="23" xfId="0" applyFont="1" applyFill="1" applyBorder="1" applyAlignment="1" applyProtection="1">
      <alignment horizontal="left" vertical="center" wrapText="1"/>
      <protection locked="0"/>
    </xf>
    <xf numFmtId="0" fontId="12"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5" fillId="0" borderId="0" xfId="0" applyFont="1" applyFill="1" applyAlignment="1">
      <alignment horizontal="right" vertical="center" wrapText="1"/>
    </xf>
    <xf numFmtId="0" fontId="25" fillId="0" borderId="0" xfId="0" applyFont="1" applyAlignment="1">
      <alignment horizontal="center" vertical="center" wrapText="1"/>
    </xf>
    <xf numFmtId="0" fontId="0" fillId="2" borderId="23" xfId="0" applyFill="1" applyBorder="1" applyAlignment="1" applyProtection="1">
      <alignment horizontal="left" vertical="center"/>
      <protection locked="0"/>
    </xf>
    <xf numFmtId="0" fontId="26" fillId="2" borderId="32" xfId="0" applyFont="1" applyFill="1" applyBorder="1" applyAlignment="1" applyProtection="1">
      <alignment horizontal="left" vertical="center"/>
      <protection locked="0"/>
    </xf>
    <xf numFmtId="0" fontId="25" fillId="0" borderId="0" xfId="0" applyFont="1" applyBorder="1" applyAlignment="1">
      <alignment horizontal="center" vertical="center" wrapText="1"/>
    </xf>
    <xf numFmtId="0" fontId="0" fillId="0" borderId="0" xfId="0" applyFont="1" applyAlignment="1">
      <alignment horizontal="left" vertical="top" wrapText="1"/>
    </xf>
    <xf numFmtId="0" fontId="0" fillId="0" borderId="0" xfId="0" applyFill="1" applyAlignment="1">
      <alignment horizontal="left" vertical="top" wrapText="1"/>
    </xf>
    <xf numFmtId="0" fontId="0" fillId="0" borderId="0" xfId="0" applyAlignment="1">
      <alignment horizontal="right" vertical="center" wrapText="1"/>
    </xf>
    <xf numFmtId="0" fontId="12" fillId="2" borderId="23" xfId="0" applyFont="1" applyFill="1" applyBorder="1" applyAlignment="1" applyProtection="1">
      <alignment horizontal="left" vertical="center"/>
      <protection locked="0"/>
    </xf>
    <xf numFmtId="0" fontId="20" fillId="2" borderId="23" xfId="5" applyFont="1" applyFill="1" applyBorder="1" applyAlignment="1" applyProtection="1">
      <alignment horizontal="left" vertical="center"/>
      <protection locked="0"/>
    </xf>
    <xf numFmtId="0" fontId="26" fillId="2" borderId="23" xfId="0" applyFont="1" applyFill="1" applyBorder="1" applyAlignment="1" applyProtection="1">
      <alignment horizontal="left" vertical="center"/>
      <protection locked="0"/>
    </xf>
    <xf numFmtId="0" fontId="110" fillId="0" borderId="0" xfId="0" applyFont="1" applyAlignment="1">
      <alignment horizontal="left" vertical="center" wrapText="1"/>
    </xf>
    <xf numFmtId="0" fontId="129" fillId="0" borderId="22" xfId="0" applyFont="1" applyBorder="1" applyAlignment="1">
      <alignment horizontal="left" vertical="center" wrapText="1"/>
    </xf>
    <xf numFmtId="0" fontId="110" fillId="0" borderId="0" xfId="0" quotePrefix="1" applyFont="1" applyAlignment="1">
      <alignment horizontal="left" vertical="center" wrapText="1"/>
    </xf>
    <xf numFmtId="0" fontId="26" fillId="2" borderId="0" xfId="0" applyFont="1" applyFill="1" applyBorder="1" applyAlignment="1" applyProtection="1">
      <alignment horizontal="left" vertical="center" wrapText="1"/>
      <protection locked="0"/>
    </xf>
    <xf numFmtId="0" fontId="4" fillId="0" borderId="0" xfId="0" applyFont="1" applyAlignment="1">
      <alignment horizontal="right" vertical="center" wrapText="1"/>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97" fillId="0" borderId="0" xfId="0" quotePrefix="1" applyFont="1" applyAlignment="1">
      <alignment horizontal="left" vertical="center" wrapText="1"/>
    </xf>
    <xf numFmtId="0" fontId="4" fillId="0" borderId="0" xfId="0" applyFont="1" applyAlignment="1">
      <alignment horizontal="center" vertical="center"/>
    </xf>
    <xf numFmtId="0" fontId="0" fillId="0" borderId="0" xfId="0" quotePrefix="1" applyAlignment="1">
      <alignment horizontal="center" vertical="center"/>
    </xf>
    <xf numFmtId="0" fontId="2" fillId="8" borderId="0" xfId="0" applyFont="1" applyFill="1" applyAlignment="1">
      <alignment horizontal="left" vertical="top"/>
    </xf>
    <xf numFmtId="0" fontId="2" fillId="0" borderId="0" xfId="0" applyFont="1" applyAlignment="1">
      <alignment horizontal="left" vertical="top"/>
    </xf>
    <xf numFmtId="0" fontId="3" fillId="0" borderId="0" xfId="0" applyFont="1" applyAlignment="1">
      <alignment horizontal="right" vertical="center" wrapText="1"/>
    </xf>
    <xf numFmtId="0" fontId="0" fillId="0" borderId="0" xfId="0" applyAlignment="1">
      <alignment horizontal="left" vertical="center"/>
    </xf>
    <xf numFmtId="0" fontId="20" fillId="2" borderId="23" xfId="5"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12" fillId="61" borderId="23" xfId="0" applyFont="1" applyFill="1" applyBorder="1" applyAlignment="1" applyProtection="1">
      <alignment horizontal="left" vertical="center"/>
      <protection locked="0"/>
    </xf>
    <xf numFmtId="49" fontId="12" fillId="2" borderId="32" xfId="0" applyNumberFormat="1" applyFont="1" applyFill="1" applyBorder="1" applyAlignment="1" applyProtection="1">
      <alignment horizontal="left" vertical="center" wrapText="1"/>
      <protection locked="0"/>
    </xf>
    <xf numFmtId="0" fontId="96" fillId="0" borderId="0" xfId="0" applyFont="1" applyAlignment="1">
      <alignment horizontal="left" vertical="center" wrapText="1"/>
    </xf>
    <xf numFmtId="0" fontId="85" fillId="0" borderId="114" xfId="0" applyFont="1" applyBorder="1" applyAlignment="1">
      <alignment horizontal="center" vertical="center" wrapText="1"/>
    </xf>
    <xf numFmtId="0" fontId="85" fillId="0" borderId="0" xfId="0" applyFont="1" applyAlignment="1">
      <alignment horizontal="center" vertical="center" wrapText="1"/>
    </xf>
    <xf numFmtId="0" fontId="85" fillId="0" borderId="0" xfId="0" applyFont="1" applyAlignment="1">
      <alignment horizontal="right" vertical="top"/>
    </xf>
    <xf numFmtId="0" fontId="4" fillId="0" borderId="0" xfId="0" applyFont="1" applyFill="1" applyAlignment="1">
      <alignment horizontal="left" vertical="top" wrapText="1"/>
    </xf>
    <xf numFmtId="0" fontId="12" fillId="2" borderId="23" xfId="0" applyFont="1" applyFill="1" applyBorder="1" applyAlignment="1" applyProtection="1">
      <alignment horizontal="left" vertical="center"/>
    </xf>
    <xf numFmtId="0" fontId="4" fillId="8" borderId="0" xfId="0" applyFont="1" applyFill="1" applyAlignment="1">
      <alignment horizontal="left" vertical="top" wrapText="1"/>
    </xf>
    <xf numFmtId="0" fontId="4" fillId="8" borderId="0" xfId="0" applyFont="1" applyFill="1" applyAlignment="1">
      <alignment horizontal="left" vertical="top"/>
    </xf>
    <xf numFmtId="0" fontId="4" fillId="0" borderId="0" xfId="0" applyFont="1" applyAlignment="1">
      <alignment horizontal="right" vertical="center"/>
    </xf>
    <xf numFmtId="0" fontId="96" fillId="26" borderId="0" xfId="0" applyFont="1" applyFill="1" applyAlignment="1">
      <alignment horizontal="center" vertical="center"/>
    </xf>
    <xf numFmtId="0" fontId="0" fillId="8" borderId="0" xfId="0" applyFill="1" applyAlignment="1">
      <alignment horizontal="left" vertical="top" wrapText="1"/>
    </xf>
    <xf numFmtId="0" fontId="12" fillId="2" borderId="243" xfId="0" applyFont="1" applyFill="1" applyBorder="1" applyAlignment="1" applyProtection="1">
      <alignment horizontal="left" vertical="center" wrapText="1"/>
      <protection locked="0"/>
    </xf>
    <xf numFmtId="0" fontId="0" fillId="0" borderId="206" xfId="0" applyBorder="1" applyAlignment="1">
      <alignment horizontal="left" vertical="center" wrapText="1"/>
    </xf>
    <xf numFmtId="0" fontId="0" fillId="0" borderId="0" xfId="0" quotePrefix="1" applyAlignment="1">
      <alignment horizontal="left" vertical="center" wrapText="1"/>
    </xf>
    <xf numFmtId="0" fontId="2" fillId="0" borderId="0" xfId="0" applyFont="1" applyAlignment="1">
      <alignment horizontal="left" vertical="center"/>
    </xf>
    <xf numFmtId="0" fontId="2" fillId="0" borderId="0" xfId="0" applyFont="1" applyAlignment="1">
      <alignment horizontal="left" vertical="center" wrapText="1"/>
    </xf>
    <xf numFmtId="215" fontId="12" fillId="6" borderId="114" xfId="0" applyNumberFormat="1" applyFont="1" applyFill="1" applyBorder="1" applyAlignment="1">
      <alignment horizontal="center" vertical="center" wrapText="1"/>
    </xf>
    <xf numFmtId="215" fontId="12" fillId="6" borderId="56" xfId="0" applyNumberFormat="1" applyFont="1" applyFill="1" applyBorder="1" applyAlignment="1">
      <alignment horizontal="center" vertical="center" wrapText="1"/>
    </xf>
    <xf numFmtId="0" fontId="12" fillId="2" borderId="165" xfId="0" applyFont="1" applyFill="1" applyBorder="1" applyAlignment="1" applyProtection="1">
      <alignment horizontal="center" vertical="center"/>
    </xf>
    <xf numFmtId="0" fontId="0" fillId="0" borderId="0" xfId="0" applyAlignment="1">
      <alignment horizontal="right" vertical="center"/>
    </xf>
    <xf numFmtId="0" fontId="0" fillId="0" borderId="0" xfId="0" applyFill="1" applyAlignment="1">
      <alignment horizontal="left" vertical="center" wrapText="1"/>
    </xf>
    <xf numFmtId="0" fontId="12" fillId="2" borderId="195" xfId="0" applyFont="1" applyFill="1" applyBorder="1" applyAlignment="1" applyProtection="1">
      <alignment horizontal="center" vertical="center"/>
      <protection locked="0"/>
    </xf>
    <xf numFmtId="0" fontId="12" fillId="2" borderId="0" xfId="0" applyFont="1" applyFill="1" applyAlignment="1" applyProtection="1">
      <alignment horizontal="left" vertical="top" wrapText="1"/>
      <protection locked="0"/>
    </xf>
    <xf numFmtId="0" fontId="12" fillId="2" borderId="23" xfId="0" applyFont="1" applyFill="1" applyBorder="1" applyAlignment="1" applyProtection="1">
      <alignment horizontal="left" vertical="top" wrapText="1"/>
      <protection locked="0"/>
    </xf>
    <xf numFmtId="0" fontId="12" fillId="2" borderId="165" xfId="0" applyFont="1" applyFill="1" applyBorder="1" applyAlignment="1" applyProtection="1">
      <alignment horizontal="left" vertical="center"/>
      <protection locked="0"/>
    </xf>
    <xf numFmtId="0" fontId="3" fillId="0" borderId="0" xfId="0" applyFont="1" applyAlignment="1">
      <alignment horizontal="left" vertical="top" wrapText="1"/>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9" fillId="0" borderId="7" xfId="0" applyFont="1" applyFill="1" applyBorder="1" applyAlignment="1">
      <alignment horizontal="left" vertical="center" wrapText="1"/>
    </xf>
    <xf numFmtId="0" fontId="19" fillId="4" borderId="7" xfId="0" applyFont="1" applyFill="1" applyBorder="1" applyAlignment="1">
      <alignment horizontal="left" vertical="center" wrapText="1"/>
    </xf>
    <xf numFmtId="0" fontId="2" fillId="0" borderId="7" xfId="0" applyFont="1" applyBorder="1" applyAlignment="1">
      <alignment horizontal="left" vertical="center" wrapText="1"/>
    </xf>
    <xf numFmtId="0" fontId="4" fillId="0" borderId="0" xfId="0" applyFont="1" applyAlignment="1">
      <alignment horizontal="left" vertical="top" wrapText="1"/>
    </xf>
    <xf numFmtId="0" fontId="110" fillId="8" borderId="0" xfId="0" applyFont="1" applyFill="1" applyAlignment="1">
      <alignment horizontal="left" vertical="center" wrapText="1"/>
    </xf>
    <xf numFmtId="0" fontId="10" fillId="0" borderId="12" xfId="0" applyFont="1" applyBorder="1" applyAlignment="1">
      <alignment horizontal="center" vertical="center" textRotation="90"/>
    </xf>
    <xf numFmtId="0" fontId="10" fillId="0" borderId="52" xfId="0" applyFont="1" applyBorder="1" applyAlignment="1">
      <alignment horizontal="center" vertical="center" textRotation="90"/>
    </xf>
    <xf numFmtId="0" fontId="10" fillId="0" borderId="14" xfId="0" applyFont="1" applyBorder="1" applyAlignment="1">
      <alignment horizontal="center" vertical="center" textRotation="90"/>
    </xf>
    <xf numFmtId="0" fontId="10" fillId="0" borderId="44" xfId="0" applyFont="1" applyBorder="1" applyAlignment="1">
      <alignment horizontal="center" vertical="center" textRotation="90"/>
    </xf>
    <xf numFmtId="0" fontId="10" fillId="0" borderId="46" xfId="0" applyFont="1" applyBorder="1" applyAlignment="1">
      <alignment horizontal="center" vertical="center" textRotation="90"/>
    </xf>
    <xf numFmtId="0" fontId="10" fillId="0" borderId="142" xfId="0" applyFont="1" applyBorder="1" applyAlignment="1">
      <alignment horizontal="center" vertical="center" textRotation="90"/>
    </xf>
    <xf numFmtId="0" fontId="19" fillId="4" borderId="5" xfId="0" applyFont="1" applyFill="1" applyBorder="1" applyAlignment="1">
      <alignment horizontal="left" vertical="center" wrapText="1"/>
    </xf>
    <xf numFmtId="0" fontId="10" fillId="0" borderId="207" xfId="0" applyFont="1" applyBorder="1" applyAlignment="1">
      <alignment horizontal="center" vertical="center" textRotation="90"/>
    </xf>
    <xf numFmtId="0" fontId="10" fillId="0" borderId="12" xfId="0" applyFont="1" applyBorder="1" applyAlignment="1">
      <alignment horizontal="center" vertical="center" textRotation="90" wrapText="1"/>
    </xf>
    <xf numFmtId="0" fontId="10" fillId="0" borderId="52" xfId="0" applyFont="1" applyBorder="1" applyAlignment="1">
      <alignment horizontal="center" vertical="center" textRotation="90" wrapText="1"/>
    </xf>
    <xf numFmtId="0" fontId="10" fillId="0" borderId="14" xfId="0" applyFont="1" applyBorder="1" applyAlignment="1">
      <alignment horizontal="center" vertical="center" textRotation="90" wrapText="1"/>
    </xf>
    <xf numFmtId="0" fontId="10" fillId="0" borderId="44" xfId="0" applyFont="1" applyBorder="1" applyAlignment="1">
      <alignment horizontal="center" vertical="center" textRotation="90" wrapText="1"/>
    </xf>
    <xf numFmtId="0" fontId="10" fillId="0" borderId="46" xfId="0" applyFont="1" applyBorder="1" applyAlignment="1">
      <alignment horizontal="center" vertical="center" textRotation="90" wrapText="1"/>
    </xf>
    <xf numFmtId="0" fontId="10" fillId="0" borderId="142" xfId="0" applyFont="1" applyBorder="1" applyAlignment="1">
      <alignment horizontal="center" vertical="center" textRotation="90" wrapText="1"/>
    </xf>
    <xf numFmtId="0" fontId="19" fillId="0" borderId="5" xfId="0" applyFont="1" applyFill="1" applyBorder="1" applyAlignment="1">
      <alignment horizontal="left" vertical="center" wrapText="1"/>
    </xf>
    <xf numFmtId="0" fontId="19" fillId="0" borderId="6" xfId="0" applyFont="1" applyFill="1" applyBorder="1" applyAlignment="1">
      <alignment horizontal="left" vertical="center" wrapText="1"/>
    </xf>
    <xf numFmtId="49" fontId="2" fillId="0" borderId="0" xfId="0" applyNumberFormat="1" applyFont="1" applyAlignment="1">
      <alignment horizontal="center" vertical="center"/>
    </xf>
    <xf numFmtId="225" fontId="3" fillId="0" borderId="0" xfId="0" applyNumberFormat="1" applyFont="1" applyAlignment="1">
      <alignment horizontal="right" vertical="center"/>
    </xf>
    <xf numFmtId="0" fontId="3" fillId="0" borderId="0" xfId="0" applyFont="1" applyAlignment="1">
      <alignment horizontal="left" vertical="center" wrapText="1"/>
    </xf>
    <xf numFmtId="0" fontId="23" fillId="0" borderId="1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165" xfId="0" applyFont="1" applyBorder="1" applyAlignment="1">
      <alignment horizontal="center" vertical="center" wrapText="1"/>
    </xf>
    <xf numFmtId="0" fontId="23" fillId="0" borderId="142" xfId="0" applyFont="1" applyBorder="1" applyAlignment="1">
      <alignment horizontal="center" vertical="center" wrapText="1"/>
    </xf>
    <xf numFmtId="0" fontId="4" fillId="0" borderId="14" xfId="0" applyFont="1" applyBorder="1" applyAlignment="1">
      <alignment horizontal="right" vertical="top" wrapText="1"/>
    </xf>
    <xf numFmtId="0" fontId="4" fillId="0" borderId="0" xfId="0" applyFont="1" applyAlignment="1">
      <alignment horizontal="right" vertical="top" wrapText="1"/>
    </xf>
    <xf numFmtId="0" fontId="0" fillId="0" borderId="7" xfId="0" applyBorder="1" applyAlignment="1">
      <alignment horizontal="right" vertical="center" indent="1"/>
    </xf>
    <xf numFmtId="0" fontId="124" fillId="0" borderId="195" xfId="0" applyFont="1" applyBorder="1" applyAlignment="1">
      <alignment horizontal="left" vertical="top" wrapText="1"/>
    </xf>
    <xf numFmtId="0" fontId="124" fillId="0" borderId="197" xfId="0" applyFont="1" applyBorder="1" applyAlignment="1">
      <alignment horizontal="left" vertical="top" wrapText="1"/>
    </xf>
    <xf numFmtId="0" fontId="0" fillId="0" borderId="7" xfId="0" applyBorder="1" applyAlignment="1">
      <alignment horizontal="right" vertical="center" wrapText="1"/>
    </xf>
    <xf numFmtId="0" fontId="61" fillId="0" borderId="165" xfId="0" applyFont="1" applyBorder="1" applyAlignment="1">
      <alignment horizontal="left" vertical="center"/>
    </xf>
    <xf numFmtId="0" fontId="95" fillId="0" borderId="7" xfId="0" applyFont="1" applyBorder="1" applyAlignment="1">
      <alignment horizontal="center" vertical="center" wrapText="1"/>
    </xf>
    <xf numFmtId="0" fontId="131" fillId="0" borderId="7" xfId="0" applyFont="1" applyBorder="1" applyAlignment="1">
      <alignment horizontal="center" vertical="center" wrapText="1"/>
    </xf>
    <xf numFmtId="0" fontId="0" fillId="0" borderId="7" xfId="0" applyBorder="1" applyAlignment="1">
      <alignment horizontal="right" vertical="center" wrapText="1" indent="1"/>
    </xf>
    <xf numFmtId="0" fontId="0" fillId="0" borderId="10" xfId="0" applyBorder="1" applyAlignment="1">
      <alignment horizontal="center" vertical="top" wrapText="1"/>
    </xf>
    <xf numFmtId="0" fontId="0" fillId="0" borderId="13" xfId="0" applyBorder="1" applyAlignment="1">
      <alignment horizontal="center" vertical="top" wrapText="1"/>
    </xf>
    <xf numFmtId="0" fontId="0" fillId="0" borderId="11" xfId="0" applyBorder="1" applyAlignment="1">
      <alignment horizontal="center" vertical="top" wrapText="1"/>
    </xf>
    <xf numFmtId="0" fontId="3" fillId="0" borderId="0" xfId="0" quotePrefix="1" applyFont="1" applyAlignment="1">
      <alignment horizontal="left" vertical="top" wrapText="1" indent="3"/>
    </xf>
    <xf numFmtId="0" fontId="3" fillId="0" borderId="0" xfId="0" applyFont="1" applyAlignment="1">
      <alignment horizontal="left" vertical="top" wrapText="1" indent="3"/>
    </xf>
    <xf numFmtId="0" fontId="0" fillId="0" borderId="14" xfId="0" applyBorder="1" applyAlignment="1">
      <alignment horizontal="left" vertical="center" wrapText="1"/>
    </xf>
    <xf numFmtId="0" fontId="3" fillId="0" borderId="0" xfId="0" applyFont="1" applyBorder="1" applyAlignment="1">
      <alignment horizontal="left" vertical="top" wrapText="1" indent="3"/>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46" xfId="0" applyBorder="1" applyAlignment="1">
      <alignment horizontal="center" vertical="center"/>
    </xf>
    <xf numFmtId="0" fontId="0" fillId="0" borderId="206" xfId="0" applyBorder="1" applyAlignment="1">
      <alignment horizontal="center" vertical="center"/>
    </xf>
    <xf numFmtId="0" fontId="0" fillId="0" borderId="207" xfId="0" applyBorder="1" applyAlignment="1">
      <alignment horizontal="center" vertical="center"/>
    </xf>
    <xf numFmtId="0" fontId="0" fillId="0" borderId="0" xfId="0" applyFont="1" applyBorder="1" applyAlignment="1">
      <alignment horizontal="left" vertical="top" wrapText="1"/>
    </xf>
    <xf numFmtId="0" fontId="4" fillId="0" borderId="165" xfId="0" applyFont="1" applyFill="1" applyBorder="1" applyAlignment="1" applyProtection="1">
      <alignment horizontal="center" vertical="center" wrapText="1"/>
    </xf>
    <xf numFmtId="0" fontId="85" fillId="0" borderId="0" xfId="0" applyFont="1" applyAlignment="1">
      <alignment horizontal="center" vertical="center"/>
    </xf>
    <xf numFmtId="0" fontId="0" fillId="0" borderId="0" xfId="0" applyAlignment="1">
      <alignment horizontal="center" vertical="center" wrapText="1"/>
    </xf>
    <xf numFmtId="49" fontId="12" fillId="2" borderId="165" xfId="0" applyNumberFormat="1"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49" fontId="12" fillId="2" borderId="1" xfId="0" applyNumberFormat="1" applyFont="1" applyFill="1" applyBorder="1" applyAlignment="1" applyProtection="1">
      <alignment horizontal="center" vertical="center"/>
      <protection locked="0"/>
    </xf>
    <xf numFmtId="0" fontId="4" fillId="0" borderId="195" xfId="0" applyFont="1" applyBorder="1" applyAlignment="1">
      <alignment horizontal="left" vertical="center"/>
    </xf>
    <xf numFmtId="253" fontId="20" fillId="2" borderId="23" xfId="5" applyNumberFormat="1" applyFont="1" applyFill="1" applyBorder="1" applyAlignment="1" applyProtection="1">
      <alignment horizontal="left" vertical="top" wrapText="1"/>
      <protection locked="0"/>
    </xf>
    <xf numFmtId="0" fontId="85" fillId="0" borderId="0" xfId="0" applyFont="1" applyAlignment="1">
      <alignment horizontal="left" vertical="top" wrapText="1" indent="3"/>
    </xf>
    <xf numFmtId="0" fontId="12" fillId="2" borderId="165" xfId="0" applyFont="1" applyFill="1" applyBorder="1" applyAlignment="1" applyProtection="1">
      <alignment horizontal="left" vertical="top" wrapText="1"/>
      <protection locked="0"/>
    </xf>
    <xf numFmtId="0" fontId="2" fillId="0" borderId="0" xfId="0" applyFont="1" applyAlignment="1">
      <alignment horizontal="left"/>
    </xf>
    <xf numFmtId="0" fontId="12" fillId="2" borderId="165" xfId="0" applyFont="1" applyFill="1" applyBorder="1" applyAlignment="1" applyProtection="1">
      <alignment horizontal="left" vertical="center" wrapText="1"/>
      <protection locked="0"/>
    </xf>
    <xf numFmtId="0" fontId="12" fillId="2" borderId="165" xfId="0" applyFont="1" applyFill="1" applyBorder="1" applyAlignment="1" applyProtection="1">
      <alignment horizontal="center" vertical="center" wrapText="1"/>
      <protection locked="0"/>
    </xf>
    <xf numFmtId="0" fontId="96" fillId="0" borderId="0" xfId="0" applyFont="1" applyAlignment="1">
      <alignment vertical="center"/>
    </xf>
    <xf numFmtId="0" fontId="12" fillId="2" borderId="32" xfId="0" applyFont="1" applyFill="1" applyBorder="1" applyAlignment="1" applyProtection="1">
      <alignment horizontal="left" vertical="center"/>
      <protection locked="0"/>
    </xf>
    <xf numFmtId="0" fontId="0" fillId="0" borderId="0" xfId="0" applyAlignment="1">
      <alignment horizontal="center" vertical="top" wrapText="1"/>
    </xf>
    <xf numFmtId="196" fontId="15" fillId="0" borderId="44" xfId="0" applyNumberFormat="1" applyFont="1" applyBorder="1" applyAlignment="1">
      <alignment horizontal="center" vertical="center"/>
    </xf>
    <xf numFmtId="0" fontId="4" fillId="8" borderId="10" xfId="0" applyFont="1" applyFill="1" applyBorder="1" applyAlignment="1">
      <alignment horizontal="center" vertical="center"/>
    </xf>
    <xf numFmtId="0" fontId="4" fillId="8" borderId="13" xfId="0" applyFont="1" applyFill="1" applyBorder="1" applyAlignment="1">
      <alignment horizontal="center" vertical="center"/>
    </xf>
    <xf numFmtId="0" fontId="4" fillId="8" borderId="11" xfId="0" applyFont="1" applyFill="1" applyBorder="1" applyAlignment="1">
      <alignment horizontal="center" vertical="center"/>
    </xf>
    <xf numFmtId="0" fontId="12" fillId="2" borderId="195" xfId="0" applyFont="1" applyFill="1" applyBorder="1" applyAlignment="1" applyProtection="1">
      <alignment horizontal="left" vertical="center"/>
      <protection locked="0"/>
    </xf>
    <xf numFmtId="0" fontId="12" fillId="2" borderId="87" xfId="0" applyFont="1" applyFill="1" applyBorder="1" applyAlignment="1" applyProtection="1">
      <alignment horizontal="left" vertical="center"/>
      <protection locked="0"/>
    </xf>
    <xf numFmtId="235" fontId="96" fillId="48" borderId="10" xfId="0" applyNumberFormat="1" applyFont="1" applyFill="1" applyBorder="1" applyAlignment="1">
      <alignment horizontal="center" vertical="center" wrapText="1"/>
    </xf>
    <xf numFmtId="235" fontId="96" fillId="48" borderId="13" xfId="0" applyNumberFormat="1" applyFont="1" applyFill="1" applyBorder="1" applyAlignment="1">
      <alignment horizontal="center" vertical="center" wrapText="1"/>
    </xf>
    <xf numFmtId="235" fontId="96" fillId="48" borderId="11" xfId="0" applyNumberFormat="1" applyFont="1" applyFill="1" applyBorder="1" applyAlignment="1">
      <alignment horizontal="center" vertical="center" wrapText="1"/>
    </xf>
    <xf numFmtId="0" fontId="4" fillId="0" borderId="195" xfId="0" applyFont="1" applyFill="1" applyBorder="1" applyAlignment="1">
      <alignment horizontal="center" vertical="center"/>
    </xf>
    <xf numFmtId="0" fontId="15" fillId="0" borderId="24" xfId="0" applyFont="1" applyBorder="1" applyAlignment="1">
      <alignment horizontal="center" vertical="center" wrapText="1"/>
    </xf>
    <xf numFmtId="0" fontId="15" fillId="0" borderId="0" xfId="0" applyFont="1" applyAlignment="1">
      <alignment horizontal="center" vertical="center" wrapText="1"/>
    </xf>
    <xf numFmtId="0" fontId="15" fillId="0" borderId="195" xfId="0" applyFont="1" applyBorder="1" applyAlignment="1">
      <alignment horizontal="center" vertical="center" wrapText="1"/>
    </xf>
    <xf numFmtId="0" fontId="96" fillId="0" borderId="0" xfId="0" applyFont="1" applyFill="1" applyAlignment="1">
      <alignment horizontal="right" vertical="center" wrapText="1"/>
    </xf>
    <xf numFmtId="0" fontId="4" fillId="0" borderId="0" xfId="0" applyFont="1" applyAlignment="1">
      <alignment horizontal="left" vertical="center"/>
    </xf>
    <xf numFmtId="0" fontId="0" fillId="0" borderId="0" xfId="0" applyAlignment="1">
      <alignment horizontal="left"/>
    </xf>
    <xf numFmtId="0" fontId="2" fillId="0" borderId="10" xfId="0" applyFont="1" applyBorder="1" applyAlignment="1">
      <alignment horizontal="center" wrapText="1"/>
    </xf>
    <xf numFmtId="0" fontId="2" fillId="0" borderId="13" xfId="0" applyFont="1" applyBorder="1" applyAlignment="1">
      <alignment horizontal="center" wrapText="1"/>
    </xf>
    <xf numFmtId="0" fontId="85" fillId="0" borderId="0" xfId="0" applyFont="1" applyAlignment="1">
      <alignment horizontal="left" vertical="top"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4" fillId="0" borderId="0" xfId="0" applyFont="1" applyFill="1" applyAlignment="1">
      <alignment horizontal="left" vertical="center" wrapText="1"/>
    </xf>
    <xf numFmtId="0" fontId="0" fillId="19" borderId="0" xfId="0" applyFill="1" applyAlignment="1">
      <alignment horizontal="left" vertical="center" wrapText="1"/>
    </xf>
    <xf numFmtId="0" fontId="8" fillId="0" borderId="0" xfId="0" applyFont="1" applyAlignment="1">
      <alignment horizontal="center" vertical="center" wrapText="1"/>
    </xf>
    <xf numFmtId="9" fontId="12" fillId="16" borderId="64" xfId="4" applyFont="1" applyFill="1" applyBorder="1" applyAlignment="1" applyProtection="1">
      <alignment horizontal="center" vertical="center"/>
    </xf>
    <xf numFmtId="9" fontId="12" fillId="16" borderId="65" xfId="4" applyFont="1" applyFill="1" applyBorder="1" applyAlignment="1" applyProtection="1">
      <alignment horizontal="center" vertical="center"/>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9" fontId="12" fillId="2" borderId="132" xfId="4" applyFont="1" applyFill="1" applyBorder="1" applyAlignment="1" applyProtection="1">
      <alignment horizontal="center" vertical="center"/>
      <protection locked="0"/>
    </xf>
    <xf numFmtId="9" fontId="12" fillId="2" borderId="133" xfId="4" applyFont="1" applyFill="1" applyBorder="1" applyAlignment="1" applyProtection="1">
      <alignment horizontal="center" vertical="center"/>
      <protection locked="0"/>
    </xf>
    <xf numFmtId="0" fontId="6" fillId="0" borderId="0" xfId="0" applyFont="1" applyAlignment="1">
      <alignment horizontal="center" vertical="top" wrapText="1"/>
    </xf>
    <xf numFmtId="0" fontId="25" fillId="0" borderId="0" xfId="0" applyFont="1" applyAlignment="1">
      <alignment horizontal="left" vertical="top" wrapText="1"/>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0" fontId="0" fillId="0" borderId="53" xfId="0" applyBorder="1" applyAlignment="1">
      <alignment horizontal="center" vertical="center" wrapText="1"/>
    </xf>
    <xf numFmtId="0" fontId="0" fillId="0" borderId="0" xfId="0" applyAlignment="1">
      <alignment horizontal="right"/>
    </xf>
    <xf numFmtId="0" fontId="12" fillId="2" borderId="23" xfId="0" applyFont="1" applyFill="1" applyBorder="1" applyAlignment="1">
      <alignment horizontal="left" vertical="center"/>
    </xf>
    <xf numFmtId="9" fontId="12" fillId="2" borderId="130" xfId="4" applyFont="1" applyFill="1" applyBorder="1" applyAlignment="1" applyProtection="1">
      <alignment horizontal="center" vertical="center"/>
      <protection locked="0"/>
    </xf>
    <xf numFmtId="9" fontId="12" fillId="2" borderId="131" xfId="4" applyFont="1" applyFill="1" applyBorder="1" applyAlignment="1" applyProtection="1">
      <alignment horizontal="center" vertical="center"/>
      <protection locked="0"/>
    </xf>
    <xf numFmtId="0" fontId="0" fillId="0" borderId="206" xfId="0" applyNumberFormat="1" applyFont="1" applyBorder="1" applyAlignment="1">
      <alignment horizontal="center" vertical="top"/>
    </xf>
    <xf numFmtId="0" fontId="2" fillId="0" borderId="0" xfId="0" applyFont="1" applyFill="1" applyAlignment="1">
      <alignment horizontal="left" vertical="top" wrapText="1"/>
    </xf>
    <xf numFmtId="218" fontId="4" fillId="0" borderId="0" xfId="0" applyNumberFormat="1" applyFont="1" applyBorder="1" applyAlignment="1">
      <alignment horizontal="center" vertical="center" textRotation="180"/>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9" fontId="12" fillId="2" borderId="255" xfId="4" applyFont="1" applyFill="1" applyBorder="1" applyAlignment="1" applyProtection="1">
      <alignment horizontal="center" vertical="center"/>
      <protection locked="0"/>
    </xf>
    <xf numFmtId="9" fontId="12" fillId="2" borderId="256" xfId="4" applyFont="1" applyFill="1" applyBorder="1" applyAlignment="1" applyProtection="1">
      <alignment horizontal="center" vertical="center"/>
      <protection locked="0"/>
    </xf>
    <xf numFmtId="9" fontId="12" fillId="2" borderId="132" xfId="0" applyNumberFormat="1" applyFont="1" applyFill="1" applyBorder="1" applyAlignment="1" applyProtection="1">
      <alignment horizontal="center" vertical="center"/>
      <protection locked="0"/>
    </xf>
    <xf numFmtId="9" fontId="12" fillId="2" borderId="133" xfId="0" applyNumberFormat="1" applyFont="1" applyFill="1" applyBorder="1" applyAlignment="1" applyProtection="1">
      <alignment horizontal="center" vertical="center"/>
      <protection locked="0"/>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0" fontId="0" fillId="0" borderId="224" xfId="0" applyBorder="1" applyAlignment="1">
      <alignment horizontal="center" wrapText="1"/>
    </xf>
    <xf numFmtId="0" fontId="0" fillId="0" borderId="225" xfId="0" applyBorder="1" applyAlignment="1">
      <alignment horizontal="center" wrapText="1"/>
    </xf>
    <xf numFmtId="0" fontId="124" fillId="0" borderId="0" xfId="0" applyFont="1" applyAlignment="1">
      <alignment horizontal="left" vertical="top" wrapText="1"/>
    </xf>
    <xf numFmtId="9" fontId="4" fillId="0" borderId="258" xfId="4" applyFont="1" applyFill="1" applyBorder="1" applyAlignment="1" applyProtection="1">
      <alignment horizontal="center" vertical="center"/>
    </xf>
    <xf numFmtId="9" fontId="4" fillId="0" borderId="259" xfId="4" applyFont="1" applyFill="1" applyBorder="1" applyAlignment="1" applyProtection="1">
      <alignment horizontal="center" vertical="center"/>
    </xf>
    <xf numFmtId="0" fontId="158" fillId="10" borderId="0" xfId="0" applyFont="1" applyFill="1" applyAlignment="1">
      <alignment horizontal="center" vertical="top" wrapText="1"/>
    </xf>
    <xf numFmtId="9" fontId="12" fillId="2" borderId="216" xfId="4" applyFont="1" applyFill="1" applyBorder="1" applyAlignment="1" applyProtection="1">
      <alignment horizontal="center" vertical="center"/>
      <protection locked="0"/>
    </xf>
    <xf numFmtId="9" fontId="12" fillId="2" borderId="217" xfId="4" applyFont="1" applyFill="1" applyBorder="1" applyAlignment="1" applyProtection="1">
      <alignment horizontal="center" vertical="center"/>
      <protection locked="0"/>
    </xf>
    <xf numFmtId="0" fontId="0" fillId="0" borderId="94" xfId="0" applyBorder="1" applyAlignment="1">
      <alignment horizontal="center" wrapText="1"/>
    </xf>
    <xf numFmtId="0" fontId="0" fillId="0" borderId="95" xfId="0" applyBorder="1" applyAlignment="1">
      <alignment horizontal="center" wrapText="1"/>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9" fontId="4" fillId="0" borderId="105" xfId="4" applyFont="1" applyFill="1" applyBorder="1" applyAlignment="1" applyProtection="1">
      <alignment horizontal="center" vertical="center"/>
    </xf>
    <xf numFmtId="9" fontId="4" fillId="0" borderId="106" xfId="4" applyFont="1" applyFill="1" applyBorder="1" applyAlignment="1" applyProtection="1">
      <alignment horizontal="center" vertical="center"/>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0" fontId="4" fillId="0" borderId="0" xfId="0" applyFont="1" applyAlignment="1">
      <alignment horizontal="left" vertical="center" wrapText="1"/>
    </xf>
    <xf numFmtId="40" fontId="25" fillId="0" borderId="0" xfId="0" applyNumberFormat="1" applyFont="1" applyAlignment="1">
      <alignment horizontal="center" vertical="top" wrapText="1"/>
    </xf>
    <xf numFmtId="40" fontId="25" fillId="0" borderId="38" xfId="0" applyNumberFormat="1" applyFont="1" applyBorder="1" applyAlignment="1">
      <alignment horizontal="center" vertical="top" wrapText="1"/>
    </xf>
    <xf numFmtId="0" fontId="0" fillId="0" borderId="0" xfId="0" quotePrefix="1" applyAlignment="1">
      <alignment horizontal="left" vertical="top" wrapText="1"/>
    </xf>
    <xf numFmtId="0" fontId="0" fillId="0" borderId="0" xfId="0" applyAlignment="1">
      <alignment horizontal="left" wrapText="1"/>
    </xf>
    <xf numFmtId="0" fontId="0" fillId="0" borderId="180" xfId="0" applyBorder="1" applyAlignment="1">
      <alignment horizontal="left" vertical="center" wrapText="1"/>
    </xf>
    <xf numFmtId="0" fontId="0" fillId="0" borderId="65" xfId="0" applyBorder="1" applyAlignment="1">
      <alignment horizontal="left" vertical="center" wrapText="1"/>
    </xf>
    <xf numFmtId="38" fontId="4" fillId="0" borderId="162" xfId="0" applyNumberFormat="1" applyFont="1" applyBorder="1" applyAlignment="1">
      <alignment horizontal="center" vertical="center"/>
    </xf>
    <xf numFmtId="0" fontId="4" fillId="0" borderId="163" xfId="0" applyFont="1" applyBorder="1" applyAlignment="1">
      <alignment horizontal="center" vertical="center"/>
    </xf>
    <xf numFmtId="0" fontId="4" fillId="0" borderId="160" xfId="0" applyFont="1" applyBorder="1" applyAlignment="1">
      <alignment horizontal="center" vertical="center"/>
    </xf>
    <xf numFmtId="0" fontId="96" fillId="0" borderId="0" xfId="0" applyFont="1" applyAlignment="1">
      <alignment horizontal="right" vertical="center"/>
    </xf>
    <xf numFmtId="9" fontId="4" fillId="0" borderId="35" xfId="4" applyFont="1" applyFill="1" applyBorder="1" applyAlignment="1" applyProtection="1">
      <alignment horizontal="center" vertical="center"/>
    </xf>
    <xf numFmtId="9" fontId="4" fillId="0" borderId="36" xfId="4" applyFont="1" applyFill="1" applyBorder="1" applyAlignment="1" applyProtection="1">
      <alignment horizontal="center" vertical="center"/>
    </xf>
    <xf numFmtId="9" fontId="4" fillId="0" borderId="14" xfId="4" applyFont="1" applyFill="1" applyBorder="1" applyAlignment="1" applyProtection="1">
      <alignment horizontal="center" vertical="center"/>
    </xf>
    <xf numFmtId="9" fontId="4" fillId="0" borderId="44" xfId="4" applyFont="1" applyFill="1" applyBorder="1" applyAlignment="1" applyProtection="1">
      <alignment horizontal="center" vertical="center"/>
    </xf>
    <xf numFmtId="0" fontId="2" fillId="0" borderId="158"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142" xfId="0" applyFont="1" applyBorder="1" applyAlignment="1">
      <alignment horizontal="center" vertical="center" wrapText="1"/>
    </xf>
    <xf numFmtId="0" fontId="4" fillId="0" borderId="191" xfId="0" applyFont="1" applyBorder="1" applyAlignment="1">
      <alignment horizontal="center" vertical="center"/>
    </xf>
    <xf numFmtId="0" fontId="12" fillId="2" borderId="132" xfId="0" applyFont="1" applyFill="1" applyBorder="1" applyAlignment="1" applyProtection="1">
      <alignment horizontal="center" vertical="center" wrapText="1"/>
      <protection locked="0"/>
    </xf>
    <xf numFmtId="0" fontId="12" fillId="2" borderId="133" xfId="0" applyFont="1" applyFill="1" applyBorder="1" applyAlignment="1" applyProtection="1">
      <alignment horizontal="center" vertical="center" wrapText="1"/>
      <protection locked="0"/>
    </xf>
    <xf numFmtId="0" fontId="12" fillId="2" borderId="189" xfId="0" applyFont="1" applyFill="1" applyBorder="1" applyAlignment="1" applyProtection="1">
      <alignment horizontal="center" vertical="center" wrapText="1"/>
      <protection locked="0"/>
    </xf>
    <xf numFmtId="0" fontId="12" fillId="2" borderId="190" xfId="0" applyFont="1" applyFill="1" applyBorder="1" applyAlignment="1" applyProtection="1">
      <alignment horizontal="center" vertical="center" wrapText="1"/>
      <protection locked="0"/>
    </xf>
    <xf numFmtId="0" fontId="0" fillId="0" borderId="187" xfId="0" applyBorder="1" applyAlignment="1">
      <alignment horizontal="left" vertical="center" wrapText="1"/>
    </xf>
    <xf numFmtId="0" fontId="0" fillId="0" borderId="73" xfId="0" applyBorder="1" applyAlignment="1">
      <alignment horizontal="left" vertical="center" wrapText="1"/>
    </xf>
    <xf numFmtId="0" fontId="12" fillId="2" borderId="185" xfId="0" applyFont="1" applyFill="1" applyBorder="1" applyAlignment="1" applyProtection="1">
      <alignment horizontal="center" vertical="center" wrapText="1"/>
      <protection locked="0"/>
    </xf>
    <xf numFmtId="0" fontId="12" fillId="2" borderId="186" xfId="0" applyFont="1" applyFill="1" applyBorder="1" applyAlignment="1" applyProtection="1">
      <alignment horizontal="center" vertical="center" wrapText="1"/>
      <protection locked="0"/>
    </xf>
    <xf numFmtId="0" fontId="0" fillId="0" borderId="188" xfId="0" applyBorder="1" applyAlignment="1">
      <alignment horizontal="left" vertical="center" wrapText="1"/>
    </xf>
    <xf numFmtId="0" fontId="0" fillId="0" borderId="179" xfId="0" applyBorder="1" applyAlignment="1">
      <alignment horizontal="left" vertical="center" wrapText="1"/>
    </xf>
    <xf numFmtId="0" fontId="0" fillId="0" borderId="176" xfId="0" applyBorder="1" applyAlignment="1">
      <alignment horizontal="left" vertical="center" wrapText="1"/>
    </xf>
    <xf numFmtId="0" fontId="0" fillId="0" borderId="6" xfId="0" applyBorder="1" applyAlignment="1">
      <alignment horizontal="left" vertical="center" wrapText="1"/>
    </xf>
    <xf numFmtId="0" fontId="12" fillId="2" borderId="181" xfId="0" applyFont="1" applyFill="1" applyBorder="1" applyAlignment="1" applyProtection="1">
      <alignment horizontal="center" vertical="center" wrapText="1"/>
      <protection locked="0"/>
    </xf>
    <xf numFmtId="0" fontId="12" fillId="2" borderId="182" xfId="0" applyFont="1" applyFill="1" applyBorder="1" applyAlignment="1" applyProtection="1">
      <alignment horizontal="center" vertical="center" wrapText="1"/>
      <protection locked="0"/>
    </xf>
    <xf numFmtId="0" fontId="10" fillId="0" borderId="79" xfId="0" applyFont="1" applyBorder="1" applyAlignment="1">
      <alignment horizontal="center" vertical="center" wrapText="1"/>
    </xf>
    <xf numFmtId="0" fontId="10" fillId="0" borderId="81" xfId="0" applyFont="1" applyBorder="1" applyAlignment="1">
      <alignment horizontal="center" vertical="center" wrapText="1"/>
    </xf>
    <xf numFmtId="0" fontId="0" fillId="0" borderId="0" xfId="0" applyAlignment="1">
      <alignment horizontal="right" wrapText="1"/>
    </xf>
    <xf numFmtId="0" fontId="2" fillId="0" borderId="90" xfId="0" applyFont="1" applyBorder="1" applyAlignment="1">
      <alignment horizontal="center" vertical="center" wrapText="1"/>
    </xf>
    <xf numFmtId="0" fontId="2" fillId="0" borderId="81" xfId="0" applyFont="1" applyBorder="1" applyAlignment="1">
      <alignment horizontal="center" vertical="center" wrapText="1"/>
    </xf>
    <xf numFmtId="0" fontId="0" fillId="0" borderId="183" xfId="0" applyBorder="1" applyAlignment="1">
      <alignment horizontal="left" vertical="center" wrapText="1"/>
    </xf>
    <xf numFmtId="0" fontId="0" fillId="0" borderId="184" xfId="0" applyBorder="1" applyAlignment="1">
      <alignment horizontal="left" vertical="center" wrapText="1"/>
    </xf>
    <xf numFmtId="9" fontId="0" fillId="0" borderId="105" xfId="4" applyFont="1" applyBorder="1" applyAlignment="1">
      <alignment horizontal="center" vertical="center"/>
    </xf>
    <xf numFmtId="9" fontId="0" fillId="0" borderId="106" xfId="4" applyFont="1" applyBorder="1" applyAlignment="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38" fontId="0" fillId="0" borderId="92" xfId="4" applyNumberFormat="1" applyFont="1" applyBorder="1" applyAlignment="1">
      <alignment horizontal="center" vertical="center" wrapText="1"/>
    </xf>
    <xf numFmtId="38" fontId="0" fillId="0" borderId="38" xfId="4" applyNumberFormat="1" applyFont="1" applyBorder="1" applyAlignment="1">
      <alignment horizontal="center" vertical="center" wrapText="1"/>
    </xf>
    <xf numFmtId="9" fontId="12" fillId="16" borderId="72" xfId="4" applyFont="1" applyFill="1" applyBorder="1" applyAlignment="1" applyProtection="1">
      <alignment horizontal="center" vertical="center"/>
    </xf>
    <xf numFmtId="9" fontId="12" fillId="16" borderId="73" xfId="4" applyFont="1" applyFill="1" applyBorder="1" applyAlignment="1" applyProtection="1">
      <alignment horizontal="center" vertical="center"/>
    </xf>
    <xf numFmtId="9" fontId="0" fillId="0" borderId="46" xfId="4" applyFont="1" applyBorder="1" applyAlignment="1">
      <alignment horizontal="center" vertical="center"/>
    </xf>
    <xf numFmtId="9" fontId="0" fillId="0" borderId="165" xfId="4" applyFont="1" applyBorder="1" applyAlignment="1">
      <alignment horizontal="center" vertical="center"/>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9" fontId="4" fillId="0" borderId="64" xfId="4" applyFont="1" applyFill="1" applyBorder="1" applyAlignment="1" applyProtection="1">
      <alignment horizontal="center" vertical="center"/>
    </xf>
    <xf numFmtId="9" fontId="4" fillId="0" borderId="65" xfId="4" applyFont="1" applyFill="1" applyBorder="1" applyAlignment="1" applyProtection="1">
      <alignment horizontal="center" vertical="center"/>
    </xf>
    <xf numFmtId="9" fontId="4" fillId="0" borderId="77" xfId="4" applyFont="1" applyFill="1" applyBorder="1" applyAlignment="1" applyProtection="1">
      <alignment horizontal="center" vertical="center"/>
    </xf>
    <xf numFmtId="9" fontId="4" fillId="0" borderId="78" xfId="4" applyFont="1" applyFill="1" applyBorder="1" applyAlignment="1" applyProtection="1">
      <alignment horizontal="center" vertical="center"/>
    </xf>
    <xf numFmtId="0" fontId="2" fillId="0" borderId="159" xfId="0" applyFont="1" applyBorder="1" applyAlignment="1">
      <alignment horizontal="center" vertical="center" wrapText="1"/>
    </xf>
    <xf numFmtId="0" fontId="2" fillId="0" borderId="160" xfId="0" applyFont="1" applyBorder="1" applyAlignment="1">
      <alignment horizontal="center" vertical="center" wrapText="1"/>
    </xf>
    <xf numFmtId="0" fontId="12" fillId="2" borderId="177" xfId="0" applyFont="1" applyFill="1" applyBorder="1" applyAlignment="1" applyProtection="1">
      <alignment horizontal="center" vertical="center" wrapText="1"/>
      <protection locked="0"/>
    </xf>
    <xf numFmtId="0" fontId="12" fillId="2" borderId="178" xfId="0" applyFont="1" applyFill="1" applyBorder="1" applyAlignment="1" applyProtection="1">
      <alignment horizontal="center" vertical="center" wrapText="1"/>
      <protection locked="0"/>
    </xf>
    <xf numFmtId="0" fontId="2" fillId="0" borderId="94" xfId="0" applyFont="1" applyBorder="1" applyAlignment="1">
      <alignment horizontal="center" vertical="center" wrapText="1"/>
    </xf>
    <xf numFmtId="0" fontId="12" fillId="2" borderId="139" xfId="0" applyFont="1" applyFill="1" applyBorder="1" applyAlignment="1" applyProtection="1">
      <alignment horizontal="center" vertical="center" wrapText="1"/>
      <protection locked="0"/>
    </xf>
    <xf numFmtId="0" fontId="12" fillId="2" borderId="140" xfId="0" applyFont="1" applyFill="1" applyBorder="1" applyAlignment="1" applyProtection="1">
      <alignment horizontal="center" vertical="center" wrapText="1"/>
      <protection locked="0"/>
    </xf>
    <xf numFmtId="9" fontId="12" fillId="2" borderId="137" xfId="4" applyFont="1" applyFill="1" applyBorder="1" applyAlignment="1" applyProtection="1">
      <alignment horizontal="center" vertical="center"/>
      <protection locked="0"/>
    </xf>
    <xf numFmtId="9" fontId="12" fillId="2" borderId="138" xfId="4" applyFont="1" applyFill="1" applyBorder="1" applyAlignment="1" applyProtection="1">
      <alignment horizontal="center" vertical="center"/>
      <protection locked="0"/>
    </xf>
    <xf numFmtId="0" fontId="8" fillId="0" borderId="0" xfId="0" applyFont="1" applyAlignment="1">
      <alignment horizontal="left" vertical="top" wrapText="1"/>
    </xf>
    <xf numFmtId="0" fontId="8" fillId="0" borderId="0" xfId="0" applyFont="1" applyAlignment="1">
      <alignment horizontal="left" vertical="top"/>
    </xf>
    <xf numFmtId="0" fontId="2" fillId="0" borderId="0" xfId="0" applyFont="1" applyAlignment="1">
      <alignment horizontal="left" wrapText="1"/>
    </xf>
    <xf numFmtId="235" fontId="96" fillId="48" borderId="203" xfId="0" applyNumberFormat="1" applyFont="1" applyFill="1" applyBorder="1" applyAlignment="1">
      <alignment horizontal="center" vertical="center" wrapText="1"/>
    </xf>
    <xf numFmtId="235" fontId="96" fillId="48" borderId="204" xfId="0" applyNumberFormat="1" applyFont="1" applyFill="1" applyBorder="1" applyAlignment="1">
      <alignment horizontal="center" vertical="center" wrapText="1"/>
    </xf>
    <xf numFmtId="0" fontId="0" fillId="0" borderId="85" xfId="0" applyBorder="1" applyAlignment="1">
      <alignment horizontal="left" vertical="top" wrapText="1"/>
    </xf>
    <xf numFmtId="0" fontId="4" fillId="0" borderId="0" xfId="0" applyFont="1" applyAlignment="1">
      <alignment horizontal="center" vertical="top" wrapText="1"/>
    </xf>
    <xf numFmtId="0" fontId="0" fillId="0" borderId="114" xfId="0" applyBorder="1" applyAlignment="1">
      <alignment horizontal="left" vertical="top" wrapText="1"/>
    </xf>
    <xf numFmtId="0" fontId="4" fillId="0" borderId="5" xfId="0" applyFont="1" applyBorder="1" applyAlignment="1">
      <alignment horizontal="left" vertical="center" indent="2"/>
    </xf>
    <xf numFmtId="0" fontId="4" fillId="0" borderId="6" xfId="0" applyFont="1" applyBorder="1" applyAlignment="1">
      <alignment horizontal="left" vertical="center" indent="2"/>
    </xf>
    <xf numFmtId="0" fontId="12" fillId="2" borderId="1" xfId="0" applyFont="1" applyFill="1" applyBorder="1" applyAlignment="1" applyProtection="1">
      <alignment horizontal="left" vertical="center"/>
      <protection locked="0"/>
    </xf>
    <xf numFmtId="0" fontId="124" fillId="0" borderId="0" xfId="0" applyFont="1" applyAlignment="1">
      <alignment horizontal="left" vertical="center" wrapText="1"/>
    </xf>
    <xf numFmtId="0" fontId="4" fillId="0" borderId="165" xfId="0" quotePrefix="1" applyFont="1" applyBorder="1" applyAlignment="1">
      <alignment horizontal="left" vertical="center"/>
    </xf>
    <xf numFmtId="0" fontId="92" fillId="0" borderId="0" xfId="0" applyFont="1" applyAlignment="1">
      <alignment horizontal="right" vertical="center"/>
    </xf>
    <xf numFmtId="0" fontId="4" fillId="0" borderId="165" xfId="0" applyFont="1" applyBorder="1" applyAlignment="1">
      <alignment horizontal="left" vertical="center"/>
    </xf>
    <xf numFmtId="0" fontId="11" fillId="0" borderId="0" xfId="0" applyFont="1" applyAlignment="1">
      <alignment horizontal="right" vertical="center" wrapText="1"/>
    </xf>
    <xf numFmtId="8" fontId="0" fillId="0" borderId="2" xfId="0" applyNumberFormat="1" applyBorder="1" applyAlignment="1">
      <alignment horizontal="center" vertical="center"/>
    </xf>
    <xf numFmtId="8" fontId="0" fillId="0" borderId="165" xfId="0" applyNumberFormat="1" applyBorder="1" applyAlignment="1">
      <alignment horizontal="center" vertical="center"/>
    </xf>
    <xf numFmtId="0" fontId="92" fillId="0" borderId="0" xfId="0" quotePrefix="1" applyFont="1" applyAlignment="1">
      <alignment horizontal="left" vertical="center" wrapText="1"/>
    </xf>
    <xf numFmtId="0" fontId="92" fillId="0" borderId="0" xfId="0" applyFont="1" applyAlignment="1">
      <alignment horizontal="left" vertical="center" wrapText="1"/>
    </xf>
    <xf numFmtId="0" fontId="92" fillId="17" borderId="0" xfId="0" quotePrefix="1" applyFont="1" applyFill="1" applyAlignment="1">
      <alignment horizontal="left" vertical="center" wrapText="1"/>
    </xf>
    <xf numFmtId="0" fontId="92" fillId="17" borderId="0" xfId="0" applyFont="1" applyFill="1" applyAlignment="1">
      <alignment horizontal="left" vertical="center"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0" fillId="0" borderId="195" xfId="0" applyBorder="1" applyAlignment="1">
      <alignment horizontal="left" vertical="center"/>
    </xf>
    <xf numFmtId="0" fontId="0" fillId="0" borderId="195" xfId="0" applyBorder="1" applyAlignment="1">
      <alignment horizontal="left" vertical="center" wrapText="1"/>
    </xf>
    <xf numFmtId="38" fontId="15" fillId="11" borderId="0" xfId="0" applyNumberFormat="1" applyFont="1" applyFill="1" applyAlignment="1">
      <alignment horizontal="center" vertical="center"/>
    </xf>
    <xf numFmtId="0" fontId="124" fillId="0" borderId="0" xfId="0" quotePrefix="1" applyFont="1" applyFill="1" applyAlignment="1">
      <alignment horizontal="right" vertical="center" wrapText="1"/>
    </xf>
    <xf numFmtId="0" fontId="124" fillId="0" borderId="0" xfId="0" applyFont="1" applyFill="1" applyAlignment="1">
      <alignment horizontal="right" vertical="center" wrapText="1"/>
    </xf>
    <xf numFmtId="0" fontId="0" fillId="0" borderId="0" xfId="0" quotePrefix="1" applyFill="1" applyAlignment="1">
      <alignment horizontal="right" vertical="center" wrapText="1"/>
    </xf>
    <xf numFmtId="0" fontId="0" fillId="0" borderId="0" xfId="0" applyFill="1" applyAlignment="1">
      <alignment horizontal="right" vertical="center" wrapText="1"/>
    </xf>
    <xf numFmtId="0" fontId="96" fillId="0" borderId="0" xfId="0" quotePrefix="1" applyFont="1" applyAlignment="1">
      <alignment horizontal="right" vertical="center" wrapText="1"/>
    </xf>
    <xf numFmtId="0" fontId="96" fillId="0" borderId="0" xfId="0" applyFont="1" applyAlignment="1">
      <alignment horizontal="right" vertical="center" wrapText="1"/>
    </xf>
    <xf numFmtId="0" fontId="0" fillId="0" borderId="0" xfId="0" quotePrefix="1" applyFill="1" applyAlignment="1">
      <alignment horizontal="left" vertical="top" wrapText="1"/>
    </xf>
    <xf numFmtId="0" fontId="92" fillId="15" borderId="0" xfId="0" quotePrefix="1" applyFont="1" applyFill="1" applyAlignment="1">
      <alignment horizontal="left" vertical="center" wrapText="1"/>
    </xf>
    <xf numFmtId="0" fontId="92" fillId="15" borderId="0" xfId="0" applyFont="1" applyFill="1" applyAlignment="1">
      <alignment horizontal="left" vertical="center" wrapText="1"/>
    </xf>
    <xf numFmtId="0" fontId="12" fillId="2" borderId="0" xfId="0" applyFont="1" applyFill="1" applyAlignment="1" applyProtection="1">
      <alignment horizontal="left" vertical="center"/>
      <protection locked="0"/>
    </xf>
    <xf numFmtId="0" fontId="11" fillId="0" borderId="0" xfId="0" applyFont="1" applyAlignment="1">
      <alignment horizontal="left" vertical="center" wrapText="1"/>
    </xf>
    <xf numFmtId="0" fontId="0" fillId="0" borderId="0" xfId="0" quotePrefix="1" applyFill="1" applyAlignment="1">
      <alignment horizontal="left" vertical="center" wrapText="1"/>
    </xf>
    <xf numFmtId="0" fontId="0" fillId="0" borderId="15" xfId="0" applyBorder="1" applyAlignment="1">
      <alignment horizontal="left" vertical="top" wrapText="1"/>
    </xf>
    <xf numFmtId="0" fontId="0" fillId="0" borderId="75" xfId="0" applyBorder="1" applyAlignment="1">
      <alignment horizontal="left" vertical="top" wrapText="1"/>
    </xf>
    <xf numFmtId="0" fontId="96" fillId="26" borderId="0" xfId="0" applyFont="1" applyFill="1" applyAlignment="1">
      <alignment horizontal="left" vertical="center" wrapText="1"/>
    </xf>
    <xf numFmtId="0" fontId="0" fillId="0" borderId="15" xfId="0" applyBorder="1" applyAlignment="1">
      <alignment vertical="top"/>
    </xf>
    <xf numFmtId="0" fontId="96" fillId="26" borderId="0" xfId="0" applyFont="1" applyFill="1" applyAlignment="1">
      <alignment horizontal="center"/>
    </xf>
    <xf numFmtId="0" fontId="0" fillId="2" borderId="165" xfId="0" applyFill="1" applyBorder="1" applyAlignment="1" applyProtection="1">
      <alignment horizontal="left" vertical="center"/>
      <protection locked="0"/>
    </xf>
    <xf numFmtId="0" fontId="0" fillId="0" borderId="0" xfId="0" applyAlignment="1">
      <alignment vertical="center"/>
    </xf>
    <xf numFmtId="0" fontId="25" fillId="0" borderId="15" xfId="0" applyFont="1" applyBorder="1" applyAlignment="1">
      <alignment horizontal="left" vertical="top" wrapText="1"/>
    </xf>
    <xf numFmtId="0" fontId="8" fillId="0" borderId="0" xfId="0" applyFont="1" applyFill="1" applyAlignment="1">
      <alignment horizontal="right" vertical="center" wrapText="1"/>
    </xf>
    <xf numFmtId="0" fontId="11" fillId="0" borderId="53" xfId="0" quotePrefix="1" applyFont="1" applyFill="1" applyBorder="1" applyAlignment="1">
      <alignment horizontal="center" vertical="center" wrapText="1"/>
    </xf>
    <xf numFmtId="0" fontId="11" fillId="0" borderId="0" xfId="0" applyFont="1" applyFill="1" applyBorder="1" applyAlignment="1">
      <alignment horizontal="center" vertical="center" wrapText="1"/>
    </xf>
    <xf numFmtId="0" fontId="25" fillId="0" borderId="0" xfId="0" quotePrefix="1" applyFont="1" applyFill="1" applyBorder="1" applyAlignment="1">
      <alignment horizontal="left" vertical="top" wrapText="1"/>
    </xf>
    <xf numFmtId="0" fontId="25" fillId="0" borderId="0" xfId="0" applyFont="1" applyFill="1" applyBorder="1" applyAlignment="1">
      <alignment horizontal="left" vertical="top" wrapText="1"/>
    </xf>
    <xf numFmtId="0" fontId="0" fillId="0" borderId="15" xfId="0" applyBorder="1" applyAlignment="1">
      <alignment horizontal="left" vertical="center"/>
    </xf>
    <xf numFmtId="0" fontId="25" fillId="0" borderId="15" xfId="0" quotePrefix="1" applyFont="1" applyFill="1" applyBorder="1" applyAlignment="1">
      <alignment horizontal="left" vertical="top" wrapText="1"/>
    </xf>
    <xf numFmtId="0" fontId="92" fillId="0" borderId="0" xfId="0" applyNumberFormat="1" applyFont="1" applyAlignment="1">
      <alignment horizontal="center" vertical="center" wrapText="1"/>
    </xf>
    <xf numFmtId="0" fontId="4" fillId="0" borderId="15" xfId="0" applyFont="1" applyFill="1" applyBorder="1" applyAlignment="1">
      <alignment horizontal="left" vertical="top" wrapText="1"/>
    </xf>
    <xf numFmtId="0" fontId="25" fillId="0" borderId="0" xfId="0" applyFont="1" applyFill="1" applyAlignment="1">
      <alignment horizontal="left" vertical="top" wrapText="1"/>
    </xf>
    <xf numFmtId="0" fontId="4" fillId="0" borderId="15" xfId="0" applyFont="1" applyBorder="1" applyAlignment="1">
      <alignment horizontal="left" vertical="center" wrapText="1"/>
    </xf>
    <xf numFmtId="0" fontId="11" fillId="8" borderId="0" xfId="0" applyFont="1" applyFill="1" applyAlignment="1">
      <alignment horizontal="left" vertical="center" wrapText="1"/>
    </xf>
    <xf numFmtId="0" fontId="11" fillId="0" borderId="0" xfId="0" applyFont="1" applyAlignment="1">
      <alignment horizontal="left" vertical="center"/>
    </xf>
    <xf numFmtId="0" fontId="25" fillId="0" borderId="15" xfId="0" quotePrefix="1" applyFont="1" applyBorder="1" applyAlignment="1">
      <alignment horizontal="left" vertical="top" wrapText="1"/>
    </xf>
    <xf numFmtId="0" fontId="124" fillId="0" borderId="15" xfId="0" applyFont="1" applyFill="1" applyBorder="1" applyAlignment="1">
      <alignment horizontal="left" vertical="top" wrapText="1"/>
    </xf>
    <xf numFmtId="0" fontId="25" fillId="0" borderId="15" xfId="0" applyFont="1" applyFill="1" applyBorder="1" applyAlignment="1">
      <alignment horizontal="left" vertical="top" wrapText="1"/>
    </xf>
    <xf numFmtId="0" fontId="8" fillId="0" borderId="0" xfId="0" applyFont="1" applyAlignment="1">
      <alignment horizontal="right" vertical="center" wrapText="1"/>
    </xf>
    <xf numFmtId="0" fontId="0" fillId="0" borderId="15" xfId="0" applyBorder="1" applyAlignment="1">
      <alignment horizontal="left"/>
    </xf>
    <xf numFmtId="0" fontId="85" fillId="0" borderId="0" xfId="0" applyFont="1" applyAlignment="1">
      <alignment horizontal="right" vertical="center" wrapText="1"/>
    </xf>
    <xf numFmtId="0" fontId="0" fillId="0" borderId="0" xfId="0" applyAlignment="1">
      <alignment horizontal="right" vertical="top" wrapText="1"/>
    </xf>
    <xf numFmtId="0" fontId="11" fillId="0" borderId="0" xfId="0" applyFont="1" applyAlignment="1">
      <alignment horizontal="right" vertical="center"/>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top"/>
    </xf>
    <xf numFmtId="0" fontId="38" fillId="0" borderId="0" xfId="2" applyFont="1" applyFill="1" applyAlignment="1">
      <alignment horizontal="left" vertical="top" wrapText="1"/>
    </xf>
    <xf numFmtId="9" fontId="7" fillId="0" borderId="0" xfId="4" applyFont="1" applyFill="1" applyBorder="1" applyAlignment="1">
      <alignment horizontal="center"/>
    </xf>
    <xf numFmtId="0" fontId="76" fillId="0" borderId="0" xfId="2" quotePrefix="1" applyFont="1" applyAlignment="1">
      <alignment horizontal="left" wrapText="1"/>
    </xf>
    <xf numFmtId="0" fontId="76" fillId="0" borderId="0" xfId="2" quotePrefix="1" applyFont="1" applyAlignment="1">
      <alignment horizontal="left" vertical="top" wrapText="1"/>
    </xf>
    <xf numFmtId="0" fontId="76" fillId="0" borderId="0" xfId="2" quotePrefix="1" applyFont="1" applyFill="1" applyAlignment="1">
      <alignment horizontal="left" vertical="top" wrapText="1"/>
    </xf>
    <xf numFmtId="0" fontId="7" fillId="0" borderId="165" xfId="2" applyFill="1" applyBorder="1" applyAlignment="1">
      <alignment horizontal="center"/>
    </xf>
    <xf numFmtId="0" fontId="7" fillId="0" borderId="142" xfId="2" applyFill="1" applyBorder="1" applyAlignment="1">
      <alignment horizontal="center"/>
    </xf>
    <xf numFmtId="44" fontId="7" fillId="0" borderId="0" xfId="2" quotePrefix="1" applyNumberFormat="1" applyFill="1" applyBorder="1" applyAlignment="1">
      <alignment horizontal="center"/>
    </xf>
    <xf numFmtId="44" fontId="7" fillId="0" borderId="0" xfId="2" applyNumberFormat="1" applyFill="1" applyBorder="1" applyAlignment="1">
      <alignment horizontal="center"/>
    </xf>
    <xf numFmtId="44" fontId="7" fillId="0" borderId="44" xfId="2" applyNumberFormat="1" applyFill="1" applyBorder="1" applyAlignment="1">
      <alignment horizontal="center"/>
    </xf>
    <xf numFmtId="0" fontId="7" fillId="0" borderId="0" xfId="2" applyFill="1" applyBorder="1" applyAlignment="1">
      <alignment horizontal="center"/>
    </xf>
    <xf numFmtId="0" fontId="7" fillId="0" borderId="44" xfId="2" applyFill="1" applyBorder="1" applyAlignment="1">
      <alignment horizontal="center"/>
    </xf>
    <xf numFmtId="0" fontId="42" fillId="0" borderId="0" xfId="2" applyFont="1" applyFill="1" applyBorder="1" applyAlignment="1">
      <alignment horizontal="center"/>
    </xf>
    <xf numFmtId="0" fontId="42" fillId="0" borderId="44" xfId="2" applyFont="1" applyFill="1" applyBorder="1" applyAlignment="1">
      <alignment horizontal="center"/>
    </xf>
    <xf numFmtId="9" fontId="7" fillId="0" borderId="0" xfId="4" applyFont="1" applyAlignment="1">
      <alignment horizontal="center"/>
    </xf>
    <xf numFmtId="44" fontId="7" fillId="0" borderId="0" xfId="2" applyNumberFormat="1" applyAlignment="1">
      <alignment horizontal="center"/>
    </xf>
    <xf numFmtId="44" fontId="7" fillId="0" borderId="165" xfId="2" quotePrefix="1" applyNumberFormat="1" applyFill="1" applyBorder="1" applyAlignment="1">
      <alignment horizontal="center"/>
    </xf>
    <xf numFmtId="44" fontId="7" fillId="0" borderId="165" xfId="2" applyNumberFormat="1" applyFill="1" applyBorder="1" applyAlignment="1">
      <alignment horizontal="center"/>
    </xf>
    <xf numFmtId="44" fontId="78" fillId="0" borderId="165" xfId="2" quotePrefix="1" applyNumberFormat="1" applyFont="1" applyFill="1" applyBorder="1" applyAlignment="1">
      <alignment horizontal="center"/>
    </xf>
    <xf numFmtId="44" fontId="78" fillId="0" borderId="165" xfId="2" applyNumberFormat="1" applyFont="1" applyFill="1" applyBorder="1" applyAlignment="1">
      <alignment horizontal="center"/>
    </xf>
    <xf numFmtId="44" fontId="28" fillId="0" borderId="165" xfId="2" applyNumberFormat="1" applyFont="1" applyFill="1" applyBorder="1" applyAlignment="1">
      <alignment horizontal="center"/>
    </xf>
    <xf numFmtId="44" fontId="34" fillId="0" borderId="40" xfId="2" applyNumberFormat="1" applyFont="1" applyFill="1" applyBorder="1" applyAlignment="1">
      <alignment horizontal="center"/>
    </xf>
    <xf numFmtId="0" fontId="78" fillId="0" borderId="0" xfId="2" applyFont="1" applyFill="1" applyAlignment="1">
      <alignment horizontal="center"/>
    </xf>
    <xf numFmtId="0" fontId="78" fillId="0" borderId="165" xfId="2" applyFont="1" applyFill="1" applyBorder="1" applyAlignment="1">
      <alignment horizontal="center"/>
    </xf>
    <xf numFmtId="9" fontId="28" fillId="0" borderId="0" xfId="2" applyNumberFormat="1" applyFont="1" applyFill="1" applyBorder="1" applyAlignment="1">
      <alignment horizontal="center"/>
    </xf>
    <xf numFmtId="0" fontId="7" fillId="0" borderId="0" xfId="2" applyAlignment="1">
      <alignment horizontal="center"/>
    </xf>
    <xf numFmtId="0" fontId="7" fillId="0" borderId="0" xfId="2" applyFill="1" applyAlignment="1">
      <alignment horizontal="center"/>
    </xf>
    <xf numFmtId="44" fontId="7" fillId="0" borderId="165" xfId="2" applyNumberFormat="1" applyFont="1" applyFill="1" applyBorder="1" applyAlignment="1">
      <alignment horizontal="center"/>
    </xf>
    <xf numFmtId="44" fontId="78" fillId="0" borderId="165" xfId="2" quotePrefix="1" applyNumberFormat="1" applyFont="1" applyBorder="1" applyAlignment="1">
      <alignment horizontal="center"/>
    </xf>
    <xf numFmtId="44" fontId="78" fillId="0" borderId="165" xfId="2" applyNumberFormat="1" applyFont="1" applyBorder="1" applyAlignment="1">
      <alignment horizontal="center"/>
    </xf>
    <xf numFmtId="44" fontId="78" fillId="0" borderId="40" xfId="2" applyNumberFormat="1" applyFont="1" applyFill="1" applyBorder="1" applyAlignment="1">
      <alignment horizontal="center"/>
    </xf>
    <xf numFmtId="44" fontId="52" fillId="0" borderId="23" xfId="2" applyNumberFormat="1" applyFont="1" applyBorder="1" applyAlignment="1" applyProtection="1">
      <alignment horizontal="center"/>
      <protection locked="0"/>
    </xf>
    <xf numFmtId="0" fontId="78" fillId="0" borderId="35" xfId="2" applyFont="1" applyBorder="1" applyAlignment="1">
      <alignment horizontal="center" vertical="center"/>
    </xf>
    <xf numFmtId="0" fontId="78" fillId="0" borderId="36" xfId="2" applyFont="1" applyBorder="1" applyAlignment="1">
      <alignment horizontal="center" vertical="center"/>
    </xf>
    <xf numFmtId="172" fontId="78" fillId="12" borderId="35" xfId="2" applyNumberFormat="1" applyFont="1" applyFill="1" applyBorder="1" applyAlignment="1">
      <alignment horizontal="center" vertical="center" wrapText="1"/>
    </xf>
    <xf numFmtId="172" fontId="78" fillId="12" borderId="33" xfId="2" applyNumberFormat="1" applyFont="1" applyFill="1" applyBorder="1" applyAlignment="1">
      <alignment horizontal="center" vertical="center" wrapText="1"/>
    </xf>
    <xf numFmtId="172" fontId="78" fillId="0" borderId="35" xfId="2" applyNumberFormat="1" applyFont="1" applyBorder="1" applyAlignment="1">
      <alignment horizontal="center" vertical="center" wrapText="1"/>
    </xf>
    <xf numFmtId="172" fontId="78" fillId="0" borderId="33" xfId="2" applyNumberFormat="1" applyFont="1" applyBorder="1" applyAlignment="1">
      <alignment horizontal="center" vertical="center" wrapText="1"/>
    </xf>
    <xf numFmtId="172" fontId="78" fillId="0" borderId="34" xfId="2" applyNumberFormat="1" applyFont="1" applyBorder="1" applyAlignment="1">
      <alignment horizontal="center" vertical="center" wrapText="1"/>
    </xf>
    <xf numFmtId="0" fontId="7" fillId="0" borderId="2" xfId="2" applyBorder="1" applyAlignment="1">
      <alignment horizontal="center"/>
    </xf>
    <xf numFmtId="172" fontId="7" fillId="0" borderId="0" xfId="2" applyNumberFormat="1" applyFill="1" applyAlignment="1">
      <alignment horizontal="center"/>
    </xf>
    <xf numFmtId="0" fontId="50" fillId="0" borderId="24" xfId="2" applyFont="1" applyFill="1" applyBorder="1" applyAlignment="1">
      <alignment horizontal="left" vertical="center" wrapText="1"/>
    </xf>
    <xf numFmtId="0" fontId="50" fillId="0" borderId="0" xfId="2" applyFont="1" applyFill="1" applyBorder="1" applyAlignment="1">
      <alignment horizontal="left" vertical="center" wrapText="1"/>
    </xf>
    <xf numFmtId="174" fontId="7" fillId="0" borderId="165" xfId="2" applyNumberFormat="1" applyBorder="1" applyAlignment="1">
      <alignment horizontal="right"/>
    </xf>
    <xf numFmtId="0" fontId="35" fillId="0" borderId="165" xfId="2" applyFont="1" applyBorder="1" applyAlignment="1" applyProtection="1">
      <alignment horizontal="left"/>
    </xf>
    <xf numFmtId="0" fontId="39" fillId="0" borderId="23" xfId="2" applyFont="1" applyBorder="1" applyAlignment="1" applyProtection="1">
      <alignment horizontal="left"/>
      <protection locked="0"/>
    </xf>
    <xf numFmtId="0" fontId="78" fillId="0" borderId="33" xfId="2" applyFont="1" applyBorder="1" applyAlignment="1">
      <alignment horizontal="center"/>
    </xf>
    <xf numFmtId="0" fontId="7" fillId="0" borderId="165" xfId="2" quotePrefix="1" applyBorder="1" applyAlignment="1">
      <alignment horizontal="center" shrinkToFit="1"/>
    </xf>
    <xf numFmtId="0" fontId="7" fillId="0" borderId="165" xfId="2" applyBorder="1" applyAlignment="1">
      <alignment horizontal="center" shrinkToFit="1"/>
    </xf>
    <xf numFmtId="0" fontId="79" fillId="0" borderId="50" xfId="2" applyFont="1" applyBorder="1" applyAlignment="1">
      <alignment horizontal="center" vertical="center"/>
    </xf>
    <xf numFmtId="0" fontId="79" fillId="0" borderId="49" xfId="2" applyFont="1" applyBorder="1" applyAlignment="1">
      <alignment horizontal="center" vertical="center"/>
    </xf>
    <xf numFmtId="0" fontId="79" fillId="0" borderId="48" xfId="2" applyFont="1" applyBorder="1" applyAlignment="1">
      <alignment horizontal="center" vertical="center"/>
    </xf>
    <xf numFmtId="0" fontId="78" fillId="0" borderId="47" xfId="2" applyFont="1" applyBorder="1" applyAlignment="1">
      <alignment horizontal="right" vertical="center" wrapText="1"/>
    </xf>
    <xf numFmtId="0" fontId="78" fillId="0" borderId="165" xfId="2" applyFont="1" applyBorder="1" applyAlignment="1">
      <alignment horizontal="right" vertical="center" wrapText="1"/>
    </xf>
    <xf numFmtId="0" fontId="78" fillId="0" borderId="46" xfId="2" applyFont="1" applyBorder="1" applyAlignment="1">
      <alignment horizontal="center" vertical="center" wrapText="1"/>
    </xf>
    <xf numFmtId="0" fontId="78" fillId="0" borderId="142" xfId="2" applyFont="1" applyBorder="1" applyAlignment="1">
      <alignment horizontal="center" vertical="center" wrapText="1"/>
    </xf>
    <xf numFmtId="0" fontId="78" fillId="0" borderId="165" xfId="2" applyFont="1" applyBorder="1" applyAlignment="1">
      <alignment horizontal="center" vertical="center" wrapText="1"/>
    </xf>
    <xf numFmtId="0" fontId="7" fillId="0" borderId="21" xfId="2" applyBorder="1" applyAlignment="1">
      <alignment horizontal="right" vertical="center"/>
    </xf>
    <xf numFmtId="0" fontId="7" fillId="0" borderId="0" xfId="2" applyAlignment="1">
      <alignment horizontal="right" vertical="center"/>
    </xf>
    <xf numFmtId="0" fontId="28" fillId="0" borderId="14" xfId="2" applyFont="1" applyBorder="1" applyAlignment="1">
      <alignment horizontal="center" vertical="center"/>
    </xf>
    <xf numFmtId="0" fontId="28" fillId="0" borderId="44" xfId="2" applyFont="1" applyBorder="1" applyAlignment="1">
      <alignment horizontal="center" vertical="center"/>
    </xf>
    <xf numFmtId="172" fontId="7" fillId="0" borderId="14" xfId="2" applyNumberFormat="1" applyBorder="1" applyAlignment="1">
      <alignment horizontal="center" vertical="center"/>
    </xf>
    <xf numFmtId="172" fontId="7" fillId="0" borderId="0" xfId="2" applyNumberFormat="1" applyAlignment="1">
      <alignment horizontal="center" vertical="center"/>
    </xf>
    <xf numFmtId="172" fontId="7" fillId="0" borderId="38" xfId="2" applyNumberFormat="1" applyBorder="1" applyAlignment="1">
      <alignment horizontal="center" vertical="center"/>
    </xf>
    <xf numFmtId="172" fontId="7" fillId="0" borderId="14" xfId="2" applyNumberFormat="1" applyBorder="1" applyAlignment="1">
      <alignment horizontal="center" vertical="center" wrapText="1"/>
    </xf>
    <xf numFmtId="172" fontId="7" fillId="0" borderId="0" xfId="2" applyNumberFormat="1" applyAlignment="1">
      <alignment horizontal="center" vertical="center" wrapText="1"/>
    </xf>
    <xf numFmtId="172" fontId="7" fillId="0" borderId="38" xfId="2" applyNumberFormat="1" applyBorder="1" applyAlignment="1">
      <alignment horizontal="center" vertical="center" wrapText="1"/>
    </xf>
    <xf numFmtId="174" fontId="7" fillId="0" borderId="1" xfId="2" applyNumberFormat="1" applyBorder="1" applyAlignment="1">
      <alignment horizontal="right"/>
    </xf>
    <xf numFmtId="10" fontId="78" fillId="0" borderId="1" xfId="4" applyNumberFormat="1" applyFont="1" applyFill="1" applyBorder="1" applyAlignment="1">
      <alignment horizontal="right"/>
    </xf>
    <xf numFmtId="174" fontId="78" fillId="0" borderId="40" xfId="2" applyNumberFormat="1" applyFont="1" applyBorder="1" applyAlignment="1">
      <alignment horizontal="right"/>
    </xf>
    <xf numFmtId="164" fontId="52" fillId="0" borderId="112" xfId="4" applyNumberFormat="1" applyFont="1" applyFill="1" applyBorder="1" applyAlignment="1" applyProtection="1">
      <alignment horizontal="right"/>
      <protection locked="0"/>
    </xf>
    <xf numFmtId="187" fontId="7" fillId="0" borderId="87" xfId="2" applyNumberFormat="1" applyBorder="1" applyAlignment="1">
      <alignment horizontal="right"/>
    </xf>
    <xf numFmtId="174" fontId="7" fillId="0" borderId="86" xfId="2" applyNumberFormat="1" applyBorder="1" applyAlignment="1">
      <alignment horizontal="right"/>
    </xf>
    <xf numFmtId="174" fontId="78" fillId="0" borderId="1" xfId="2" applyNumberFormat="1" applyFont="1" applyBorder="1" applyAlignment="1">
      <alignment horizontal="right"/>
    </xf>
    <xf numFmtId="174" fontId="7" fillId="0" borderId="1" xfId="2" applyNumberFormat="1" applyFill="1" applyBorder="1" applyAlignment="1">
      <alignment horizontal="right"/>
    </xf>
    <xf numFmtId="0" fontId="10" fillId="5" borderId="3"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7" fillId="0" borderId="165" xfId="2" applyBorder="1" applyAlignment="1">
      <alignment horizontal="center" vertical="center"/>
    </xf>
    <xf numFmtId="10" fontId="7" fillId="0" borderId="1" xfId="4" applyNumberFormat="1" applyFont="1" applyFill="1" applyBorder="1" applyAlignment="1">
      <alignment horizontal="right"/>
    </xf>
    <xf numFmtId="9" fontId="28" fillId="0" borderId="1" xfId="4" applyFont="1" applyFill="1" applyBorder="1" applyAlignment="1">
      <alignment horizontal="right"/>
    </xf>
    <xf numFmtId="9" fontId="7" fillId="0" borderId="1" xfId="4" applyFont="1" applyFill="1" applyBorder="1" applyAlignment="1">
      <alignment horizontal="right"/>
    </xf>
    <xf numFmtId="0" fontId="78" fillId="0" borderId="12" xfId="2" applyFont="1" applyBorder="1" applyAlignment="1">
      <alignment horizontal="center" vertical="center" wrapText="1"/>
    </xf>
    <xf numFmtId="0" fontId="78" fillId="0" borderId="2" xfId="2" applyFont="1" applyBorder="1" applyAlignment="1">
      <alignment horizontal="center" vertical="center" wrapText="1"/>
    </xf>
    <xf numFmtId="0" fontId="78" fillId="0" borderId="52" xfId="2" applyFont="1" applyBorder="1" applyAlignment="1">
      <alignment horizontal="center" vertical="center" wrapText="1"/>
    </xf>
    <xf numFmtId="0" fontId="78" fillId="0" borderId="14" xfId="2" applyFont="1" applyBorder="1" applyAlignment="1">
      <alignment horizontal="center" vertical="center" wrapText="1"/>
    </xf>
    <xf numFmtId="0" fontId="78" fillId="0" borderId="0" xfId="2" applyFont="1" applyAlignment="1">
      <alignment horizontal="center" vertical="center" wrapText="1"/>
    </xf>
    <xf numFmtId="0" fontId="78" fillId="0" borderId="44" xfId="2" applyFont="1" applyBorder="1" applyAlignment="1">
      <alignment horizontal="center" vertical="center" wrapText="1"/>
    </xf>
    <xf numFmtId="0" fontId="78" fillId="0" borderId="35" xfId="2" applyFont="1" applyBorder="1" applyAlignment="1">
      <alignment horizontal="center" vertical="center" wrapText="1"/>
    </xf>
    <xf numFmtId="0" fontId="78" fillId="0" borderId="33" xfId="2" applyFont="1" applyBorder="1" applyAlignment="1">
      <alignment horizontal="center" vertical="center" wrapText="1"/>
    </xf>
    <xf numFmtId="0" fontId="78" fillId="0" borderId="36" xfId="2" applyFont="1" applyBorder="1" applyAlignment="1">
      <alignment horizontal="center" vertical="center" wrapText="1"/>
    </xf>
    <xf numFmtId="0" fontId="72" fillId="0" borderId="16" xfId="2" applyFont="1" applyBorder="1" applyAlignment="1">
      <alignment horizontal="left" vertical="center" wrapText="1"/>
    </xf>
    <xf numFmtId="0" fontId="29" fillId="0" borderId="0" xfId="2" applyFont="1" applyAlignment="1">
      <alignment horizontal="center" vertical="center" wrapText="1"/>
    </xf>
    <xf numFmtId="0" fontId="34" fillId="0" borderId="0" xfId="2" applyFont="1" applyAlignment="1">
      <alignment horizontal="center"/>
    </xf>
    <xf numFmtId="0" fontId="52" fillId="0" borderId="23" xfId="2" applyFont="1" applyBorder="1" applyAlignment="1" applyProtection="1">
      <alignment horizontal="left"/>
      <protection locked="0"/>
    </xf>
    <xf numFmtId="0" fontId="78" fillId="0" borderId="12" xfId="2" applyFont="1" applyBorder="1" applyAlignment="1">
      <alignment horizontal="center" vertical="top" wrapText="1"/>
    </xf>
    <xf numFmtId="0" fontId="78" fillId="0" borderId="2" xfId="2" applyFont="1" applyBorder="1" applyAlignment="1">
      <alignment horizontal="center" vertical="top" wrapText="1"/>
    </xf>
    <xf numFmtId="0" fontId="78" fillId="0" borderId="52" xfId="2" applyFont="1" applyBorder="1" applyAlignment="1">
      <alignment horizontal="center" vertical="top" wrapText="1"/>
    </xf>
    <xf numFmtId="0" fontId="78" fillId="0" borderId="14" xfId="2" applyFont="1" applyBorder="1" applyAlignment="1">
      <alignment horizontal="center" vertical="top" wrapText="1"/>
    </xf>
    <xf numFmtId="0" fontId="78" fillId="0" borderId="0" xfId="2" applyFont="1" applyAlignment="1">
      <alignment horizontal="center" vertical="top" wrapText="1"/>
    </xf>
    <xf numFmtId="0" fontId="78" fillId="0" borderId="44" xfId="2" applyFont="1" applyBorder="1" applyAlignment="1">
      <alignment horizontal="center" vertical="top" wrapText="1"/>
    </xf>
    <xf numFmtId="0" fontId="78" fillId="0" borderId="35" xfId="2" applyFont="1" applyBorder="1" applyAlignment="1">
      <alignment horizontal="center" vertical="top" wrapText="1"/>
    </xf>
    <xf numFmtId="0" fontId="78" fillId="0" borderId="33" xfId="2" applyFont="1" applyBorder="1" applyAlignment="1">
      <alignment horizontal="center" vertical="top" wrapText="1"/>
    </xf>
    <xf numFmtId="0" fontId="78" fillId="0" borderId="36" xfId="2" applyFont="1" applyBorder="1" applyAlignment="1">
      <alignment horizontal="center" vertical="top" wrapText="1"/>
    </xf>
    <xf numFmtId="0" fontId="38" fillId="0" borderId="53" xfId="2" quotePrefix="1" applyFont="1" applyBorder="1" applyAlignment="1">
      <alignment horizontal="left" vertical="center" wrapText="1"/>
    </xf>
    <xf numFmtId="0" fontId="38" fillId="0" borderId="15" xfId="2" quotePrefix="1" applyFont="1" applyBorder="1" applyAlignment="1">
      <alignment horizontal="left" vertical="center" wrapText="1"/>
    </xf>
    <xf numFmtId="0" fontId="77" fillId="0" borderId="53" xfId="2" applyFont="1" applyBorder="1" applyAlignment="1">
      <alignment horizontal="left" vertical="center"/>
    </xf>
    <xf numFmtId="0" fontId="78" fillId="0" borderId="12" xfId="2" applyFont="1" applyBorder="1" applyAlignment="1">
      <alignment horizontal="center" vertical="top"/>
    </xf>
    <xf numFmtId="0" fontId="78" fillId="0" borderId="2" xfId="2" applyFont="1" applyBorder="1" applyAlignment="1">
      <alignment horizontal="center" vertical="top"/>
    </xf>
    <xf numFmtId="0" fontId="78" fillId="0" borderId="52" xfId="2" applyFont="1" applyBorder="1" applyAlignment="1">
      <alignment horizontal="center" vertical="top"/>
    </xf>
    <xf numFmtId="0" fontId="78" fillId="0" borderId="14" xfId="2" applyFont="1" applyBorder="1" applyAlignment="1">
      <alignment horizontal="center" vertical="top"/>
    </xf>
    <xf numFmtId="0" fontId="78" fillId="0" borderId="0" xfId="2" applyFont="1" applyAlignment="1">
      <alignment horizontal="center" vertical="top"/>
    </xf>
    <xf numFmtId="0" fontId="78" fillId="0" borderId="44" xfId="2" applyFont="1" applyBorder="1" applyAlignment="1">
      <alignment horizontal="center" vertical="top"/>
    </xf>
    <xf numFmtId="0" fontId="78" fillId="0" borderId="35" xfId="2" applyFont="1" applyBorder="1" applyAlignment="1">
      <alignment horizontal="center" vertical="top"/>
    </xf>
    <xf numFmtId="0" fontId="78" fillId="0" borderId="33" xfId="2" applyFont="1" applyBorder="1" applyAlignment="1">
      <alignment horizontal="center" vertical="top"/>
    </xf>
    <xf numFmtId="0" fontId="78" fillId="0" borderId="36" xfId="2" applyFont="1" applyBorder="1" applyAlignment="1">
      <alignment horizontal="center" vertical="top"/>
    </xf>
    <xf numFmtId="0" fontId="72" fillId="0" borderId="53" xfId="2" applyFont="1" applyBorder="1" applyAlignment="1">
      <alignment horizontal="left" vertical="top" wrapText="1"/>
    </xf>
    <xf numFmtId="0" fontId="72" fillId="0" borderId="0" xfId="2" applyFont="1" applyAlignment="1">
      <alignment horizontal="left" vertical="top" wrapText="1"/>
    </xf>
    <xf numFmtId="0" fontId="72" fillId="0" borderId="15" xfId="2" applyFont="1" applyBorder="1" applyAlignment="1">
      <alignment horizontal="left" vertical="top" wrapText="1"/>
    </xf>
    <xf numFmtId="0" fontId="41" fillId="0" borderId="53" xfId="2" applyFont="1" applyFill="1" applyBorder="1" applyAlignment="1">
      <alignment horizontal="left" vertical="top" wrapText="1"/>
    </xf>
    <xf numFmtId="0" fontId="41" fillId="0" borderId="15" xfId="2" applyFont="1" applyFill="1" applyBorder="1" applyAlignment="1">
      <alignment horizontal="left" vertical="top" wrapText="1"/>
    </xf>
    <xf numFmtId="0" fontId="73" fillId="0" borderId="16" xfId="2" applyFont="1" applyFill="1" applyBorder="1" applyAlignment="1">
      <alignment horizontal="left" vertical="center" wrapText="1"/>
    </xf>
    <xf numFmtId="49" fontId="52" fillId="0" borderId="25" xfId="2" applyNumberFormat="1" applyFont="1" applyBorder="1" applyAlignment="1" applyProtection="1">
      <alignment horizontal="left" vertical="top" wrapText="1"/>
      <protection locked="0"/>
    </xf>
    <xf numFmtId="49" fontId="52" fillId="0" borderId="22" xfId="2" applyNumberFormat="1" applyFont="1" applyBorder="1" applyAlignment="1" applyProtection="1">
      <alignment horizontal="left" vertical="top" wrapText="1"/>
      <protection locked="0"/>
    </xf>
    <xf numFmtId="49" fontId="52" fillId="0" borderId="26" xfId="2" applyNumberFormat="1" applyFont="1" applyBorder="1" applyAlignment="1" applyProtection="1">
      <alignment horizontal="left" vertical="top" wrapText="1"/>
      <protection locked="0"/>
    </xf>
    <xf numFmtId="49" fontId="52" fillId="0" borderId="27" xfId="2" applyNumberFormat="1" applyFont="1" applyBorder="1" applyAlignment="1" applyProtection="1">
      <alignment horizontal="left" vertical="top" wrapText="1"/>
      <protection locked="0"/>
    </xf>
    <xf numFmtId="49" fontId="52" fillId="0" borderId="0" xfId="2" applyNumberFormat="1" applyFont="1" applyAlignment="1" applyProtection="1">
      <alignment horizontal="left" vertical="top" wrapText="1"/>
      <protection locked="0"/>
    </xf>
    <xf numFmtId="49" fontId="52" fillId="0" borderId="28" xfId="2" applyNumberFormat="1" applyFont="1" applyBorder="1" applyAlignment="1" applyProtection="1">
      <alignment horizontal="left" vertical="top" wrapText="1"/>
      <protection locked="0"/>
    </xf>
    <xf numFmtId="49" fontId="52" fillId="0" borderId="29" xfId="2" applyNumberFormat="1" applyFont="1" applyBorder="1" applyAlignment="1" applyProtection="1">
      <alignment horizontal="left" vertical="top" wrapText="1"/>
      <protection locked="0"/>
    </xf>
    <xf numFmtId="49" fontId="52" fillId="0" borderId="23" xfId="2" applyNumberFormat="1" applyFont="1" applyBorder="1" applyAlignment="1" applyProtection="1">
      <alignment horizontal="left" vertical="top" wrapText="1"/>
      <protection locked="0"/>
    </xf>
    <xf numFmtId="49" fontId="52" fillId="0" borderId="30" xfId="2" applyNumberFormat="1" applyFont="1" applyBorder="1" applyAlignment="1" applyProtection="1">
      <alignment horizontal="left" vertical="top" wrapText="1"/>
      <protection locked="0"/>
    </xf>
    <xf numFmtId="0" fontId="82" fillId="0" borderId="0" xfId="2" applyFont="1" applyAlignment="1">
      <alignment horizontal="right"/>
    </xf>
    <xf numFmtId="0" fontId="72" fillId="0" borderId="53" xfId="2" applyFont="1" applyBorder="1" applyAlignment="1">
      <alignment horizontal="left" vertical="center" wrapText="1"/>
    </xf>
    <xf numFmtId="0" fontId="72" fillId="0" borderId="15" xfId="2" applyFont="1" applyBorder="1" applyAlignment="1">
      <alignment horizontal="left" vertical="center" wrapText="1"/>
    </xf>
    <xf numFmtId="0" fontId="75" fillId="0" borderId="16" xfId="2" applyFont="1" applyBorder="1" applyAlignment="1">
      <alignment horizontal="left" vertical="center" wrapText="1"/>
    </xf>
    <xf numFmtId="49" fontId="52" fillId="0" borderId="22" xfId="2" applyNumberFormat="1" applyFont="1" applyBorder="1" applyAlignment="1" applyProtection="1">
      <alignment horizontal="left" vertical="top"/>
      <protection locked="0"/>
    </xf>
    <xf numFmtId="49" fontId="52" fillId="0" borderId="26" xfId="2" applyNumberFormat="1" applyFont="1" applyBorder="1" applyAlignment="1" applyProtection="1">
      <alignment horizontal="left" vertical="top"/>
      <protection locked="0"/>
    </xf>
    <xf numFmtId="49" fontId="52" fillId="0" borderId="27" xfId="2" applyNumberFormat="1" applyFont="1" applyBorder="1" applyAlignment="1" applyProtection="1">
      <alignment horizontal="left" vertical="top"/>
      <protection locked="0"/>
    </xf>
    <xf numFmtId="49" fontId="52" fillId="0" borderId="0" xfId="2" applyNumberFormat="1" applyFont="1" applyAlignment="1" applyProtection="1">
      <alignment horizontal="left" vertical="top"/>
      <protection locked="0"/>
    </xf>
    <xf numFmtId="49" fontId="52" fillId="0" borderId="28" xfId="2" applyNumberFormat="1" applyFont="1" applyBorder="1" applyAlignment="1" applyProtection="1">
      <alignment horizontal="left" vertical="top"/>
      <protection locked="0"/>
    </xf>
    <xf numFmtId="49" fontId="52" fillId="0" borderId="29" xfId="2" applyNumberFormat="1" applyFont="1" applyBorder="1" applyAlignment="1" applyProtection="1">
      <alignment horizontal="left" vertical="top"/>
      <protection locked="0"/>
    </xf>
    <xf numFmtId="49" fontId="52" fillId="0" borderId="23" xfId="2" applyNumberFormat="1" applyFont="1" applyBorder="1" applyAlignment="1" applyProtection="1">
      <alignment horizontal="left" vertical="top"/>
      <protection locked="0"/>
    </xf>
    <xf numFmtId="49" fontId="52" fillId="0" borderId="30" xfId="2" applyNumberFormat="1" applyFont="1" applyBorder="1" applyAlignment="1" applyProtection="1">
      <alignment horizontal="left" vertical="top"/>
      <protection locked="0"/>
    </xf>
    <xf numFmtId="0" fontId="7" fillId="0" borderId="53" xfId="2" applyFill="1" applyBorder="1" applyAlignment="1">
      <alignment horizontal="left" vertical="top" wrapText="1"/>
    </xf>
    <xf numFmtId="0" fontId="7" fillId="0" borderId="15" xfId="2" applyFill="1" applyBorder="1" applyAlignment="1">
      <alignment horizontal="left" vertical="top" wrapText="1"/>
    </xf>
    <xf numFmtId="0" fontId="7" fillId="0" borderId="53" xfId="2" quotePrefix="1" applyFill="1" applyBorder="1" applyAlignment="1">
      <alignment horizontal="left" vertical="top" wrapText="1"/>
    </xf>
    <xf numFmtId="0" fontId="7" fillId="0" borderId="0" xfId="2" quotePrefix="1" applyFill="1" applyAlignment="1">
      <alignment horizontal="left" vertical="top" wrapText="1"/>
    </xf>
    <xf numFmtId="0" fontId="7" fillId="0" borderId="0" xfId="2" applyFill="1" applyAlignment="1">
      <alignment horizontal="left" vertical="top" wrapText="1"/>
    </xf>
    <xf numFmtId="0" fontId="75" fillId="0" borderId="16" xfId="2" applyFont="1" applyFill="1" applyBorder="1" applyAlignment="1">
      <alignment horizontal="left" vertical="center" wrapText="1"/>
    </xf>
    <xf numFmtId="0" fontId="165" fillId="0" borderId="16" xfId="2" quotePrefix="1" applyFont="1" applyFill="1" applyBorder="1" applyAlignment="1">
      <alignment horizontal="left" vertical="center" wrapText="1"/>
    </xf>
    <xf numFmtId="0" fontId="165" fillId="0" borderId="16" xfId="2" applyFont="1" applyFill="1" applyBorder="1" applyAlignment="1">
      <alignment horizontal="left" vertical="center" wrapText="1"/>
    </xf>
    <xf numFmtId="0" fontId="77" fillId="0" borderId="16" xfId="2" applyFont="1" applyFill="1" applyBorder="1" applyAlignment="1">
      <alignment horizontal="left" vertical="center"/>
    </xf>
    <xf numFmtId="0" fontId="59" fillId="0" borderId="0" xfId="2" applyFont="1" applyAlignment="1">
      <alignment horizontal="center"/>
    </xf>
    <xf numFmtId="0" fontId="75" fillId="0" borderId="0" xfId="2" applyFont="1" applyAlignment="1">
      <alignment horizontal="left" vertical="top" wrapText="1"/>
    </xf>
    <xf numFmtId="0" fontId="119" fillId="0" borderId="0" xfId="0" quotePrefix="1" applyFont="1" applyAlignment="1">
      <alignment horizontal="left" vertical="top" wrapText="1"/>
    </xf>
    <xf numFmtId="0" fontId="119" fillId="0" borderId="0" xfId="0" applyFont="1" applyAlignment="1">
      <alignment horizontal="left" vertical="top" wrapText="1"/>
    </xf>
    <xf numFmtId="0" fontId="7" fillId="0" borderId="0" xfId="2" applyBorder="1" applyAlignment="1">
      <alignment horizontal="left" vertical="center"/>
    </xf>
    <xf numFmtId="0" fontId="78" fillId="0" borderId="45" xfId="2" applyFont="1" applyBorder="1" applyAlignment="1">
      <alignment horizontal="center" vertical="center" wrapText="1"/>
    </xf>
    <xf numFmtId="172" fontId="7" fillId="0" borderId="0" xfId="2" quotePrefix="1" applyNumberFormat="1" applyAlignment="1">
      <alignment horizontal="center" vertical="center"/>
    </xf>
    <xf numFmtId="0" fontId="7" fillId="0" borderId="0" xfId="2" applyAlignment="1">
      <alignment horizontal="left"/>
    </xf>
    <xf numFmtId="0" fontId="7" fillId="0" borderId="44" xfId="2" applyBorder="1" applyAlignment="1">
      <alignment horizontal="left"/>
    </xf>
    <xf numFmtId="0" fontId="78" fillId="0" borderId="37" xfId="2" applyFont="1" applyBorder="1" applyAlignment="1">
      <alignment horizontal="right" vertical="center" wrapText="1"/>
    </xf>
    <xf numFmtId="0" fontId="78" fillId="0" borderId="33" xfId="2" applyFont="1" applyBorder="1" applyAlignment="1">
      <alignment horizontal="right" vertical="center" wrapText="1"/>
    </xf>
    <xf numFmtId="0" fontId="7" fillId="0" borderId="43" xfId="2" applyBorder="1" applyAlignment="1">
      <alignment horizontal="right" vertical="center"/>
    </xf>
    <xf numFmtId="0" fontId="7" fillId="0" borderId="40" xfId="2" applyBorder="1" applyAlignment="1">
      <alignment horizontal="right" vertical="center"/>
    </xf>
    <xf numFmtId="9" fontId="82" fillId="0" borderId="0" xfId="4" quotePrefix="1" applyFont="1" applyAlignment="1">
      <alignment horizontal="right"/>
    </xf>
    <xf numFmtId="0" fontId="82" fillId="0" borderId="0" xfId="2" quotePrefix="1" applyFont="1" applyAlignment="1">
      <alignment horizontal="right"/>
    </xf>
    <xf numFmtId="0" fontId="28" fillId="0" borderId="41" xfId="2" applyFont="1" applyBorder="1" applyAlignment="1">
      <alignment horizontal="center" vertical="center"/>
    </xf>
    <xf numFmtId="0" fontId="28" fillId="0" borderId="42" xfId="2" applyFont="1" applyBorder="1" applyAlignment="1">
      <alignment horizontal="center" vertical="center"/>
    </xf>
    <xf numFmtId="172" fontId="7" fillId="0" borderId="41" xfId="2" applyNumberFormat="1" applyBorder="1" applyAlignment="1">
      <alignment horizontal="center" vertical="center"/>
    </xf>
    <xf numFmtId="172" fontId="7" fillId="0" borderId="40" xfId="2" applyNumberFormat="1" applyBorder="1" applyAlignment="1">
      <alignment horizontal="center" vertical="center"/>
    </xf>
    <xf numFmtId="172" fontId="7" fillId="0" borderId="42" xfId="2" applyNumberFormat="1" applyBorder="1" applyAlignment="1">
      <alignment horizontal="center" vertical="center"/>
    </xf>
    <xf numFmtId="172" fontId="7" fillId="0" borderId="41" xfId="2" applyNumberFormat="1" applyBorder="1" applyAlignment="1">
      <alignment horizontal="center" vertical="center" wrapText="1"/>
    </xf>
    <xf numFmtId="172" fontId="7" fillId="0" borderId="40" xfId="2" applyNumberFormat="1" applyBorder="1" applyAlignment="1">
      <alignment horizontal="center" vertical="center" wrapText="1"/>
    </xf>
    <xf numFmtId="172" fontId="7" fillId="0" borderId="39" xfId="2" applyNumberFormat="1" applyBorder="1" applyAlignment="1">
      <alignment horizontal="center" vertical="center" wrapText="1"/>
    </xf>
    <xf numFmtId="0" fontId="2" fillId="0" borderId="58" xfId="0" applyFont="1" applyBorder="1" applyAlignment="1">
      <alignment horizontal="left"/>
    </xf>
    <xf numFmtId="0" fontId="2" fillId="0" borderId="59" xfId="0" applyFont="1" applyBorder="1" applyAlignment="1">
      <alignment horizontal="left"/>
    </xf>
    <xf numFmtId="0" fontId="12" fillId="14" borderId="61" xfId="0" applyFont="1" applyFill="1" applyBorder="1" applyAlignment="1" applyProtection="1">
      <alignment horizontal="left" vertical="center" wrapText="1"/>
      <protection locked="0"/>
    </xf>
    <xf numFmtId="0" fontId="12" fillId="14" borderId="62" xfId="0" applyFont="1" applyFill="1" applyBorder="1" applyAlignment="1" applyProtection="1">
      <alignment horizontal="left" vertical="center" wrapText="1"/>
      <protection locked="0"/>
    </xf>
    <xf numFmtId="0" fontId="12" fillId="14" borderId="64" xfId="0" applyFont="1" applyFill="1" applyBorder="1" applyAlignment="1" applyProtection="1">
      <alignment horizontal="left" vertical="center" wrapText="1"/>
      <protection locked="0"/>
    </xf>
    <xf numFmtId="0" fontId="12" fillId="14" borderId="16" xfId="0" applyFont="1" applyFill="1" applyBorder="1" applyAlignment="1" applyProtection="1">
      <alignment horizontal="left" vertical="center" wrapText="1"/>
      <protection locked="0"/>
    </xf>
    <xf numFmtId="0" fontId="85" fillId="0" borderId="22" xfId="0" applyFont="1" applyBorder="1" applyAlignment="1">
      <alignment horizontal="center" vertical="top" wrapText="1"/>
    </xf>
    <xf numFmtId="0" fontId="85"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6" fillId="0" borderId="0" xfId="0" applyFont="1" applyAlignment="1">
      <alignment horizontal="left" vertical="top" wrapText="1"/>
    </xf>
    <xf numFmtId="0" fontId="25" fillId="0" borderId="22" xfId="0" applyFont="1" applyBorder="1" applyAlignment="1">
      <alignment horizontal="center" vertical="center" wrapText="1"/>
    </xf>
    <xf numFmtId="0" fontId="85" fillId="65" borderId="0" xfId="0" applyFont="1" applyFill="1" applyAlignment="1">
      <alignment horizontal="center" wrapText="1"/>
    </xf>
    <xf numFmtId="0" fontId="119" fillId="8" borderId="0" xfId="0" applyFont="1" applyFill="1" applyAlignment="1">
      <alignment horizontal="right" wrapText="1"/>
    </xf>
    <xf numFmtId="0" fontId="121" fillId="8" borderId="0" xfId="0" applyFont="1" applyFill="1" applyAlignment="1">
      <alignment horizontal="left" vertical="center"/>
    </xf>
    <xf numFmtId="49" fontId="0" fillId="8" borderId="0" xfId="0" applyNumberFormat="1" applyFill="1" applyAlignment="1">
      <alignment horizontal="left" vertical="center" wrapText="1"/>
    </xf>
    <xf numFmtId="0" fontId="12" fillId="2" borderId="165" xfId="0" applyFont="1" applyFill="1" applyBorder="1" applyAlignment="1" applyProtection="1">
      <alignment horizontal="center" vertical="center"/>
      <protection locked="0"/>
    </xf>
    <xf numFmtId="38" fontId="4" fillId="8" borderId="0" xfId="0" applyNumberFormat="1" applyFont="1" applyFill="1" applyAlignment="1">
      <alignment horizontal="center" vertical="center"/>
    </xf>
    <xf numFmtId="38" fontId="12" fillId="6" borderId="114" xfId="0" applyNumberFormat="1" applyFont="1" applyFill="1" applyBorder="1" applyAlignment="1">
      <alignment horizontal="center" vertical="center"/>
    </xf>
    <xf numFmtId="38" fontId="12" fillId="6" borderId="56" xfId="0" applyNumberFormat="1" applyFont="1" applyFill="1" applyBorder="1" applyAlignment="1">
      <alignment horizontal="center" vertical="center"/>
    </xf>
    <xf numFmtId="0" fontId="12" fillId="2" borderId="0" xfId="0" applyFont="1" applyFill="1" applyAlignment="1" applyProtection="1">
      <alignment horizontal="left" vertical="center" wrapText="1"/>
      <protection locked="0"/>
    </xf>
    <xf numFmtId="245" fontId="12" fillId="2" borderId="0" xfId="0" applyNumberFormat="1" applyFont="1" applyFill="1" applyAlignment="1" applyProtection="1">
      <alignment horizontal="center" vertical="center"/>
      <protection locked="0"/>
    </xf>
    <xf numFmtId="245" fontId="12" fillId="2" borderId="165" xfId="0" applyNumberFormat="1" applyFont="1" applyFill="1" applyBorder="1" applyAlignment="1" applyProtection="1">
      <alignment horizontal="center" vertical="center"/>
      <protection locked="0"/>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1" fillId="0" borderId="0" xfId="0" applyFont="1" applyAlignment="1">
      <alignment vertical="top" wrapText="1"/>
    </xf>
    <xf numFmtId="49" fontId="0" fillId="0" borderId="0" xfId="0" applyNumberFormat="1" applyAlignment="1">
      <alignment horizontal="left" vertical="top" wrapText="1"/>
    </xf>
    <xf numFmtId="0" fontId="0" fillId="0" borderId="0" xfId="0" applyAlignment="1">
      <alignment vertical="top" wrapText="1"/>
    </xf>
    <xf numFmtId="0" fontId="12" fillId="2" borderId="165" xfId="0" applyFont="1" applyFill="1" applyBorder="1" applyAlignment="1" applyProtection="1">
      <alignment vertical="top"/>
      <protection locked="0"/>
    </xf>
    <xf numFmtId="0" fontId="21" fillId="0" borderId="0" xfId="0" applyFont="1" applyAlignment="1">
      <alignment horizontal="left" wrapText="1"/>
    </xf>
    <xf numFmtId="0" fontId="15" fillId="0" borderId="0" xfId="0" applyFont="1" applyAlignment="1">
      <alignment horizontal="left" vertical="top" wrapText="1"/>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848">
    <dxf>
      <font>
        <color theme="0"/>
      </font>
      <fill>
        <patternFill>
          <bgColor theme="0"/>
        </patternFill>
      </fill>
      <border>
        <left/>
        <right/>
        <top/>
        <bottom/>
      </border>
    </dxf>
    <dxf>
      <fill>
        <patternFill>
          <bgColor theme="9" tint="0.79998168889431442"/>
        </patternFill>
      </fill>
    </dxf>
    <dxf>
      <font>
        <color rgb="FFC00000"/>
      </font>
    </dxf>
    <dxf>
      <fill>
        <patternFill>
          <bgColor theme="9" tint="0.79998168889431442"/>
        </patternFill>
      </fill>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auto="1"/>
      </font>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patternType="darkUp">
          <fgColor theme="0" tint="-0.24994659260841701"/>
        </patternFill>
      </fill>
    </dxf>
    <dxf>
      <font>
        <color rgb="FFFF0000"/>
      </font>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theme="4" tint="-0.24994659260841701"/>
      </font>
      <fill>
        <patternFill>
          <bgColor rgb="FF99FF99"/>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1"/>
      </font>
    </dxf>
    <dxf>
      <font>
        <color theme="1"/>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9" tint="0.79998168889431442"/>
        </patternFill>
      </fill>
    </dxf>
    <dxf>
      <font>
        <b val="0"/>
        <i val="0"/>
        <strike val="0"/>
        <u val="none"/>
      </font>
      <fill>
        <patternFill>
          <bgColor theme="9" tint="0.79998168889431442"/>
        </patternFill>
      </fill>
    </dxf>
    <dxf>
      <font>
        <color theme="0"/>
      </font>
      <fill>
        <patternFill>
          <bgColor theme="0"/>
        </patternFill>
      </fill>
      <border>
        <left/>
        <right/>
        <top/>
        <bottom/>
      </border>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0070C0"/>
      </font>
      <fill>
        <patternFill>
          <bgColor theme="0" tint="-4.9989318521683403E-2"/>
        </patternFill>
      </fill>
    </dxf>
    <dxf>
      <font>
        <color theme="0"/>
      </font>
      <fill>
        <patternFill>
          <bgColor theme="0"/>
        </patternFill>
      </fill>
      <border>
        <left/>
        <right/>
        <top/>
        <bottom/>
      </border>
    </dxf>
    <dxf>
      <fill>
        <patternFill>
          <bgColor rgb="FFCCFF99"/>
        </patternFill>
      </fill>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val="0"/>
        <color auto="1"/>
      </font>
      <fill>
        <patternFill patternType="darkUp">
          <fgColor theme="0" tint="-0.24994659260841701"/>
          <bgColor auto="1"/>
        </patternFill>
      </fill>
    </dxf>
    <dxf>
      <font>
        <strike/>
        <color rgb="FFC00000"/>
      </font>
      <fill>
        <patternFill patternType="darkUp">
          <fgColor theme="0" tint="-0.24994659260841701"/>
          <bgColor auto="1"/>
        </patternFill>
      </fill>
      <border>
        <bottom style="hair">
          <color auto="1"/>
        </bottom>
      </border>
    </dxf>
    <dxf>
      <font>
        <b val="0"/>
        <i val="0"/>
      </font>
      <fill>
        <patternFill>
          <bgColor theme="9" tint="0.79998168889431442"/>
        </patternFill>
      </fill>
    </dxf>
    <dxf>
      <font>
        <b/>
        <i val="0"/>
        <color rgb="FFC00000"/>
      </font>
      <fill>
        <patternFill patternType="none">
          <bgColor auto="1"/>
        </patternFill>
      </fill>
    </dxf>
    <dxf>
      <font>
        <color theme="0" tint="-0.24994659260841701"/>
      </font>
    </dxf>
    <dxf>
      <font>
        <color theme="0" tint="-0.34998626667073579"/>
      </font>
      <fill>
        <patternFill patternType="solid">
          <fgColor auto="1"/>
          <bgColor theme="0" tint="-4.9989318521683403E-2"/>
        </patternFill>
      </fill>
    </dxf>
    <dxf>
      <fill>
        <patternFill patternType="darkUp">
          <fgColor theme="0" tint="-0.24994659260841701"/>
        </patternFill>
      </fill>
    </dxf>
    <dxf>
      <font>
        <color theme="4" tint="-0.24994659260841701"/>
      </font>
      <fill>
        <patternFill>
          <bgColor rgb="FF99FF99"/>
        </patternFill>
      </fill>
    </dxf>
    <dxf>
      <fill>
        <patternFill patternType="darkUp">
          <fgColor theme="0" tint="-0.24994659260841701"/>
        </patternFill>
      </fill>
    </dxf>
    <dxf>
      <fill>
        <patternFill>
          <bgColor theme="9" tint="0.79998168889431442"/>
        </patternFill>
      </fill>
    </dxf>
    <dxf>
      <fill>
        <patternFill>
          <bgColor theme="7" tint="0.79998168889431442"/>
        </patternFill>
      </fill>
    </dxf>
    <dxf>
      <font>
        <strike/>
        <color rgb="FFC00000"/>
      </font>
      <fill>
        <patternFill patternType="none">
          <bgColor auto="1"/>
        </patternFill>
      </fill>
      <border>
        <bottom/>
        <vertical/>
        <horizontal/>
      </border>
    </dxf>
    <dxf>
      <border>
        <vertical/>
        <horizontal/>
      </border>
    </dxf>
    <dxf>
      <font>
        <color theme="0" tint="-0.34998626667073579"/>
      </font>
    </dxf>
    <dxf>
      <font>
        <color theme="0" tint="-0.34998626667073579"/>
      </font>
    </dxf>
    <dxf>
      <font>
        <color rgb="FF0070C0"/>
      </font>
      <fill>
        <patternFill>
          <bgColor theme="0" tint="-4.9989318521683403E-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patternType="solid">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strike/>
        <color rgb="FFC00000"/>
      </font>
      <fill>
        <patternFill patternType="none">
          <bgColor auto="1"/>
        </patternFill>
      </fill>
      <border>
        <bottom/>
        <vertical/>
        <horizontal/>
      </border>
    </dxf>
    <dxf>
      <font>
        <b val="0"/>
        <i/>
        <u/>
      </font>
      <fill>
        <patternFill patternType="none">
          <bgColor auto="1"/>
        </patternFill>
      </fill>
      <border>
        <bottom/>
      </border>
    </dxf>
    <dxf>
      <font>
        <b val="0"/>
        <i/>
        <u/>
      </font>
      <fill>
        <patternFill patternType="none">
          <bgColor auto="1"/>
        </patternFill>
      </fill>
      <border>
        <bottom/>
      </border>
    </dxf>
    <dxf>
      <font>
        <strike/>
        <u val="none"/>
        <color rgb="FFC00000"/>
      </font>
      <fill>
        <patternFill patternType="none">
          <bgColor auto="1"/>
        </patternFill>
      </fill>
      <border>
        <bottom/>
      </border>
    </dxf>
    <dxf>
      <border>
        <vertical/>
        <horizontal/>
      </border>
    </dxf>
    <dxf>
      <border>
        <vertical/>
        <horizontal/>
      </border>
    </dxf>
    <dxf>
      <font>
        <color theme="0" tint="-0.34998626667073579"/>
      </font>
    </dxf>
    <dxf>
      <font>
        <color theme="0" tint="-0.34998626667073579"/>
      </font>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auto="1"/>
      </font>
      <fill>
        <patternFill patternType="darkUp">
          <fgColor theme="0" tint="-0.24994659260841701"/>
          <bgColor auto="1"/>
        </patternFill>
      </fill>
      <border>
        <left/>
        <right/>
        <top/>
        <bottom/>
        <vertical/>
        <horizontal/>
      </border>
    </dxf>
    <dxf>
      <font>
        <color theme="0" tint="-0.34998626667073579"/>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rgb="FFE2EFDA"/>
        </patternFill>
      </fill>
    </dxf>
    <dxf>
      <fill>
        <patternFill>
          <bgColor theme="9" tint="0.79998168889431442"/>
        </patternFill>
      </fill>
    </dxf>
    <dxf>
      <font>
        <b val="0"/>
        <i val="0"/>
        <color rgb="FFC00000"/>
      </font>
      <fill>
        <patternFill>
          <bgColor rgb="FFFFE6FF"/>
        </patternFill>
      </fill>
    </dxf>
    <dxf>
      <font>
        <color rgb="FFC00000"/>
      </font>
      <fill>
        <patternFill>
          <bgColor rgb="FFFFE6FF"/>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0"/>
      </font>
      <fill>
        <patternFill patternType="none">
          <bgColor auto="1"/>
        </patternFill>
      </fill>
      <border>
        <left/>
        <right/>
        <top/>
        <bottom/>
        <vertical/>
        <horizontal/>
      </border>
    </dxf>
    <dxf>
      <fill>
        <patternFill>
          <bgColor theme="1"/>
        </patternFill>
      </fill>
    </dxf>
    <dxf>
      <fill>
        <patternFill patternType="lightUp">
          <fgColor theme="0" tint="-0.499984740745262"/>
        </patternFill>
      </fill>
    </dxf>
    <dxf>
      <font>
        <b val="0"/>
        <i/>
        <color theme="0" tint="-0.499984740745262"/>
      </font>
      <fill>
        <patternFill>
          <bgColor theme="0"/>
        </patternFill>
      </fill>
    </dxf>
    <dxf>
      <fill>
        <patternFill patternType="lightUp">
          <fgColor theme="0" tint="-0.499984740745262"/>
        </patternFill>
      </fill>
    </dxf>
    <dxf>
      <font>
        <color theme="0"/>
      </font>
      <border>
        <bottom/>
        <vertical/>
        <horizontal/>
      </border>
    </dxf>
    <dxf>
      <font>
        <color theme="0"/>
      </font>
      <border>
        <bottom/>
      </border>
    </dxf>
    <dxf>
      <fill>
        <patternFill>
          <bgColor theme="1"/>
        </patternFill>
      </fill>
    </dxf>
    <dxf>
      <font>
        <color rgb="FFC00000"/>
      </font>
      <fill>
        <patternFill>
          <bgColor rgb="FFFFEBFF"/>
        </patternFill>
      </fill>
    </dxf>
    <dxf>
      <fill>
        <patternFill>
          <bgColor rgb="FFCCFFCC"/>
        </patternFill>
      </fill>
    </dxf>
    <dxf>
      <font>
        <color rgb="FF0000FF"/>
      </font>
      <fill>
        <patternFill patternType="none">
          <bgColor auto="1"/>
        </patternFill>
      </fill>
      <border>
        <bottom style="thin">
          <color rgb="FF0000FF"/>
        </bottom>
        <vertical/>
        <horizontal/>
      </border>
    </dxf>
    <dxf>
      <font>
        <strike/>
        <color rgb="FFC00000"/>
      </font>
      <fill>
        <patternFill patternType="none">
          <bgColor auto="1"/>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ill>
        <patternFill patternType="none">
          <bgColor auto="1"/>
        </patternFill>
      </fill>
    </dxf>
    <dxf>
      <font>
        <b/>
        <i val="0"/>
      </font>
      <fill>
        <patternFill patternType="none">
          <bgColor auto="1"/>
        </patternFill>
      </fill>
    </dxf>
    <dxf>
      <font>
        <b/>
        <i val="0"/>
      </font>
    </dxf>
    <dxf>
      <font>
        <color rgb="FFC00000"/>
      </font>
      <fill>
        <patternFill>
          <bgColor rgb="FFFFEBFF"/>
        </patternFill>
      </fill>
    </dxf>
    <dxf>
      <fill>
        <patternFill patternType="lightUp">
          <fgColor theme="0" tint="-0.499984740745262"/>
        </patternFill>
      </fill>
    </dxf>
    <dxf>
      <font>
        <b/>
        <i val="0"/>
        <color rgb="FFC00000"/>
      </font>
      <fill>
        <patternFill>
          <bgColor rgb="FFFFE6FF"/>
        </patternFill>
      </fill>
    </dxf>
    <dxf>
      <font>
        <strike/>
        <color rgb="FFC00000"/>
      </font>
    </dxf>
    <dxf>
      <font>
        <color rgb="FF0000FF"/>
      </font>
      <fill>
        <patternFill patternType="none">
          <bgColor auto="1"/>
        </patternFill>
      </fill>
      <border>
        <bottom style="thin">
          <color rgb="FF0000FF"/>
        </bottom>
        <vertical/>
        <horizontal/>
      </border>
    </dxf>
    <dxf>
      <font>
        <color theme="0"/>
      </font>
    </dxf>
    <dxf>
      <font>
        <color rgb="FF0000FF"/>
      </font>
      <fill>
        <patternFill patternType="none">
          <bgColor auto="1"/>
        </patternFill>
      </fill>
      <border>
        <bottom style="thin">
          <color rgb="FF0000FF"/>
        </bottom>
        <vertical/>
        <horizontal/>
      </border>
    </dxf>
    <dxf>
      <font>
        <color theme="0"/>
      </font>
    </dxf>
    <dxf>
      <font>
        <strike/>
        <color rgb="FFC00000"/>
      </font>
      <border>
        <bottom/>
        <vertical/>
        <horizontal/>
      </border>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b/>
        <i/>
        <color theme="1"/>
      </font>
    </dxf>
    <dxf>
      <font>
        <color rgb="FFC00000"/>
      </font>
      <fill>
        <patternFill>
          <bgColor rgb="FFFFEBFF"/>
        </patternFill>
      </fill>
    </dxf>
    <dxf>
      <font>
        <color rgb="FFC00000"/>
      </font>
      <fill>
        <patternFill>
          <bgColor rgb="FFFFEBFF"/>
        </patternFill>
      </fill>
    </dxf>
    <dxf>
      <font>
        <b/>
        <i val="0"/>
        <color rgb="FFFF0000"/>
      </font>
    </dxf>
    <dxf>
      <font>
        <b/>
        <i/>
        <color theme="1"/>
      </font>
    </dxf>
    <dxf>
      <font>
        <b/>
        <i/>
        <color theme="1"/>
      </font>
    </dxf>
    <dxf>
      <font>
        <b/>
        <i/>
        <color theme="1"/>
      </font>
    </dxf>
    <dxf>
      <font>
        <b/>
        <i/>
        <color theme="1"/>
      </font>
    </dxf>
    <dxf>
      <font>
        <b/>
        <i/>
        <color theme="1"/>
      </font>
    </dxf>
    <dxf>
      <font>
        <b/>
        <i/>
        <color theme="1"/>
      </font>
    </dxf>
    <dxf>
      <font>
        <b/>
        <i val="0"/>
        <color rgb="FFFFFF00"/>
      </font>
      <fill>
        <patternFill>
          <bgColor rgb="FFFF0000"/>
        </patternFill>
      </fill>
    </dxf>
    <dxf>
      <font>
        <color rgb="FFC00000"/>
      </font>
      <fill>
        <patternFill patternType="none">
          <bgColor auto="1"/>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auto="1"/>
      </font>
      <fill>
        <patternFill patternType="none">
          <bgColor auto="1"/>
        </patternFill>
      </fill>
    </dxf>
    <dxf>
      <fill>
        <patternFill>
          <bgColor rgb="FFCCFFCC"/>
        </patternFill>
      </fill>
    </dxf>
    <dxf>
      <font>
        <b/>
        <i val="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color rgb="FFC00000"/>
      </font>
    </dxf>
    <dxf>
      <font>
        <b val="0"/>
        <i/>
        <color rgb="FFC00000"/>
      </font>
    </dxf>
    <dxf>
      <font>
        <b val="0"/>
        <i/>
        <color rgb="FFC00000"/>
      </font>
    </dxf>
    <dxf>
      <font>
        <color theme="6" tint="-0.499984740745262"/>
      </font>
      <fill>
        <patternFill>
          <bgColor rgb="FFDDFFDD"/>
        </patternFill>
      </fill>
    </dxf>
    <dxf>
      <font>
        <color rgb="FFC00000"/>
      </font>
      <fill>
        <patternFill>
          <bgColor rgb="FFFFE6FF"/>
        </patternFill>
      </fill>
    </dxf>
    <dxf>
      <font>
        <color theme="0"/>
      </font>
    </dxf>
    <dxf>
      <font>
        <color theme="0"/>
      </font>
    </dxf>
    <dxf>
      <font>
        <color theme="0"/>
      </font>
    </dxf>
    <dxf>
      <font>
        <b/>
        <i val="0"/>
        <color rgb="FFFF0000"/>
      </font>
    </dxf>
    <dxf>
      <font>
        <b/>
        <i val="0"/>
        <color rgb="FFFFFF00"/>
      </font>
      <fill>
        <patternFill>
          <bgColor rgb="FFFF0000"/>
        </patternFill>
      </fill>
    </dxf>
    <dxf>
      <font>
        <b/>
        <i val="0"/>
        <color rgb="FFFFFF00"/>
      </font>
      <fill>
        <patternFill>
          <bgColor rgb="FFFF0000"/>
        </patternFill>
      </fill>
    </dxf>
    <dxf>
      <font>
        <color theme="6" tint="-0.499984740745262"/>
      </font>
      <fill>
        <patternFill>
          <bgColor rgb="FFDDFFDD"/>
        </patternFill>
      </fill>
    </dxf>
    <dxf>
      <font>
        <color theme="6" tint="-0.499984740745262"/>
      </font>
      <fill>
        <patternFill>
          <bgColor rgb="FFDDFFDD"/>
        </patternFill>
      </fill>
    </dxf>
    <dxf>
      <font>
        <color rgb="FFC00000"/>
      </font>
      <fill>
        <patternFill>
          <bgColor rgb="FFFFE6FF"/>
        </patternFill>
      </fill>
    </dxf>
    <dxf>
      <font>
        <b/>
        <i val="0"/>
        <color rgb="FFFF0000"/>
      </font>
    </dxf>
    <dxf>
      <font>
        <b/>
        <i val="0"/>
        <color rgb="FF00B050"/>
      </font>
      <fill>
        <patternFill patternType="none">
          <bgColor auto="1"/>
        </patternFill>
      </fill>
    </dxf>
    <dxf>
      <font>
        <b/>
        <i val="0"/>
        <color rgb="FF00B050"/>
      </font>
      <fill>
        <patternFill patternType="none">
          <bgColor auto="1"/>
        </patternFill>
      </fill>
    </dxf>
    <dxf>
      <font>
        <b/>
        <i val="0"/>
        <color rgb="FFC00000"/>
      </font>
    </dxf>
    <dxf>
      <font>
        <b val="0"/>
        <i/>
        <color rgb="FFFF0000"/>
      </font>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i val="0"/>
        <color rgb="FFC00000"/>
      </font>
    </dxf>
    <dxf>
      <fill>
        <patternFill>
          <bgColor rgb="FFC8FFC8"/>
        </patternFill>
      </fill>
    </dxf>
    <dxf>
      <font>
        <color rgb="FFC00000"/>
      </font>
      <fill>
        <patternFill>
          <bgColor rgb="FFFFE6FF"/>
        </patternFill>
      </fill>
    </dxf>
    <dxf>
      <font>
        <color theme="0" tint="-0.34998626667073579"/>
      </font>
    </dxf>
    <dxf>
      <font>
        <strike/>
        <color rgb="FFC00000"/>
      </font>
      <fill>
        <patternFill patternType="darkUp">
          <fgColor theme="0" tint="-0.24994659260841701"/>
          <bgColor rgb="FFFFEBFF"/>
        </patternFill>
      </fill>
    </dxf>
    <dxf>
      <font>
        <color rgb="FFC00000"/>
      </font>
      <fill>
        <patternFill>
          <bgColor rgb="FFFFEBFF"/>
        </patternFill>
      </fill>
    </dxf>
    <dxf>
      <font>
        <color theme="0"/>
      </font>
      <fill>
        <patternFill>
          <bgColor theme="0"/>
        </patternFill>
      </fill>
      <border>
        <left/>
        <right/>
        <top/>
        <bottom/>
        <vertical/>
        <horizontal/>
      </border>
    </dxf>
    <dxf>
      <fill>
        <patternFill>
          <bgColor theme="9" tint="0.79998168889431442"/>
        </patternFill>
      </fill>
    </dxf>
    <dxf>
      <font>
        <color rgb="FF7030A0"/>
      </font>
      <fill>
        <patternFill>
          <bgColor rgb="FFCCFFCC"/>
        </patternFill>
      </fill>
    </dxf>
    <dxf>
      <font>
        <color rgb="FF7030A0"/>
      </font>
      <fill>
        <patternFill>
          <bgColor rgb="FFCCFFCC"/>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theme="0" tint="-0.34998626667073579"/>
      </font>
      <fill>
        <patternFill>
          <bgColor theme="0" tint="-4.9989318521683403E-2"/>
        </patternFill>
      </fill>
    </dxf>
    <dxf>
      <font>
        <color theme="0" tint="-0.34998626667073579"/>
      </font>
    </dxf>
    <dxf>
      <font>
        <color rgb="FFC0000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14996795556505021"/>
      </font>
      <fill>
        <patternFill>
          <bgColor theme="0" tint="-4.9989318521683403E-2"/>
        </patternFill>
      </fill>
    </dxf>
    <dxf>
      <font>
        <color theme="0" tint="-0.34998626667073579"/>
      </font>
    </dxf>
    <dxf>
      <font>
        <b val="0"/>
        <i val="0"/>
        <strike val="0"/>
        <u val="none"/>
      </font>
      <fill>
        <patternFill>
          <bgColor theme="9" tint="0.79998168889431442"/>
        </patternFill>
      </fill>
    </dxf>
    <dxf>
      <font>
        <strike/>
        <color rgb="FFC00000"/>
      </font>
      <fill>
        <patternFill>
          <bgColor theme="0" tint="-4.9989318521683403E-2"/>
        </patternFill>
      </fill>
    </dxf>
    <dxf>
      <font>
        <color rgb="FFC00000"/>
      </font>
      <fill>
        <patternFill>
          <bgColor rgb="FFFFEBFF"/>
        </patternFill>
      </fill>
    </dxf>
    <dxf>
      <font>
        <color rgb="FFC00000"/>
      </font>
      <fill>
        <patternFill>
          <bgColor rgb="FFFFE6FF"/>
        </patternFill>
      </fill>
    </dxf>
    <dxf>
      <font>
        <b val="0"/>
        <i val="0"/>
        <strike val="0"/>
        <u val="none"/>
      </font>
      <fill>
        <patternFill>
          <bgColor theme="9" tint="0.79998168889431442"/>
        </patternFill>
      </fill>
    </dxf>
    <dxf>
      <font>
        <strike/>
        <color rgb="FFC00000"/>
      </font>
      <fill>
        <patternFill>
          <bgColor theme="0" tint="-4.9989318521683403E-2"/>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dxf>
    <dxf>
      <font>
        <color theme="0" tint="-0.34998626667073579"/>
      </font>
    </dxf>
    <dxf>
      <font>
        <color rgb="FFC00000"/>
      </font>
      <fill>
        <patternFill>
          <bgColor rgb="FFFFEBFF"/>
        </patternFill>
      </fill>
    </dxf>
    <dxf>
      <font>
        <b val="0"/>
        <i val="0"/>
        <color rgb="FFC00000"/>
      </font>
      <fill>
        <patternFill>
          <bgColor rgb="FFFFEBFF"/>
        </patternFill>
      </fill>
    </dxf>
    <dxf>
      <font>
        <color rgb="FFC00000"/>
      </font>
      <fill>
        <patternFill>
          <bgColor rgb="FFFFEB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color theme="0" tint="-0.34998626667073579"/>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color rgb="FFC00000"/>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ont>
        <color rgb="FFC00000"/>
      </font>
    </dxf>
    <dxf>
      <font>
        <color rgb="FFC00000"/>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bgColor theme="0" tint="-4.9989318521683403E-2"/>
        </patternFill>
      </fill>
    </dxf>
    <dxf>
      <font>
        <b val="0"/>
        <i val="0"/>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b val="0"/>
        <i val="0"/>
        <color rgb="FFC00000"/>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rgb="FFC00000"/>
      </font>
      <fill>
        <patternFill>
          <bgColor rgb="FFFFFF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b val="0"/>
        <i val="0"/>
        <color rgb="FFC00000"/>
      </font>
      <fill>
        <patternFill>
          <bgColor rgb="FFFFE6FF"/>
        </patternFill>
      </fill>
    </dxf>
    <dxf>
      <font>
        <b val="0"/>
        <i val="0"/>
        <color rgb="FFC00000"/>
      </font>
    </dxf>
    <dxf>
      <font>
        <color theme="0" tint="-0.14996795556505021"/>
      </font>
    </dxf>
    <dxf>
      <border>
        <left/>
        <right/>
        <top/>
        <bottom/>
        <vertical/>
        <horizontal/>
      </border>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color theme="0" tint="-0.14996795556505021"/>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ill>
        <patternFill patternType="darkUp">
          <fgColor theme="0" tint="-0.24994659260841701"/>
        </patternFill>
      </fill>
    </dxf>
    <dxf>
      <font>
        <color rgb="FFC00000"/>
      </font>
      <fill>
        <patternFill patternType="none">
          <bgColor auto="1"/>
        </patternFill>
      </fill>
    </dxf>
    <dxf>
      <font>
        <b val="0"/>
        <i val="0"/>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auto="1"/>
      </font>
      <fill>
        <patternFill>
          <bgColor theme="9" tint="0.79998168889431442"/>
        </patternFill>
      </fill>
    </dxf>
    <dxf>
      <font>
        <color rgb="FFC00000"/>
      </font>
      <fill>
        <patternFill>
          <bgColor rgb="FFFFE6FF"/>
        </patternFill>
      </fill>
    </dxf>
    <dxf>
      <font>
        <color rgb="FFC00000"/>
      </font>
      <fill>
        <patternFill>
          <bgColor rgb="FFFFE6FF"/>
        </patternFill>
      </fill>
    </dxf>
    <dxf>
      <font>
        <color theme="0"/>
      </font>
    </dxf>
    <dxf>
      <font>
        <color theme="0"/>
      </font>
    </dxf>
    <dxf>
      <font>
        <b val="0"/>
        <i/>
      </font>
    </dxf>
    <dxf>
      <font>
        <b val="0"/>
        <i/>
      </font>
    </dxf>
    <dxf>
      <font>
        <b val="0"/>
        <i/>
      </font>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none">
          <bgColor auto="1"/>
        </patternFill>
      </fill>
    </dxf>
    <dxf>
      <font>
        <color theme="0"/>
      </font>
      <fill>
        <patternFill>
          <bgColor theme="0"/>
        </patternFill>
      </fill>
    </dxf>
    <dxf>
      <font>
        <color theme="0"/>
      </font>
    </dxf>
    <dxf>
      <font>
        <color rgb="FF7030A0"/>
      </font>
      <fill>
        <patternFill>
          <bgColor rgb="FFCCFFCC"/>
        </patternFill>
      </fill>
    </dxf>
    <dxf>
      <font>
        <color rgb="FF9C0006"/>
      </font>
      <fill>
        <patternFill>
          <bgColor rgb="FFFFE6FF"/>
        </patternFill>
      </fill>
    </dxf>
    <dxf>
      <font>
        <color rgb="FFC00000"/>
      </font>
      <fill>
        <patternFill>
          <bgColor rgb="FFFFE6FF"/>
        </patternFill>
      </fill>
    </dxf>
    <dxf>
      <font>
        <color rgb="FFC00000"/>
      </font>
      <fill>
        <patternFill patternType="none">
          <bgColor auto="1"/>
        </patternFill>
      </fill>
    </dxf>
    <dxf>
      <font>
        <color theme="0"/>
      </font>
      <fill>
        <patternFill>
          <bgColor theme="0"/>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patternType="none">
          <bgColor auto="1"/>
        </patternFill>
      </fill>
    </dxf>
    <dxf>
      <font>
        <color rgb="FF7030A0"/>
      </font>
      <fill>
        <patternFill>
          <bgColor rgb="FFCCFFCC"/>
        </patternFill>
      </fill>
    </dxf>
    <dxf>
      <font>
        <color rgb="FFC00000"/>
      </font>
      <fill>
        <patternFill>
          <bgColor rgb="FFFFE6FF"/>
        </patternFill>
      </fill>
    </dxf>
    <dxf>
      <font>
        <color theme="0"/>
      </font>
      <fill>
        <patternFill>
          <bgColor theme="0"/>
        </patternFill>
      </fill>
    </dxf>
    <dxf>
      <font>
        <color theme="0"/>
      </font>
      <fill>
        <patternFill>
          <bgColor theme="0"/>
        </patternFill>
      </fill>
      <border>
        <left/>
        <right/>
        <top/>
        <bottom/>
        <vertical/>
        <horizontal/>
      </border>
    </dxf>
    <dxf>
      <font>
        <color rgb="FF0070C0"/>
      </font>
      <fill>
        <patternFill>
          <bgColor theme="0" tint="-4.9989318521683403E-2"/>
        </patternFill>
      </fill>
    </dxf>
    <dxf>
      <font>
        <color rgb="FFC00000"/>
      </font>
      <fill>
        <patternFill>
          <bgColor rgb="FFFFE6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font>
    </dxf>
    <dxf>
      <fill>
        <patternFill patternType="darkUp">
          <fgColor theme="0" tint="-0.24994659260841701"/>
        </patternFill>
      </fill>
    </dxf>
    <dxf>
      <font>
        <color rgb="FFC00000"/>
      </font>
      <fill>
        <patternFill>
          <bgColor rgb="FFFFDCFF"/>
        </patternFill>
      </fill>
    </dxf>
    <dxf>
      <fill>
        <patternFill patternType="darkUp">
          <fgColor theme="0" tint="-0.24994659260841701"/>
        </patternFill>
      </fill>
    </dxf>
    <dxf>
      <font>
        <color rgb="FFC00000"/>
      </font>
      <fill>
        <patternFill>
          <bgColor rgb="FFFFDCFF"/>
        </patternFill>
      </fill>
    </dxf>
    <dxf>
      <font>
        <b val="0"/>
        <i/>
      </font>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theme="0"/>
      </font>
      <fill>
        <patternFill>
          <bgColor theme="0"/>
        </patternFill>
      </fill>
      <border>
        <left/>
        <right/>
        <top/>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font>
    </dxf>
    <dxf>
      <font>
        <strike/>
        <color rgb="FFC00000"/>
      </font>
      <fill>
        <patternFill>
          <bgColor rgb="FFFFE6FF"/>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font>
      <fill>
        <patternFill>
          <bgColor theme="0"/>
        </patternFill>
      </fill>
      <border>
        <left/>
        <right/>
        <top/>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border>
        <right/>
        <top/>
        <bottom/>
        <vertical/>
        <horizontal/>
      </border>
    </dxf>
    <dxf>
      <font>
        <color rgb="FFC00000"/>
      </font>
      <fill>
        <patternFill>
          <bgColor rgb="FFFFE6FF"/>
        </patternFill>
      </fill>
    </dxf>
    <dxf>
      <font>
        <color theme="0" tint="-0.34998626667073579"/>
      </font>
      <fill>
        <patternFill patternType="none">
          <bgColor auto="1"/>
        </patternFill>
      </fill>
    </dxf>
    <dxf>
      <font>
        <color theme="0"/>
      </font>
      <fill>
        <patternFill patternType="none">
          <bgColor auto="1"/>
        </patternFill>
      </fill>
    </dxf>
    <dxf>
      <font>
        <strike val="0"/>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ont>
        <color theme="0" tint="-0.34998626667073579"/>
      </font>
    </dxf>
    <dxf>
      <font>
        <color theme="0"/>
      </font>
      <border>
        <right/>
        <top/>
        <bottom/>
        <vertical/>
        <horizontal/>
      </border>
    </dxf>
    <dxf>
      <font>
        <color theme="0" tint="-0.34998626667073579"/>
      </font>
    </dxf>
    <dxf>
      <font>
        <color theme="0"/>
      </font>
      <fill>
        <patternFill>
          <bgColor theme="0"/>
        </patternFill>
      </fill>
      <border>
        <left/>
        <right/>
        <top/>
        <bottom/>
        <vertical/>
        <horizontal/>
      </border>
    </dxf>
    <dxf>
      <font>
        <color rgb="FFC00000"/>
      </font>
      <fill>
        <patternFill>
          <bgColor rgb="FFFFE6FF"/>
        </patternFill>
      </fill>
    </dxf>
    <dxf>
      <font>
        <color rgb="FFC00000"/>
      </font>
      <fill>
        <patternFill>
          <bgColor rgb="FFFFE6FF"/>
        </patternFill>
      </fill>
    </dxf>
    <dxf>
      <font>
        <color theme="0" tint="-0.34998626667073579"/>
      </font>
    </dxf>
    <dxf>
      <fill>
        <patternFill>
          <bgColor theme="9" tint="0.79998168889431442"/>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strike/>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strike/>
        <color rgb="FFC00000"/>
      </font>
      <fill>
        <patternFill patternType="none">
          <bgColor auto="1"/>
        </patternFill>
      </fill>
    </dxf>
    <dxf>
      <font>
        <color theme="0" tint="-0.34998626667073579"/>
      </font>
    </dxf>
    <dxf>
      <font>
        <color theme="0" tint="-0.34998626667073579"/>
      </font>
    </dxf>
    <dxf>
      <font>
        <strike/>
        <color rgb="FFC00000"/>
      </font>
      <fill>
        <patternFill patternType="none">
          <bgColor auto="1"/>
        </patternFill>
      </fill>
    </dxf>
    <dxf>
      <font>
        <color theme="0" tint="-0.14996795556505021"/>
      </font>
      <fill>
        <patternFill patternType="darkUp">
          <fgColor theme="0" tint="-0.24994659260841701"/>
          <bgColor auto="1"/>
        </patternFill>
      </fill>
    </dxf>
    <dxf>
      <font>
        <strike/>
        <color rgb="FFC00000"/>
      </font>
      <fill>
        <patternFill patternType="solid">
          <fgColor auto="1"/>
          <bgColor theme="0" tint="-4.9989318521683403E-2"/>
        </patternFill>
      </fill>
    </dxf>
    <dxf>
      <font>
        <color theme="0" tint="-0.34998626667073579"/>
      </font>
    </dxf>
    <dxf>
      <font>
        <color auto="1"/>
      </font>
    </dxf>
    <dxf>
      <border>
        <bottom style="hair">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b val="0"/>
        <i val="0"/>
        <color rgb="FFC00000"/>
      </font>
      <fill>
        <patternFill>
          <bgColor rgb="FFFFE6FF"/>
        </patternFill>
      </fill>
    </dxf>
    <dxf>
      <font>
        <color rgb="FFC00000"/>
      </font>
    </dxf>
    <dxf>
      <fill>
        <patternFill patternType="darkUp">
          <fgColor theme="0" tint="-0.24994659260841701"/>
        </patternFill>
      </fill>
    </dxf>
    <dxf>
      <font>
        <color rgb="FFC00000"/>
      </font>
    </dxf>
    <dxf>
      <font>
        <b val="0"/>
        <i val="0"/>
        <color rgb="FFC00000"/>
      </font>
      <fill>
        <patternFill>
          <bgColor rgb="FFFFE6FF"/>
        </patternFill>
      </fill>
    </dxf>
    <dxf>
      <font>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dxf>
    <dxf>
      <fill>
        <patternFill>
          <bgColor theme="9" tint="0.79998168889431442"/>
        </patternFill>
      </fill>
    </dxf>
    <dxf>
      <fill>
        <patternFill patternType="darkUp">
          <fgColor theme="0" tint="-0.24994659260841701"/>
        </patternFill>
      </fill>
    </dxf>
    <dxf>
      <font>
        <color theme="0" tint="-0.34998626667073579"/>
      </font>
    </dxf>
    <dxf>
      <font>
        <b val="0"/>
        <i val="0"/>
        <color rgb="FFC00000"/>
      </font>
      <fill>
        <patternFill>
          <bgColor rgb="FFFFE6FF"/>
        </patternFill>
      </fill>
    </dxf>
    <dxf>
      <font>
        <color rgb="FFC00000"/>
      </font>
    </dxf>
    <dxf>
      <fill>
        <patternFill patternType="darkUp">
          <fgColor theme="0" tint="-0.24994659260841701"/>
        </patternFill>
      </fill>
    </dxf>
    <dxf>
      <font>
        <color rgb="FF0070C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14996795556505021"/>
      </font>
      <fill>
        <patternFill patternType="darkUp">
          <fgColor theme="0" tint="-0.24994659260841701"/>
        </patternFill>
      </fill>
    </dxf>
    <dxf>
      <fill>
        <patternFill patternType="darkUp">
          <fgColor theme="0" tint="-0.24994659260841701"/>
          <bgColor auto="1"/>
        </patternFill>
      </fill>
    </dxf>
    <dxf>
      <numFmt numFmtId="13" formatCode="0%"/>
    </dxf>
    <dxf>
      <numFmt numFmtId="183" formatCode="0.0%"/>
    </dxf>
    <dxf>
      <numFmt numFmtId="14" formatCode="0.00%"/>
    </dxf>
    <dxf>
      <numFmt numFmtId="164" formatCode="0.000%"/>
    </dxf>
    <dxf>
      <font>
        <color rgb="FFC00000"/>
      </font>
      <fill>
        <patternFill>
          <bgColor rgb="FFFFE6FF"/>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border>
        <top/>
        <bottom style="thin">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patternType="none">
          <bgColor auto="1"/>
        </patternFill>
      </fill>
      <border>
        <right/>
        <top/>
        <bottom/>
        <vertical/>
        <horizontal/>
      </border>
    </dxf>
    <dxf>
      <fill>
        <patternFill patternType="darkUp">
          <fgColor theme="0" tint="-0.24994659260841701"/>
          <bgColor auto="1"/>
        </patternFill>
      </fill>
    </dxf>
    <dxf>
      <border>
        <top/>
        <vertical/>
        <horizontal/>
      </border>
    </dxf>
    <dxf>
      <font>
        <color theme="0" tint="-0.34998626667073579"/>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theme="0" tint="-0.34998626667073579"/>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6FF"/>
        </patternFill>
      </fill>
    </dxf>
    <dxf>
      <font>
        <color auto="1"/>
      </font>
    </dxf>
    <dxf>
      <font>
        <color rgb="FFC00000"/>
      </font>
      <fill>
        <patternFill>
          <bgColor rgb="FFFFE6FF"/>
        </patternFill>
      </fill>
    </dxf>
    <dxf>
      <font>
        <color theme="0" tint="-0.34998626667073579"/>
      </font>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patternFill>
      </fill>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tint="-0.34998626667073579"/>
      </font>
      <fill>
        <patternFill patternType="darkUp">
          <fgColor theme="0" tint="-0.24994659260841701"/>
          <bgColor auto="1"/>
        </patternFill>
      </fill>
    </dxf>
    <dxf>
      <font>
        <color theme="0" tint="-0.34998626667073579"/>
      </font>
    </dxf>
    <dxf>
      <font>
        <b/>
        <i val="0"/>
      </font>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b val="0"/>
        <i val="0"/>
        <strike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tint="-0.34998626667073579"/>
      </font>
    </dxf>
    <dxf>
      <font>
        <color rgb="FFC00000"/>
      </font>
      <fill>
        <patternFill>
          <bgColor rgb="FFFFE6FF"/>
        </patternFill>
      </fill>
    </dxf>
    <dxf>
      <fill>
        <patternFill patternType="solid">
          <fgColor auto="1"/>
          <bgColor theme="0" tint="-4.9989318521683403E-2"/>
        </patternFill>
      </fill>
    </dxf>
    <dxf>
      <font>
        <color theme="0"/>
      </font>
      <border>
        <left/>
        <right/>
        <top/>
        <bottom/>
        <vertical/>
        <horizontal/>
      </border>
    </dxf>
    <dxf>
      <font>
        <color theme="0"/>
      </font>
      <border>
        <left style="thin">
          <color auto="1"/>
        </left>
        <right/>
        <top/>
        <bottom/>
        <vertical/>
        <horizontal/>
      </border>
    </dxf>
    <dxf>
      <font>
        <color theme="0"/>
      </font>
      <fill>
        <patternFill>
          <bgColor theme="0"/>
        </patternFill>
      </fill>
      <border>
        <right/>
        <top/>
        <bottom/>
        <vertical/>
        <horizontal/>
      </border>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patternType="solid">
          <fgColor auto="1"/>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b val="0"/>
        <i val="0"/>
        <strike val="0"/>
        <color rgb="FFC00000"/>
      </font>
      <fill>
        <patternFill>
          <bgColor rgb="FFFFE6FF"/>
        </patternFill>
      </fill>
    </dxf>
    <dxf>
      <fill>
        <patternFill>
          <bgColor theme="9" tint="0.79998168889431442"/>
        </patternFill>
      </fill>
    </dxf>
    <dxf>
      <font>
        <color theme="0"/>
      </font>
      <fill>
        <patternFill>
          <bgColor theme="0"/>
        </patternFill>
      </fill>
      <border>
        <left/>
        <right/>
        <top/>
        <bottom/>
      </border>
    </dxf>
    <dxf>
      <font>
        <color rgb="FF0070C0"/>
      </font>
      <fill>
        <patternFill>
          <bgColor theme="0" tint="-4.9989318521683403E-2"/>
        </patternFill>
      </fill>
    </dxf>
    <dxf>
      <font>
        <color theme="0" tint="-0.24994659260841701"/>
      </font>
    </dxf>
    <dxf>
      <font>
        <color theme="0"/>
      </font>
    </dxf>
    <dxf>
      <font>
        <color theme="0" tint="-0.34998626667073579"/>
      </font>
    </dxf>
    <dxf>
      <font>
        <b/>
        <i val="0"/>
        <color theme="0" tint="-0.34998626667073579"/>
      </font>
      <border>
        <left style="thin">
          <color theme="0" tint="-0.34998626667073579"/>
        </left>
        <right style="thin">
          <color theme="0" tint="-0.34998626667073579"/>
        </right>
        <top style="thin">
          <color theme="0" tint="-0.34998626667073579"/>
        </top>
        <bottom/>
        <vertical/>
        <horizontal/>
      </border>
    </dxf>
    <dxf>
      <font>
        <b/>
        <i val="0"/>
        <color auto="1"/>
      </font>
      <border>
        <left style="thin">
          <color auto="1"/>
        </left>
        <right style="thin">
          <color auto="1"/>
        </right>
        <top style="thin">
          <color auto="1"/>
        </top>
        <bottom/>
        <vertical/>
        <horizontal/>
      </border>
    </dxf>
    <dxf>
      <border>
        <left style="thin">
          <color auto="1"/>
        </left>
        <right style="thin">
          <color auto="1"/>
        </right>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14996795556505021"/>
      </font>
    </dxf>
    <dxf>
      <font>
        <color auto="1"/>
      </font>
      <fill>
        <patternFill>
          <bgColor theme="9" tint="0.79998168889431442"/>
        </patternFill>
      </fill>
    </dxf>
    <dxf>
      <font>
        <strike/>
        <color rgb="FFC00000"/>
      </font>
      <fill>
        <patternFill>
          <bgColor theme="0" tint="-4.9989318521683403E-2"/>
        </patternFill>
      </fill>
    </dxf>
    <dxf>
      <font>
        <color theme="0" tint="-0.14996795556505021"/>
      </font>
    </dxf>
    <dxf>
      <font>
        <color auto="1"/>
      </font>
      <fill>
        <patternFill>
          <bgColor theme="9" tint="0.79998168889431442"/>
        </patternFill>
      </fill>
    </dxf>
    <dxf>
      <font>
        <strike/>
        <color rgb="FFC00000"/>
      </font>
      <fill>
        <patternFill>
          <bgColor theme="0" tint="-4.9989318521683403E-2"/>
        </patternFill>
      </fill>
    </dxf>
    <dxf>
      <font>
        <color theme="0" tint="-0.34998626667073579"/>
      </font>
    </dxf>
    <dxf>
      <font>
        <color theme="0" tint="-0.34998626667073579"/>
      </font>
    </dxf>
    <dxf>
      <font>
        <color rgb="FF0070C0"/>
      </font>
      <fill>
        <patternFill>
          <bgColor theme="0" tint="-4.9989318521683403E-2"/>
        </patternFill>
      </fill>
    </dxf>
    <dxf>
      <font>
        <color theme="0" tint="-4.9989318521683403E-2"/>
      </font>
      <fill>
        <patternFill>
          <bgColor theme="0" tint="-4.9989318521683403E-2"/>
        </patternFill>
      </fill>
    </dxf>
    <dxf>
      <font>
        <strike/>
        <color rgb="FFC00000"/>
      </font>
      <fill>
        <patternFill>
          <bgColor theme="0" tint="-4.9989318521683403E-2"/>
        </patternFill>
      </fill>
    </dxf>
    <dxf>
      <font>
        <strike val="0"/>
        <color auto="1"/>
      </font>
      <fill>
        <patternFill>
          <bgColor theme="9" tint="0.79998168889431442"/>
        </patternFill>
      </fill>
    </dxf>
    <dxf>
      <font>
        <strike/>
        <color rgb="FFC00000"/>
      </font>
      <fill>
        <patternFill>
          <bgColor theme="0" tint="-4.9989318521683403E-2"/>
        </patternFill>
      </fill>
    </dxf>
    <dxf>
      <font>
        <color theme="0" tint="-4.9989318521683403E-2"/>
      </font>
      <fill>
        <patternFill>
          <bgColor theme="0" tint="-4.9989318521683403E-2"/>
        </patternFill>
      </fill>
    </dxf>
    <dxf>
      <fill>
        <patternFill>
          <bgColor theme="9" tint="0.79998168889431442"/>
        </patternFill>
      </fill>
    </dxf>
    <dxf>
      <font>
        <b/>
        <i val="0"/>
        <color rgb="FFC00000"/>
      </font>
    </dxf>
    <dxf>
      <font>
        <color theme="4" tint="-0.24994659260841701"/>
      </font>
      <fill>
        <patternFill>
          <bgColor rgb="FF99FF99"/>
        </patternFill>
      </fill>
    </dxf>
    <dxf>
      <font>
        <color theme="0" tint="-4.9989318521683403E-2"/>
      </font>
      <fill>
        <patternFill patternType="solid">
          <fgColor auto="1"/>
          <bgColor theme="0" tint="-4.9989318521683403E-2"/>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theme="0" tint="-0.34998626667073579"/>
      </font>
      <border>
        <left style="thin">
          <color theme="0" tint="-0.34998626667073579"/>
        </left>
        <right style="thin">
          <color theme="0" tint="-0.34998626667073579"/>
        </right>
        <top/>
        <bottom style="thin">
          <color theme="0" tint="-0.34998626667073579"/>
        </bottom>
      </border>
    </dxf>
    <dxf>
      <font>
        <color rgb="FFC00000"/>
      </font>
    </dxf>
    <dxf>
      <font>
        <color rgb="FFC00000"/>
      </font>
    </dxf>
    <dxf>
      <font>
        <color rgb="FFC00000"/>
      </font>
    </dxf>
    <dxf>
      <fill>
        <patternFill patternType="darkUp">
          <fgColor theme="0" tint="-0.14996795556505021"/>
        </patternFill>
      </fill>
    </dxf>
    <dxf>
      <fill>
        <patternFill patternType="darkUp">
          <f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fill>
        <patternFill>
          <bgColor rgb="FFFFE6FF"/>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b val="0"/>
        <i/>
      </font>
    </dxf>
    <dxf>
      <fill>
        <patternFill patternType="darkUp">
          <fgColor theme="0" tint="-0.14996795556505021"/>
        </patternFill>
      </fill>
    </dxf>
    <dxf>
      <font>
        <color theme="0" tint="-0.14996795556505021"/>
      </font>
      <fill>
        <patternFill patternType="darkUp">
          <fgColor theme="0" tint="-0.24994659260841701"/>
        </patternFill>
      </fill>
    </dxf>
    <dxf>
      <font>
        <color theme="0" tint="-0.24994659260841701"/>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patternType="solid">
          <bgColor rgb="FFFFE6FF"/>
        </patternFill>
      </fill>
    </dxf>
    <dxf>
      <fill>
        <patternFill patternType="lightUp">
          <bgColor theme="0"/>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ill>
        <patternFill>
          <bgColor theme="9" tint="0.79998168889431442"/>
        </patternFill>
      </fill>
    </dxf>
    <dxf>
      <border>
        <top/>
        <vertical/>
        <horizontal/>
      </border>
    </dxf>
    <dxf>
      <border>
        <top/>
        <vertical/>
        <horizontal/>
      </border>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strike val="0"/>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b/>
        <i val="0"/>
        <color rgb="FFC00000"/>
      </font>
      <border>
        <left style="thin">
          <color rgb="FFC00000"/>
        </left>
        <right style="thin">
          <color rgb="FFC00000"/>
        </right>
        <top style="thin">
          <color rgb="FFC00000"/>
        </top>
        <bottom style="thin">
          <color rgb="FFC00000"/>
        </bottom>
        <vertical/>
        <horizontal/>
      </border>
    </dxf>
    <dxf>
      <font>
        <color theme="0"/>
      </font>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theme="0"/>
      </font>
      <fill>
        <patternFill>
          <bgColor theme="0"/>
        </patternFill>
      </fill>
      <border>
        <left/>
        <right/>
        <top/>
        <bottom/>
      </border>
    </dxf>
    <dxf>
      <font>
        <strike val="0"/>
        <color theme="0" tint="-4.9989318521683403E-2"/>
      </font>
      <fill>
        <patternFill patternType="solid">
          <fgColor auto="1"/>
          <bgColor theme="0" tint="-4.9989318521683403E-2"/>
        </patternFill>
      </fill>
      <border>
        <bottom style="thin">
          <color theme="1"/>
        </bottom>
      </border>
    </dxf>
    <dxf>
      <font>
        <strike/>
        <color rgb="FFC00000"/>
      </font>
      <fill>
        <patternFill patternType="solid">
          <fgColor auto="1"/>
          <bgColor theme="0" tint="-4.9989318521683403E-2"/>
        </patternFill>
      </fill>
      <border>
        <bottom style="thin">
          <color theme="1"/>
        </bottom>
      </border>
    </dxf>
    <dxf>
      <font>
        <color theme="0" tint="-0.34998626667073579"/>
      </font>
    </dxf>
    <dxf>
      <font>
        <color theme="0" tint="-0.34998626667073579"/>
      </font>
    </dxf>
    <dxf>
      <font>
        <strike/>
        <color rgb="FFC00000"/>
      </font>
      <fill>
        <patternFill>
          <bgColor theme="0" tint="-4.9989318521683403E-2"/>
        </patternFill>
      </fill>
    </dxf>
    <dxf>
      <font>
        <color theme="0" tint="-0.34998626667073579"/>
      </font>
    </dxf>
    <dxf>
      <font>
        <color theme="0" tint="-0.34998626667073579"/>
      </font>
    </dxf>
    <dxf>
      <font>
        <strike/>
        <color rgb="FFC00000"/>
      </font>
      <fill>
        <patternFill patternType="solid">
          <fgColor auto="1"/>
          <bgColor theme="0" tint="-4.9989318521683403E-2"/>
        </patternFill>
      </fill>
      <border>
        <bottom style="thin">
          <color theme="1"/>
        </bottom>
      </border>
    </dxf>
    <dxf>
      <font>
        <color theme="0" tint="-4.9989318521683403E-2"/>
      </font>
      <fill>
        <patternFill patternType="solid">
          <fgColor auto="1"/>
          <bgColor theme="0" tint="-4.9989318521683403E-2"/>
        </patternFill>
      </fill>
      <border>
        <bottom style="thin">
          <color theme="1"/>
        </bottom>
      </border>
    </dxf>
    <dxf>
      <font>
        <color theme="0" tint="-0.14996795556505021"/>
      </font>
      <fill>
        <patternFill patternType="darkUp">
          <fgColor theme="0" tint="-0.24994659260841701"/>
        </patternFill>
      </fill>
    </dxf>
    <dxf>
      <font>
        <strike/>
        <color rgb="FFC00000"/>
      </font>
      <fill>
        <patternFill patternType="darkUp">
          <fgColor theme="0" tint="-0.24994659260841701"/>
        </patternFill>
      </fill>
    </dxf>
    <dxf>
      <font>
        <strike/>
        <color rgb="FFC00000"/>
      </font>
      <fill>
        <patternFill patternType="solid">
          <fgColor auto="1"/>
          <bgColor theme="0" tint="-4.9989318521683403E-2"/>
        </patternFill>
      </fill>
      <border>
        <bottom style="thin">
          <color theme="1"/>
        </bottom>
      </border>
    </dxf>
    <dxf>
      <fill>
        <patternFill patternType="darkUp">
          <fgColor theme="0" tint="-0.24994659260841701"/>
        </patternFill>
      </fill>
    </dxf>
    <dxf>
      <font>
        <color theme="0"/>
      </font>
      <border>
        <right/>
        <top/>
        <bottom/>
        <vertical/>
        <horizontal/>
      </border>
    </dxf>
    <dxf>
      <font>
        <b val="0"/>
        <i val="0"/>
        <strike val="0"/>
        <color rgb="FFC00000"/>
      </font>
      <fill>
        <patternFill>
          <bgColor rgb="FFFFE6FF"/>
        </patternFill>
      </fill>
    </dxf>
    <dxf>
      <fill>
        <patternFill patternType="darkUp">
          <fgColor theme="0" tint="-0.24994659260841701"/>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rgb="FF0000FF"/>
      </font>
      <fill>
        <patternFill>
          <bgColor theme="7" tint="0.79998168889431442"/>
        </patternFill>
      </fill>
      <border>
        <left/>
        <right style="thin">
          <color auto="1"/>
        </right>
        <bottom style="thin">
          <color rgb="FF0000FF"/>
        </bottom>
        <vertical/>
        <horizontal/>
      </border>
    </dxf>
    <dxf>
      <font>
        <color rgb="FFC00000"/>
      </font>
      <fill>
        <patternFill>
          <bgColor rgb="FFFFE6FF"/>
        </patternFill>
      </fill>
      <border>
        <left style="thin">
          <color rgb="FFC00000"/>
        </left>
        <top style="thin">
          <color rgb="FFC00000"/>
        </top>
        <vertical/>
        <horizontal/>
      </border>
    </dxf>
    <dxf>
      <font>
        <color theme="0"/>
      </font>
      <border>
        <left/>
        <right style="thin">
          <color auto="1"/>
        </right>
        <top/>
        <bottom/>
        <vertical/>
        <horizontal/>
      </border>
    </dxf>
    <dxf>
      <font>
        <color theme="0"/>
      </font>
      <fill>
        <patternFill>
          <bgColor theme="0"/>
        </patternFill>
      </fill>
      <border>
        <left/>
        <right/>
        <top/>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patternType="darkUp">
          <fgColor theme="0" tint="-0.24994659260841701"/>
        </patternFill>
      </fill>
    </dxf>
    <dxf>
      <border>
        <top style="thin">
          <color auto="1"/>
        </top>
        <vertical/>
        <horizontal/>
      </border>
    </dxf>
    <dxf>
      <fill>
        <patternFill patternType="darkUp">
          <fgColor theme="0" tint="-0.24994659260841701"/>
        </patternFill>
      </fill>
    </dxf>
    <dxf>
      <font>
        <color theme="0" tint="-0.34998626667073579"/>
      </font>
    </dxf>
    <dxf>
      <font>
        <color rgb="FFC00000"/>
      </font>
      <fill>
        <patternFill>
          <bgColor rgb="FFFFE6FF"/>
        </patternFill>
      </fill>
    </dxf>
    <dxf>
      <font>
        <b/>
        <i val="0"/>
      </font>
    </dxf>
    <dxf>
      <fill>
        <patternFill>
          <bgColor theme="9" tint="0.79998168889431442"/>
        </patternFill>
      </fill>
    </dxf>
    <dxf>
      <font>
        <strike/>
        <color rgb="FFC00000"/>
      </font>
      <fill>
        <patternFill>
          <bgColor theme="0" tint="-4.9989318521683403E-2"/>
        </patternFill>
      </fill>
      <border>
        <bottom style="thin">
          <color auto="1"/>
        </bottom>
      </border>
    </dxf>
    <dxf>
      <font>
        <strike/>
        <color rgb="FFC00000"/>
      </font>
      <fill>
        <patternFill>
          <bgColor theme="0" tint="-4.9989318521683403E-2"/>
        </patternFill>
      </fill>
    </dxf>
    <dxf>
      <font>
        <color theme="0" tint="-0.34998626667073579"/>
      </font>
    </dxf>
    <dxf>
      <font>
        <color theme="0" tint="-0.34998626667073579"/>
      </font>
    </dxf>
    <dxf>
      <font>
        <color rgb="FFC00000"/>
      </font>
      <fill>
        <patternFill>
          <bgColor rgb="FFFFEBFF"/>
        </patternFill>
      </fill>
    </dxf>
    <dxf>
      <font>
        <color rgb="FFC00000"/>
      </font>
      <fill>
        <patternFill>
          <bgColor rgb="FFFFEBFF"/>
        </patternFill>
      </fill>
    </dxf>
    <dxf>
      <font>
        <color theme="0" tint="-0.34998626667073579"/>
      </font>
    </dxf>
    <dxf>
      <fill>
        <patternFill patternType="darkUp">
          <fgColor theme="0" tint="-0.24994659260841701"/>
        </patternFill>
      </fill>
    </dxf>
    <dxf>
      <font>
        <b/>
        <i val="0"/>
      </font>
    </dxf>
    <dxf>
      <font>
        <b/>
        <i val="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border>
        <bottom style="thin">
          <color theme="0" tint="-0.34998626667073579"/>
        </bottom>
        <vertical/>
        <horizontal/>
      </border>
    </dxf>
    <dxf>
      <fill>
        <patternFill>
          <bgColor theme="9" tint="0.79998168889431442"/>
        </patternFill>
      </fill>
    </dxf>
    <dxf>
      <font>
        <color rgb="FFC00000"/>
      </font>
      <fill>
        <patternFill>
          <bgColor rgb="FFFFE6FF"/>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rgb="FF0070C0"/>
      </font>
      <fill>
        <patternFill>
          <bgColor theme="0" tint="-4.9989318521683403E-2"/>
        </patternFill>
      </fill>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border>
        <left style="thin">
          <color auto="1"/>
        </left>
        <vertical/>
        <horizontal/>
      </border>
    </dxf>
    <dxf>
      <font>
        <color rgb="FFC00000"/>
      </font>
      <fill>
        <patternFill>
          <bgColor rgb="FFFFEBFF"/>
        </patternFill>
      </fill>
    </dxf>
    <dxf>
      <fill>
        <patternFill patternType="darkUp">
          <fgColor theme="0" tint="-0.24994659260841701"/>
        </patternFill>
      </fill>
    </dxf>
    <dxf>
      <font>
        <color rgb="FF0000FF"/>
      </font>
      <fill>
        <patternFill>
          <bgColor theme="9" tint="0.79998168889431442"/>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BFF"/>
        </patternFill>
      </fill>
    </dxf>
    <dxf>
      <font>
        <color rgb="FFC00000"/>
      </font>
      <fill>
        <patternFill>
          <bgColor rgb="FFFFEBFF"/>
        </patternFill>
      </fill>
    </dxf>
    <dxf>
      <fill>
        <patternFill patternType="darkUp">
          <fgColor theme="0" tint="-0.24994659260841701"/>
          <bgColor auto="1"/>
        </patternFill>
      </fill>
    </dxf>
    <dxf>
      <font>
        <color theme="0" tint="-0.34998626667073579"/>
      </font>
      <fill>
        <patternFill>
          <bgColor theme="0" tint="-4.9989318521683403E-2"/>
        </patternFill>
      </fill>
    </dxf>
    <dxf>
      <font>
        <strike/>
        <color rgb="FFC00000"/>
      </font>
      <fill>
        <patternFill>
          <bgColor theme="0" tint="-4.9989318521683403E-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theme="0" tint="-0.34998626667073579"/>
      </font>
      <border>
        <left style="thin">
          <color auto="1"/>
        </left>
        <right style="thin">
          <color auto="1"/>
        </right>
        <top style="thin">
          <color auto="1"/>
        </top>
        <bottom style="thin">
          <color auto="1"/>
        </bottom>
      </border>
    </dxf>
    <dxf>
      <border>
        <left style="thin">
          <color auto="1"/>
        </left>
        <right style="thin">
          <color auto="1"/>
        </right>
        <vertical/>
        <horizontal/>
      </border>
    </dxf>
    <dxf>
      <font>
        <color theme="0" tint="-0.34998626667073579"/>
      </font>
      <border>
        <left style="thin">
          <color auto="1"/>
        </left>
        <right style="thin">
          <color auto="1"/>
        </right>
        <top style="thin">
          <color auto="1"/>
        </top>
        <bottom style="thin">
          <color auto="1"/>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bgColor theme="9" tint="0.79998168889431442"/>
        </patternFill>
      </fill>
    </dxf>
    <dxf>
      <fill>
        <patternFill patternType="darkUp">
          <fgColor theme="0" tint="-0.24994659260841701"/>
        </patternFill>
      </fill>
    </dxf>
    <dxf>
      <font>
        <b val="0"/>
        <i/>
      </font>
    </dxf>
    <dxf>
      <font>
        <b val="0"/>
        <i val="0"/>
      </font>
      <fill>
        <patternFill>
          <bgColor theme="9" tint="0.79998168889431442"/>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font>
    </dxf>
    <dxf>
      <border>
        <right style="thin">
          <color auto="1"/>
        </right>
        <vertical/>
        <horizontal/>
      </border>
    </dxf>
    <dxf>
      <border>
        <top style="thin">
          <color auto="1"/>
        </top>
        <vertical/>
        <horizontal/>
      </border>
    </dxf>
    <dxf>
      <border>
        <right style="thin">
          <color auto="1"/>
        </right>
        <top/>
        <vertical/>
        <horizontal/>
      </border>
    </dxf>
    <dxf>
      <font>
        <color rgb="FFC00000"/>
      </font>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rgb="FFE2EFDA"/>
        </patternFill>
      </fill>
    </dxf>
    <dxf>
      <fill>
        <patternFill>
          <bgColor theme="9" tint="0.7999816888943144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ont>
        <color theme="0" tint="-4.9989318521683403E-2"/>
      </font>
      <fill>
        <patternFill>
          <bgColor theme="0" tint="-4.9989318521683403E-2"/>
        </patternFill>
      </fill>
    </dxf>
    <dxf>
      <font>
        <color rgb="FFC00000"/>
      </font>
      <fill>
        <patternFill>
          <bgColor rgb="FFFFEBFF"/>
        </patternFill>
      </fill>
    </dxf>
    <dxf>
      <font>
        <color theme="0" tint="-0.34998626667073579"/>
      </font>
    </dxf>
    <dxf>
      <font>
        <color theme="0" tint="-4.9989318521683403E-2"/>
      </font>
      <fill>
        <patternFill patternType="solid">
          <fgColor auto="1"/>
          <bgColor theme="0" tint="-4.9989318521683403E-2"/>
        </patternFill>
      </fill>
      <border>
        <bottom style="thin">
          <color theme="1"/>
        </bottom>
      </border>
    </dxf>
    <dxf>
      <font>
        <color rgb="FFC00000"/>
      </font>
      <fill>
        <patternFill>
          <bgColor rgb="FFFFEBFF"/>
        </patternFill>
      </fill>
    </dxf>
    <dxf>
      <font>
        <color theme="0" tint="-0.34998626667073579"/>
      </font>
    </dxf>
    <dxf>
      <fill>
        <patternFill>
          <bgColor theme="9" tint="0.79998168889431442"/>
        </patternFill>
      </fill>
    </dxf>
    <dxf>
      <font>
        <color theme="0"/>
      </font>
      <fill>
        <patternFill>
          <bgColor theme="0"/>
        </patternFill>
      </fill>
      <border>
        <left/>
        <right/>
        <top/>
        <bottom/>
      </border>
    </dxf>
    <dxf>
      <fill>
        <patternFill patternType="darkUp">
          <fgColor theme="0" tint="-0.24994659260841701"/>
        </patternFill>
      </fill>
    </dxf>
    <dxf>
      <font>
        <strike/>
        <color rgb="FFC00000"/>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patternType="darkUp">
          <fgColor theme="0" tint="-0.24994659260841701"/>
        </patternFill>
      </fill>
    </dxf>
    <dxf>
      <font>
        <color theme="1"/>
      </font>
      <fill>
        <patternFill>
          <bgColor theme="9" tint="0.79998168889431442"/>
        </patternFill>
      </fill>
    </dxf>
    <dxf>
      <font>
        <color theme="0" tint="-0.34998626667073579"/>
      </font>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border>
        <top style="hair">
          <color auto="1"/>
        </top>
        <bottom style="thin">
          <color auto="1"/>
        </bottom>
        <vertical/>
        <horizontal/>
      </border>
    </dxf>
    <dxf>
      <font>
        <color theme="0" tint="-0.34998626667073579"/>
      </font>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ont>
        <color theme="0" tint="-0.34998626667073579"/>
      </font>
    </dxf>
    <dxf>
      <fill>
        <patternFill>
          <bgColor theme="9" tint="0.79998168889431442"/>
        </patternFill>
      </fill>
    </dxf>
    <dxf>
      <fill>
        <patternFill patternType="darkUp">
          <fgColor theme="0" tint="-0.24994659260841701"/>
        </patternFill>
      </fill>
    </dxf>
    <dxf>
      <font>
        <color rgb="FFC00000"/>
      </font>
      <fill>
        <patternFill>
          <bgColor rgb="FFFFEBFF"/>
        </patternFill>
      </fill>
    </dxf>
    <dxf>
      <font>
        <color rgb="FFC00000"/>
      </font>
      <fill>
        <patternFill>
          <bgColor rgb="FFFFE6FF"/>
        </patternFill>
      </fill>
    </dxf>
    <dxf>
      <font>
        <color rgb="FFC00000"/>
      </font>
      <border>
        <bottom style="thin">
          <color rgb="FFC00000"/>
        </bottom>
      </border>
    </dxf>
    <dxf>
      <font>
        <color rgb="FFC00000"/>
      </font>
      <fill>
        <patternFill>
          <bgColor rgb="FFFFE6FF"/>
        </patternFill>
      </fill>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ill>
        <patternFill patternType="darkUp">
          <fgColor theme="0" tint="-0.24994659260841701"/>
        </patternFill>
      </fill>
    </dxf>
    <dxf>
      <font>
        <color rgb="FFC00000"/>
      </font>
      <fill>
        <patternFill>
          <bgColor rgb="FFFFE6FF"/>
        </patternFill>
      </fill>
    </dxf>
    <dxf>
      <font>
        <color rgb="FFC00000"/>
      </font>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fill>
        <patternFill>
          <bgColor rgb="FFFFEBFF"/>
        </patternFill>
      </fill>
    </dxf>
    <dxf>
      <font>
        <color rgb="FFC00000"/>
      </font>
      <fill>
        <patternFill>
          <bgColor rgb="FFFFEBFF"/>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ont>
        <color rgb="FFC00000"/>
      </font>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theme="0" tint="-0.34998626667073579"/>
      </font>
    </dxf>
    <dxf>
      <font>
        <color rgb="FFC00000"/>
      </font>
    </dxf>
    <dxf>
      <font>
        <color rgb="FFC00000"/>
      </font>
      <fill>
        <patternFill>
          <bgColor rgb="FFFFE6FF"/>
        </patternFill>
      </fill>
    </dxf>
    <dxf>
      <font>
        <color rgb="FFC00000"/>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border>
        <bottom style="thin">
          <color rgb="FFC00000"/>
        </bottom>
      </border>
    </dxf>
    <dxf>
      <font>
        <color rgb="FFC00000"/>
      </font>
      <border>
        <bottom style="thin">
          <color rgb="FFC00000"/>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font>
        <strike/>
        <color rgb="FFC00000"/>
      </font>
    </dxf>
    <dxf>
      <font>
        <strike/>
        <color rgb="FFC00000"/>
      </font>
    </dxf>
    <dxf>
      <font>
        <color rgb="FFC00000"/>
      </font>
    </dxf>
    <dxf>
      <font>
        <color rgb="FFC00000"/>
      </font>
      <fill>
        <patternFill>
          <bgColor rgb="FFFFE6FF"/>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font>
    </dxf>
    <dxf>
      <font>
        <b/>
        <i val="0"/>
      </font>
    </dxf>
    <dxf>
      <font>
        <b/>
        <i val="0"/>
      </font>
    </dxf>
    <dxf>
      <font>
        <b/>
        <i val="0"/>
        <color rgb="FFC00000"/>
      </font>
      <fill>
        <patternFill>
          <bgColor rgb="FFFFE6FF"/>
        </patternFill>
      </fill>
    </dxf>
    <dxf>
      <font>
        <b/>
        <i val="0"/>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strike/>
        <color rgb="FFC00000"/>
      </font>
    </dxf>
    <dxf>
      <font>
        <color rgb="FFC00000"/>
      </font>
    </dxf>
    <dxf>
      <font>
        <strike/>
        <color rgb="FFC00000"/>
      </font>
    </dxf>
    <dxf>
      <font>
        <color rgb="FFC00000"/>
      </font>
      <fill>
        <patternFill>
          <bgColor rgb="FFFFE6FF"/>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font>
    </dxf>
    <dxf>
      <font>
        <b/>
        <i val="0"/>
      </font>
    </dxf>
    <dxf>
      <font>
        <b/>
        <i val="0"/>
      </font>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border>
        <bottom style="dotted">
          <color auto="1"/>
        </bottom>
        <vertical/>
        <horizontal/>
      </border>
    </dxf>
    <dxf>
      <border>
        <bottom style="thin">
          <color auto="1"/>
        </bottom>
        <vertical/>
        <horizontal/>
      </border>
    </dxf>
    <dxf>
      <font>
        <color theme="0" tint="-0.34998626667073579"/>
      </font>
    </dxf>
    <dxf>
      <fill>
        <patternFill>
          <bgColor theme="9"/>
        </patternFill>
      </fill>
    </dxf>
    <dxf>
      <border>
        <bottom style="dotted">
          <color auto="1"/>
        </bottom>
        <vertical/>
        <horizontal/>
      </border>
    </dxf>
    <dxf>
      <border>
        <bottom style="dotted">
          <color auto="1"/>
        </bottom>
        <vertical/>
        <horizontal/>
      </border>
    </dxf>
    <dxf>
      <border>
        <bottom style="thin">
          <color auto="1"/>
        </bottom>
        <vertical/>
        <horizontal/>
      </border>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ont>
        <b/>
        <i val="0"/>
        <color rgb="FFFF3399"/>
      </font>
      <fill>
        <patternFill>
          <bgColor rgb="FF99FF66"/>
        </patternFill>
      </fill>
    </dxf>
    <dxf>
      <font>
        <b/>
        <i val="0"/>
        <color rgb="FFFF3399"/>
      </font>
      <fill>
        <patternFill>
          <bgColor rgb="FF99FF66"/>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ill>
        <patternFill>
          <bgColor rgb="FFFFCCFF"/>
        </patternFill>
      </fill>
    </dxf>
    <dxf>
      <font>
        <b/>
        <i val="0"/>
        <color rgb="FFFF3399"/>
      </font>
      <fill>
        <patternFill>
          <bgColor rgb="FF99FF66"/>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ont>
        <color theme="7" tint="0.59996337778862885"/>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39994506668294322"/>
      </font>
      <fill>
        <patternFill>
          <bgColor theme="4" tint="0.39994506668294322"/>
        </patternFill>
      </fill>
    </dxf>
    <dxf>
      <font>
        <color theme="7" tint="0.59996337778862885"/>
      </font>
      <fill>
        <patternFill>
          <bgColor theme="4" tint="0.39994506668294322"/>
        </patternFill>
      </fill>
    </dxf>
    <dxf>
      <font>
        <color rgb="FFC00000"/>
      </font>
      <fill>
        <patternFill>
          <bgColor rgb="FFFFEBFF"/>
        </patternFill>
      </fill>
    </dxf>
    <dxf>
      <font>
        <color theme="7" tint="0.59996337778862885"/>
      </font>
      <fill>
        <patternFill>
          <bgColor theme="4" tint="0.39994506668294322"/>
        </patternFill>
      </fill>
    </dxf>
    <dxf>
      <font>
        <color rgb="FFFF00FF"/>
      </font>
      <fill>
        <patternFill>
          <bgColor rgb="FF8EA9DB"/>
        </patternFill>
      </fill>
    </dxf>
    <dxf>
      <font>
        <color rgb="FFFF00FF"/>
      </font>
      <fill>
        <patternFill>
          <bgColor rgb="FF8EA9DB"/>
        </patternFill>
      </fill>
    </dxf>
    <dxf>
      <font>
        <color rgb="FFFF00FF"/>
      </font>
      <fill>
        <patternFill>
          <bgColor rgb="FF8EA9DB"/>
        </patternFill>
      </fill>
    </dxf>
    <dxf>
      <font>
        <color theme="7" tint="0.59996337778862885"/>
      </font>
      <fill>
        <patternFill patternType="solid">
          <fgColor auto="1"/>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ill>
        <patternFill>
          <bgColor rgb="FF8EA9DB"/>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fill>
        <patternFill patternType="none">
          <bgColor auto="1"/>
        </patternFill>
      </fill>
    </dxf>
    <dxf>
      <font>
        <color theme="7" tint="0.59996337778862885"/>
      </font>
      <fill>
        <patternFill>
          <bgColor theme="4" tint="0.39994506668294322"/>
        </patternFill>
      </fill>
    </dxf>
    <dxf>
      <font>
        <color theme="0" tint="-0.34998626667073579"/>
      </font>
    </dxf>
    <dxf>
      <font>
        <color theme="0" tint="-0.34998626667073579"/>
      </font>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dxf>
    <dxf>
      <font>
        <b/>
        <i val="0"/>
      </font>
    </dxf>
    <dxf>
      <font>
        <color rgb="FFFF00FF"/>
      </font>
      <fill>
        <patternFill>
          <bgColor theme="4" tint="0.39994506668294322"/>
        </patternFill>
      </fill>
    </dxf>
    <dxf>
      <font>
        <color theme="7" tint="0.39994506668294322"/>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font>
        <b/>
        <i val="0"/>
      </font>
      <fill>
        <patternFill>
          <bgColor theme="7" tint="0.39994506668294322"/>
        </patternFill>
      </fill>
    </dxf>
    <dxf>
      <font>
        <color rgb="FFFF17FF"/>
      </font>
      <fill>
        <patternFill>
          <bgColor rgb="FF8EA9DB"/>
        </patternFill>
      </fill>
    </dxf>
    <dxf>
      <font>
        <color theme="7" tint="0.59996337778862885"/>
      </font>
      <fill>
        <patternFill>
          <bgColor rgb="FF8EA9DB"/>
        </patternFill>
      </fill>
    </dxf>
    <dxf>
      <border>
        <bottom style="dotted">
          <color auto="1"/>
        </bottom>
        <vertical/>
        <horizontal/>
      </border>
    </dxf>
    <dxf>
      <border>
        <bottom style="thin">
          <color auto="1"/>
        </bottom>
        <vertical/>
        <horizontal/>
      </border>
    </dxf>
    <dxf>
      <border>
        <bottom style="dotted">
          <color auto="1"/>
        </bottom>
        <vertical/>
        <horizontal/>
      </border>
    </dxf>
    <dxf>
      <border>
        <bottom style="thin">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fill>
        <patternFill patternType="darkUp">
          <fgColor theme="0" tint="-0.24994659260841701"/>
        </patternFill>
      </fill>
    </dxf>
    <dxf>
      <font>
        <b/>
        <i val="0"/>
      </font>
      <fill>
        <patternFill>
          <bgColor theme="7" tint="0.59996337778862885"/>
        </patternFill>
      </fill>
    </dxf>
    <dxf>
      <font>
        <color theme="0"/>
      </font>
    </dxf>
    <dxf>
      <font>
        <color theme="0"/>
      </font>
    </dxf>
    <dxf>
      <font>
        <strike val="0"/>
        <color theme="0" tint="-0.34998626667073579"/>
      </font>
    </dxf>
    <dxf>
      <border>
        <bottom style="dotted">
          <color auto="1"/>
        </bottom>
        <vertical/>
        <horizontal/>
      </border>
    </dxf>
    <dxf>
      <font>
        <color theme="7" tint="0.59996337778862885"/>
      </font>
      <fill>
        <patternFill>
          <bgColor theme="4" tint="0.39994506668294322"/>
        </patternFill>
      </fill>
    </dxf>
    <dxf>
      <font>
        <b/>
        <i val="0"/>
      </font>
      <fill>
        <patternFill>
          <bgColor theme="7" tint="0.59996337778862885"/>
        </patternFill>
      </fill>
    </dxf>
    <dxf>
      <font>
        <b/>
        <i val="0"/>
      </font>
      <fill>
        <patternFill>
          <bgColor theme="7"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rgb="FF8EA9DB"/>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color theme="0"/>
      </font>
      <fill>
        <patternFill>
          <bgColor theme="0"/>
        </patternFill>
      </fill>
      <border>
        <left/>
        <right/>
        <top/>
        <bottom/>
      </border>
    </dxf>
    <dxf>
      <font>
        <color theme="0" tint="-0.34998626667073579"/>
      </font>
    </dxf>
    <dxf>
      <font>
        <color theme="0" tint="-0.34998626667073579"/>
      </font>
    </dxf>
    <dxf>
      <font>
        <color theme="0" tint="-0.34998626667073579"/>
      </font>
    </dxf>
    <dxf>
      <font>
        <color theme="0" tint="-0.34998626667073579"/>
      </font>
    </dxf>
    <dxf>
      <font>
        <color theme="7" tint="0.59996337778862885"/>
      </font>
      <fill>
        <patternFill>
          <bgColor theme="4" tint="0.39994506668294322"/>
        </patternFill>
      </fill>
    </dxf>
    <dxf>
      <font>
        <b/>
        <i val="0"/>
      </font>
      <fill>
        <patternFill>
          <bgColor theme="7" tint="0.59996337778862885"/>
        </patternFill>
      </fill>
    </dxf>
    <dxf>
      <font>
        <color theme="0" tint="-0.34998626667073579"/>
      </font>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b/>
        <i val="0"/>
        <color rgb="FF00AAE6"/>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fill>
        <patternFill>
          <bgColor theme="7" tint="0.59996337778862885"/>
        </patternFill>
      </fill>
    </dxf>
    <dxf>
      <font>
        <color theme="0" tint="-0.34998626667073579"/>
      </font>
    </dxf>
    <dxf>
      <font>
        <color theme="0" tint="-0.34998626667073579"/>
      </font>
    </dxf>
    <dxf>
      <font>
        <b/>
        <i val="0"/>
      </font>
      <fill>
        <patternFill>
          <bgColor theme="7" tint="0.59996337778862885"/>
        </patternFill>
      </fill>
    </dxf>
    <dxf>
      <font>
        <color theme="0" tint="-0.34998626667073579"/>
      </font>
    </dxf>
    <dxf>
      <font>
        <color theme="0" tint="-0.34998626667073579"/>
      </font>
    </dxf>
    <dxf>
      <font>
        <strike val="0"/>
        <color theme="0" tint="-0.34998626667073579"/>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border>
        <bottom style="dotted">
          <color auto="1"/>
        </bottom>
        <vertical/>
        <horizontal/>
      </border>
    </dxf>
    <dxf>
      <font>
        <color rgb="FFC00000"/>
      </font>
      <fill>
        <patternFill patternType="none">
          <bgColor auto="1"/>
        </patternFill>
      </fill>
    </dxf>
    <dxf>
      <font>
        <b/>
        <i val="0"/>
      </font>
      <fill>
        <patternFill>
          <bgColor theme="7" tint="0.59996337778862885"/>
        </patternFill>
      </fill>
    </dxf>
    <dxf>
      <font>
        <b/>
        <i val="0"/>
      </font>
      <fill>
        <patternFill>
          <bgColor theme="7" tint="0.59996337778862885"/>
        </patternFill>
      </fill>
    </dxf>
    <dxf>
      <fill>
        <patternFill>
          <bgColor rgb="FFFFE6FF"/>
        </patternFill>
      </fill>
    </dxf>
    <dxf>
      <fill>
        <patternFill>
          <bgColor rgb="FF99CC00"/>
        </patternFill>
      </fill>
    </dxf>
    <dxf>
      <fill>
        <patternFill>
          <bgColor rgb="FF00F0B4"/>
        </patternFill>
      </fill>
    </dxf>
    <dxf>
      <fill>
        <patternFill>
          <bgColor rgb="FFFFCDCD"/>
        </patternFill>
      </fill>
    </dxf>
    <dxf>
      <fill>
        <patternFill>
          <bgColor rgb="FF66FF33"/>
        </patternFill>
      </fill>
    </dxf>
    <dxf>
      <fill>
        <patternFill>
          <bgColor rgb="FFCCFFCC"/>
        </patternFill>
      </fill>
    </dxf>
    <dxf>
      <fill>
        <patternFill>
          <bgColor rgb="FFCCFFCC"/>
        </patternFill>
      </fill>
    </dxf>
    <dxf>
      <fill>
        <patternFill patternType="darkUp">
          <fgColor theme="0" tint="-0.24994659260841701"/>
        </patternFill>
      </fill>
    </dxf>
    <dxf>
      <border>
        <bottom style="dotted">
          <color auto="1"/>
        </bottom>
        <vertical/>
        <horizontal/>
      </border>
    </dxf>
    <dxf>
      <fill>
        <patternFill patternType="darkUp">
          <fgColor theme="0" tint="-0.24994659260841701"/>
        </patternFill>
      </fill>
    </dxf>
    <dxf>
      <font>
        <b/>
        <i val="0"/>
      </font>
      <fill>
        <patternFill>
          <bgColor theme="7" tint="0.59996337778862885"/>
        </patternFill>
      </fill>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bgColor theme="8"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font>
      <fill>
        <patternFill>
          <bgColor theme="7" tint="0.59996337778862885"/>
        </patternFill>
      </fill>
    </dxf>
    <dxf>
      <fill>
        <patternFill patternType="darkUp">
          <fgColor theme="0" tint="-0.24994659260841701"/>
        </patternFill>
      </fill>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8" tint="0.79998168889431442"/>
        </patternFill>
      </fill>
    </dxf>
    <dxf>
      <font>
        <color rgb="FFC00000"/>
      </font>
      <fill>
        <patternFill>
          <bgColor rgb="FFFFE6FF"/>
        </patternFill>
      </fill>
    </dxf>
    <dxf>
      <fill>
        <patternFill>
          <bgColor theme="9" tint="0.79998168889431442"/>
        </patternFill>
      </fill>
    </dxf>
    <dxf>
      <fill>
        <patternFill>
          <bgColor theme="8" tint="0.79998168889431442"/>
        </patternFill>
      </fill>
    </dxf>
    <dxf>
      <fill>
        <patternFill patternType="lightUp">
          <fgColor theme="0" tint="-0.24994659260841701"/>
          <bgColor auto="1"/>
        </patternFill>
      </fill>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rgb="FFC00000"/>
      </font>
      <fill>
        <patternFill>
          <bgColor rgb="FFFFDCFF"/>
        </patternFill>
      </fill>
    </dxf>
    <dxf>
      <font>
        <b/>
        <i/>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ill>
        <patternFill>
          <bgColor theme="7"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s>
  <tableStyles count="1" defaultTableStyle="TableStyleMedium2" defaultPivotStyle="PivotStyleLight16">
    <tableStyle name="Invisible" pivot="0" table="0" count="0" xr9:uid="{53AE83EA-DD5F-4689-A3D2-CA2845C72EFB}"/>
  </tableStyles>
  <colors>
    <mruColors>
      <color rgb="FFFF00FF"/>
      <color rgb="FF00FFFF"/>
      <color rgb="FF0033CC"/>
      <color rgb="FF99FF99"/>
      <color rgb="FFF4EDF9"/>
      <color rgb="FF00C800"/>
      <color rgb="FF00E600"/>
      <color rgb="FFFFFFCC"/>
      <color rgb="FFFFE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ctrlProps/ctrlProp1.xml><?xml version="1.0" encoding="utf-8"?>
<formControlPr xmlns="http://schemas.microsoft.com/office/spreadsheetml/2009/9/main" objectType="CheckBox" fmlaLink="DS_ExcelCheckBox_DC_Impaired" lockText="1" noThreeD="1"/>
</file>

<file path=xl/ctrlProps/ctrlProp10.xml><?xml version="1.0" encoding="utf-8"?>
<formControlPr xmlns="http://schemas.microsoft.com/office/spreadsheetml/2009/9/main" objectType="CheckBox" fmlaLink="DS_ExcelCheckbox_thermostat" lockText="1" noThreeD="1"/>
</file>

<file path=xl/ctrlProps/ctrlProp11.xml><?xml version="1.0" encoding="utf-8"?>
<formControlPr xmlns="http://schemas.microsoft.com/office/spreadsheetml/2009/9/main" objectType="CheckBox" fmlaLink="DS_ExcelCheckbox_Humidistat" lockText="1" noThreeD="1"/>
</file>

<file path=xl/ctrlProps/ctrlProp12.xml><?xml version="1.0" encoding="utf-8"?>
<formControlPr xmlns="http://schemas.microsoft.com/office/spreadsheetml/2009/9/main" objectType="CheckBox" fmlaLink="DS_ExcelCheckbox_dual_flush" lockText="1" noThreeD="1"/>
</file>

<file path=xl/ctrlProps/ctrlProp13.xml><?xml version="1.0" encoding="utf-8"?>
<formControlPr xmlns="http://schemas.microsoft.com/office/spreadsheetml/2009/9/main" objectType="CheckBox" fmlaLink="DS_ExcelCheckbox_light_pavement" lockText="1" noThreeD="1"/>
</file>

<file path=xl/ctrlProps/ctrlProp14.xml><?xml version="1.0" encoding="utf-8"?>
<formControlPr xmlns="http://schemas.microsoft.com/office/spreadsheetml/2009/9/main" objectType="CheckBox" fmlaLink="DS_ExcelCheckbox_ES_roof_coating" lockText="1" noThreeD="1"/>
</file>

<file path=xl/ctrlProps/ctrlProp15.xml><?xml version="1.0" encoding="utf-8"?>
<formControlPr xmlns="http://schemas.microsoft.com/office/spreadsheetml/2009/9/main" objectType="CheckBox" fmlaLink="DS_ExcelCheckbox_ES_roof_materials" lockText="1" noThreeD="1"/>
</file>

<file path=xl/ctrlProps/ctrlProp16.xml><?xml version="1.0" encoding="utf-8"?>
<formControlPr xmlns="http://schemas.microsoft.com/office/spreadsheetml/2009/9/main" objectType="CheckBox" fmlaLink="DS_ExcelCheckbox_cabinets" lockText="1" noThreeD="1"/>
</file>

<file path=xl/ctrlProps/ctrlProp17.xml><?xml version="1.0" encoding="utf-8"?>
<formControlPr xmlns="http://schemas.microsoft.com/office/spreadsheetml/2009/9/main" objectType="CheckBox" fmlaLink="DS_ExcelCheckbox_flooring" lockText="1" noThreeD="1"/>
</file>

<file path=xl/ctrlProps/ctrlProp18.xml><?xml version="1.0" encoding="utf-8"?>
<formControlPr xmlns="http://schemas.microsoft.com/office/spreadsheetml/2009/9/main" objectType="CheckBox" fmlaLink="DS_ExcelCheckbox_SEER_for_AC" lockText="1" noThreeD="1"/>
</file>

<file path=xl/ctrlProps/ctrlProp19.xml><?xml version="1.0" encoding="utf-8"?>
<formControlPr xmlns="http://schemas.microsoft.com/office/spreadsheetml/2009/9/main" objectType="CheckBox" fmlaLink="DS_ExcelCheckbox_windows" lockText="1" noThreeD="1"/>
</file>

<file path=xl/ctrlProps/ctrlProp2.xml><?xml version="1.0" encoding="utf-8"?>
<formControlPr xmlns="http://schemas.microsoft.com/office/spreadsheetml/2009/9/main" objectType="CheckBox" fmlaLink="DS_ExcelCheckBox_SSI" lockText="1" noThreeD="1"/>
</file>

<file path=xl/ctrlProps/ctrlProp20.xml><?xml version="1.0" encoding="utf-8"?>
<formControlPr xmlns="http://schemas.microsoft.com/office/spreadsheetml/2009/9/main" objectType="CheckBox" fmlaLink="DS_ExcelCheckbox_Yards" lockText="1" noThreeD="1"/>
</file>

<file path=xl/ctrlProps/ctrlProp21.xml><?xml version="1.0" encoding="utf-8"?>
<formControlPr xmlns="http://schemas.microsoft.com/office/spreadsheetml/2009/9/main" objectType="CheckBox" fmlaLink="DS_ExcelCheckbox_sensors" lockText="1" noThreeD="1"/>
</file>

<file path=xl/ctrlProps/ctrlProp22.xml><?xml version="1.0" encoding="utf-8"?>
<formControlPr xmlns="http://schemas.microsoft.com/office/spreadsheetml/2009/9/main" objectType="CheckBox" fmlaLink="DS_ExcelCheckbox_After_School" lockText="1" noThreeD="1"/>
</file>

<file path=xl/ctrlProps/ctrlProp23.xml><?xml version="1.0" encoding="utf-8"?>
<formControlPr xmlns="http://schemas.microsoft.com/office/spreadsheetml/2009/9/main" objectType="CheckBox" fmlaLink="DS_ExcelCheckbox_Health_Wellness" lockText="1" noThreeD="1"/>
</file>

<file path=xl/ctrlProps/ctrlProp24.xml><?xml version="1.0" encoding="utf-8"?>
<formControlPr xmlns="http://schemas.microsoft.com/office/spreadsheetml/2009/9/main" objectType="CheckBox" fmlaLink="DS_ExcelCheckbox_Employment_Assistance_general" lockText="1" noThreeD="1"/>
</file>

<file path=xl/ctrlProps/ctrlProp25.xml><?xml version="1.0" encoding="utf-8"?>
<formControlPr xmlns="http://schemas.microsoft.com/office/spreadsheetml/2009/9/main" objectType="CheckBox" fmlaLink="DS_ExcelCheckbox_Financial_Counseling" lockText="1" noThreeD="1"/>
</file>

<file path=xl/ctrlProps/ctrlProp26.xml><?xml version="1.0" encoding="utf-8"?>
<formControlPr xmlns="http://schemas.microsoft.com/office/spreadsheetml/2009/9/main" objectType="CheckBox" fmlaLink="DS_ExcelCheckbox_Homeownership_seminar" lockText="1" noThreeD="1"/>
</file>

<file path=xl/ctrlProps/ctrlProp27.xml><?xml version="1.0" encoding="utf-8"?>
<formControlPr xmlns="http://schemas.microsoft.com/office/spreadsheetml/2009/9/main" objectType="CheckBox" fmlaLink="DS_ExcelCheckbox_FinMgmt" lockText="1" noThreeD="1"/>
</file>

<file path=xl/ctrlProps/ctrlProp28.xml><?xml version="1.0" encoding="utf-8"?>
<formControlPr xmlns="http://schemas.microsoft.com/office/spreadsheetml/2009/9/main" objectType="CheckBox" fmlaLink="DS_ExcelCheckbox_Computer_Training" lockText="1" noThreeD="1"/>
</file>

<file path=xl/ctrlProps/ctrlProp29.xml><?xml version="1.0" encoding="utf-8"?>
<formControlPr xmlns="http://schemas.microsoft.com/office/spreadsheetml/2009/9/main" objectType="CheckBox" fmlaLink="DS_ExcelCheckbox_Daily_Activities" lockText="1" noThreeD="1"/>
</file>

<file path=xl/ctrlProps/ctrlProp3.xml><?xml version="1.0" encoding="utf-8"?>
<formControlPr xmlns="http://schemas.microsoft.com/office/spreadsheetml/2009/9/main" objectType="CheckBox" fmlaLink="DS_ExcelCheckBox_DC_Not_Impaired" lockText="1" noThreeD="1"/>
</file>

<file path=xl/ctrlProps/ctrlProp30.xml><?xml version="1.0" encoding="utf-8"?>
<formControlPr xmlns="http://schemas.microsoft.com/office/spreadsheetml/2009/9/main" objectType="CheckBox" fmlaLink="DS_ExcelCheckbox_Housekeeping" lockText="1" noThreeD="1"/>
</file>

<file path=xl/ctrlProps/ctrlProp31.xml><?xml version="1.0" encoding="utf-8"?>
<formControlPr xmlns="http://schemas.microsoft.com/office/spreadsheetml/2009/9/main" objectType="CheckBox" fmlaLink="DS_ExcelCheckbox_Resident_checkin" lockText="1" noThreeD="1"/>
</file>

<file path=xl/ctrlProps/ctrlProp32.xml><?xml version="1.0" encoding="utf-8"?>
<formControlPr xmlns="http://schemas.microsoft.com/office/spreadsheetml/2009/9/main" objectType="CheckBox" fmlaLink="DS_ExcelCheckbox_Coordination_Exp_3rd_party" lockText="1" noThreeD="1"/>
</file>

<file path=xl/ctrlProps/ctrlProp33.xml><?xml version="1.0" encoding="utf-8"?>
<formControlPr xmlns="http://schemas.microsoft.com/office/spreadsheetml/2009/9/main" objectType="CheckBox" fmlaLink="DS_ExcelCheckbox_ExpApplicant" lockText="1" noThreeD="1"/>
</file>

<file path=xl/ctrlProps/ctrlProp34.xml><?xml version="1.0" encoding="utf-8"?>
<formControlPr xmlns="http://schemas.microsoft.com/office/spreadsheetml/2009/9/main" objectType="CheckBox" fmlaLink="DS_ExcelCheckBox_RD538" lockText="1" noThreeD="1"/>
</file>

<file path=xl/ctrlProps/ctrlProp35.xml><?xml version="1.0" encoding="utf-8"?>
<formControlPr xmlns="http://schemas.microsoft.com/office/spreadsheetml/2009/9/main" objectType="CheckBox" fmlaLink="DS_ExcelCheckBox_RD515" lockText="1" noThreeD="1"/>
</file>

<file path=xl/ctrlProps/ctrlProp36.xml><?xml version="1.0" encoding="utf-8"?>
<formControlPr xmlns="http://schemas.microsoft.com/office/spreadsheetml/2009/9/main" objectType="CheckBox" fmlaLink="Data1!$B$772" lockText="1" noThreeD="1"/>
</file>

<file path=xl/ctrlProps/ctrlProp37.xml><?xml version="1.0" encoding="utf-8"?>
<formControlPr xmlns="http://schemas.microsoft.com/office/spreadsheetml/2009/9/main" objectType="CheckBox" fmlaLink="Data1!$B$785" lockText="1" noThreeD="1"/>
</file>

<file path=xl/ctrlProps/ctrlProp38.xml><?xml version="1.0" encoding="utf-8"?>
<formControlPr xmlns="http://schemas.microsoft.com/office/spreadsheetml/2009/9/main" objectType="CheckBox" fmlaLink="Data1!$B$786" lockText="1" noThreeD="1"/>
</file>

<file path=xl/ctrlProps/ctrlProp39.xml><?xml version="1.0" encoding="utf-8"?>
<formControlPr xmlns="http://schemas.microsoft.com/office/spreadsheetml/2009/9/main" objectType="CheckBox" fmlaLink="Data1!$B$787" lockText="1" noThreeD="1"/>
</file>

<file path=xl/ctrlProps/ctrlProp4.xml><?xml version="1.0" encoding="utf-8"?>
<formControlPr xmlns="http://schemas.microsoft.com/office/spreadsheetml/2009/9/main" objectType="CheckBox" fmlaLink="DS_ExcelCheckBox_YouthAgingOut" lockText="1" noThreeD="1"/>
</file>

<file path=xl/ctrlProps/ctrlProp40.xml><?xml version="1.0" encoding="utf-8"?>
<formControlPr xmlns="http://schemas.microsoft.com/office/spreadsheetml/2009/9/main" objectType="CheckBox" fmlaLink="DS_ExcelCheckbox_LGAO_Prior_App_1YR" lockText="1" noThreeD="1"/>
</file>

<file path=xl/ctrlProps/ctrlProp41.xml><?xml version="1.0" encoding="utf-8"?>
<formControlPr xmlns="http://schemas.microsoft.com/office/spreadsheetml/2009/9/main" objectType="CheckBox" fmlaLink="DS_ExcelCheckbox_LGAO_Prior_App_2YR" lockText="1" noThreeD="1"/>
</file>

<file path=xl/ctrlProps/ctrlProp42.xml><?xml version="1.0" encoding="utf-8"?>
<formControlPr xmlns="http://schemas.microsoft.com/office/spreadsheetml/2009/9/main" objectType="CheckBox" fmlaLink="DS_ExcelCheckbox_LGAO_NoPref" lockText="1" noThreeD="1"/>
</file>

<file path=xl/ctrlProps/ctrlProp43.xml><?xml version="1.0" encoding="utf-8"?>
<formControlPr xmlns="http://schemas.microsoft.com/office/spreadsheetml/2009/9/main" objectType="CheckBox" fmlaLink="Data1!$B$772" lockText="1" noThreeD="1"/>
</file>

<file path=xl/ctrlProps/ctrlProp44.xml><?xml version="1.0" encoding="utf-8"?>
<formControlPr xmlns="http://schemas.microsoft.com/office/spreadsheetml/2009/9/main" objectType="CheckBox" fmlaLink="Data1!$B$785" lockText="1" noThreeD="1"/>
</file>

<file path=xl/ctrlProps/ctrlProp45.xml><?xml version="1.0" encoding="utf-8"?>
<formControlPr xmlns="http://schemas.microsoft.com/office/spreadsheetml/2009/9/main" objectType="CheckBox" fmlaLink="Data1!$B$786" lockText="1" noThreeD="1"/>
</file>

<file path=xl/ctrlProps/ctrlProp46.xml><?xml version="1.0" encoding="utf-8"?>
<formControlPr xmlns="http://schemas.microsoft.com/office/spreadsheetml/2009/9/main" objectType="CheckBox" fmlaLink="Data1!$B$787" lockText="1" noThreeD="1"/>
</file>

<file path=xl/ctrlProps/ctrlProp47.xml><?xml version="1.0" encoding="utf-8"?>
<formControlPr xmlns="http://schemas.microsoft.com/office/spreadsheetml/2009/9/main" objectType="CheckBox" fmlaLink="DS_ExcelCheckbox_MixedUse_Comm" lockText="1" noThreeD="1"/>
</file>

<file path=xl/ctrlProps/ctrlProp48.xml><?xml version="1.0" encoding="utf-8"?>
<formControlPr xmlns="http://schemas.microsoft.com/office/spreadsheetml/2009/9/main" objectType="CheckBox" fmlaLink="DS_ExcelCheckbox_MixedUse_Inst" lockText="1" noThreeD="1"/>
</file>

<file path=xl/ctrlProps/ctrlProp49.xml><?xml version="1.0" encoding="utf-8"?>
<formControlPr xmlns="http://schemas.microsoft.com/office/spreadsheetml/2009/9/main" objectType="CheckBox" fmlaLink="DS_ExcelCheckbox_UrbanInfill" lockText="1" noThreeD="1"/>
</file>

<file path=xl/ctrlProps/ctrlProp5.xml><?xml version="1.0" encoding="utf-8"?>
<formControlPr xmlns="http://schemas.microsoft.com/office/spreadsheetml/2009/9/main" objectType="CheckBox" fmlaLink="DS_ExcelCheckBox_Survivors" lockText="1" noThreeD="1"/>
</file>

<file path=xl/ctrlProps/ctrlProp50.xml><?xml version="1.0" encoding="utf-8"?>
<formControlPr xmlns="http://schemas.microsoft.com/office/spreadsheetml/2009/9/main" objectType="CheckBox" fmlaLink="Data1!$B$772" lockText="1" noThreeD="1"/>
</file>

<file path=xl/ctrlProps/ctrlProp51.xml><?xml version="1.0" encoding="utf-8"?>
<formControlPr xmlns="http://schemas.microsoft.com/office/spreadsheetml/2009/9/main" objectType="CheckBox" fmlaLink="Data1!$B$785" lockText="1" noThreeD="1"/>
</file>

<file path=xl/ctrlProps/ctrlProp52.xml><?xml version="1.0" encoding="utf-8"?>
<formControlPr xmlns="http://schemas.microsoft.com/office/spreadsheetml/2009/9/main" objectType="CheckBox" fmlaLink="Data1!$B$786" lockText="1" noThreeD="1"/>
</file>

<file path=xl/ctrlProps/ctrlProp53.xml><?xml version="1.0" encoding="utf-8"?>
<formControlPr xmlns="http://schemas.microsoft.com/office/spreadsheetml/2009/9/main" objectType="CheckBox" fmlaLink="Data1!$B$787" lockText="1" noThreeD="1"/>
</file>

<file path=xl/ctrlProps/ctrlProp54.xml><?xml version="1.0" encoding="utf-8"?>
<formControlPr xmlns="http://schemas.microsoft.com/office/spreadsheetml/2009/9/main" objectType="CheckBox" fmlaLink="DS_ExcelCheckBox_Goal_1" lockText="1" noThreeD="1"/>
</file>

<file path=xl/ctrlProps/ctrlProp55.xml><?xml version="1.0" encoding="utf-8"?>
<formControlPr xmlns="http://schemas.microsoft.com/office/spreadsheetml/2009/9/main" objectType="CheckBox" fmlaLink="DS_ExcelCheckBox_Goal_2" lockText="1" noThreeD="1"/>
</file>

<file path=xl/ctrlProps/ctrlProp56.xml><?xml version="1.0" encoding="utf-8"?>
<formControlPr xmlns="http://schemas.microsoft.com/office/spreadsheetml/2009/9/main" objectType="CheckBox" fmlaLink="DS_ExcelCheckBox_Goal_3" lockText="1" noThreeD="1"/>
</file>

<file path=xl/ctrlProps/ctrlProp57.xml><?xml version="1.0" encoding="utf-8"?>
<formControlPr xmlns="http://schemas.microsoft.com/office/spreadsheetml/2009/9/main" objectType="CheckBox" fmlaLink="DS_ExcelCheckBox_Goal_4" lockText="1" noThreeD="1"/>
</file>

<file path=xl/ctrlProps/ctrlProp6.xml><?xml version="1.0" encoding="utf-8"?>
<formControlPr xmlns="http://schemas.microsoft.com/office/spreadsheetml/2009/9/main" objectType="CheckBox" fmlaLink="DS_ExcelCheckBox_LessThan80" lockText="1" noThreeD="1"/>
</file>

<file path=xl/ctrlProps/ctrlProp7.xml><?xml version="1.0" encoding="utf-8"?>
<formControlPr xmlns="http://schemas.microsoft.com/office/spreadsheetml/2009/9/main" objectType="CheckBox" fmlaLink="DS_ExcelCheckBox_AtLeast80" lockText="1" noThreeD="1"/>
</file>

<file path=xl/ctrlProps/ctrlProp8.xml><?xml version="1.0" encoding="utf-8"?>
<formControlPr xmlns="http://schemas.microsoft.com/office/spreadsheetml/2009/9/main" objectType="CheckBox" fmlaLink="DS_ExcelCheckBox_DevCat_CorpPortfolio" lockText="1" noThreeD="1"/>
</file>

<file path=xl/ctrlProps/ctrlProp9.xml><?xml version="1.0" encoding="utf-8"?>
<formControlPr xmlns="http://schemas.microsoft.com/office/spreadsheetml/2009/9/main" objectType="CheckBox" fmlaLink="DS_ExcelCheckBox_DevCat_RDPortfolio"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47</xdr:row>
          <xdr:rowOff>0</xdr:rowOff>
        </xdr:from>
        <xdr:to>
          <xdr:col>4</xdr:col>
          <xdr:colOff>114300</xdr:colOff>
          <xdr:row>47</xdr:row>
          <xdr:rowOff>219075</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3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4</xdr:col>
          <xdr:colOff>114300</xdr:colOff>
          <xdr:row>48</xdr:row>
          <xdr:rowOff>219075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3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466725</xdr:rowOff>
        </xdr:from>
        <xdr:to>
          <xdr:col>4</xdr:col>
          <xdr:colOff>114300</xdr:colOff>
          <xdr:row>49</xdr:row>
          <xdr:rowOff>209550</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3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50</xdr:row>
          <xdr:rowOff>0</xdr:rowOff>
        </xdr:from>
        <xdr:to>
          <xdr:col>4</xdr:col>
          <xdr:colOff>114300</xdr:colOff>
          <xdr:row>50</xdr:row>
          <xdr:rowOff>219075</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3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51</xdr:row>
          <xdr:rowOff>9525</xdr:rowOff>
        </xdr:from>
        <xdr:to>
          <xdr:col>4</xdr:col>
          <xdr:colOff>114300</xdr:colOff>
          <xdr:row>51</xdr:row>
          <xdr:rowOff>228600</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3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42</xdr:row>
          <xdr:rowOff>0</xdr:rowOff>
        </xdr:from>
        <xdr:to>
          <xdr:col>4</xdr:col>
          <xdr:colOff>104775</xdr:colOff>
          <xdr:row>42</xdr:row>
          <xdr:rowOff>219075</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3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43</xdr:row>
          <xdr:rowOff>0</xdr:rowOff>
        </xdr:from>
        <xdr:to>
          <xdr:col>4</xdr:col>
          <xdr:colOff>104775</xdr:colOff>
          <xdr:row>43</xdr:row>
          <xdr:rowOff>219075</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3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9</xdr:row>
          <xdr:rowOff>9525</xdr:rowOff>
        </xdr:from>
        <xdr:to>
          <xdr:col>5</xdr:col>
          <xdr:colOff>85725</xdr:colOff>
          <xdr:row>9</xdr:row>
          <xdr:rowOff>238125</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4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9525</xdr:rowOff>
        </xdr:from>
        <xdr:to>
          <xdr:col>5</xdr:col>
          <xdr:colOff>85725</xdr:colOff>
          <xdr:row>10</xdr:row>
          <xdr:rowOff>238125</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4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0</xdr:rowOff>
        </xdr:from>
        <xdr:to>
          <xdr:col>5</xdr:col>
          <xdr:colOff>85725</xdr:colOff>
          <xdr:row>11</xdr:row>
          <xdr:rowOff>228600</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4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xdr:row>
          <xdr:rowOff>0</xdr:rowOff>
        </xdr:from>
        <xdr:to>
          <xdr:col>5</xdr:col>
          <xdr:colOff>85725</xdr:colOff>
          <xdr:row>12</xdr:row>
          <xdr:rowOff>228600</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4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76</xdr:row>
          <xdr:rowOff>19050</xdr:rowOff>
        </xdr:from>
        <xdr:to>
          <xdr:col>4</xdr:col>
          <xdr:colOff>333375</xdr:colOff>
          <xdr:row>111</xdr:row>
          <xdr:rowOff>38100</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4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78</xdr:row>
          <xdr:rowOff>38100</xdr:rowOff>
        </xdr:from>
        <xdr:to>
          <xdr:col>4</xdr:col>
          <xdr:colOff>342900</xdr:colOff>
          <xdr:row>111</xdr:row>
          <xdr:rowOff>38100</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4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16</xdr:row>
          <xdr:rowOff>0</xdr:rowOff>
        </xdr:from>
        <xdr:to>
          <xdr:col>5</xdr:col>
          <xdr:colOff>66675</xdr:colOff>
          <xdr:row>38</xdr:row>
          <xdr:rowOff>95250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9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219075</xdr:rowOff>
        </xdr:from>
        <xdr:to>
          <xdr:col>5</xdr:col>
          <xdr:colOff>66675</xdr:colOff>
          <xdr:row>38</xdr:row>
          <xdr:rowOff>95250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9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219075</xdr:rowOff>
        </xdr:from>
        <xdr:to>
          <xdr:col>5</xdr:col>
          <xdr:colOff>66675</xdr:colOff>
          <xdr:row>38</xdr:row>
          <xdr:rowOff>95250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9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0</xdr:rowOff>
        </xdr:from>
        <xdr:to>
          <xdr:col>5</xdr:col>
          <xdr:colOff>66675</xdr:colOff>
          <xdr:row>38</xdr:row>
          <xdr:rowOff>95250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9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419100</xdr:rowOff>
        </xdr:from>
        <xdr:to>
          <xdr:col>5</xdr:col>
          <xdr:colOff>66675</xdr:colOff>
          <xdr:row>38</xdr:row>
          <xdr:rowOff>95250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9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219075</xdr:rowOff>
        </xdr:from>
        <xdr:to>
          <xdr:col>5</xdr:col>
          <xdr:colOff>66675</xdr:colOff>
          <xdr:row>38</xdr:row>
          <xdr:rowOff>95250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9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428625</xdr:rowOff>
        </xdr:from>
        <xdr:to>
          <xdr:col>5</xdr:col>
          <xdr:colOff>66675</xdr:colOff>
          <xdr:row>38</xdr:row>
          <xdr:rowOff>95250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9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657225</xdr:rowOff>
        </xdr:from>
        <xdr:to>
          <xdr:col>5</xdr:col>
          <xdr:colOff>66675</xdr:colOff>
          <xdr:row>38</xdr:row>
          <xdr:rowOff>95250</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9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600075</xdr:rowOff>
        </xdr:from>
        <xdr:to>
          <xdr:col>5</xdr:col>
          <xdr:colOff>66675</xdr:colOff>
          <xdr:row>38</xdr:row>
          <xdr:rowOff>95250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9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0</xdr:rowOff>
        </xdr:from>
        <xdr:to>
          <xdr:col>5</xdr:col>
          <xdr:colOff>66675</xdr:colOff>
          <xdr:row>38</xdr:row>
          <xdr:rowOff>95250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9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0</xdr:rowOff>
        </xdr:from>
        <xdr:to>
          <xdr:col>5</xdr:col>
          <xdr:colOff>66675</xdr:colOff>
          <xdr:row>38</xdr:row>
          <xdr:rowOff>95250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9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219075</xdr:rowOff>
        </xdr:from>
        <xdr:to>
          <xdr:col>5</xdr:col>
          <xdr:colOff>66675</xdr:colOff>
          <xdr:row>38</xdr:row>
          <xdr:rowOff>95250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9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104775</xdr:rowOff>
        </xdr:from>
        <xdr:to>
          <xdr:col>4</xdr:col>
          <xdr:colOff>171450</xdr:colOff>
          <xdr:row>4</xdr:row>
          <xdr:rowOff>209550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A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209550</xdr:rowOff>
        </xdr:from>
        <xdr:to>
          <xdr:col>4</xdr:col>
          <xdr:colOff>171450</xdr:colOff>
          <xdr:row>6</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A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209550</xdr:rowOff>
        </xdr:from>
        <xdr:to>
          <xdr:col>4</xdr:col>
          <xdr:colOff>171450</xdr:colOff>
          <xdr:row>7</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A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0</xdr:rowOff>
        </xdr:from>
        <xdr:to>
          <xdr:col>4</xdr:col>
          <xdr:colOff>171450</xdr:colOff>
          <xdr:row>8</xdr:row>
          <xdr:rowOff>9525</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A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209550</xdr:rowOff>
        </xdr:from>
        <xdr:to>
          <xdr:col>4</xdr:col>
          <xdr:colOff>171450</xdr:colOff>
          <xdr:row>9</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A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371475</xdr:rowOff>
        </xdr:from>
        <xdr:to>
          <xdr:col>4</xdr:col>
          <xdr:colOff>161925</xdr:colOff>
          <xdr:row>16</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A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209550</xdr:rowOff>
        </xdr:from>
        <xdr:to>
          <xdr:col>4</xdr:col>
          <xdr:colOff>161925</xdr:colOff>
          <xdr:row>17</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A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209550</xdr:rowOff>
        </xdr:from>
        <xdr:to>
          <xdr:col>4</xdr:col>
          <xdr:colOff>161925</xdr:colOff>
          <xdr:row>18</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A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200025</xdr:rowOff>
        </xdr:from>
        <xdr:to>
          <xdr:col>4</xdr:col>
          <xdr:colOff>161925</xdr:colOff>
          <xdr:row>18</xdr:row>
          <xdr:rowOff>209550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A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200025</xdr:rowOff>
        </xdr:from>
        <xdr:to>
          <xdr:col>4</xdr:col>
          <xdr:colOff>161925</xdr:colOff>
          <xdr:row>19</xdr:row>
          <xdr:rowOff>209550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A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6</xdr:row>
          <xdr:rowOff>0</xdr:rowOff>
        </xdr:from>
        <xdr:to>
          <xdr:col>3</xdr:col>
          <xdr:colOff>447675</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B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1066800</xdr:rowOff>
        </xdr:from>
        <xdr:to>
          <xdr:col>3</xdr:col>
          <xdr:colOff>447675</xdr:colOff>
          <xdr:row>7</xdr:row>
          <xdr:rowOff>219075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B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407</xdr:row>
          <xdr:rowOff>0</xdr:rowOff>
        </xdr:from>
        <xdr:to>
          <xdr:col>4</xdr:col>
          <xdr:colOff>657225</xdr:colOff>
          <xdr:row>410</xdr:row>
          <xdr:rowOff>47625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C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406</xdr:row>
          <xdr:rowOff>0</xdr:rowOff>
        </xdr:from>
        <xdr:to>
          <xdr:col>4</xdr:col>
          <xdr:colOff>657225</xdr:colOff>
          <xdr:row>410</xdr:row>
          <xdr:rowOff>47625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C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E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95250</xdr:colOff>
          <xdr:row>44</xdr:row>
          <xdr:rowOff>190500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E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95250</xdr:colOff>
          <xdr:row>44</xdr:row>
          <xdr:rowOff>190500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E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44</xdr:row>
          <xdr:rowOff>419100</xdr:rowOff>
        </xdr:from>
        <xdr:to>
          <xdr:col>4</xdr:col>
          <xdr:colOff>95250</xdr:colOff>
          <xdr:row>46</xdr:row>
          <xdr:rowOff>114300</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0E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0</xdr:rowOff>
        </xdr:from>
        <xdr:to>
          <xdr:col>4</xdr:col>
          <xdr:colOff>95250</xdr:colOff>
          <xdr:row>48</xdr:row>
          <xdr:rowOff>219075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E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44</xdr:row>
          <xdr:rowOff>19050</xdr:rowOff>
        </xdr:from>
        <xdr:to>
          <xdr:col>4</xdr:col>
          <xdr:colOff>104775</xdr:colOff>
          <xdr:row>44</xdr:row>
          <xdr:rowOff>238125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E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46</xdr:row>
          <xdr:rowOff>19050</xdr:rowOff>
        </xdr:from>
        <xdr:to>
          <xdr:col>4</xdr:col>
          <xdr:colOff>104775</xdr:colOff>
          <xdr:row>46</xdr:row>
          <xdr:rowOff>238125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E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4</xdr:col>
          <xdr:colOff>104775</xdr:colOff>
          <xdr:row>48</xdr:row>
          <xdr:rowOff>219075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E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0F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0F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0F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0F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4</xdr:col>
          <xdr:colOff>152400</xdr:colOff>
          <xdr:row>7</xdr:row>
          <xdr:rowOff>9525</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0F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0</xdr:rowOff>
        </xdr:from>
        <xdr:to>
          <xdr:col>4</xdr:col>
          <xdr:colOff>152400</xdr:colOff>
          <xdr:row>8</xdr:row>
          <xdr:rowOff>9525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0F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4</xdr:col>
          <xdr:colOff>152400</xdr:colOff>
          <xdr:row>17</xdr:row>
          <xdr:rowOff>9525</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0F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0F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0F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0F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0F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 Id="rId1" Type="http://schemas.openxmlformats.org/officeDocument/2006/relationships/hyperlink" Target="https://support.office.com/en-us/f1/topic/aa1f3067-05c9-44e4-b141-f75bb9bb89bd?showContactUsNav=False&amp;ns=EXCEL&amp;version=90"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6.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3" Type="http://schemas.openxmlformats.org/officeDocument/2006/relationships/vmlDrawing" Target="../drawings/vmlDrawing7.vml"/><Relationship Id="rId7" Type="http://schemas.openxmlformats.org/officeDocument/2006/relationships/ctrlProp" Target="../ctrlProps/ctrlProp25.xml"/><Relationship Id="rId12" Type="http://schemas.openxmlformats.org/officeDocument/2006/relationships/ctrlProp" Target="../ctrlProps/ctrlProp30.xml"/><Relationship Id="rId2" Type="http://schemas.openxmlformats.org/officeDocument/2006/relationships/drawing" Target="../drawings/drawing4.xml"/><Relationship Id="rId1" Type="http://schemas.openxmlformats.org/officeDocument/2006/relationships/printerSettings" Target="../printerSettings/printerSettings11.bin"/><Relationship Id="rId6" Type="http://schemas.openxmlformats.org/officeDocument/2006/relationships/ctrlProp" Target="../ctrlProps/ctrlProp24.xml"/><Relationship Id="rId11" Type="http://schemas.openxmlformats.org/officeDocument/2006/relationships/ctrlProp" Target="../ctrlProps/ctrlProp29.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2.bin"/><Relationship Id="rId5" Type="http://schemas.openxmlformats.org/officeDocument/2006/relationships/ctrlProp" Target="../ctrlProps/ctrlProp33.xml"/><Relationship Id="rId4" Type="http://schemas.openxmlformats.org/officeDocument/2006/relationships/ctrlProp" Target="../ctrlProps/ctrlProp3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40.xml"/><Relationship Id="rId3" Type="http://schemas.openxmlformats.org/officeDocument/2006/relationships/vmlDrawing" Target="../drawings/vmlDrawing10.vml"/><Relationship Id="rId7" Type="http://schemas.openxmlformats.org/officeDocument/2006/relationships/ctrlProp" Target="../ctrlProps/ctrlProp39.xml"/><Relationship Id="rId2" Type="http://schemas.openxmlformats.org/officeDocument/2006/relationships/drawing" Target="../drawings/drawing8.xml"/><Relationship Id="rId1" Type="http://schemas.openxmlformats.org/officeDocument/2006/relationships/printerSettings" Target="../printerSettings/printerSettings15.bin"/><Relationship Id="rId6" Type="http://schemas.openxmlformats.org/officeDocument/2006/relationships/ctrlProp" Target="../ctrlProps/ctrlProp38.xml"/><Relationship Id="rId5" Type="http://schemas.openxmlformats.org/officeDocument/2006/relationships/ctrlProp" Target="../ctrlProps/ctrlProp37.xml"/><Relationship Id="rId10" Type="http://schemas.openxmlformats.org/officeDocument/2006/relationships/ctrlProp" Target="../ctrlProps/ctrlProp42.xml"/><Relationship Id="rId4" Type="http://schemas.openxmlformats.org/officeDocument/2006/relationships/ctrlProp" Target="../ctrlProps/ctrlProp36.xml"/><Relationship Id="rId9" Type="http://schemas.openxmlformats.org/officeDocument/2006/relationships/ctrlProp" Target="../ctrlProps/ctrlProp41.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7.xml"/><Relationship Id="rId13" Type="http://schemas.openxmlformats.org/officeDocument/2006/relationships/ctrlProp" Target="../ctrlProps/ctrlProp52.xml"/><Relationship Id="rId3" Type="http://schemas.openxmlformats.org/officeDocument/2006/relationships/vmlDrawing" Target="../drawings/vmlDrawing11.vml"/><Relationship Id="rId7" Type="http://schemas.openxmlformats.org/officeDocument/2006/relationships/ctrlProp" Target="../ctrlProps/ctrlProp46.xml"/><Relationship Id="rId12" Type="http://schemas.openxmlformats.org/officeDocument/2006/relationships/ctrlProp" Target="../ctrlProps/ctrlProp51.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45.xml"/><Relationship Id="rId11" Type="http://schemas.openxmlformats.org/officeDocument/2006/relationships/ctrlProp" Target="../ctrlProps/ctrlProp50.xml"/><Relationship Id="rId5" Type="http://schemas.openxmlformats.org/officeDocument/2006/relationships/ctrlProp" Target="../ctrlProps/ctrlProp44.xml"/><Relationship Id="rId10" Type="http://schemas.openxmlformats.org/officeDocument/2006/relationships/ctrlProp" Target="../ctrlProps/ctrlProp49.xml"/><Relationship Id="rId4" Type="http://schemas.openxmlformats.org/officeDocument/2006/relationships/ctrlProp" Target="../ctrlProps/ctrlProp43.xml"/><Relationship Id="rId9" Type="http://schemas.openxmlformats.org/officeDocument/2006/relationships/ctrlProp" Target="../ctrlProps/ctrlProp48.xml"/><Relationship Id="rId14" Type="http://schemas.openxmlformats.org/officeDocument/2006/relationships/ctrlProp" Target="../ctrlProps/ctrlProp5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57.xml"/><Relationship Id="rId2" Type="http://schemas.openxmlformats.org/officeDocument/2006/relationships/drawing" Target="../drawings/drawing10.xml"/><Relationship Id="rId1" Type="http://schemas.openxmlformats.org/officeDocument/2006/relationships/printerSettings" Target="../printerSettings/printerSettings21.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F0"/>
  </sheetPr>
  <dimension ref="A1:AV1128"/>
  <sheetViews>
    <sheetView topLeftCell="A37" zoomScale="120" zoomScaleNormal="120" workbookViewId="0">
      <pane xSplit="1" topLeftCell="B1" activePane="topRight" state="frozen"/>
      <selection activeCell="L364" sqref="L364:N364"/>
      <selection pane="topRight" activeCell="B37" sqref="B37"/>
    </sheetView>
  </sheetViews>
  <sheetFormatPr defaultRowHeight="15"/>
  <cols>
    <col min="1" max="1" width="74.85546875" customWidth="1"/>
    <col min="2" max="2" width="9.28515625" customWidth="1"/>
    <col min="3" max="3" width="9.5703125" customWidth="1"/>
    <col min="4" max="4" width="11.140625" customWidth="1"/>
    <col min="5" max="5" width="16.140625" customWidth="1"/>
    <col min="6" max="6" width="66.85546875" customWidth="1"/>
    <col min="7" max="11" width="16" customWidth="1"/>
    <col min="12" max="24" width="13.7109375" customWidth="1"/>
    <col min="25" max="25" width="11" customWidth="1"/>
    <col min="26" max="26" width="13.7109375" customWidth="1"/>
    <col min="27" max="27" width="26.85546875" bestFit="1" customWidth="1"/>
    <col min="28" max="31" width="18.7109375" customWidth="1"/>
    <col min="32" max="32" width="11.28515625" customWidth="1"/>
  </cols>
  <sheetData>
    <row r="1" spans="1:16">
      <c r="A1" s="1357"/>
      <c r="B1" s="7"/>
      <c r="C1" s="7"/>
      <c r="D1" s="7"/>
      <c r="E1" s="7"/>
      <c r="F1" s="7"/>
      <c r="J1" s="25" t="s">
        <v>31</v>
      </c>
      <c r="P1" s="25" t="s">
        <v>31</v>
      </c>
    </row>
    <row r="2" spans="1:16">
      <c r="A2" s="1"/>
      <c r="B2" s="1"/>
      <c r="C2" s="1"/>
      <c r="D2" s="1"/>
      <c r="E2" s="1"/>
      <c r="J2" t="s">
        <v>32</v>
      </c>
      <c r="P2" t="s">
        <v>33</v>
      </c>
    </row>
    <row r="3" spans="1:16">
      <c r="A3" s="5" t="s">
        <v>34</v>
      </c>
      <c r="B3" s="818" t="s">
        <v>1912</v>
      </c>
      <c r="C3" s="818"/>
      <c r="D3" s="818"/>
      <c r="E3" s="818"/>
      <c r="F3" s="818"/>
      <c r="J3" s="268" t="s">
        <v>35</v>
      </c>
      <c r="P3" t="s">
        <v>36</v>
      </c>
    </row>
    <row r="4" spans="1:16" ht="18" customHeight="1">
      <c r="A4" s="2757" t="s">
        <v>2861</v>
      </c>
      <c r="B4" s="2757"/>
      <c r="C4" s="2757"/>
      <c r="D4" s="2757"/>
      <c r="E4" s="2757"/>
      <c r="F4" s="2757"/>
      <c r="J4" t="s">
        <v>37</v>
      </c>
      <c r="P4" t="s">
        <v>38</v>
      </c>
    </row>
    <row r="5" spans="1:16">
      <c r="A5" t="s">
        <v>2861</v>
      </c>
      <c r="J5" t="s">
        <v>39</v>
      </c>
      <c r="P5" t="s">
        <v>40</v>
      </c>
    </row>
    <row r="6" spans="1:16">
      <c r="A6" s="5" t="s">
        <v>41</v>
      </c>
      <c r="J6" t="s">
        <v>42</v>
      </c>
      <c r="P6" t="s">
        <v>43</v>
      </c>
    </row>
    <row r="7" spans="1:16" ht="18" customHeight="1">
      <c r="A7" s="320" t="s">
        <v>2860</v>
      </c>
      <c r="B7" s="2774" t="s">
        <v>44</v>
      </c>
      <c r="C7" s="2774"/>
      <c r="D7" s="2774"/>
      <c r="E7" s="2774"/>
      <c r="F7" s="238" t="str">
        <f>DS_TabLeftFooter</f>
        <v>RFA 2025-103</v>
      </c>
      <c r="J7" t="s">
        <v>45</v>
      </c>
      <c r="P7" t="s">
        <v>46</v>
      </c>
    </row>
    <row r="8" spans="1:16">
      <c r="A8" t="s">
        <v>1911</v>
      </c>
      <c r="E8" s="343">
        <v>45582</v>
      </c>
      <c r="J8" t="s">
        <v>47</v>
      </c>
      <c r="P8" t="s">
        <v>48</v>
      </c>
    </row>
    <row r="9" spans="1:16">
      <c r="A9" t="s">
        <v>49</v>
      </c>
      <c r="E9" s="343">
        <v>45678</v>
      </c>
      <c r="J9" t="s">
        <v>50</v>
      </c>
      <c r="P9" t="s">
        <v>51</v>
      </c>
    </row>
    <row r="10" spans="1:16">
      <c r="A10" t="s">
        <v>1843</v>
      </c>
      <c r="E10" s="343">
        <v>45582</v>
      </c>
      <c r="J10" t="s">
        <v>52</v>
      </c>
      <c r="P10" t="s">
        <v>53</v>
      </c>
    </row>
    <row r="11" spans="1:16">
      <c r="J11" t="s">
        <v>60</v>
      </c>
      <c r="P11" t="s">
        <v>61</v>
      </c>
    </row>
    <row r="12" spans="1:16">
      <c r="B12" s="2070" t="str">
        <f>$B$18</f>
        <v>Do NOT delete any formulas in any "Sequence" column (column C), it's controlled by column B entries (1 to use, 0 or delete to not use). [warning not repeated every instance]</v>
      </c>
      <c r="C12" s="2070"/>
      <c r="D12" s="2070"/>
      <c r="E12" s="2070"/>
      <c r="F12" s="2070"/>
      <c r="G12" s="2071"/>
      <c r="H12" s="2071"/>
      <c r="I12" s="2070"/>
      <c r="J12" t="s">
        <v>63</v>
      </c>
      <c r="P12" t="s">
        <v>64</v>
      </c>
    </row>
    <row r="13" spans="1:16">
      <c r="A13" s="571" t="s">
        <v>2655</v>
      </c>
      <c r="B13" s="572" t="s">
        <v>55</v>
      </c>
      <c r="C13" s="572" t="s">
        <v>56</v>
      </c>
      <c r="D13" s="572" t="s">
        <v>57</v>
      </c>
      <c r="E13" s="516" t="s">
        <v>2519</v>
      </c>
      <c r="F13" s="63" t="s">
        <v>59</v>
      </c>
      <c r="J13" t="s">
        <v>66</v>
      </c>
      <c r="P13" t="s">
        <v>67</v>
      </c>
    </row>
    <row r="14" spans="1:16">
      <c r="A14" s="59" t="s">
        <v>2520</v>
      </c>
      <c r="B14" s="2079">
        <v>1</v>
      </c>
      <c r="C14" s="60">
        <f>IF(B14&lt;&gt;1,"",SUM(B14:B$14))</f>
        <v>1</v>
      </c>
      <c r="D14" s="2079">
        <v>1</v>
      </c>
      <c r="F14" s="84" t="str">
        <f>IF(COUNTA($A14:$A$14)&lt;=MAX(DS_Designation_Sequence)=TRUE,LOOKUP(COUNTA($A14:$A$14),DS_Designation_Sequence,DS_Designation_DataNames),"")</f>
        <v>New Development</v>
      </c>
      <c r="J14" t="s">
        <v>69</v>
      </c>
      <c r="P14" t="s">
        <v>70</v>
      </c>
    </row>
    <row r="15" spans="1:16">
      <c r="A15" s="59" t="s">
        <v>2521</v>
      </c>
      <c r="B15" s="2079">
        <v>1</v>
      </c>
      <c r="C15" s="60">
        <f>IF(B15&lt;&gt;1,"",SUM(B$14:B15))</f>
        <v>2</v>
      </c>
      <c r="D15" s="2079">
        <v>4</v>
      </c>
      <c r="F15" s="84" t="str">
        <f>IF(COUNTA($A$14:$A15)&lt;=MAX(DS_Designation_Sequence)=TRUE,LOOKUP(COUNTA($A$14:$A15),DS_Designation_Sequence,DS_Designation_DataNames),"")</f>
        <v>Reconstructed Development</v>
      </c>
      <c r="J15" t="s">
        <v>72</v>
      </c>
      <c r="P15" t="s">
        <v>73</v>
      </c>
    </row>
    <row r="16" spans="1:16">
      <c r="A16" s="61" t="s">
        <v>2570</v>
      </c>
      <c r="B16" s="2152">
        <v>1</v>
      </c>
      <c r="C16" s="60">
        <f>IF(B16&lt;&gt;1,"",SUM(B$14:B16))</f>
        <v>3</v>
      </c>
      <c r="D16" s="2152">
        <v>5</v>
      </c>
      <c r="F16" s="84" t="str">
        <f>IF(COUNTA($A$14:$A16)&lt;=MAX(DS_Designation_Sequence)=TRUE,LOOKUP(COUNTA($A$14:$A16),DS_Designation_Sequence,DS_Designation_DataNames),"")</f>
        <v>Combination Application</v>
      </c>
      <c r="J16" t="s">
        <v>75</v>
      </c>
      <c r="P16" t="s">
        <v>76</v>
      </c>
    </row>
    <row r="17" spans="1:10">
      <c r="F17" s="268"/>
      <c r="J17" t="s">
        <v>78</v>
      </c>
    </row>
    <row r="18" spans="1:10">
      <c r="B18" s="2070" t="s">
        <v>2758</v>
      </c>
      <c r="C18" s="2070"/>
      <c r="D18" s="2070"/>
      <c r="E18" s="2070"/>
      <c r="F18" s="2070"/>
      <c r="G18" s="2071"/>
      <c r="H18" s="2071"/>
      <c r="I18" s="2071"/>
      <c r="J18" t="s">
        <v>80</v>
      </c>
    </row>
    <row r="19" spans="1:10" ht="18" customHeight="1">
      <c r="A19" s="571" t="s">
        <v>54</v>
      </c>
      <c r="B19" s="572" t="s">
        <v>55</v>
      </c>
      <c r="C19" s="572" t="s">
        <v>56</v>
      </c>
      <c r="D19" s="572" t="s">
        <v>57</v>
      </c>
      <c r="E19" s="516" t="s">
        <v>58</v>
      </c>
      <c r="F19" s="63" t="s">
        <v>59</v>
      </c>
      <c r="J19" t="s">
        <v>82</v>
      </c>
    </row>
    <row r="20" spans="1:10">
      <c r="A20" s="1000" t="s">
        <v>62</v>
      </c>
      <c r="B20" s="1001">
        <v>0</v>
      </c>
      <c r="C20" s="1002" t="str">
        <f>IF(B20&lt;&gt;1,"",SUM(B$20:B20))</f>
        <v/>
      </c>
      <c r="D20" s="1001">
        <v>1</v>
      </c>
      <c r="F20" s="64" t="str">
        <f>IF(COUNTA($A$20:$A20)&lt;=MAX(DS_Demo_Sequence)=TRUE,LOOKUP(COUNTA($A$20:$A20),DS_Demo_Sequence,DS_Demo_DataNames),"")</f>
        <v>Elderly ALF</v>
      </c>
      <c r="J20" t="s">
        <v>84</v>
      </c>
    </row>
    <row r="21" spans="1:10">
      <c r="A21" s="61" t="s">
        <v>65</v>
      </c>
      <c r="B21" s="58">
        <v>0</v>
      </c>
      <c r="C21" s="1003" t="str">
        <f>IF(B21&lt;&gt;1,"",SUM(B$20:B21))</f>
        <v/>
      </c>
      <c r="D21" s="58">
        <v>2</v>
      </c>
      <c r="F21" s="64" t="str">
        <f>IF(COUNTA($A$20:$A21)&lt;=MAX(DS_Demo_Sequence)=TRUE,LOOKUP(COUNTA($A$20:$A21),DS_Demo_Sequence,DS_Demo_DataNames),"")</f>
        <v>Homeless</v>
      </c>
      <c r="J21" t="s">
        <v>86</v>
      </c>
    </row>
    <row r="22" spans="1:10">
      <c r="A22" s="61" t="s">
        <v>68</v>
      </c>
      <c r="B22" s="58">
        <v>1</v>
      </c>
      <c r="C22" s="1003">
        <f>IF(B22&lt;&gt;1,"",SUM(B$20:B22))</f>
        <v>1</v>
      </c>
      <c r="D22" s="58">
        <v>3</v>
      </c>
      <c r="F22" s="64" t="str">
        <f>IF(COUNTA($A$20:$A22)&lt;=MAX(DS_Demo_Sequence)=TRUE,LOOKUP(COUNTA($A$20:$A22),DS_Demo_Sequence,DS_Demo_DataNames),"")</f>
        <v/>
      </c>
      <c r="J22" t="s">
        <v>87</v>
      </c>
    </row>
    <row r="23" spans="1:10">
      <c r="A23" s="61" t="s">
        <v>71</v>
      </c>
      <c r="B23" s="58">
        <v>0</v>
      </c>
      <c r="C23" s="1003" t="str">
        <f>IF(B23&lt;&gt;1,"",SUM(B$20:B23))</f>
        <v/>
      </c>
      <c r="D23" s="58">
        <v>4</v>
      </c>
      <c r="F23" s="64" t="str">
        <f>IF(COUNTA($A$20:$A23)&lt;=MAX(DS_Demo_Sequence)=TRUE,LOOKUP(COUNTA($A$20:$A23),DS_Demo_Sequence,DS_Demo_DataNames),"")</f>
        <v/>
      </c>
      <c r="J23" t="s">
        <v>90</v>
      </c>
    </row>
    <row r="24" spans="1:10">
      <c r="A24" s="61" t="s">
        <v>74</v>
      </c>
      <c r="B24" s="58">
        <v>0</v>
      </c>
      <c r="C24" s="1003" t="str">
        <f>IF(B24&lt;&gt;1,"",SUM(B$20:B24))</f>
        <v/>
      </c>
      <c r="D24" s="58">
        <v>5</v>
      </c>
      <c r="F24" s="64" t="str">
        <f>IF(COUNTA($A$20:$A24)&lt;=MAX(DS_Demo_Sequence)=TRUE,LOOKUP(COUNTA($A$20:$A24),DS_Demo_Sequence,DS_Demo_DataNames),"")</f>
        <v/>
      </c>
      <c r="J24" t="s">
        <v>92</v>
      </c>
    </row>
    <row r="25" spans="1:10">
      <c r="A25" s="61" t="s">
        <v>77</v>
      </c>
      <c r="B25" s="58">
        <v>1</v>
      </c>
      <c r="C25" s="1003">
        <f>IF(B25&lt;&gt;1,"",SUM(B$20:B25))</f>
        <v>2</v>
      </c>
      <c r="D25" s="58">
        <v>6</v>
      </c>
      <c r="E25" s="2782" t="s">
        <v>2833</v>
      </c>
      <c r="F25" s="64" t="str">
        <f>IF(COUNTA($A$20:$A25)&lt;=MAX(DS_Demo_Sequence)=TRUE,LOOKUP(COUNTA($A$20:$A25),DS_Demo_Sequence,DS_Demo_DataNames),"")</f>
        <v/>
      </c>
      <c r="J25" t="s">
        <v>94</v>
      </c>
    </row>
    <row r="26" spans="1:10">
      <c r="A26" s="61" t="s">
        <v>79</v>
      </c>
      <c r="B26" s="58">
        <v>0</v>
      </c>
      <c r="C26" s="1003" t="str">
        <f>IF(B26&lt;&gt;1,"",SUM(B$20:B26))</f>
        <v/>
      </c>
      <c r="D26" s="58">
        <v>7</v>
      </c>
      <c r="E26" s="2783"/>
      <c r="F26" s="64" t="str">
        <f>IF(COUNTA($A$20:$A26)&lt;=MAX(DS_Demo_Sequence)=TRUE,LOOKUP(COUNTA($A$20:$A26),DS_Demo_Sequence,DS_Demo_DataNames),"")</f>
        <v/>
      </c>
      <c r="J26" t="s">
        <v>96</v>
      </c>
    </row>
    <row r="27" spans="1:10">
      <c r="A27" s="61" t="s">
        <v>81</v>
      </c>
      <c r="B27" s="58">
        <v>0</v>
      </c>
      <c r="C27" s="1003" t="str">
        <f>IF(B27&lt;&gt;1,"",SUM(B$20:B27))</f>
        <v/>
      </c>
      <c r="D27" s="58">
        <v>8</v>
      </c>
      <c r="E27" s="2784"/>
      <c r="F27" s="64" t="str">
        <f>IF(COUNTA($A$20:$A27)&lt;=MAX(DS_Demo_Sequence)=TRUE,LOOKUP(COUNTA($A$20:$A27),DS_Demo_Sequence,DS_Demo_DataNames),"")</f>
        <v/>
      </c>
      <c r="J27" t="s">
        <v>98</v>
      </c>
    </row>
    <row r="28" spans="1:10">
      <c r="A28" s="61" t="s">
        <v>83</v>
      </c>
      <c r="B28" s="58">
        <v>0</v>
      </c>
      <c r="C28" s="1003" t="str">
        <f>IF(B28&lt;&gt;1,"",SUM(B$20:B28))</f>
        <v/>
      </c>
      <c r="D28" s="58">
        <v>9</v>
      </c>
      <c r="F28" s="64" t="str">
        <f>IF(COUNTA($A$20:$A28)&lt;=MAX(DS_Demo_Sequence)=TRUE,LOOKUP(COUNTA($A$20:$A28),DS_Demo_Sequence,DS_Demo_DataNames),"")</f>
        <v/>
      </c>
      <c r="J28" t="s">
        <v>100</v>
      </c>
    </row>
    <row r="29" spans="1:10">
      <c r="A29" s="61" t="s">
        <v>85</v>
      </c>
      <c r="B29" s="58">
        <v>0</v>
      </c>
      <c r="C29" s="1003" t="str">
        <f>IF(B29&lt;&gt;1,"",SUM(B$20:B29))</f>
        <v/>
      </c>
      <c r="D29" s="58">
        <v>10</v>
      </c>
      <c r="F29" s="64" t="str">
        <f>IF(COUNTA($A$20:$A29)&lt;=MAX(DS_Demo_Sequence)=TRUE,LOOKUP(COUNTA($A$20:$A29),DS_Demo_Sequence,DS_Demo_DataNames),"")</f>
        <v/>
      </c>
      <c r="J29" t="s">
        <v>102</v>
      </c>
    </row>
    <row r="30" spans="1:10">
      <c r="A30" s="61" t="s">
        <v>1631</v>
      </c>
      <c r="B30" s="58">
        <v>0</v>
      </c>
      <c r="C30" s="1003" t="str">
        <f>IF(B30&lt;&gt;1,"",SUM(B$20:B30))</f>
        <v/>
      </c>
      <c r="D30" s="58">
        <v>11</v>
      </c>
      <c r="F30" s="64" t="str">
        <f>IF(COUNTA($A$20:$A30)&lt;=MAX(DS_Demo_Sequence)=TRUE,LOOKUP(COUNTA($A$20:$A30),DS_Demo_Sequence,DS_Demo_DataNames),"")</f>
        <v/>
      </c>
      <c r="J30" t="s">
        <v>104</v>
      </c>
    </row>
    <row r="31" spans="1:10">
      <c r="A31" s="61" t="s">
        <v>1632</v>
      </c>
      <c r="B31" s="58">
        <v>0</v>
      </c>
      <c r="C31" s="1003" t="str">
        <f>IF(B31&lt;&gt;1,"",SUM(B$20:B31))</f>
        <v/>
      </c>
      <c r="D31" s="58">
        <v>12</v>
      </c>
      <c r="F31" s="64" t="str">
        <f>IF(COUNTA($A$20:$A31)&lt;=MAX(DS_Demo_Sequence)=TRUE,LOOKUP(COUNTA($A$20:$A31),DS_Demo_Sequence,DS_Demo_DataNames),"")</f>
        <v/>
      </c>
      <c r="J31" t="s">
        <v>106</v>
      </c>
    </row>
    <row r="32" spans="1:10">
      <c r="A32" s="61" t="s">
        <v>1633</v>
      </c>
      <c r="B32" s="58">
        <v>0</v>
      </c>
      <c r="C32" s="1003" t="str">
        <f>IF(B32&lt;&gt;1,"",SUM(B$20:B32))</f>
        <v/>
      </c>
      <c r="D32" s="58">
        <v>13</v>
      </c>
      <c r="F32" s="64" t="str">
        <f>IF(COUNTA($A$20:$A32)&lt;=MAX(DS_Demo_Sequence)=TRUE,LOOKUP(COUNTA($A$20:$A32),DS_Demo_Sequence,DS_Demo_DataNames),"")</f>
        <v/>
      </c>
      <c r="J32" t="s">
        <v>108</v>
      </c>
    </row>
    <row r="33" spans="1:10">
      <c r="A33" s="61" t="s">
        <v>1634</v>
      </c>
      <c r="B33" s="58">
        <v>0</v>
      </c>
      <c r="C33" s="1003" t="str">
        <f>IF(B33&lt;&gt;1,"",SUM(B$20:B33))</f>
        <v/>
      </c>
      <c r="D33" s="58">
        <v>14</v>
      </c>
      <c r="F33" s="64" t="str">
        <f>IF(COUNTA($A$20:$A33)&lt;=MAX(DS_Demo_Sequence)=TRUE,LOOKUP(COUNTA($A$20:$A33),DS_Demo_Sequence,DS_Demo_DataNames),"")</f>
        <v/>
      </c>
      <c r="J33" t="s">
        <v>109</v>
      </c>
    </row>
    <row r="34" spans="1:10">
      <c r="J34" t="s">
        <v>112</v>
      </c>
    </row>
    <row r="35" spans="1:10">
      <c r="A35" s="571" t="s">
        <v>88</v>
      </c>
      <c r="E35" s="516" t="s">
        <v>89</v>
      </c>
      <c r="F35" s="1873" t="s">
        <v>2367</v>
      </c>
      <c r="J35" t="s">
        <v>113</v>
      </c>
    </row>
    <row r="36" spans="1:10">
      <c r="A36" s="421" t="s">
        <v>91</v>
      </c>
      <c r="F36" s="64" t="s">
        <v>59</v>
      </c>
      <c r="J36" t="s">
        <v>76</v>
      </c>
    </row>
    <row r="37" spans="1:10">
      <c r="A37" s="6" t="s">
        <v>93</v>
      </c>
      <c r="B37" s="635" t="b">
        <v>0</v>
      </c>
      <c r="F37" s="64" t="s">
        <v>984</v>
      </c>
    </row>
    <row r="38" spans="1:10">
      <c r="A38" s="6" t="s">
        <v>95</v>
      </c>
      <c r="B38" s="632" t="b">
        <v>0</v>
      </c>
      <c r="F38" s="64" t="s">
        <v>2370</v>
      </c>
    </row>
    <row r="39" spans="1:10">
      <c r="A39" s="421" t="s">
        <v>97</v>
      </c>
      <c r="F39" s="64"/>
    </row>
    <row r="40" spans="1:10">
      <c r="A40" s="6" t="s">
        <v>99</v>
      </c>
      <c r="B40" s="632" t="b">
        <v>0</v>
      </c>
      <c r="E40" s="1329"/>
    </row>
    <row r="41" spans="1:10">
      <c r="A41" s="6" t="s">
        <v>101</v>
      </c>
      <c r="B41" s="632" t="b">
        <v>0</v>
      </c>
      <c r="E41" s="1329"/>
    </row>
    <row r="42" spans="1:10">
      <c r="A42" s="6" t="s">
        <v>103</v>
      </c>
      <c r="B42" s="632" t="b">
        <v>0</v>
      </c>
      <c r="E42" s="1329"/>
    </row>
    <row r="43" spans="1:10">
      <c r="A43" s="6" t="s">
        <v>105</v>
      </c>
      <c r="B43" s="632" t="b">
        <v>0</v>
      </c>
      <c r="E43" s="1329"/>
    </row>
    <row r="44" spans="1:10">
      <c r="A44" s="6" t="s">
        <v>107</v>
      </c>
      <c r="B44" s="632" t="b">
        <v>0</v>
      </c>
      <c r="E44" s="1329"/>
    </row>
    <row r="45" spans="1:10">
      <c r="B45" s="2070" t="str">
        <f>$B$18</f>
        <v>Do NOT delete any formulas in any "Sequence" column (column C), it's controlled by column B entries (1 to use, 0 or delete to not use). [warning not repeated every instance]</v>
      </c>
      <c r="C45" s="2070"/>
      <c r="D45" s="2070"/>
      <c r="E45" s="2070"/>
      <c r="F45" s="2070"/>
      <c r="G45" s="2071"/>
      <c r="H45" s="2071"/>
      <c r="I45" s="2070"/>
    </row>
    <row r="46" spans="1:10" ht="18" customHeight="1">
      <c r="A46" s="571" t="s">
        <v>110</v>
      </c>
      <c r="B46" s="572" t="s">
        <v>55</v>
      </c>
      <c r="C46" s="572" t="s">
        <v>56</v>
      </c>
      <c r="D46" s="572" t="s">
        <v>57</v>
      </c>
      <c r="E46" s="516" t="s">
        <v>111</v>
      </c>
      <c r="F46" s="63" t="s">
        <v>59</v>
      </c>
    </row>
    <row r="47" spans="1:10">
      <c r="A47" s="59" t="s">
        <v>2300</v>
      </c>
      <c r="B47" s="57">
        <v>0</v>
      </c>
      <c r="C47" s="60" t="str">
        <f>IF(B47&lt;&gt;1,"",SUM(B$47:B47))</f>
        <v/>
      </c>
      <c r="D47" s="57">
        <v>1</v>
      </c>
      <c r="E47" s="2782" t="s">
        <v>2471</v>
      </c>
      <c r="F47" s="64" t="str">
        <f>IF(COUNTA($A47:$A$47)&lt;=MAX(DS_DevExpProgs_Sequence)=TRUE,LOOKUP(COUNTA($A47:$A$47),DS_DevExpProgs_Sequence,DS_DevExpProgs_DataNames),"")</f>
        <v>Housing Credits</v>
      </c>
    </row>
    <row r="48" spans="1:10">
      <c r="A48" s="1879" t="s">
        <v>2301</v>
      </c>
      <c r="B48" s="57">
        <v>0</v>
      </c>
      <c r="C48" s="60" t="str">
        <f>IF(B48&lt;&gt;1,"",SUM(B$47:B48))</f>
        <v/>
      </c>
      <c r="D48" s="57">
        <v>2</v>
      </c>
      <c r="E48" s="2783"/>
      <c r="F48" s="64" t="str">
        <f>IF(COUNTA($A$47:$A48)&lt;=MAX(DS_DevExpProgs_Sequence)=TRUE,LOOKUP(COUNTA($A$47:$A48),DS_DevExpProgs_Sequence,DS_DevExpProgs_DataNames),"")</f>
        <v>Tax-Exempt Bonds</v>
      </c>
    </row>
    <row r="49" spans="1:6">
      <c r="A49" s="59" t="s">
        <v>2437</v>
      </c>
      <c r="B49" s="57">
        <v>0</v>
      </c>
      <c r="C49" s="60" t="str">
        <f>IF(B49&lt;&gt;1,"",SUM(B$47:B49))</f>
        <v/>
      </c>
      <c r="D49" s="57">
        <v>3</v>
      </c>
      <c r="E49" s="2783"/>
      <c r="F49" s="64" t="str">
        <f>IF(COUNTA($A$47:$A49)&lt;=MAX(DS_DevExpProgs_Sequence)=TRUE,LOOKUP(COUNTA($A$47:$A49),DS_DevExpProgs_Sequence,DS_DevExpProgs_DataNames),"")</f>
        <v>HOME</v>
      </c>
    </row>
    <row r="50" spans="1:6">
      <c r="A50" s="59" t="s">
        <v>2435</v>
      </c>
      <c r="B50" s="1856">
        <v>0</v>
      </c>
      <c r="C50" s="60" t="str">
        <f>IF(B50&lt;&gt;1,"",SUM(B$47:B50))</f>
        <v/>
      </c>
      <c r="D50" s="1856">
        <v>4</v>
      </c>
      <c r="E50" s="2783"/>
      <c r="F50" s="64" t="str">
        <f>IF(COUNTA($A$47:$A50)&lt;=MAX(DS_DevExpProgs_Sequence)=TRUE,LOOKUP(COUNTA($A$47:$A50),DS_DevExpProgs_Sequence,DS_DevExpProgs_DataNames),"")</f>
        <v>CDBG-DR</v>
      </c>
    </row>
    <row r="51" spans="1:6">
      <c r="A51" s="59" t="s">
        <v>2376</v>
      </c>
      <c r="B51" s="1856">
        <v>0</v>
      </c>
      <c r="C51" s="60" t="str">
        <f>IF(B51&lt;&gt;1,"",SUM(B$47:B51))</f>
        <v/>
      </c>
      <c r="D51" s="1856">
        <v>5</v>
      </c>
      <c r="E51" s="2783"/>
      <c r="F51" s="64" t="str">
        <f>IF(COUNTA($A$47:$A51)&lt;=MAX(DS_DevExpProgs_Sequence)=TRUE,LOOKUP(COUNTA($A$47:$A51),DS_DevExpProgs_Sequence,DS_DevExpProgs_DataNames),"")</f>
        <v>NHTF</v>
      </c>
    </row>
    <row r="52" spans="1:6">
      <c r="A52" s="59" t="s">
        <v>2438</v>
      </c>
      <c r="B52" s="1856">
        <v>0</v>
      </c>
      <c r="C52" s="60" t="str">
        <f>IF(B52&lt;&gt;1,"",SUM(B$47:B52))</f>
        <v/>
      </c>
      <c r="D52" s="1856">
        <v>6</v>
      </c>
      <c r="E52" s="2783"/>
      <c r="F52" s="64" t="str">
        <f>IF(COUNTA($A$47:$A52)&lt;=MAX(DS_DevExpProgs_Sequence)=TRUE,LOOKUP(COUNTA($A$47:$A52),DS_DevExpProgs_Sequence,DS_DevExpProgs_DataNames),"")</f>
        <v>HUD First Mortgage</v>
      </c>
    </row>
    <row r="53" spans="1:6">
      <c r="A53" s="59" t="s">
        <v>2436</v>
      </c>
      <c r="B53" s="1949">
        <v>0</v>
      </c>
      <c r="C53" s="60" t="str">
        <f>IF(B53&lt;&gt;1,"",SUM(B$47:B53))</f>
        <v/>
      </c>
      <c r="D53" s="1949">
        <v>7</v>
      </c>
      <c r="E53" s="2783"/>
      <c r="F53" s="64" t="str">
        <f>IF(COUNTA($A$47:$A53)&lt;=MAX(DS_DevExpProgs_Sequence)=TRUE,LOOKUP(COUNTA($A$47:$A53),DS_DevExpProgs_Sequence,DS_DevExpProgs_DataNames),"")</f>
        <v>Exchange</v>
      </c>
    </row>
    <row r="54" spans="1:6">
      <c r="A54" s="59" t="s">
        <v>2439</v>
      </c>
      <c r="B54" s="1949">
        <v>0</v>
      </c>
      <c r="C54" s="60" t="str">
        <f>IF(B54&lt;&gt;1,"",SUM(B$47:B54))</f>
        <v/>
      </c>
      <c r="D54" s="1949">
        <v>8</v>
      </c>
      <c r="E54" s="2783"/>
      <c r="F54" s="64" t="str">
        <f>IF(COUNTA($A$47:$A54)&lt;=MAX(DS_DevExpProgs_Sequence)=TRUE,LOOKUP(COUNTA($A$47:$A54),DS_DevExpProgs_Sequence,DS_DevExpProgs_DataNames),"")</f>
        <v>TCAP</v>
      </c>
    </row>
    <row r="55" spans="1:6">
      <c r="A55" s="59" t="s">
        <v>2440</v>
      </c>
      <c r="B55" s="1949">
        <v>0</v>
      </c>
      <c r="C55" s="60" t="str">
        <f>IF(B55&lt;&gt;1,"",SUM(B$47:B55))</f>
        <v/>
      </c>
      <c r="D55" s="1949">
        <v>9</v>
      </c>
      <c r="E55" s="2783"/>
      <c r="F55" s="64" t="str">
        <f>IF(COUNTA($A$47:$A55)&lt;=MAX(DS_DevExpProgs_Sequence)=TRUE,LOOKUP(COUNTA($A$47:$A55),DS_DevExpProgs_Sequence,DS_DevExpProgs_DataNames),"")</f>
        <v>USDA RD 514/516</v>
      </c>
    </row>
    <row r="56" spans="1:6">
      <c r="A56" s="59" t="s">
        <v>2377</v>
      </c>
      <c r="B56" s="1898">
        <v>0</v>
      </c>
      <c r="C56" s="60" t="str">
        <f>IF(B56&lt;&gt;1,"",SUM(B$47:B56))</f>
        <v/>
      </c>
      <c r="D56" s="1949">
        <v>10</v>
      </c>
      <c r="E56" s="2783"/>
      <c r="F56" s="64" t="str">
        <f>IF(COUNTA($A$47:$A56)&lt;=MAX(DS_DevExpProgs_Sequence)=TRUE,LOOKUP(COUNTA($A$47:$A56),DS_DevExpProgs_Sequence,DS_DevExpProgs_DataNames),"")</f>
        <v>USDA RD 515</v>
      </c>
    </row>
    <row r="57" spans="1:6">
      <c r="A57" s="59" t="s">
        <v>2302</v>
      </c>
      <c r="B57" s="57">
        <v>0</v>
      </c>
      <c r="C57" s="60" t="str">
        <f>IF(B57&lt;&gt;1,"",SUM(B$47:B57))</f>
        <v/>
      </c>
      <c r="D57" s="1949">
        <v>11</v>
      </c>
      <c r="E57" s="2784"/>
      <c r="F57" s="64" t="str">
        <f>IF(COUNTA($A$47:$A57)&lt;=MAX(DS_DevExpProgs_Sequence)=TRUE,LOOKUP(COUNTA($A$47:$A57),DS_DevExpProgs_Sequence,DS_DevExpProgs_DataNames),"")</f>
        <v>USDA RD 538</v>
      </c>
    </row>
    <row r="58" spans="1:6">
      <c r="A58" s="59" t="s">
        <v>2409</v>
      </c>
      <c r="B58" s="1830">
        <v>1</v>
      </c>
      <c r="C58" s="60">
        <f>IF(B58&lt;&gt;1,"",SUM(B$47:B58))</f>
        <v>1</v>
      </c>
      <c r="D58" s="1949">
        <v>12</v>
      </c>
      <c r="F58" s="64" t="str">
        <f>IF(COUNTA($A$47:$A58)&lt;=MAX(DS_DevExpProgs_Sequence)=TRUE,LOOKUP(COUNTA($A$47:$A58),DS_DevExpProgs_Sequence,DS_DevExpProgs_DataNames),"")</f>
        <v>Grant</v>
      </c>
    </row>
    <row r="59" spans="1:6">
      <c r="A59" s="59" t="s">
        <v>114</v>
      </c>
      <c r="B59" s="57">
        <v>1</v>
      </c>
      <c r="C59" s="60">
        <f>IF(B59&lt;&gt;1,"",SUM(B$47:B59))</f>
        <v>2</v>
      </c>
      <c r="D59" s="1949">
        <v>13</v>
      </c>
      <c r="F59" s="64" t="str">
        <f>IF(COUNTA($A$47:$A59)&lt;=MAX(DS_DevExpProgs_Sequence)=TRUE,LOOKUP(COUNTA($A$47:$A59),DS_DevExpProgs_Sequence,DS_DevExpProgs_DataNames),"")</f>
        <v>RRLP</v>
      </c>
    </row>
    <row r="60" spans="1:6">
      <c r="A60" s="59" t="s">
        <v>115</v>
      </c>
      <c r="B60" s="57">
        <v>1</v>
      </c>
      <c r="C60" s="60">
        <f>IF(B60&lt;&gt;1,"",SUM(B$47:B60))</f>
        <v>3</v>
      </c>
      <c r="D60" s="1949">
        <v>14</v>
      </c>
      <c r="F60" s="64" t="str">
        <f>IF(COUNTA($A$47:$A60)&lt;=MAX(DS_DevExpProgs_Sequence)=TRUE,LOOKUP(COUNTA($A$47:$A60),DS_DevExpProgs_Sequence,DS_DevExpProgs_DataNames),"")</f>
        <v>SAIL</v>
      </c>
    </row>
    <row r="61" spans="1:6">
      <c r="A61" s="59" t="s">
        <v>116</v>
      </c>
      <c r="B61" s="57">
        <v>1</v>
      </c>
      <c r="C61" s="60">
        <f>IF(B61&lt;&gt;1,"",SUM(B$47:B61))</f>
        <v>4</v>
      </c>
      <c r="D61" s="1949">
        <v>15</v>
      </c>
      <c r="F61" s="64" t="str">
        <f>IF(COUNTA($A$47:$A61)&lt;=MAX(DS_DevExpProgs_Sequence)=TRUE,LOOKUP(COUNTA($A$47:$A61),DS_DevExpProgs_Sequence,DS_DevExpProgs_DataNames),"")</f>
        <v>Workforce</v>
      </c>
    </row>
    <row r="62" spans="1:6">
      <c r="A62" s="59" t="s">
        <v>117</v>
      </c>
      <c r="B62" s="57">
        <v>1</v>
      </c>
      <c r="C62" s="60">
        <f>IF(B62&lt;&gt;1,"",SUM(B$47:B62))</f>
        <v>5</v>
      </c>
      <c r="D62" s="1949">
        <v>16</v>
      </c>
      <c r="F62" s="64" t="str">
        <f>IF(COUNTA($A$47:$A62)&lt;=MAX(DS_DevExpProgs_Sequence)=TRUE,LOOKUP(COUNTA($A$47:$A62),DS_DevExpProgs_Sequence,DS_DevExpProgs_DataNames),"")</f>
        <v>Other</v>
      </c>
    </row>
    <row r="63" spans="1:6">
      <c r="A63" s="59" t="s">
        <v>2500</v>
      </c>
      <c r="B63" s="2033">
        <v>0</v>
      </c>
      <c r="C63" s="60" t="str">
        <f>IF(B63&lt;&gt;1,"",SUM(B$47:B63))</f>
        <v/>
      </c>
      <c r="D63" s="2033">
        <v>17</v>
      </c>
      <c r="F63" s="64"/>
    </row>
    <row r="64" spans="1:6">
      <c r="A64" s="59" t="s">
        <v>118</v>
      </c>
      <c r="B64" s="57">
        <v>1</v>
      </c>
      <c r="C64" s="60">
        <f>IF(B64&lt;&gt;1,"",SUM(B$47:B64))</f>
        <v>6</v>
      </c>
      <c r="D64" s="2033">
        <v>18</v>
      </c>
      <c r="F64" s="64" t="str">
        <f>IF(COUNTA($A$47:$A64)&lt;=MAX(DS_DevExpProgs_Sequence)=TRUE,LOOKUP(COUNTA($A$47:$A64),DS_DevExpProgs_Sequence,DS_DevExpProgs_DataNames),"")</f>
        <v/>
      </c>
    </row>
    <row r="65" spans="1:6">
      <c r="A65" s="59" t="s">
        <v>119</v>
      </c>
      <c r="B65" s="57">
        <v>1</v>
      </c>
      <c r="C65" s="60">
        <f>IF(B65&lt;&gt;1,"",SUM(B$47:B65))</f>
        <v>7</v>
      </c>
      <c r="D65" s="2033">
        <v>19</v>
      </c>
      <c r="F65" s="64" t="str">
        <f>IF(COUNTA($A$47:$A65)&lt;=MAX(DS_DevExpProgs_Sequence)=TRUE,LOOKUP(COUNTA($A$47:$A65),DS_DevExpProgs_Sequence,DS_DevExpProgs_DataNames),"")</f>
        <v/>
      </c>
    </row>
    <row r="66" spans="1:6">
      <c r="A66" s="59" t="s">
        <v>120</v>
      </c>
      <c r="B66" s="57">
        <v>1</v>
      </c>
      <c r="C66" s="60">
        <f>IF(B66&lt;&gt;1,"",SUM(B$47:B66))</f>
        <v>8</v>
      </c>
      <c r="D66" s="2033">
        <v>20</v>
      </c>
      <c r="F66" s="64" t="str">
        <f>IF(COUNTA($A$47:$A66)&lt;=MAX(DS_DevExpProgs_Sequence)=TRUE,LOOKUP(COUNTA($A$47:$A66),DS_DevExpProgs_Sequence,DS_DevExpProgs_DataNames),"")</f>
        <v/>
      </c>
    </row>
    <row r="67" spans="1:6">
      <c r="A67" s="59" t="s">
        <v>121</v>
      </c>
      <c r="B67" s="57">
        <v>0</v>
      </c>
      <c r="C67" s="60" t="str">
        <f>IF(B67&lt;&gt;1,"",SUM(B$47:B67))</f>
        <v/>
      </c>
      <c r="D67" s="2033">
        <v>21</v>
      </c>
      <c r="F67" s="64" t="str">
        <f>IF(COUNTA($A$47:$A67)&lt;=MAX(DS_DevExpProgs_Sequence)=TRUE,LOOKUP(COUNTA($A$47:$A67),DS_DevExpProgs_Sequence,DS_DevExpProgs_DataNames),"")</f>
        <v/>
      </c>
    </row>
    <row r="68" spans="1:6">
      <c r="A68" s="59" t="s">
        <v>122</v>
      </c>
      <c r="B68" s="57">
        <v>0</v>
      </c>
      <c r="C68" s="60" t="str">
        <f>IF(B68&lt;&gt;1,"",SUM(B$47:B68))</f>
        <v/>
      </c>
      <c r="D68" s="2033">
        <v>22</v>
      </c>
      <c r="F68" s="64" t="str">
        <f>IF(COUNTA($A$47:$A68)&lt;=MAX(DS_DevExpProgs_Sequence)=TRUE,LOOKUP(COUNTA($A$47:$A68),DS_DevExpProgs_Sequence,DS_DevExpProgs_DataNames),"")</f>
        <v/>
      </c>
    </row>
    <row r="69" spans="1:6">
      <c r="A69" s="59" t="s">
        <v>123</v>
      </c>
      <c r="B69" s="57">
        <v>0</v>
      </c>
      <c r="C69" s="60" t="str">
        <f>IF(B69&lt;&gt;1,"",SUM(B$47:B69))</f>
        <v/>
      </c>
      <c r="D69" s="2033">
        <v>23</v>
      </c>
      <c r="F69" s="64" t="str">
        <f>IF(COUNTA($A$47:$A69)&lt;=MAX(DS_DevExpProgs_Sequence)=TRUE,LOOKUP(COUNTA($A$47:$A69),DS_DevExpProgs_Sequence,DS_DevExpProgs_DataNames),"")</f>
        <v/>
      </c>
    </row>
    <row r="70" spans="1:6">
      <c r="A70" s="59" t="s">
        <v>124</v>
      </c>
      <c r="B70" s="57">
        <v>1</v>
      </c>
      <c r="C70" s="60">
        <f>IF(B70&lt;&gt;1,"",SUM(B$47:B70))</f>
        <v>9</v>
      </c>
      <c r="D70" s="2033">
        <v>24</v>
      </c>
      <c r="F70" s="64" t="str">
        <f>IF(COUNTA($A$47:$A70)&lt;=MAX(DS_DevExpProgs_Sequence)=TRUE,LOOKUP(COUNTA($A$47:$A70),DS_DevExpProgs_Sequence,DS_DevExpProgs_DataNames),"")</f>
        <v/>
      </c>
    </row>
    <row r="71" spans="1:6">
      <c r="A71" s="59" t="s">
        <v>125</v>
      </c>
      <c r="B71" s="57">
        <v>1</v>
      </c>
      <c r="C71" s="60">
        <f>IF(B71&lt;&gt;1,"",SUM(B$47:B71))</f>
        <v>10</v>
      </c>
      <c r="D71" s="2033">
        <v>25</v>
      </c>
      <c r="F71" s="64" t="str">
        <f>IF(COUNTA($A$47:$A71)&lt;=MAX(DS_DevExpProgs_Sequence)=TRUE,LOOKUP(COUNTA($A$47:$A71),DS_DevExpProgs_Sequence,DS_DevExpProgs_DataNames),"")</f>
        <v/>
      </c>
    </row>
    <row r="72" spans="1:6">
      <c r="A72" s="59" t="s">
        <v>126</v>
      </c>
      <c r="B72" s="57">
        <v>1</v>
      </c>
      <c r="C72" s="60">
        <f>IF(B72&lt;&gt;1,"",SUM(B$47:B72))</f>
        <v>11</v>
      </c>
      <c r="D72" s="2033">
        <v>26</v>
      </c>
      <c r="F72" s="64" t="str">
        <f>IF(COUNTA($A$47:$A72)&lt;=MAX(DS_DevExpProgs_Sequence)=TRUE,LOOKUP(COUNTA($A$47:$A72),DS_DevExpProgs_Sequence,DS_DevExpProgs_DataNames),"")</f>
        <v/>
      </c>
    </row>
    <row r="73" spans="1:6">
      <c r="A73" s="59" t="s">
        <v>127</v>
      </c>
      <c r="B73" s="57">
        <v>0</v>
      </c>
      <c r="C73" s="60" t="str">
        <f>IF(B73&lt;&gt;1,"",SUM(B$47:B73))</f>
        <v/>
      </c>
      <c r="D73" s="2033">
        <v>27</v>
      </c>
      <c r="F73" s="64" t="str">
        <f>IF(COUNTA($A$47:$A73)&lt;=MAX(DS_DevExpProgs_Sequence)=TRUE,LOOKUP(COUNTA($A$47:$A73),DS_DevExpProgs_Sequence,DS_DevExpProgs_DataNames),"")</f>
        <v/>
      </c>
    </row>
    <row r="74" spans="1:6">
      <c r="A74" s="59" t="s">
        <v>128</v>
      </c>
      <c r="B74" s="57">
        <v>0</v>
      </c>
      <c r="C74" s="60" t="str">
        <f>IF(B74&lt;&gt;1,"",SUM(B$47:B74))</f>
        <v/>
      </c>
      <c r="D74" s="2033">
        <v>28</v>
      </c>
      <c r="F74" s="64" t="str">
        <f>IF(COUNTA($A$47:$A74)&lt;=MAX(DS_DevExpProgs_Sequence)=TRUE,LOOKUP(COUNTA($A$47:$A74),DS_DevExpProgs_Sequence,DS_DevExpProgs_DataNames),"")</f>
        <v/>
      </c>
    </row>
    <row r="75" spans="1:6">
      <c r="A75" s="59" t="s">
        <v>129</v>
      </c>
      <c r="B75" s="57">
        <v>0</v>
      </c>
      <c r="C75" s="60" t="str">
        <f>IF(B75&lt;&gt;1,"",SUM(B$47:B75))</f>
        <v/>
      </c>
      <c r="D75" s="2033">
        <v>29</v>
      </c>
      <c r="F75" s="64" t="str">
        <f>IF(COUNTA($A$47:$A75)&lt;=MAX(DS_DevExpProgs_Sequence)=TRUE,LOOKUP(COUNTA($A$47:$A75),DS_DevExpProgs_Sequence,DS_DevExpProgs_DataNames),"")</f>
        <v/>
      </c>
    </row>
    <row r="76" spans="1:6">
      <c r="A76" s="59" t="s">
        <v>130</v>
      </c>
      <c r="B76" s="57">
        <v>0</v>
      </c>
      <c r="C76" s="60" t="str">
        <f>IF(B76&lt;&gt;1,"",SUM(B$47:B76))</f>
        <v/>
      </c>
      <c r="D76" s="2033">
        <v>30</v>
      </c>
      <c r="F76" s="64" t="str">
        <f>IF(COUNTA($A$47:$A76)&lt;=MAX(DS_DevExpProgs_Sequence)=TRUE,LOOKUP(COUNTA($A$47:$A76),DS_DevExpProgs_Sequence,DS_DevExpProgs_DataNames),"")</f>
        <v/>
      </c>
    </row>
    <row r="77" spans="1:6">
      <c r="A77" s="59" t="s">
        <v>131</v>
      </c>
      <c r="B77" s="57">
        <v>0</v>
      </c>
      <c r="C77" s="60" t="str">
        <f>IF(B77&lt;&gt;1,"",SUM(B$47:B77))</f>
        <v/>
      </c>
      <c r="D77" s="2033">
        <v>31</v>
      </c>
      <c r="F77" s="64" t="str">
        <f>IF(COUNTA($A$47:$A77)&lt;=MAX(DS_DevExpProgs_Sequence)=TRUE,LOOKUP(COUNTA($A$47:$A77),DS_DevExpProgs_Sequence,DS_DevExpProgs_DataNames),"")</f>
        <v/>
      </c>
    </row>
    <row r="78" spans="1:6">
      <c r="A78" s="59" t="s">
        <v>132</v>
      </c>
      <c r="B78" s="57">
        <v>1</v>
      </c>
      <c r="C78" s="60">
        <f>IF(B78&lt;&gt;1,"",SUM(B$47:B78))</f>
        <v>12</v>
      </c>
      <c r="D78" s="2033">
        <v>32</v>
      </c>
      <c r="F78" s="64" t="str">
        <f>IF(COUNTA($A$47:$A78)&lt;=MAX(DS_DevExpProgs_Sequence)=TRUE,LOOKUP(COUNTA($A$47:$A78),DS_DevExpProgs_Sequence,DS_DevExpProgs_DataNames),"")</f>
        <v/>
      </c>
    </row>
    <row r="79" spans="1:6">
      <c r="A79" s="59" t="s">
        <v>133</v>
      </c>
      <c r="B79" s="57">
        <v>0</v>
      </c>
      <c r="C79" s="60" t="str">
        <f>IF(B79&lt;&gt;1,"",SUM(B$47:B79))</f>
        <v/>
      </c>
      <c r="D79" s="2033">
        <v>33</v>
      </c>
      <c r="F79" s="64" t="str">
        <f>IF(COUNTA($A$47:$A79)&lt;=MAX(DS_DevExpProgs_Sequence)=TRUE,LOOKUP(COUNTA($A$47:$A79),DS_DevExpProgs_Sequence,DS_DevExpProgs_DataNames),"")</f>
        <v/>
      </c>
    </row>
    <row r="80" spans="1:6">
      <c r="A80" s="59" t="s">
        <v>134</v>
      </c>
      <c r="B80" s="57">
        <v>0</v>
      </c>
      <c r="C80" s="60" t="str">
        <f>IF(B80&lt;&gt;1,"",SUM(B$47:B80))</f>
        <v/>
      </c>
      <c r="D80" s="2033">
        <v>34</v>
      </c>
      <c r="F80" s="64" t="str">
        <f>IF(COUNTA($A$47:$A80)&lt;=MAX(DS_DevExpProgs_Sequence)=TRUE,LOOKUP(COUNTA($A$47:$A80),DS_DevExpProgs_Sequence,DS_DevExpProgs_DataNames),"")</f>
        <v/>
      </c>
    </row>
    <row r="81" spans="1:31">
      <c r="A81" s="59" t="s">
        <v>135</v>
      </c>
      <c r="B81" s="57">
        <v>0</v>
      </c>
      <c r="C81" s="60" t="str">
        <f>IF(B81&lt;&gt;1,"",SUM(B$47:B81))</f>
        <v/>
      </c>
      <c r="D81" s="2033">
        <v>35</v>
      </c>
      <c r="F81" s="64" t="str">
        <f>IF(COUNTA($A$47:$A81)&lt;=MAX(DS_DevExpProgs_Sequence)=TRUE,LOOKUP(COUNTA($A$47:$A81),DS_DevExpProgs_Sequence,DS_DevExpProgs_DataNames),"")</f>
        <v/>
      </c>
    </row>
    <row r="82" spans="1:31">
      <c r="A82" s="59" t="s">
        <v>136</v>
      </c>
      <c r="B82" s="57">
        <v>1</v>
      </c>
      <c r="C82" s="60">
        <f>IF(B82&lt;&gt;1,"",SUM(B$47:B82))</f>
        <v>13</v>
      </c>
      <c r="D82" s="2033">
        <v>36</v>
      </c>
      <c r="F82" s="64" t="str">
        <f>IF(COUNTA($A$47:$A82)&lt;=MAX(DS_DevExpProgs_Sequence)=TRUE,LOOKUP(COUNTA($A$47:$A82),DS_DevExpProgs_Sequence,DS_DevExpProgs_DataNames),"")</f>
        <v/>
      </c>
      <c r="L82" s="1157"/>
    </row>
    <row r="83" spans="1:31">
      <c r="A83" s="59" t="s">
        <v>137</v>
      </c>
      <c r="B83" s="57">
        <v>1</v>
      </c>
      <c r="C83" s="60">
        <f>IF(B83&lt;&gt;1,"",SUM(B$47:B83))</f>
        <v>14</v>
      </c>
      <c r="D83" s="2033">
        <v>37</v>
      </c>
      <c r="F83" s="64" t="str">
        <f>IF(COUNTA($A$47:$A83)&lt;=MAX(DS_DevExpProgs_Sequence)=TRUE,LOOKUP(COUNTA($A$47:$A83),DS_DevExpProgs_Sequence,DS_DevExpProgs_DataNames),"")</f>
        <v/>
      </c>
      <c r="L83" s="1157"/>
    </row>
    <row r="84" spans="1:31">
      <c r="A84" s="59" t="s">
        <v>138</v>
      </c>
      <c r="B84" s="57">
        <v>0</v>
      </c>
      <c r="C84" s="60" t="str">
        <f>IF(B84&lt;&gt;1,"",SUM(B$47:B84))</f>
        <v/>
      </c>
      <c r="D84" s="2033">
        <v>38</v>
      </c>
      <c r="F84" s="64" t="str">
        <f>IF(COUNTA($A$47:$A84)&lt;=MAX(DS_DevExpProgs_Sequence)=TRUE,LOOKUP(COUNTA($A$47:$A84),DS_DevExpProgs_Sequence,DS_DevExpProgs_DataNames),"")</f>
        <v/>
      </c>
      <c r="L84" s="1157"/>
    </row>
    <row r="85" spans="1:31" ht="15" customHeight="1">
      <c r="A85" s="59" t="s">
        <v>139</v>
      </c>
      <c r="B85" s="57">
        <v>0</v>
      </c>
      <c r="C85" s="60" t="str">
        <f>IF(B85&lt;&gt;1,"",SUM(B$47:B85))</f>
        <v/>
      </c>
      <c r="D85" s="2033">
        <v>39</v>
      </c>
      <c r="F85" s="64" t="str">
        <f>IF(COUNTA($A$47:$A85)&lt;=MAX(DS_DevExpProgs_Sequence)=TRUE,LOOKUP(COUNTA($A$47:$A85),DS_DevExpProgs_Sequence,DS_DevExpProgs_DataNames),"")</f>
        <v/>
      </c>
      <c r="N85" s="585" t="s">
        <v>1823</v>
      </c>
      <c r="O85" s="585"/>
      <c r="P85" s="585"/>
      <c r="Q85" s="585"/>
      <c r="R85" s="585"/>
      <c r="S85" s="585"/>
    </row>
    <row r="86" spans="1:31" ht="15" customHeight="1">
      <c r="A86" s="59" t="s">
        <v>140</v>
      </c>
      <c r="B86" s="57">
        <v>0</v>
      </c>
      <c r="C86" s="60" t="str">
        <f>IF(B86&lt;&gt;1,"",SUM(B$47:B86))</f>
        <v/>
      </c>
      <c r="D86" s="2033">
        <v>40</v>
      </c>
      <c r="F86" s="64" t="str">
        <f>IF(COUNTA($A$47:$A86)&lt;=MAX(DS_DevExpProgs_Sequence)=TRUE,LOOKUP(COUNTA($A$47:$A86),DS_DevExpProgs_Sequence,DS_DevExpProgs_DataNames),"")</f>
        <v/>
      </c>
      <c r="N86" s="585" t="s">
        <v>1824</v>
      </c>
      <c r="O86" s="585"/>
      <c r="P86" s="585"/>
      <c r="Q86" s="585"/>
      <c r="R86" s="585"/>
      <c r="S86" s="585"/>
    </row>
    <row r="87" spans="1:31" ht="15" customHeight="1">
      <c r="A87" s="59" t="s">
        <v>141</v>
      </c>
      <c r="B87" s="1728">
        <v>0</v>
      </c>
      <c r="C87" s="60" t="str">
        <f>IF(B87&lt;&gt;1,"",SUM(B$47:B87))</f>
        <v/>
      </c>
      <c r="D87" s="2033">
        <v>41</v>
      </c>
      <c r="F87" s="64" t="str">
        <f>IF(COUNTA($A$47:$A87)&lt;=MAX(DS_DevExpProgs_Sequence)=TRUE,LOOKUP(COUNTA($A$47:$A87),DS_DevExpProgs_Sequence,DS_DevExpProgs_DataNames),"")</f>
        <v/>
      </c>
      <c r="N87" s="585"/>
      <c r="O87" s="585"/>
      <c r="P87" s="585"/>
      <c r="Q87" s="585"/>
      <c r="R87" s="585"/>
      <c r="S87" s="585"/>
    </row>
    <row r="88" spans="1:31" ht="15" customHeight="1">
      <c r="A88" s="59" t="s">
        <v>85</v>
      </c>
      <c r="B88" s="1728">
        <v>1</v>
      </c>
      <c r="C88" s="60">
        <f>IF(B88&lt;&gt;1,"",SUM(B$47:B88))</f>
        <v>15</v>
      </c>
      <c r="D88" s="2033">
        <v>42</v>
      </c>
      <c r="F88" s="64" t="str">
        <f>IF(COUNTA($A$47:$A88)&lt;=MAX(DS_DevExpProgs_Sequence)=TRUE,LOOKUP(COUNTA($A$47:$A88),DS_DevExpProgs_Sequence,DS_DevExpProgs_DataNames),"")</f>
        <v/>
      </c>
      <c r="N88" s="585" t="s">
        <v>2166</v>
      </c>
      <c r="O88" s="585"/>
      <c r="P88" s="585"/>
      <c r="Q88" s="585"/>
      <c r="R88" s="585"/>
      <c r="S88" s="585"/>
    </row>
    <row r="89" spans="1:31" ht="15" customHeight="1">
      <c r="A89" s="59" t="s">
        <v>142</v>
      </c>
      <c r="B89" s="1728">
        <v>1</v>
      </c>
      <c r="C89" s="60">
        <f>IF(B89&lt;&gt;1,"",SUM(B$47:B89))</f>
        <v>16</v>
      </c>
      <c r="D89" s="2033">
        <v>43</v>
      </c>
      <c r="F89" s="64" t="str">
        <f>IF(COUNTA($A$47:$A89)&lt;=MAX(DS_DevExpProgs_Sequence)=TRUE,LOOKUP(COUNTA($A$47:$A89),DS_DevExpProgs_Sequence,DS_DevExpProgs_DataNames),"")</f>
        <v/>
      </c>
      <c r="N89" s="585"/>
      <c r="O89" s="585"/>
      <c r="P89" s="585"/>
      <c r="Q89" s="585"/>
      <c r="R89" s="585"/>
      <c r="S89" s="585"/>
    </row>
    <row r="90" spans="1:31" ht="15" customHeight="1">
      <c r="A90" s="59" t="s">
        <v>143</v>
      </c>
      <c r="B90" s="1728">
        <v>0</v>
      </c>
      <c r="C90" s="60" t="str">
        <f>IF(B90&lt;&gt;1,"",SUM(B$47:B90))</f>
        <v/>
      </c>
      <c r="D90" s="1949">
        <v>44</v>
      </c>
      <c r="F90" s="64" t="str">
        <f>IF(COUNTA($A$47:$A90)&lt;=MAX(DS_DevExpProgs_Sequence)=TRUE,LOOKUP(COUNTA($A$47:$A90),DS_DevExpProgs_Sequence,DS_DevExpProgs_DataNames),"")</f>
        <v/>
      </c>
      <c r="N90" s="1158" t="s">
        <v>1825</v>
      </c>
      <c r="O90" s="1158"/>
      <c r="P90" s="1158"/>
      <c r="Q90" s="1158"/>
      <c r="R90" s="1158"/>
      <c r="S90" s="1158"/>
    </row>
    <row r="91" spans="1:31">
      <c r="I91" s="879" t="s">
        <v>1826</v>
      </c>
      <c r="J91" s="879" t="s">
        <v>1828</v>
      </c>
      <c r="K91" s="879"/>
      <c r="L91" s="879" t="s">
        <v>1830</v>
      </c>
      <c r="N91" s="6" t="s">
        <v>1842</v>
      </c>
    </row>
    <row r="92" spans="1:31" ht="18" customHeight="1">
      <c r="A92" s="571" t="s">
        <v>144</v>
      </c>
      <c r="B92" s="6"/>
      <c r="C92" s="6"/>
      <c r="D92" s="6"/>
      <c r="E92" s="516" t="s">
        <v>111</v>
      </c>
      <c r="F92" s="1649"/>
      <c r="I92" s="879" t="s">
        <v>1827</v>
      </c>
      <c r="J92" s="879" t="s">
        <v>1829</v>
      </c>
      <c r="K92" s="879"/>
      <c r="L92" s="879" t="s">
        <v>1831</v>
      </c>
    </row>
    <row r="93" spans="1:31" ht="18" customHeight="1">
      <c r="A93" s="2001" t="s">
        <v>2542</v>
      </c>
      <c r="B93" s="2002" t="s">
        <v>459</v>
      </c>
      <c r="C93" s="1998"/>
      <c r="D93" s="1998"/>
      <c r="E93" s="516"/>
      <c r="G93" s="111" t="s">
        <v>1644</v>
      </c>
      <c r="H93" s="111" t="s">
        <v>1645</v>
      </c>
      <c r="I93" s="111" t="str">
        <f>"Dev "&amp;TEXT(COUNTA($H93:H93),"0")</f>
        <v>Dev 1</v>
      </c>
      <c r="J93" s="111" t="str">
        <f>"Dev "&amp;TEXT(COUNTA($H93:I93),"0")</f>
        <v>Dev 2</v>
      </c>
      <c r="K93" s="111" t="str">
        <f>"Dev "&amp;TEXT(COUNTA($H93:J93),"0")</f>
        <v>Dev 3</v>
      </c>
      <c r="L93" s="111" t="str">
        <f>"Dev "&amp;TEXT(COUNTA($H93:K93),"0")</f>
        <v>Dev 4</v>
      </c>
      <c r="M93" s="111" t="str">
        <f>"Dev "&amp;TEXT(COUNTA($H93:L93),"0")</f>
        <v>Dev 5</v>
      </c>
      <c r="Q93" s="5" t="s">
        <v>2759</v>
      </c>
    </row>
    <row r="94" spans="1:31">
      <c r="A94" s="2000" t="s">
        <v>2431</v>
      </c>
      <c r="B94" s="511"/>
      <c r="C94" s="511"/>
      <c r="D94" s="511"/>
      <c r="E94" s="573">
        <v>3</v>
      </c>
      <c r="G94" s="423" t="str">
        <f ca="1">IF(DevExp_MinDevs_List_Count&gt;=DS_DevExp_MinDevs_List,"Yes","No, "&amp;TEXT(DS_DevExp_MinDevs_List-DevExp_MinDevs_List_Count,"0")&amp;" shy")</f>
        <v>No, 3 shy</v>
      </c>
      <c r="H94" s="1135" cm="1">
        <f t="array" aca="1" ref="H94" ca="1">IF(AND('General Information'!M123&gt;0,IF('General Information'!K124&gt;0,DevExp_first_Dev_name&lt;&gt;"",TRUE),IF('General Information'!K125&gt;0,DevExp_first_Dev_location&lt;&gt;"",TRUE),IF('General Information'!K127&gt;0,OR(AND(DevExp_first_Dev_program&lt;&gt;"&lt;select one&gt;",DevExp_first_Dev_program&lt;&gt;""),CELL("protect",DevExp_first_Dev_program)=1),TRUE),IF(AND('General Information'!K128&gt;0,DevExp_first_Dev_program="Other"),DevExp_first_Other_program&lt;&gt;"",TRUE),IF('General Information'!K129&gt;0,DevExp_first_Dev_units&lt;&gt;"",TRUE),IF('General Information'!K130&gt;0,DevExp_first_Dev_year&lt;&gt;"",TRUE)),1,0)+IF(AND('General Information'!M133&gt;0,IF('General Information'!K134&gt;0,DevExp_second_Dev_name&lt;&gt;"",TRUE),IF('General Information'!K135&gt;0,DevExp_second_Dev_location&lt;&gt;"",TRUE),IF('General Information'!K137&gt;0,OR(AND(DevExp_second_Dev_program&lt;&gt;"&lt;select one&gt;",DevExp_second_Dev_program&lt;&gt;""),CELL("protect",DevExp_second_Dev_program)=1),TRUE),IF(AND('General Information'!K138&gt;0,DevExp_second_Dev_program="Other"),DevExp_second_Other_program&lt;&gt;"",TRUE),IF('General Information'!K139&gt;0,DevExp_second_Dev_units&lt;&gt;"",TRUE),IF('General Information'!K140&gt;0,DevExp_second_Dev_year&lt;&gt;"",TRUE)),1,0)+IF(AND('General Information'!M143&gt;0,IF('General Information'!K144&gt;0,DevExp_third_Dev_name&lt;&gt;"",TRUE),IF('General Information'!K145&gt;0,DevExp_third_Dev_location&lt;&gt;"",TRUE),IF('General Information'!K147&gt;0,OR(AND(DevExp_third_Dev_program&lt;&gt;"&lt;select one&gt;",DevExp_third_Dev_program&lt;&gt;""),CELL("protect",DevExp_third_Dev_program)=1),TRUE),IF(AND('General Information'!K148&gt;0,DevExp_third_Dev_program="Other"),DevExp_third_Other_program&lt;&gt;"",TRUE),IF('General Information'!K149&gt;0,DevExp_third_Dev_units&lt;&gt;"",TRUE),IF('General Information'!K150&gt;0,DevExp_third_Dev_year&lt;&gt;"",TRUE)),1,0)+IF(AND('General Information'!M153&gt;0,IF('General Information'!K144&gt;0,DevExp_fourth_Dev_name&lt;&gt;"",TRUE),IF('General Information'!K155&gt;0,DevExp_fourth_Dev_location&lt;&gt;"",TRUE),IF('General Information'!K157&gt;0,OR(AND(DevExp_fourth_Dev_program&lt;&gt;"&lt;select one&gt;",DevExp_fourth_Dev_program&lt;&gt;""),CELL("protect",DevExp_fourth_Dev_program)=1),TRUE),IF(AND('General Information'!K158&gt;0,DevExp_fourth_Dev_program="Other"),DevExp_fourth_Other_program&lt;&gt;"",TRUE),IF('General Information'!K159&gt;0,DevExp_fourth_Dev_units&lt;&gt;"",TRUE),IF('General Information'!K160&gt;0,DevExp_fourth_Dev_year&lt;&gt;"",TRUE)),1,0)+IF(AND('General Information'!M163&gt;0,IF('General Information'!K144&gt;0,DevExp_fifth_Dev_name&lt;&gt;"",TRUE),IF('General Information'!K165&gt;0,DevExp_fifth_Dev_location&lt;&gt;"",TRUE),IF('General Information'!K167&gt;0,OR(AND(DevExp_fifth_Dev_program&lt;&gt;"&lt;select one&gt;",DevExp_fifth_Dev_program&lt;&gt;""),CELL("protect",DevExp_fifth_Dev_program)=1),TRUE),IF(AND('General Information'!K168&gt;0,DevExp_fifth_Dev_program="Other"),DevExp_fifth_Other_program&lt;&gt;"",TRUE),IF('General Information'!K169&gt;0,DevExp_fifth_Dev_units&lt;&gt;"",TRUE),IF('General Information'!K170&gt;0,DevExp_fifth_Dev_year&lt;&gt;"",TRUE)),1,0)</f>
        <v>0</v>
      </c>
      <c r="I94" s="1027" t="s">
        <v>1638</v>
      </c>
      <c r="J94" s="36"/>
      <c r="K94" s="36"/>
      <c r="L94" s="36"/>
      <c r="M94" s="36"/>
      <c r="N94" s="1112"/>
      <c r="O94" s="1112"/>
      <c r="P94" s="1113" t="s">
        <v>1814</v>
      </c>
      <c r="Q94" s="1104" t="str" cm="1">
        <f t="array" aca="1" ref="Q94" ca="1">IF('General Information'!M123=0,"",IF(AND(IF('General Information'!K124&gt;0,DevExp_first_Dev_name&lt;&gt;"",TRUE),IF('General Information'!K125&gt;0,DevExp_first_Dev_location&lt;&gt;"",TRUE),IF('General Information'!K126=1,DevExp_first_Dev_Principal&lt;&gt;"",TRUE),IF('General Information'!K127&gt;0,OR(AND(DevExp_first_Dev_program&lt;&gt;"&lt;select one&gt;",DevExp_first_Dev_program&lt;&gt;""),CELL("protect",DevExp_first_Dev_program)=1),TRUE),IF(AND('General Information'!K128&gt;0,DevExp_first_Dev_program="Other"),DevExp_first_Other_program&lt;&gt;IF(RIGHT(Excel_RFA_Number,3)="213","&lt;select one&gt;",""),TRUE),IF('General Information'!K129&gt;0,DevExp_first_Dev_units&lt;&gt;"",TRUE),IF('General Information'!K130&gt;0,DevExp_first_Dev_year&lt;&gt;"",TRUE)),"All required data fields have entries. ",IF(AND(IF('General Information'!K124&gt;0,DevExp_first_Dev_name="",TRUE),IF('General Information'!K125&gt;0,DevExp_first_Dev_location="",TRUE),IF('General Information'!K127&gt;0,OR(DevExp_first_Dev_program="&lt;select one&gt;",DevExp_first_Dev_program="",CELL("protect",DevExp_first_Dev_program)=1),TRUE),IF('General Information'!K128&gt;0,DevExp_first_Other_program=IF(RIGHT(Excel_RFA_Number,3)="213","&lt;select one&gt;",""),TRUE),IF('General Information'!K129&gt;0,DevExp_first_Dev_units="",TRUE),IF('General Information'!K130&gt;0,DevExp_first_Dev_year="",TRUE)),"",IF(IF(AND('General Information'!K124&gt;0,DevExp_first_Dev_name=""),1,0)+IF(AND('General Information'!K125&gt;0,DevExp_first_Dev_location=""),1,0)+IF(AND('General Information'!K127&gt;0,OR(DevExp_first_Dev_program="&lt;select one&gt;",DevExp_first_Dev_program="")),1,0)+IF(AND(AND('General Information'!K128&gt;0,DevExp_first_Dev_program="Other"),DevExp_first_Other_program=IF(RIGHT(Excel_RFA_Number,3)="213","&lt;select one&gt;","")),1,0)+IF(AND('General Information'!K129&gt;0,DevExp_first_Dev_units=""),1,0)+IF(AND('General Information'!K130&gt;0,DevExp_first_Dev_year=""),1,0)&gt;1,"Fields for the above development are","A field for the above development is")&amp;" missing. ")))</f>
        <v/>
      </c>
      <c r="R94" s="374"/>
      <c r="S94" s="374"/>
      <c r="T94" s="374"/>
      <c r="U94" s="374"/>
      <c r="V94" s="374"/>
      <c r="W94" s="374"/>
      <c r="X94" s="374"/>
      <c r="Y94" s="374"/>
      <c r="Z94" s="374"/>
      <c r="AA94" s="374"/>
      <c r="AB94" s="374"/>
      <c r="AC94" s="374"/>
      <c r="AD94" s="374"/>
      <c r="AE94" s="374"/>
    </row>
    <row r="95" spans="1:31">
      <c r="A95" s="1866" t="s">
        <v>146</v>
      </c>
      <c r="B95" s="2764" t="s">
        <v>1813</v>
      </c>
      <c r="C95" s="2764"/>
      <c r="D95" s="2764"/>
      <c r="E95" s="530">
        <v>38353</v>
      </c>
      <c r="F95" s="1345"/>
      <c r="G95" s="268"/>
      <c r="I95" s="97" t="str">
        <f ca="1">"List-"&amp;IF('General Information'!M123=0,"NS","S"&amp;IF(IFERROR(FIND("All",Q94),0)&gt;0,"Y","N"&amp;IF(Q94="","B","F")))</f>
        <v>List-SNB</v>
      </c>
      <c r="J95" s="97" t="str">
        <f ca="1">"List-"&amp;IF('General Information'!M133=0,"NS","S"&amp;IF(IFERROR(FIND("All",Q95),0)&gt;0,"Y","N"&amp;IF(Q95="","B","F")))</f>
        <v>List-SNB</v>
      </c>
      <c r="K95" s="97" t="str">
        <f ca="1">"List-"&amp;IF('General Information'!M143=0,"NS","S"&amp;IF(IFERROR(FIND("All",Q96),0)&gt;0,"Y","N"&amp;IF(Q96="","B","F")))</f>
        <v>List-SNB</v>
      </c>
      <c r="L95" s="97" t="str">
        <f>"List-"&amp;IF('General Information'!M153=0,"NS","S"&amp;IF(IFERROR(FIND("All",Q97),0)&gt;0,"Y","N"&amp;IF(Q97="","B","F")))</f>
        <v>List-NS</v>
      </c>
      <c r="M95" s="97" t="str">
        <f>"List-"&amp;IF('General Information'!M163=0,"NS","S"&amp;IF(IFERROR(FIND("All",Q98),0)&gt;0,"Y","N"&amp;IF(Q98="","B","F")))</f>
        <v>List-NS</v>
      </c>
      <c r="N95" s="1107"/>
      <c r="O95" s="1107"/>
      <c r="P95" s="1108" t="s">
        <v>1815</v>
      </c>
      <c r="Q95" s="1106" t="str" cm="1">
        <f t="array" aca="1" ref="Q95" ca="1">IF('General Information'!M133=0,"",IF(AND(IF('General Information'!K134&gt;0,DevExp_second_Dev_name&lt;&gt;"",TRUE),IF('General Information'!K135&gt;0,DevExp_second_Dev_location&lt;&gt;"",TRUE),IF('General Information'!K136&gt;0,DevExp_second_Dev_location&lt;&gt;"",TRUE),IF('General Information'!K137&gt;0,OR(AND(DevExp_second_Dev_program&lt;&gt;"&lt;select one&gt;",DevExp_second_Dev_program&lt;&gt;""),CELL("protect",DevExp_second_Dev_program)=1),TRUE),IF(AND('General Information'!K138&gt;0,DevExp_second_Dev_program="Other"),DevExp_second_Other_program&lt;&gt;IF(RIGHT(Excel_RFA_Number,3)="213","&lt;select one&gt;",""),TRUE),IF('General Information'!K139&gt;0,DevExp_second_Dev_units&lt;&gt;"",TRUE),IF('General Information'!K140&gt;0,DevExp_second_Dev_year&lt;&gt;"",TRUE)),"All required data fields have entries. ",IF(AND(IF('General Information'!K134&gt;0,DevExp_second_Dev_name="",TRUE),IF('General Information'!K135&gt;0,DevExp_second_Dev_location="",TRUE),IF('General Information'!K137&gt;0,OR(DevExp_second_Dev_program="&lt;select one&gt;",DevExp_second_Dev_program="",CELL("protect",DevExp_second_Dev_program)=1),TRUE),IF('General Information'!K138&gt;0,DevExp_second_Other_program=IF(RIGHT(Excel_RFA_Number,3)="213","&lt;select one&gt;",""),TRUE),IF('General Information'!K139&gt;0,DevExp_second_Dev_units="",TRUE),IF('General Information'!K140&gt;0,DevExp_second_Dev_year="",TRUE)),"",IF(IF(AND('General Information'!K134&gt;0,DevExp_second_Dev_name=""),1,0)+IF(AND('General Information'!K135&gt;0,DevExp_second_Dev_location=""),1,0)+IF(AND('General Information'!K137&gt;0,OR(DevExp_second_Dev_program="&lt;select one&gt;",DevExp_second_Dev_program="")),1,0)+IF(AND(AND('General Information'!K138&gt;0,DevExp_second_Dev_program="Other"),DevExp_second_Other_program=IF(RIGHT(Excel_RFA_Number,3)="213","&lt;select one&gt;","")),1,0)+IF(AND('General Information'!K139&gt;0,DevExp_second_Dev_units=""),1,0)+IF(AND('General Information'!K140&gt;0,DevExp_second_Dev_year=""),1,0)&gt;1,"Fields for the above development are","A field for the above development is")&amp;" missing. ")))</f>
        <v/>
      </c>
      <c r="R95" s="377"/>
      <c r="S95" s="377"/>
      <c r="T95" s="377"/>
      <c r="U95" s="377"/>
      <c r="V95" s="377"/>
      <c r="W95" s="377"/>
      <c r="X95" s="377"/>
      <c r="Y95" s="377"/>
      <c r="Z95" s="377"/>
      <c r="AA95" s="377"/>
      <c r="AB95" s="377"/>
      <c r="AC95" s="377"/>
      <c r="AD95" s="377"/>
      <c r="AE95" s="377"/>
    </row>
    <row r="96" spans="1:31">
      <c r="A96" s="1867" t="str">
        <f>"# of Developments to meet Initial Date Requirement ("&amp;TEXT(DS_DevExp_MinDevs_List,"0")&amp;" or less)"</f>
        <v># of Developments to meet Initial Date Requirement (3 or less)</v>
      </c>
      <c r="B96" s="2773" t="s">
        <v>1811</v>
      </c>
      <c r="C96" s="2773"/>
      <c r="D96" s="2773"/>
      <c r="E96" s="533">
        <v>3</v>
      </c>
      <c r="F96" s="511"/>
      <c r="G96" s="423" t="str">
        <f>IF(DevExp_DevsWithSinceDate_Count&gt;=DS_DevExp_DevsWithSinceDate,"Yes","No, "&amp;TEXT(DS_DevExp_DevsWithSinceDate-DevExp_DevsWithSinceDate_Count,"0")&amp;" shy")</f>
        <v>No, 3 shy</v>
      </c>
      <c r="H96" s="1134">
        <f>IF(AND('General Information'!K130&gt;0,YEAR(DS_DevExp_SinceDate)&lt;=N(DevExp_first_Dev_year),DevExp_first_Dev_year&lt;&gt;""),1,0)+IF(AND('General Information'!K140&gt;0,YEAR(DS_DevExp_SinceDate)&lt;=N(DevExp_second_Dev_year),DevExp_second_Dev_year&lt;&gt;""),1,0)+IF(AND('General Information'!K150&gt;0,YEAR(DS_DevExp_SinceDate)&lt;=N(DevExp_third_Dev_year),DevExp_third_Dev_year&lt;&gt;""),1,0)+IF(AND('General Information'!K160&gt;0,YEAR(DS_DevExp_SinceDate)&lt;=N(DevExp_fourth_Dev_year),DevExp_fourth_Dev_year&lt;&gt;""),1,0)+IF(AND('General Information'!K170&gt;0,YEAR(DS_DevExp_SinceDate)&lt;=N(DevExp_fifth_Dev_year),DevExp_fifth_Dev_year&lt;&gt;""),1,0)</f>
        <v>0</v>
      </c>
      <c r="I96" s="1131" t="s">
        <v>1641</v>
      </c>
      <c r="J96" s="1132"/>
      <c r="K96" s="1132"/>
      <c r="L96" s="1132"/>
      <c r="M96" s="1132"/>
      <c r="N96" s="1107"/>
      <c r="O96" s="1107"/>
      <c r="P96" s="1108" t="s">
        <v>1816</v>
      </c>
      <c r="Q96" s="1106" t="str" cm="1">
        <f t="array" aca="1" ref="Q96" ca="1">IF('General Information'!M143=0,"",IF(AND(IF('General Information'!K144&gt;0,DevExp_third_Dev_name&lt;&gt;"",TRUE),IF('General Information'!K145&gt;0,DevExp_third_Dev_location&lt;&gt;"",TRUE),IF('General Information'!K146&gt;0,DevExp_third_Dev_location&lt;&gt;"",TRUE),IF('General Information'!K147&gt;0,OR(AND(DevExp_third_Dev_program&lt;&gt;"&lt;select one&gt;",DevExp_third_Dev_program&lt;&gt;""),CELL("protect",DevExp_third_Dev_program)=1),TRUE),IF(AND('General Information'!K148&gt;0,DevExp_third_Dev_program="Other"),DevExp_third_Other_program&lt;&gt;IF(RIGHT(Excel_RFA_Number,3)="213","&lt;select one&gt;",""),TRUE),IF('General Information'!K149&gt;0,DevExp_third_Dev_units&lt;&gt;"",TRUE),IF('General Information'!K150&gt;0,DevExp_third_Dev_year&lt;&gt;"",TRUE)),"All required data fields have entries. ",IF(AND(IF('General Information'!K144&gt;0,DevExp_third_Dev_name="",TRUE),IF('General Information'!K145&gt;0,DevExp_third_Dev_location="",TRUE),IF('General Information'!K147&gt;0,OR(DevExp_third_Dev_program="&lt;select one&gt;",DevExp_third_Dev_program="",CELL("protect",DevExp_third_Dev_program)=1),TRUE),IF('General Information'!K148&gt;0,DevExp_third_Other_program=IF(RIGHT(Excel_RFA_Number,3)="213","&lt;select one&gt;",""),TRUE),IF('General Information'!K149&gt;0,DevExp_third_Dev_units="",TRUE),IF('General Information'!K150&gt;0,DevExp_third_Dev_year="",TRUE)),"",IF(IF(AND('General Information'!K144&gt;0,DevExp_third_Dev_name=""),1,0)+IF(AND('General Information'!K145&gt;0,DevExp_third_Dev_location=""),1,0)+IF(AND('General Information'!K147&gt;0,OR(DevExp_third_Dev_program="&lt;select one&gt;",DevExp_third_Dev_program="")),1,0)+IF(AND(AND('General Information'!K148&gt;0,DevExp_third_Dev_program="Other"),DevExp_third_Other_program=IF(RIGHT(Excel_RFA_Number,3)="213","&lt;select one&gt;","")),1,0)+IF(AND('General Information'!K149&gt;0,DevExp_third_Dev_units=""),1,0)+IF(AND('General Information'!K150&gt;0,DevExp_third_Dev_year=""),1,0)&gt;1,"Fields for the above development are","A field for the above development is")&amp;" missing. ")))</f>
        <v/>
      </c>
      <c r="R96" s="377"/>
      <c r="S96" s="377"/>
      <c r="T96" s="377"/>
      <c r="U96" s="377"/>
      <c r="V96" s="377"/>
      <c r="W96" s="377"/>
      <c r="X96" s="377"/>
      <c r="Y96" s="377"/>
      <c r="Z96" s="377"/>
      <c r="AA96" s="377"/>
      <c r="AB96" s="377"/>
      <c r="AC96" s="377"/>
      <c r="AD96" s="377"/>
      <c r="AE96" s="377"/>
    </row>
    <row r="97" spans="1:31" ht="30" customHeight="1">
      <c r="A97" s="1868" t="s">
        <v>148</v>
      </c>
      <c r="B97" s="271"/>
      <c r="C97" s="2794" t="s">
        <v>2409</v>
      </c>
      <c r="D97" s="2794"/>
      <c r="E97" s="2794"/>
      <c r="I97" s="1133" t="str">
        <f ca="1">"Gen-"&amp;IF('General Information'!M123=0,"NS","S"&amp;IF(AND('General Information'!K130&gt;0,YEAR(DS_DevExp_SinceDate)&lt;=N(DevExp_first_Dev_year),DevExp_first_Dev_year&lt;&gt;""),"Y","N"&amp;IF(Q100="","B","F")))</f>
        <v>Gen-SNB</v>
      </c>
      <c r="J97" s="1133" t="str">
        <f ca="1">"Gen-"&amp;IF('General Information'!M133=0,"NS","S"&amp;IF(AND('General Information'!K140&gt;0,YEAR(DS_DevExp_SinceDate)&lt;=N(DevExp_second_Dev_year),DevExp_second_Dev_year&lt;&gt;""),"Y","N"&amp;IF(Q101="","B","F")))</f>
        <v>Gen-SNB</v>
      </c>
      <c r="K97" s="1133" t="str">
        <f ca="1">"Gen-"&amp;IF('General Information'!M143=0,"NS","S"&amp;IF(AND('General Information'!K150&gt;0,YEAR(DS_DevExp_SinceDate)&lt;=N(DevExp_third_Dev_year),DevExp_third_Dev_year&lt;&gt;""),"Y","N"&amp;IF(Q102="","B","F")))</f>
        <v>Gen-SNB</v>
      </c>
      <c r="L97" s="1133" t="str">
        <f>"Gen-"&amp;IF('General Information'!M153=0,"NS","S"&amp;IF(AND('General Information'!K160&gt;0,YEAR(DS_DevExp_SinceDate)&lt;=N(DevExp_fourth_Dev_year),DevExp_fourth_Dev_year&lt;&gt;""),"Y","N"&amp;IF(Q103="","B","F")))</f>
        <v>Gen-NS</v>
      </c>
      <c r="M97" s="1133" t="str">
        <f>"Gen-"&amp;IF('General Information'!M163=0,"NS","S"&amp;IF(AND('General Information'!K170&gt;0,YEAR(DS_DevExp_SinceDate)&lt;=N(DevExp_fifth_Dev_year),DevExp_fifth_Dev_year&lt;&gt;""),"Y","N"&amp;IF(Q104="","B","F")))</f>
        <v>Gen-NS</v>
      </c>
      <c r="N97" s="1107"/>
      <c r="O97" s="1107"/>
      <c r="P97" s="1938" t="s">
        <v>2427</v>
      </c>
      <c r="Q97" s="1106" t="str" cm="1">
        <f t="array" aca="1" ref="Q97" ca="1">IF('General Information'!M153=0,"",IF(AND(IF('General Information'!K154&gt;0,DevExp_fourth_Dev_name&lt;&gt;"",TRUE),IF('General Information'!K155&gt;0,DevExp_fourth_Dev_location&lt;&gt;"",TRUE),IF('General Information'!K156&gt;0,DevExp_fourth_Dev_location&lt;&gt;"",TRUE),IF('General Information'!K157&gt;0,OR(AND(DevExp_fourth_Dev_program&lt;&gt;"&lt;select one&gt;",DevExp_fourth_Dev_program&lt;&gt;""),CELL("protect",DevExp_fourth_Dev_program)=1),TRUE),IF(AND('General Information'!K158&gt;0,DevExp_fourth_Dev_program="Other"),DevExp_fourth_Other_program&lt;&gt;IF(RIGHT(Excel_RFA_Number,3)="213","&lt;select one&gt;",""),TRUE),IF('General Information'!K159&gt;0,DevExp_fourth_Dev_units&lt;&gt;"",TRUE),IF('General Information'!K160&gt;0,DevExp_fourth_Dev_year&lt;&gt;"",TRUE)),"All required data fields have entries. ",IF(AND(IF('General Information'!K154&gt;0,DevExp_fourth_Dev_name="",TRUE),IF('General Information'!K153&gt;0,DevExp_fourth_Dev_location="",TRUE),IF('General Information'!K157&gt;0,OR(DevExp_fourth_Dev_program="&lt;select one&gt;",DevExp_fourth_Dev_program="",CELL("protect",DevExp_fourth_Dev_program)=1),TRUE),IF('General Information'!K158&gt;0,DevExp_fourth_Other_program=IF(RIGHT(Excel_RFA_Number,3)="213","&lt;select one&gt;",""),TRUE),IF('General Information'!K159&gt;0,DevExp_fourth_Dev_units="",TRUE),IF('General Information'!K160&gt;0,DevExp_fourth_Dev_year="",TRUE)),"",IF(IF(AND('General Information'!K154&gt;0,DevExp_fourth_Dev_name=""),1,0)+IF(AND('General Information'!K155&gt;0,DevExp_fourth_Dev_location=""),1,0)+IF(AND('General Information'!K157&gt;0,OR(DevExp_fourth_Dev_program="&lt;select one&gt;",DevExp_fourth_Dev_program="")),1,0)+IF(AND(AND('General Information'!K158&gt;0,DevExp_fourth_Dev_program="Other"),DevExp_fourth_Other_program=IF(RIGHT(Excel_RFA_Number,3)="213","&lt;select one&gt;","")),1,0)+IF(AND('General Information'!K159&gt;0,DevExp_fourth_Dev_units=""),1,0)+IF(AND('General Information'!K160&gt;0,DevExp_fourth_Dev_year=""),1,0)&gt;1,"Fields for the above development are","A field for the above development is")&amp;" missing. ")))</f>
        <v/>
      </c>
      <c r="R97" s="377"/>
      <c r="S97" s="377"/>
      <c r="T97" s="377"/>
      <c r="U97" s="377"/>
      <c r="V97" s="377"/>
      <c r="W97" s="377"/>
      <c r="X97" s="377"/>
      <c r="Y97" s="377"/>
      <c r="Z97" s="377"/>
      <c r="AA97" s="377"/>
      <c r="AB97" s="377"/>
      <c r="AC97" s="377"/>
      <c r="AD97" s="377"/>
      <c r="AE97" s="377"/>
    </row>
    <row r="98" spans="1:31">
      <c r="A98" s="1869" t="s">
        <v>149</v>
      </c>
      <c r="B98" s="255"/>
      <c r="C98" s="255"/>
      <c r="D98" s="255"/>
      <c r="E98" s="530">
        <v>42005</v>
      </c>
      <c r="F98" s="64" t="s">
        <v>59</v>
      </c>
      <c r="G98" s="268"/>
      <c r="N98" s="1107"/>
      <c r="O98" s="1107"/>
      <c r="P98" s="1938" t="s">
        <v>2428</v>
      </c>
      <c r="Q98" s="1106" t="str" cm="1">
        <f t="array" aca="1" ref="Q98" ca="1">IF('General Information'!M163=0,"",IF(AND(IF('General Information'!K164&gt;0,DevExp_fifth_Dev_name&lt;&gt;"",TRUE),IF('General Information'!K165&gt;0,DevExp_fifth_Dev_location&lt;&gt;"",TRUE),IF('General Information'!K166&gt;0,DevExp_fifth_Dev_location&lt;&gt;"",TRUE),IF('General Information'!K167&gt;0,OR(AND(DevExp_fifth_Dev_program&lt;&gt;"&lt;select one&gt;",DevExp_fifth_Dev_program&lt;&gt;""),CELL("protect",DevExp_fifth_Dev_program)=1),TRUE),IF(AND('General Information'!K168&gt;0,DevExp_fifth_Dev_program="Other"),DevExp_fifth_Other_program&lt;&gt;IF(RIGHT(Excel_RFA_Number,3)="213","&lt;select one&gt;",""),TRUE),IF('General Information'!K169&gt;0,DevExp_fifth_Dev_units&lt;&gt;"",TRUE),IF('General Information'!K170&gt;0,DevExp_fifth_Dev_year&lt;&gt;"",TRUE)),"All required data fields have entries. ",IF(AND(IF('General Information'!K164&gt;0,DevExp_fifth_Dev_name="",TRUE),IF('General Information'!K153&gt;0,DevExp_fifth_Dev_location="",TRUE),IF('General Information'!K167&gt;0,OR(DevExp_fifth_Dev_program="&lt;select one&gt;",DevExp_fifth_Dev_program="",CELL("protect",DevExp_fifth_Dev_program)=1),TRUE),IF('General Information'!K168&gt;0,DevExp_fifth_Other_program=IF(RIGHT(Excel_RFA_Number,3)="213","&lt;select one&gt;",""),TRUE),IF('General Information'!K169&gt;0,DevExp_fifth_Dev_units="",TRUE),IF('General Information'!K170&gt;0,DevExp_fifth_Dev_year="",TRUE)),"",IF(IF(AND('General Information'!K164&gt;0,DevExp_fifth_Dev_name=""),1,0)+IF(AND('General Information'!K165&gt;0,DevExp_fifth_Dev_location=""),1,0)+IF(AND('General Information'!K167&gt;0,OR(DevExp_fifth_Dev_program="&lt;select one&gt;",DevExp_fifth_Dev_program="")),1,0)+IF(AND(AND('General Information'!K168&gt;0,DevExp_fifth_Dev_program="Other"),DevExp_fifth_Other_program=IF(RIGHT(Excel_RFA_Number,3)="213","&lt;select one&gt;","")),1,0)+IF(AND('General Information'!K169&gt;0,DevExp_fifth_Dev_units=""),1,0)+IF(AND('General Information'!K170&gt;0,DevExp_fifth_Dev_year=""),1,0)&gt;1,"Fields for the above development are","A field for the above development is")&amp;" missing. ")))</f>
        <v/>
      </c>
      <c r="R98" s="377"/>
      <c r="S98" s="377"/>
      <c r="T98" s="377"/>
      <c r="U98" s="377"/>
      <c r="V98" s="377"/>
      <c r="W98" s="377"/>
      <c r="X98" s="377"/>
      <c r="Y98" s="377"/>
      <c r="Z98" s="377"/>
      <c r="AA98" s="377"/>
      <c r="AB98" s="377"/>
      <c r="AC98" s="377"/>
      <c r="AD98" s="377"/>
      <c r="AE98" s="377"/>
    </row>
    <row r="99" spans="1:31">
      <c r="A99" s="1870" t="str">
        <f>"# of Developments to meet minimum Program Requirement ("&amp;TEXT(DS_DevExp_MinDevs_List,"0")&amp;" or less)"</f>
        <v># of Developments to meet minimum Program Requirement (3 or less)</v>
      </c>
      <c r="B99" s="511"/>
      <c r="C99" s="511"/>
      <c r="D99" s="511"/>
      <c r="E99" s="531">
        <v>1</v>
      </c>
      <c r="F99" s="64" t="s">
        <v>1811</v>
      </c>
      <c r="G99" s="423" t="str">
        <f>IF(DevExp_PrgmMinDevs_Count&gt;=DS_DevExp_PrgmMinDevs,"Yes","No, "&amp;TEXT(DS_DevExp_PrgmMinDevs-DevExp_PrgmMinDevs_Count,"0")&amp;" shy")</f>
        <v>No, 1 shy</v>
      </c>
      <c r="H99" s="1136">
        <f>IF(AND('General Information'!K127&gt;0,DS_DevExp_PrgmReq=DevExp_first_Dev_program,YEAR(DS_DevExp_PrgmSinceDate)&lt;=N(DevExp_first_Dev_year)),1,0)+IF(AND('General Information'!K137&gt;0,DS_DevExp_PrgmReq=DevExp_second_Dev_program,YEAR(DS_DevExp_PrgmSinceDate)&lt;=N(DevExp_second_Dev_year)),1,0)+IF(AND('General Information'!K147&gt;0,DS_DevExp_PrgmReq=DevExp_third_Dev_program,YEAR(DS_DevExp_PrgmSinceDate)&lt;=N(DevExp_third_Dev_year)),1,0)+IF(AND('General Information'!K157&gt;0,DS_DevExp_PrgmReq=DevExp_fourth_Dev_program,YEAR(DS_DevExp_PrgmSinceDate)&lt;=N(DevExp_fourth_Dev_year)),1,0)+IF(AND('General Information'!K167&gt;0,DS_DevExp_PrgmReq=DevExp_fifth_Dev_program,YEAR(DS_DevExp_PrgmSinceDate)&lt;=N(DevExp_fifth_Dev_year)),1,0)</f>
        <v>0</v>
      </c>
      <c r="I99" s="1137" t="s">
        <v>1835</v>
      </c>
      <c r="J99" s="1138"/>
      <c r="K99" s="1138"/>
      <c r="L99" s="1138"/>
      <c r="M99" s="1138"/>
      <c r="N99" s="1109"/>
      <c r="O99" s="1109"/>
      <c r="P99" s="1942" t="s">
        <v>1817</v>
      </c>
      <c r="Q99" s="1123" t="str">
        <f ca="1">IF(AND(DevExp_MinDevs_List_Count&gt;0,DS_DevExp_MinDevs_List&gt;0),"The minimum number of "&amp;TEXT(DS_DevExp_MinDevs_List,"0")&amp;" development"&amp;IF(DS_DevExp_MinDevs_List&gt;1,"s","")&amp;" to be listed is "&amp;IF(DevExp_MinDevs_List_Count&gt;=DS_DevExp_MinDevs_List,"","NOT ")&amp;"met.","")</f>
        <v/>
      </c>
      <c r="R99" s="375"/>
      <c r="S99" s="375"/>
      <c r="T99" s="375"/>
      <c r="U99" s="375"/>
      <c r="V99" s="375"/>
      <c r="W99" s="375"/>
      <c r="X99" s="375"/>
      <c r="Y99" s="375"/>
      <c r="Z99" s="375"/>
      <c r="AA99" s="375"/>
      <c r="AB99" s="375"/>
      <c r="AC99" s="375"/>
      <c r="AD99" s="375"/>
      <c r="AE99" s="375"/>
    </row>
    <row r="100" spans="1:31">
      <c r="A100" s="1148" t="s">
        <v>150</v>
      </c>
      <c r="B100" s="2762">
        <f>IF(DS_DevExp_MinUnits_Criteria="Percentage",ROUNDUP(Total_Units*DS_DevExp_MinUnits_Percent,0),DS_DevExp_MinUnits_Number)</f>
        <v>0</v>
      </c>
      <c r="C100" s="2762"/>
      <c r="D100" s="2762"/>
      <c r="E100" s="532">
        <v>0.5</v>
      </c>
      <c r="F100" s="2308" t="s">
        <v>1812</v>
      </c>
      <c r="G100" s="268"/>
      <c r="I100" s="1139" t="str">
        <f ca="1">"Prgm-"&amp;IF('General Information'!M123=0,"NS","S"&amp;IF(AND('General Information'!K127&gt;0,DS_DevExp_PrgmReq=DevExp_first_Dev_program,YEAR(DS_DevExp_PrgmSinceDate)&lt;=N(DevExp_first_Dev_year)),"Y","N"&amp;IF(Q106="","B","F")))</f>
        <v>Prgm-SNB</v>
      </c>
      <c r="J100" s="1139" t="str">
        <f ca="1">"Prgm-"&amp;IF('General Information'!M133=0,"NS","S"&amp;IF(AND('General Information'!K137&gt;0,DS_DevExp_PrgmReq=DevExp_second_Dev_program,YEAR(DS_DevExp_PrgmSinceDate)&lt;=N(DevExp_second_Dev_year)),"Y","N"&amp;IF(Q107="","B","F")))</f>
        <v>Prgm-SNB</v>
      </c>
      <c r="K100" s="1139" t="str">
        <f ca="1">"Prgm-"&amp;IF('General Information'!M143=0,"NS","S"&amp;IF(AND('General Information'!K147&gt;0,DS_DevExp_PrgmReq=DevExp_third_Dev_program,YEAR(DS_DevExp_PrgmSinceDate)&lt;=N(DevExp_third_Dev_year)),"Y","N"&amp;IF(Q108="","B","F")))</f>
        <v>Prgm-SNB</v>
      </c>
      <c r="L100" s="1921" t="str">
        <f>"Prgm-"&amp;IF('General Information'!M153=0,"NS","S"&amp;IF(AND('General Information'!K157&gt;0,DS_DevExp_PrgmReq=DevExp_fourth_Dev_program,YEAR(DS_DevExp_PrgmSinceDate)&lt;=N(DevExp_fourth_Dev_year)),"Y","N"&amp;IF(Q109="","B","F")))</f>
        <v>Prgm-NS</v>
      </c>
      <c r="M100" s="1921" t="str">
        <f>"Prgm-"&amp;IF('General Information'!M163=0,"NS","S"&amp;IF(AND('General Information'!K167&gt;0,DS_DevExp_PrgmReq=DevExp_fifth_Dev_program,YEAR(DS_DevExp_PrgmSinceDate)&lt;=N(DevExp_fifth_Dev_year)),"Y","N"&amp;IF(Q110="","B","F")))</f>
        <v>Prgm-NS</v>
      </c>
      <c r="N100" s="1111"/>
      <c r="O100" s="1111"/>
      <c r="P100" s="1110" t="s">
        <v>1796</v>
      </c>
      <c r="Q100" s="1106"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"&amp;TEXT(DS_DevExp_SinceDate,"yyyy")&amp;IF(DevExp_DevsWithSinceDate_Count&gt;=DS_DevExp_DevsWithSinceDate,"",", contributing to NOT meeting the minimum qualifying Developments")&amp;". ",IF(N(DevExp_first_Dev_year)&gt;=YEAR(DS_DevExp_SinceDate),"The year meets the date requirement for the "&amp;DS_DevExp_NonPrgmWording&amp;" housing experience. ","")))))</f>
        <v/>
      </c>
      <c r="R100" s="377"/>
      <c r="S100" s="377"/>
      <c r="T100" s="377"/>
      <c r="U100" s="377"/>
      <c r="V100" s="377"/>
      <c r="W100" s="377"/>
      <c r="X100" s="377"/>
      <c r="Y100" s="377"/>
      <c r="Z100" s="377"/>
      <c r="AA100" s="377"/>
      <c r="AB100" s="377"/>
      <c r="AC100" s="377"/>
      <c r="AD100" s="377"/>
      <c r="AE100" s="377"/>
    </row>
    <row r="101" spans="1:31">
      <c r="A101" s="1148" t="s">
        <v>151</v>
      </c>
      <c r="B101" s="2763"/>
      <c r="C101" s="2763"/>
      <c r="D101" s="2763"/>
      <c r="E101" s="58">
        <v>12</v>
      </c>
      <c r="F101" s="64" t="s">
        <v>59</v>
      </c>
      <c r="G101" s="268"/>
      <c r="N101" s="1111"/>
      <c r="O101" s="1111"/>
      <c r="P101" s="1110" t="s">
        <v>1797</v>
      </c>
      <c r="Q101" s="1106"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"&amp;TEXT(DS_DevExp_SinceDate,"yyyy")&amp;IF(DevExp_DevsWithSinceDate_Count&gt;=DS_DevExp_DevsWithSinceDate,"",", contributing to NOT meeting the minimum qualifying Developments")&amp;". ",IF(N(DevExp_second_Dev_year)&gt;=YEAR(DS_DevExp_SinceDate),"The year meets the date requirement for the "&amp;DS_DevExp_NonPrgmWording&amp;" housing experience. ","")))))</f>
        <v/>
      </c>
      <c r="R101" s="377"/>
      <c r="S101" s="377"/>
      <c r="T101" s="377"/>
      <c r="U101" s="377"/>
      <c r="V101" s="377"/>
      <c r="W101" s="377"/>
      <c r="X101" s="377"/>
      <c r="Y101" s="377"/>
      <c r="Z101" s="377"/>
      <c r="AA101" s="377"/>
      <c r="AB101" s="377"/>
      <c r="AC101" s="377"/>
      <c r="AD101" s="377"/>
      <c r="AE101" s="377"/>
    </row>
    <row r="102" spans="1:31">
      <c r="A102" s="1148" t="s">
        <v>152</v>
      </c>
      <c r="B102" s="255"/>
      <c r="C102" s="255"/>
      <c r="D102" s="255"/>
      <c r="E102" s="58" t="s">
        <v>145</v>
      </c>
      <c r="F102" s="64" t="s">
        <v>145</v>
      </c>
      <c r="G102" s="268"/>
      <c r="I102" s="1143" t="str">
        <f>"Units-"&amp;IF('General Information'!M123=0,"NS","S"&amp;IF(AND('General Information'!K129&gt;0,OR(AND(DS_DevExp_MinUnits_Criteria="Percentage",Total_Units&gt;0),DS_DevExp_MinUnits_Criteria="Number"),DS_DevExp_MinUnits&lt;=DevExp_first_Dev_units),"Y","N"&amp;IF(Q112="","B","F")))</f>
        <v>Units-SNB</v>
      </c>
      <c r="J102" s="1143" t="str">
        <f>"Units-"&amp;IF('General Information'!M133=0,"NS","S"&amp;IF(AND('General Information'!K139&gt;0,OR(AND(DS_DevExp_MinUnits_Criteria="Percentage",Total_Units&gt;0),DS_DevExp_MinUnits_Criteria="Number"),DS_DevExp_MinUnits&lt;=DevExp_second_Dev_units),"Y","N"&amp;IF(Q113="","B","F")))</f>
        <v>Units-SNB</v>
      </c>
      <c r="K102" s="1143" t="str">
        <f>"Units-"&amp;IF('General Information'!M143=0,"NS","S"&amp;IF(AND('General Information'!K149&gt;0,OR(AND(DS_DevExp_MinUnits_Criteria="Percentage",Total_Units&gt;0),DS_DevExp_MinUnits_Criteria="Number"),DS_DevExp_MinUnits&lt;=DevExp_third_Dev_units),"Y","N"&amp;IF(Q114="","B","F")))</f>
        <v>Units-SNB</v>
      </c>
      <c r="L102" s="1142" t="str" cm="1">
        <f t="array" ref="L102">"Units-"&amp;IF('General Information'!M153=0,"NS","S"&amp;IF(AND('General Information'!K159&gt;0,OR(AND(DS_DevExp_MinUnits_Criteria="Percentage",Total_Units&gt;0),DS_DevExp_MinUnits_Criteria="Number"),DS_DevExp_MinUnits&lt;=DevExp_fourth_Dev_units),"Y","N"&amp;IF(Q115="","B","F")))</f>
        <v>Units-NS</v>
      </c>
      <c r="M102" s="1142" t="str" cm="1">
        <f t="array" ref="M102">"Units-"&amp;IF('General Information'!M163=0,"NS","S"&amp;IF(AND('General Information'!K169&gt;0,OR(AND(DS_DevExp_MinUnits_Criteria="Percentage",Total_Units&gt;0),DS_DevExp_MinUnits_Criteria="Number"),DS_DevExp_MinUnits&lt;=DevExp_fifth_Dev_units),"Y","N"&amp;IF(Q116="","B","F")))</f>
        <v>Units-NS</v>
      </c>
      <c r="N102" s="1111"/>
      <c r="O102" s="1111"/>
      <c r="P102" s="1110" t="s">
        <v>1798</v>
      </c>
      <c r="Q102" s="1106"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"&amp;TEXT(DS_DevExp_SinceDate,"yyyy")&amp;IF(DevExp_DevsWithSinceDate_Count&gt;=DS_DevExp_DevsWithSinceDate,"",", contributing to NOT meeting the minimum qualifying Developments")&amp;". ",IF(N(DevExp_third_Dev_year)&gt;=YEAR(DS_DevExp_SinceDate),"The year meets the date requirement for the "&amp;DS_DevExp_NonPrgmWording&amp;" housing experience. ","")))))</f>
        <v/>
      </c>
      <c r="R102" s="377"/>
      <c r="S102" s="377"/>
      <c r="T102" s="377"/>
      <c r="U102" s="377"/>
      <c r="V102" s="377"/>
      <c r="W102" s="377"/>
      <c r="X102" s="377"/>
      <c r="Y102" s="377"/>
      <c r="Z102" s="377"/>
      <c r="AA102" s="377"/>
      <c r="AB102" s="377"/>
      <c r="AC102" s="377"/>
      <c r="AD102" s="377"/>
      <c r="AE102" s="377"/>
    </row>
    <row r="103" spans="1:31">
      <c r="A103" s="1871" t="str">
        <f>"# of Developments to meet minimum units ("&amp;TEXT(DS_DevExp_MinDevs_List,"0")&amp;" or less)"</f>
        <v># of Developments to meet minimum units (3 or less)</v>
      </c>
      <c r="B103" s="335"/>
      <c r="C103" s="335"/>
      <c r="D103" s="335"/>
      <c r="E103" s="533">
        <v>1</v>
      </c>
      <c r="F103" s="2307" t="s">
        <v>147</v>
      </c>
      <c r="G103" s="423" t="str">
        <f ca="1">IF(DevExp_MinUnits_Count&gt;=DS_DevExp_MinUnits_Devs,"Yes","No, "&amp;TEXT(DS_DevExp_MinUnits_Devs-DevExp_MinUnits_Count,"0")&amp;" shy")</f>
        <v>No, 1 shy</v>
      </c>
      <c r="H103" s="1140">
        <f ca="1">IF(AND('General Information'!K129&gt;0,OR(AND(DS_DevExp_MinUnits_Criteria="Percentage",Total_Units&gt;0,IF(Unit_Min_Limit_Basis="Total",IFERROR(FIND("Attention",Min_and_max_units_met),0)=0,TRUE)),DS_DevExp_MinUnits_Criteria="Number"),DS_DevExp_MinUnits&lt;=DevExp_first_Dev_units),1,0)+IF(AND('General Information'!K139&gt;0,OR(AND(DS_DevExp_MinUnits_Criteria="Percentage",Total_Units&gt;0,IF(Unit_Min_Limit_Basis="Total",IFERROR(FIND("Attention",Min_and_max_units_met),0)=0,TRUE)),DS_DevExp_MinUnits_Criteria="Number"),DS_DevExp_MinUnits&lt;=DevExp_second_Dev_units),1,0)+IF(AND('General Information'!K149&gt;0,OR(AND(DS_DevExp_MinUnits_Criteria="Percentage",Total_Units&gt;0,IF(Unit_Min_Limit_Basis="Total",IFERROR(FIND("Attention",Min_and_max_units_met),0)=0,TRUE)),DS_DevExp_MinUnits_Criteria="Number"),DS_DevExp_MinUnits&lt;=DevExp_third_Dev_units),1,0)+IF(AND('General Information'!K159&gt;0,OR(AND(DS_DevExp_MinUnits_Criteria="Percentage",Total_Units&gt;0,IF(Unit_Min_Limit_Basis="Total",IFERROR(FIND("Attention",Min_and_max_units_met),0)=0,TRUE)),DS_DevExp_MinUnits_Criteria="Number"),DS_DevExp_MinUnits&lt;=DevExp_fourth_Dev_units),1,0)+IF(AND('General Information'!K169&gt;0,OR(AND(DS_DevExp_MinUnits_Criteria="Percentage",Total_Units&gt;0,IF(Unit_Min_Limit_Basis="Total",IFERROR(FIND("Attention",Min_and_max_units_met),0)=0,TRUE)),DS_DevExp_MinUnits_Criteria="Number"),DS_DevExp_MinUnits&lt;=DevExp_fifth_Dev_units),1,0)</f>
        <v>0</v>
      </c>
      <c r="I103" s="1141" t="s">
        <v>1642</v>
      </c>
      <c r="J103" s="1142"/>
      <c r="K103" s="1142"/>
      <c r="L103" s="1142"/>
      <c r="N103" s="1111"/>
      <c r="O103" s="1111"/>
      <c r="P103" s="1939" t="s">
        <v>2429</v>
      </c>
      <c r="Q103" s="1106" t="str">
        <f ca="1">IF(DevExp_fourth_Dev_year="","",IF(N(DevExp_fourth_Dev_year)&gt;2050,"Please enter only the year the development was completed. ",IF(N(DevExp_fourth_Dev_year)&gt;YEAR(NOW()),"Please enter an appropriate year. ",IF(AND(DS_DevExp_DevsWithSinceDate&gt;0,N(DevExp_fourth_Dev_year)&lt;YEAR(DS_DevExp_SinceDate)),"The year is prior to the Developer experience date of "&amp;TEXT(DS_DevExp_SinceDate,"yyyy")&amp;IF(DevExp_DevsWithSinceDate_Count&gt;=DS_DevExp_DevsWithSinceDate,"",", contributing to NOT meeting the minimum qualifying Developments")&amp;". ",IF(N(DevExp_fourth_Dev_year)&gt;=YEAR(DS_DevExp_SinceDate),"The year meets the date requirement for the "&amp;DS_DevExp_NonPrgmWording&amp;" housing experience. ","")))))</f>
        <v/>
      </c>
      <c r="R103" s="377"/>
      <c r="S103" s="377"/>
      <c r="T103" s="377"/>
      <c r="U103" s="377"/>
      <c r="V103" s="377"/>
      <c r="W103" s="377"/>
      <c r="X103" s="377"/>
      <c r="Y103" s="377"/>
      <c r="Z103" s="377"/>
      <c r="AA103" s="377"/>
      <c r="AB103" s="377"/>
      <c r="AC103" s="377"/>
      <c r="AD103" s="377"/>
      <c r="AE103" s="377"/>
    </row>
    <row r="104" spans="1:31" ht="30" customHeight="1" thickBot="1">
      <c r="A104" s="2795" t="str">
        <f>IF(DS_DevExp_MinDevs_List=0,"No Developer Experience needs to be identified.",CHOOSE(DS_DevExp_MinDevs_List,"One","Two","Three","Four","Five")&amp;" developments must be documented, of which "&amp;CHOOSE(DS_DevExp_DevsWithSinceDate,"one ","two ","three ","four ","five ")&amp;DS_DevExp_NonPrgmWording&amp;" developments must be listed with completion dates no earlier than "&amp;TEXT(YEAR(DS_DevExp_SinceDate),"0")&amp;" and "&amp;CHOOSE(DS_DevExp_MinUnits_Devs,"one","two","three","four","five")&amp;"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")&amp;IF(DS_DevExp_MinDevs_List=0,"",IF(DS_DevExp_PrgmMinDevs=0,"",CHOOSE(DS_DevExp_PrgmMinDevs,"One","Two","Three","Four","Five")&amp;" must also list the use of "&amp;DS_DevExp_PrgmReq&amp;" funding with a completion date no earlier than "&amp;TEXT(YEAR(DS_DevExp_PrgmSinceDate),"0")&amp;"."))</f>
        <v>Three developments must be documented, of which three affordable developments must be listed with completion dates no earlier than 2005 and one must have at least 50% the number of units of the proposed Development. One must also list the use of Housing Credits funding with a completion date no earlier than 2015.</v>
      </c>
      <c r="B104" s="2795"/>
      <c r="C104" s="2795"/>
      <c r="D104" s="2795"/>
      <c r="E104" s="2795"/>
      <c r="F104" s="2795"/>
      <c r="G104" s="2795"/>
      <c r="H104" s="2795"/>
      <c r="I104" s="731"/>
      <c r="J104" s="2061" t="s">
        <v>2506</v>
      </c>
      <c r="K104" s="2062">
        <f>IF('General Information'!M123=0,0,1)+IF('General Information'!M133=0,0,1)+IF('General Information'!M143=0,0,1)+IF('General Information'!M153=0,0,1)+IF('General Information'!M163=0,0,1)</f>
        <v>3</v>
      </c>
      <c r="L104" s="1872"/>
      <c r="M104" s="1872"/>
      <c r="N104" s="1111"/>
      <c r="O104" s="1111"/>
      <c r="P104" s="1939" t="s">
        <v>2430</v>
      </c>
      <c r="Q104" s="1106" t="str">
        <f ca="1">IF(DevExp_fifth_Dev_year="","",IF(N(DevExp_fifth_Dev_year)&gt;2050,"Please enter only the year the development was completed. ",IF(N(DevExp_fifth_Dev_year)&gt;YEAR(NOW()),"Please enter an appropriate year. ",IF(AND(DS_DevExp_DevsWithSinceDate&gt;0,N(DevExp_fifth_Dev_year)&lt;YEAR(DS_DevExp_SinceDate)),"The year is prior to the Developer experience date of "&amp;TEXT(DS_DevExp_SinceDate,"yyyy")&amp;IF(DevExp_DevsWithSinceDate_Count&gt;=DS_DevExp_DevsWithSinceDate,"",", contributing to NOT meeting the minimum qualifying Developments")&amp;". ",IF(N(DevExp_fifth_Dev_year)&gt;=YEAR(DS_DevExp_SinceDate),"The year meets the date requirement for the "&amp;DS_DevExp_NonPrgmWording&amp;" housing experience. ","")))))</f>
        <v/>
      </c>
      <c r="R104" s="377"/>
      <c r="S104" s="377"/>
      <c r="T104" s="377"/>
      <c r="U104" s="377"/>
      <c r="V104" s="377"/>
      <c r="W104" s="377"/>
      <c r="X104" s="377"/>
      <c r="Y104" s="377"/>
      <c r="Z104" s="377"/>
      <c r="AA104" s="377"/>
      <c r="AB104" s="377"/>
      <c r="AC104" s="377"/>
      <c r="AD104" s="377"/>
      <c r="AE104" s="377"/>
    </row>
    <row r="105" spans="1:31" ht="15.75" thickBot="1">
      <c r="A105" s="2043" t="s">
        <v>2508</v>
      </c>
      <c r="B105" s="2002" t="s">
        <v>301</v>
      </c>
      <c r="C105" s="2796" t="s">
        <v>2517</v>
      </c>
      <c r="D105" s="2796"/>
      <c r="E105" s="2796"/>
      <c r="F105" s="2796"/>
      <c r="G105" s="2796"/>
      <c r="H105" s="2074" t="s">
        <v>2516</v>
      </c>
      <c r="I105" s="2075" t="s">
        <v>2514</v>
      </c>
      <c r="J105" s="1654"/>
      <c r="K105" s="1668"/>
      <c r="L105" s="2060"/>
      <c r="M105" s="2060"/>
      <c r="N105" s="1100"/>
      <c r="O105" s="1100"/>
      <c r="P105" s="1943" t="s">
        <v>1807</v>
      </c>
      <c r="Q105" s="1130" t="str">
        <f ca="1">IF(OR(DevExp_DevsWithSinceDate_Count&gt;0,AND(DS_DevExp_DevsWithSinceDate=1,IFERROR(FIND("All",'General Information'!$B131),0)&gt;0)),"The minimum "&amp;DS_DevExp_NonPrgmWording&amp;" housing experience being completed no earlier than "&amp;TEXT(YEAR(DS_DevExp_SinceDate),"0")&amp;" of "&amp;TEXT(DS_DevExp_DevsWithSinceDate,"0")&amp;" development"&amp;IF(DS_DevExp_DevsWithSinceDate&gt;1,"s","")&amp;" is "&amp;IF(DevExp_DevsWithSinceDate_Count&gt;=DS_DevExp_DevsWithSinceDate,"","NOT ")&amp;"met. ","")</f>
        <v/>
      </c>
      <c r="R105" s="375"/>
      <c r="S105" s="375"/>
      <c r="T105" s="375"/>
      <c r="U105" s="375"/>
      <c r="V105" s="375"/>
      <c r="W105" s="375"/>
      <c r="X105" s="375"/>
      <c r="Y105" s="375"/>
      <c r="Z105" s="375"/>
      <c r="AA105" s="375"/>
      <c r="AB105" s="375"/>
      <c r="AC105" s="375"/>
      <c r="AD105" s="375"/>
      <c r="AE105" s="375"/>
    </row>
    <row r="106" spans="1:31">
      <c r="A106" s="2043" t="s">
        <v>2510</v>
      </c>
      <c r="B106" s="2002" t="s">
        <v>459</v>
      </c>
      <c r="C106" s="2063">
        <v>1</v>
      </c>
      <c r="D106" s="2789">
        <v>4</v>
      </c>
      <c r="E106" s="2067"/>
      <c r="F106" s="2789">
        <v>6</v>
      </c>
      <c r="G106" s="2063">
        <v>7</v>
      </c>
      <c r="H106" s="2822">
        <f>IF(AND(DS_DevExp_DB_HOME="Yes",DS_DevExp_DB_CDBG_DR&lt;&gt;"Yes",DS_DevExp_DB_Federal&lt;&gt;"Yes"),1,IF(AND(DS_DevExp_DB_HOME&lt;&gt;"Yes",DS_DevExp_DB_CDBG_DR="Yes",DS_DevExp_DB_Federal&lt;&gt;"Yes"),2,IF(AND(DS_DevExp_DB_HOME&lt;&gt;"Yes",DS_DevExp_DB_CDBG_DR&lt;&gt;"Yes",DS_DevExp_DB_Federal="Yes"),3,IF(AND(DS_DevExp_DB_HOME="Yes",DS_DevExp_DB_CDBG_DR="Yes",DS_DevExp_DB_Federal&lt;&gt;"Yes"),4,IF(AND(DS_DevExp_DB_HOME&lt;&gt;"Yes",DS_DevExp_DB_CDBG_DR="Yes",DS_DevExp_DB_Federal="Yes"),5,IF(AND(DS_DevExp_DB_HOME="Yes",DS_DevExp_DB_CDBG_DR="Yes",DS_DevExp_DB_Federal="Yes"),6,IF(AND(DS_DevExp_DB_HOME="Yes",DS_DevExp_DB_CDBG_DR&lt;&gt;"Yes",DS_DevExp_DB_Federal="Yes"),7,0)))))))</f>
        <v>5</v>
      </c>
      <c r="I106" s="2825">
        <f>CHOOSE(DS_DevExp_DB_Sequence+1,12,12,8,DS_DevExp_DB_Federal_Units,MIN(12,8),MIN(8,DS_DevExp_DB_Federal_Units),MIN(12,8,DS_DevExp_DB_Federal_Units),MIN(12,DS_DevExp_DB_Federal_Units))</f>
        <v>8</v>
      </c>
      <c r="J106" s="1654"/>
      <c r="K106" s="1668"/>
      <c r="L106" s="2060"/>
      <c r="M106" s="2060"/>
      <c r="N106" s="1114"/>
      <c r="O106" s="1114"/>
      <c r="P106" s="1115" t="s">
        <v>1799</v>
      </c>
      <c r="Q106" s="1106" t="str">
        <f ca="1">IF(OR(DevExp_first_Dev_year="",N(DevExp_first_Dev_year)&gt;YEAR(NOW()),DS_DevExp_PrgmMinDevs=0,DevExp_first_Dev_program="",DevExp_first_Dev_program="&lt;select one&gt;"),"",IF(AND(DS_DevExp_PrgmMinDevs&gt;0,DevExp_first_Dev_program=DS_DevExp_PrgmReq,DS_LL_DevExpPrgms_Active&lt;&gt;"Yes"),IF(N(DevExp_first_Dev_year)&lt;YEAR(DS_DevExp_PrgmSinceDate),"The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"),IF(DS_LL_DevExpPrgms_Active="Yes",IF(N(DevExp_first_Dev_year)&lt;YEAR(DS_DevExp_PrgmSinceDate),"The year is prior to Developer experience date of "&amp;TEXT(DS_DevExp_PrgmSinceDate,"yyyy")&amp;" for a ","This Development meets the program experience date requirement for a ")&amp;IF(DevExp_first_Dev_program&lt;&gt;A$48,"Mixed Income Development"&amp;IF(OR(DevExp_first_Dev_program=A$49,DevExp_first_Dev_program=A$52,DevExp_first_Dev_program=A$54,DevExp_first_Dev_program=A$55)," &amp; LIHTC Development committed to AIT","")&amp;IF(OR(DevExp_first_Dev_program=A$50,DevExp_first_Dev_program=A$53,DevExp_first_Dev_program=A$54,DevExp_first_Dev_program=A$55)," &amp; LIHTC Development w/ at least 20% non-LIHTC units","")&amp;IF(AND(OR(DevExp_first_Dev_program=A$48,DevExp_first_Dev_program=A$51,DevExp_first_Dev_program=A$52,DevExp_first_Dev_program=A$53,DevExp_first_Dev_program=A$55),OR(DS_ExcelCheckbox_MixedUse_Comm=TRUE,DS_ExcelCheckbox_MixedUse_Inst=TRUE))," &amp; Mixed-Use Development","")&amp;". ",IF(OR(DevExp_first_Dev_program=A$49,DevExp_first_Dev_program=A$52,DevExp_first_Dev_program=A$54,DevExp_first_Dev_program=A$55),"LIHTC Development committed to AIT"&amp;IF(OR(DevExp_first_Dev_program=A$50,DevExp_first_Dev_program=A$53,DevExp_first_Dev_program=A$54,DevExp_first_Dev_program=A$55)," &amp; w/ at least 20% non-LIHTC units",IF(AND(OR(DevExp_first_Dev_program=A$48,DevExp_first_Dev_program=A$51,DevExp_first_Dev_program=A$52,DevExp_first_Dev_program=A$53,DevExp_first_Dev_program=A$55),OR(DS_ExcelCheckbox_MixedUse_Comm=TRUE,DS_ExcelCheckbox_MixedUse_Inst=TRUE))," &amp; Mixed-Use Development",""))&amp;". ",IF(OR(DevExp_first_Dev_program=A$50,DevExp_first_Dev_program=A$53,DevExp_first_Dev_program=A$54,DevExp_first_Dev_program=A$55),"LIHTC Development w/ at least 20% non-LIHTC units. ",IF(AND(OR(DevExp_first_Dev_program=A$48,DevExp_first_Dev_program=A$51,DevExp_first_Dev_program=A$52,DevExp_first_Dev_program=A$53,DevExp_first_Dev_program=A$55),OR(DS_ExcelCheckbox_MixedUse_Comm=TRUE,DS_ExcelCheckbox_MixedUse_Inst=TRUE)),"Mixed-Use Development. ",""))))&amp;IF(AND(OR(DevExp_first_Dev_program=A$48,DevExp_first_Dev_program=A$51,DevExp_first_Dev_program=A$52,DevExp_first_Dev_program=A$53,DevExp_first_Dev_program=A$55),DS_ExcelCheckbox_MixedUse_Comm=FALSE,DS_ExcelCheckbox_MixedUse_Inst=FALSE),"Without selecting a Mixed-Use Subcategory, the Mixed-Use Development experience is not considered. ",""),"This Development does not meet the Funding Program Requirement. ")))</f>
        <v/>
      </c>
      <c r="R106" s="377"/>
      <c r="S106" s="377"/>
      <c r="T106" s="377"/>
      <c r="U106" s="377"/>
      <c r="V106" s="377"/>
      <c r="W106" s="377"/>
      <c r="X106" s="377"/>
      <c r="Y106" s="377"/>
      <c r="Z106" s="377"/>
      <c r="AA106" s="377"/>
      <c r="AB106" s="377"/>
      <c r="AC106" s="377"/>
      <c r="AD106" s="377"/>
      <c r="AE106" s="377"/>
    </row>
    <row r="107" spans="1:31">
      <c r="A107" s="2043" t="s">
        <v>2511</v>
      </c>
      <c r="B107" s="2002" t="s">
        <v>301</v>
      </c>
      <c r="C107" s="2064">
        <v>2</v>
      </c>
      <c r="D107" s="2790"/>
      <c r="E107" s="2790">
        <v>5</v>
      </c>
      <c r="F107" s="2790"/>
      <c r="G107" s="2066"/>
      <c r="H107" s="2823"/>
      <c r="I107" s="2826"/>
      <c r="J107" s="1654"/>
      <c r="K107" s="1668"/>
      <c r="L107" s="2060"/>
      <c r="M107" s="2060"/>
      <c r="N107" s="1101"/>
      <c r="O107" s="1101"/>
      <c r="P107" s="1117" t="s">
        <v>1801</v>
      </c>
      <c r="Q107" s="1106" t="str">
        <f ca="1">IF(OR(DevExp_second_Dev_year="",N(DevExp_second_Dev_year)&gt;YEAR(NOW()),DS_DevExp_PrgmMinDevs=0,DevExp_second_Dev_program="",DevExp_second_Dev_program="&lt;select one&gt;"),"",IF(AND(DS_DevExp_PrgmMinDevs&gt;0,DevExp_second_Dev_program=DS_DevExp_PrgmReq,DS_LL_DevExpPrgms_Active&lt;&gt;"Yes"),IF(N(DevExp_second_Dev_year)&lt;YEAR(DS_DevExp_PrgmSinceDate),"The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"),IF(DS_LL_DevExpPrgms_Active="Yes",IF(N(DevExp_second_Dev_year)&lt;YEAR(DS_DevExp_PrgmSinceDate),"The year is prior to Developer experience date of "&amp;TEXT(DS_DevExp_PrgmSinceDate,"yyyy")&amp;" for a ","This Development meets the program experience date requirement for a ")&amp;IF(DevExp_second_Dev_program&lt;&gt;A$48,"Mixed Income Development"&amp;IF(OR(DevExp_second_Dev_program=A$49,DevExp_second_Dev_program=A$52,DevExp_second_Dev_program=A$54,DevExp_second_Dev_program=A$55)," &amp; LIHTC Development committed to AIT","")&amp;IF(OR(DevExp_second_Dev_program=A$50,DevExp_second_Dev_program=A$53,DevExp_second_Dev_program=A$54,DevExp_second_Dev_program=A$55)," &amp; LIHTC Development w/ at least 20% non-LIHTC units","")&amp;IF(AND(OR(DevExp_second_Dev_program=A$48,DevExp_second_Dev_program=A$51,DevExp_second_Dev_program=A$52,DevExp_second_Dev_program=A$53,DevExp_second_Dev_program=A$55),OR(DS_ExcelCheckbox_MixedUse_Comm=TRUE,DS_ExcelCheckbox_MixedUse_Inst=TRUE))," &amp; Mixed-Use Development","")&amp;". ",IF(OR(DevExp_second_Dev_program=A$49,DevExp_second_Dev_program=A$52,DevExp_second_Dev_program=A$54,DevExp_second_Dev_program=A$55),"LIHTC Development committed to AIT"&amp;IF(OR(DevExp_second_Dev_program=A$50,DevExp_second_Dev_program=A$53,DevExp_second_Dev_program=A$54,DevExp_second_Dev_program=A$55)," &amp; w/ at least 20% non-LIHTC units",IF(AND(OR(DevExp_second_Dev_program=A$48,DevExp_second_Dev_program=A$51,DevExp_second_Dev_program=A$52,DevExp_second_Dev_program=A$53,DevExp_second_Dev_program=A$55),OR(DS_ExcelCheckbox_MixedUse_Comm=TRUE,DS_ExcelCheckbox_MixedUse_Inst=TRUE))," &amp; Mixed-Use Development",""))&amp;". ",IF(OR(DevExp_second_Dev_program=A$50,DevExp_second_Dev_program=A$53,DevExp_second_Dev_program=A$54,DevExp_second_Dev_program=A$55),"LIHTC Development w/ at least 20% non-LIHTC units. ",IF(AND(OR(DevExp_second_Dev_program=A$48,DevExp_second_Dev_program=A$51,DevExp_second_Dev_program=A$52,DevExp_second_Dev_program=A$53,DevExp_second_Dev_program=A$55),OR(DS_ExcelCheckbox_MixedUse_Comm=TRUE,DS_ExcelCheckbox_MixedUse_Inst=TRUE)),"Mixed-Use Development. ",""))))&amp;IF(AND(OR(DevExp_second_Dev_program=A$48,DevExp_second_Dev_program=A$51,DevExp_second_Dev_program=A$52,DevExp_second_Dev_program=A$53,DevExp_second_Dev_program=A$55),DS_ExcelCheckbox_MixedUse_Comm=FALSE,DS_ExcelCheckbox_MixedUse_Inst=FALSE),"Without selecting a Mixed-Use Subcategory, the Mixed-Use Development experience is not considered. ",""),IF(AND(DevExp_PrgmMinDevs_Score="Yes",DS_DevExp_PrgmReq&lt;&gt;DevExp_second_Dev_program),"","This Development does not meet the Funding Program Requirement. "))))</f>
        <v/>
      </c>
      <c r="R107" s="377"/>
      <c r="S107" s="377"/>
      <c r="T107" s="377"/>
      <c r="U107" s="377"/>
      <c r="V107" s="377"/>
      <c r="W107" s="377"/>
      <c r="X107" s="377"/>
      <c r="Y107" s="377"/>
      <c r="Z107" s="377"/>
      <c r="AA107" s="377"/>
      <c r="AB107" s="377"/>
      <c r="AC107" s="377"/>
      <c r="AD107" s="377"/>
      <c r="AE107" s="377"/>
    </row>
    <row r="108" spans="1:31" ht="15.75" thickBot="1">
      <c r="A108" s="2043" t="s">
        <v>2509</v>
      </c>
      <c r="B108" s="2002" t="s">
        <v>301</v>
      </c>
      <c r="C108" s="2065">
        <v>3</v>
      </c>
      <c r="D108" s="2068"/>
      <c r="E108" s="2791"/>
      <c r="F108" s="2791"/>
      <c r="G108" s="2065">
        <f>G106</f>
        <v>7</v>
      </c>
      <c r="H108" s="2824"/>
      <c r="I108" s="2827"/>
      <c r="J108" s="1654"/>
      <c r="K108" s="1668"/>
      <c r="L108" s="2060"/>
      <c r="M108" s="2060"/>
      <c r="N108" s="1102"/>
      <c r="O108" s="1102"/>
      <c r="P108" s="1116" t="s">
        <v>1800</v>
      </c>
      <c r="Q108" s="1106" t="str">
        <f ca="1">IF(OR(DevExp_third_Dev_year="",N(DevExp_third_Dev_year)&gt;YEAR(NOW()),DS_DevExp_PrgmMinDevs=0,DevExp_third_Dev_program="",DevExp_third_Dev_program="&lt;select one&gt;"),"",IF(AND(DevExp_third_Dev_program=DS_DevExp_PrgmReq,DS_LL_DevExpPrgms_Active&lt;&gt;"Yes"),IF(N(DevExp_third_Dev_year)&lt;YEAR(DS_DevExp_PrgmSinceDate),"The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"),IF(DS_LL_DevExpPrgms_Active="Yes",IF(N(DevExp_third_Dev_year)&lt;YEAR(DS_DevExp_PrgmSinceDate),"The year is prior to Developer experience date of "&amp;TEXT(DS_DevExp_PrgmSinceDate,"yyyy")&amp;" for a ","This Development meets the program experience date requirement for a ")&amp;IF(DevExp_third_Dev_program&lt;&gt;A$48,"Mixed Income Development"&amp;IF(OR(DevExp_third_Dev_program=A$49,DevExp_third_Dev_program=A$52,DevExp_third_Dev_program=A$54,DevExp_third_Dev_program=A$55)," &amp; LIHTC Development committed to AIT","")&amp;IF(OR(DevExp_third_Dev_program=A$50,DevExp_third_Dev_program=A$53,DevExp_third_Dev_program=A$54,DevExp_third_Dev_program=A$55)," &amp; LIHTC Development w/ at least 20% non-LIHTC units","")&amp;IF(AND(OR(DevExp_third_Dev_program=A$48,DevExp_third_Dev_program=A$51,DevExp_third_Dev_program=A$52,DevExp_third_Dev_program=A$53,DevExp_third_Dev_program=A$55),OR(DS_ExcelCheckbox_MixedUse_Comm=TRUE,DS_ExcelCheckbox_MixedUse_Inst=TRUE))," &amp; Mixed-Use Development","")&amp;". ",IF(OR(DevExp_third_Dev_program=A$49,DevExp_third_Dev_program=A$52,DevExp_third_Dev_program=A$54,DevExp_third_Dev_program=A$55),"LIHTC Development committed to AIT"&amp;IF(OR(DevExp_third_Dev_program=A$50,DevExp_third_Dev_program=A$53,DevExp_third_Dev_program=A$54,DevExp_third_Dev_program=A$55)," &amp; w/ at least 20% non-LIHTC units",IF(AND(OR(DevExp_third_Dev_program=A$48,DevExp_third_Dev_program=A$51,DevExp_third_Dev_program=A$52,DevExp_third_Dev_program=A$53,DevExp_third_Dev_program=A$55),OR(DS_ExcelCheckbox_MixedUse_Comm=TRUE,DS_ExcelCheckbox_MixedUse_Inst=TRUE))," &amp; Mixed-Use Development",""))&amp;". ",IF(OR(DevExp_third_Dev_program=A$50,DevExp_third_Dev_program=A$53,DevExp_third_Dev_program=A$54,DevExp_third_Dev_program=A$55),"LIHTC Development w/ at least 20% non-LIHTC units. ",IF(AND(OR(DevExp_third_Dev_program=A$48,DevExp_third_Dev_program=A$51,DevExp_third_Dev_program=A$52,DevExp_third_Dev_program=A$53,DevExp_third_Dev_program=A$55),OR(DS_ExcelCheckbox_MixedUse_Comm=TRUE,DS_ExcelCheckbox_MixedUse_Inst=TRUE)),"Mixed-Use Development. ",""))))&amp;IF(AND(OR(DevExp_third_Dev_program=A$48,DevExp_third_Dev_program=A$51,DevExp_third_Dev_program=A$52,DevExp_third_Dev_program=A$53,DevExp_third_Dev_program=A$55),DS_ExcelCheckbox_MixedUse_Comm=FALSE,DS_ExcelCheckbox_MixedUse_Inst=FALSE),"Without selecting a Mixed-Use Subcategory, the Mixed-Use Development experience is not considered. ",""),IF(AND(DevExp_PrgmMinDevs_Score="Yes",DS_DevExp_PrgmReq&lt;&gt;DevExp_third_Dev_program),"","This Development does not meet the Funding Program Requirement. "))))</f>
        <v/>
      </c>
      <c r="R108" s="377"/>
      <c r="S108" s="377"/>
      <c r="T108" s="377"/>
      <c r="U108" s="377"/>
      <c r="V108" s="377"/>
      <c r="W108" s="377"/>
      <c r="X108" s="377"/>
      <c r="Y108" s="377"/>
      <c r="Z108" s="377"/>
      <c r="AA108" s="377"/>
      <c r="AB108" s="377"/>
      <c r="AC108" s="377"/>
      <c r="AD108" s="377"/>
      <c r="AE108" s="377"/>
    </row>
    <row r="109" spans="1:31">
      <c r="A109" s="2043" t="s">
        <v>2507</v>
      </c>
      <c r="B109" s="573">
        <v>12</v>
      </c>
      <c r="C109" s="2776" t="str">
        <f>"This DB Section is used to populate the paragraph on row "&amp;ROW(E173)&amp;" in the General Information tab. The GC DB Experience requirements are below on row "&amp;ROW(A171)&amp;"."</f>
        <v>This DB Section is used to populate the paragraph on row 173 in the General Information tab. The GC DB Experience requirements are below on row 171.</v>
      </c>
      <c r="D109" s="2776"/>
      <c r="E109" s="2776"/>
      <c r="F109" s="2776"/>
      <c r="G109" s="2776"/>
      <c r="H109" s="2776"/>
      <c r="I109" s="2776"/>
      <c r="J109" s="1654"/>
      <c r="K109" s="1668"/>
      <c r="L109" s="2060"/>
      <c r="M109" s="2060"/>
      <c r="N109" s="1102"/>
      <c r="O109" s="1102"/>
      <c r="P109" s="1940" t="s">
        <v>2425</v>
      </c>
      <c r="Q109" s="1106" t="str">
        <f ca="1">IF(OR(DevExp_fourth_Dev_year="",N(DevExp_fourth_Dev_year)&gt;YEAR(NOW()),DS_DevExp_PrgmMinDevs=0,DevExp_fourth_Dev_program="",DevExp_fourth_Dev_program="&lt;select one&gt;"),"",IF(AND(DevExp_fourth_Dev_program=DS_DevExp_PrgmReq,DS_LL_DevExpPrgms_Active&lt;&gt;"Yes"),IF(N(DevExp_fourth_Dev_year)&lt;YEAR(DS_DevExp_PrgmSinceDate),"The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"),IF(DS_LL_DevExpPrgms_Active="Yes",IF(N(DevExp_fourth_Dev_year)&lt;YEAR(DS_DevExp_PrgmSinceDate),"The year is prior to Developer experience date of "&amp;TEXT(DS_DevExp_PrgmSinceDate,"yyyy")&amp;" for a ","This Development meets the program experience date requirement for a ")&amp;IF(DevExp_fourth_Dev_program&lt;&gt;A$48,"Mixed Income Development"&amp;IF(OR(DevExp_fourth_Dev_program=A$49,DevExp_fourth_Dev_program=A$52,DevExp_fourth_Dev_program=A$54,DevExp_fourth_Dev_program=A$55)," &amp; LIHTC Development committed to AIT","")&amp;IF(OR(DevExp_fourth_Dev_program=A$50,DevExp_fourth_Dev_program=A$53,DevExp_fourth_Dev_program=A$54,DevExp_fourth_Dev_program=A$55)," &amp; LIHTC Development w/ at least 20% non-LIHTC units","")&amp;IF(AND(OR(DevExp_fourth_Dev_program=A$48,DevExp_fourth_Dev_program=A$51,DevExp_fourth_Dev_program=A$52,DevExp_fourth_Dev_program=A$53,DevExp_fourth_Dev_program=A$55),OR(DS_ExcelCheckbox_MixedUse_Comm=TRUE,DS_ExcelCheckbox_MixedUse_Inst=TRUE))," &amp; Mixed-Use Development","")&amp;". ",IF(OR(DevExp_fourth_Dev_program=A$49,DevExp_fourth_Dev_program=A$52,DevExp_fourth_Dev_program=A$54,DevExp_fourth_Dev_program=A$55),"LIHTC Development committed to AIT"&amp;IF(OR(DevExp_fourth_Dev_program=A$50,DevExp_fourth_Dev_program=A$53,DevExp_fourth_Dev_program=A$54,DevExp_fourth_Dev_program=A$55)," &amp; w/ at least 20% non-LIHTC units",IF(AND(OR(DevExp_fourth_Dev_program=A$48,DevExp_fourth_Dev_program=A$51,DevExp_fourth_Dev_program=A$52,DevExp_fourth_Dev_program=A$53,DevExp_fourth_Dev_program=A$55),OR(DS_ExcelCheckbox_MixedUse_Comm=TRUE,DS_ExcelCheckbox_MixedUse_Inst=TRUE))," &amp; Mixed-Use Development",""))&amp;". ",IF(OR(DevExp_fourth_Dev_program=A$50,DevExp_fourth_Dev_program=A$53,DevExp_fourth_Dev_program=A$54,DevExp_fourth_Dev_program=A$55),"LIHTC Development w/ at least 20% non-LIHTC units. ",IF(AND(OR(DevExp_fourth_Dev_program=A$48,DevExp_fourth_Dev_program=A$51,DevExp_fourth_Dev_program=A$52,DevExp_fourth_Dev_program=A$53,DevExp_fourth_Dev_program=A$55),OR(DS_ExcelCheckbox_MixedUse_Comm=TRUE,DS_ExcelCheckbox_MixedUse_Inst=TRUE)),"Mixed-Use Development. ",""))))&amp;IF(AND(OR(DevExp_fourth_Dev_program=A$48,DevExp_fourth_Dev_program=A$51,DevExp_fourth_Dev_program=A$52,DevExp_fourth_Dev_program=A$53,DevExp_fourth_Dev_program=A$55),DS_ExcelCheckbox_MixedUse_Comm=FALSE,DS_ExcelCheckbox_MixedUse_Inst=FALSE),"Without selecting a Mixed-Use Subcategory, the Mixed-Use Development experience is not considered. ",""),IF(AND(DevExp_PrgmMinDevs_Score="Yes",DS_DevExp_PrgmReq&lt;&gt;DevExp_fourth_Dev_program),"","This Development does not meet the Funding Program Requirement. "))))</f>
        <v/>
      </c>
      <c r="R109" s="377"/>
      <c r="S109" s="377"/>
      <c r="T109" s="377"/>
      <c r="U109" s="377"/>
      <c r="V109" s="377"/>
      <c r="W109" s="377"/>
      <c r="X109" s="377"/>
      <c r="Y109" s="377"/>
      <c r="Z109" s="377"/>
      <c r="AA109" s="377"/>
      <c r="AB109" s="377"/>
      <c r="AC109" s="377"/>
      <c r="AD109" s="377"/>
      <c r="AE109" s="377"/>
    </row>
    <row r="110" spans="1:31">
      <c r="A110" s="2043"/>
      <c r="B110" s="2043"/>
      <c r="C110" s="2043"/>
      <c r="D110" s="2043"/>
      <c r="E110" s="2043"/>
      <c r="F110" s="2043"/>
      <c r="G110" s="2043"/>
      <c r="H110" s="2043"/>
      <c r="I110" s="1696"/>
      <c r="J110" s="1654"/>
      <c r="K110" s="1668"/>
      <c r="L110" s="2060"/>
      <c r="M110" s="2060"/>
      <c r="N110" s="1102"/>
      <c r="O110" s="1102"/>
      <c r="P110" s="1940" t="s">
        <v>2426</v>
      </c>
      <c r="Q110" s="1106" t="str">
        <f ca="1">IF(OR(DevExp_fifth_Dev_year="",N(DevExp_fifth_Dev_year)&gt;YEAR(NOW()),DS_DevExp_PrgmMinDevs=0,DevExp_fifth_Dev_program="",DevExp_fifth_Dev_program="&lt;select one&gt;"),"",IF(AND(DevExp_fifth_Dev_program=DS_DevExp_PrgmReq,DS_LL_DevExpPrgms_Active&lt;&gt;"Yes"),IF(N(DevExp_fifth_Dev_year)&lt;YEAR(DS_DevExp_PrgmSinceDate),"The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"),IF(DS_LL_DevExpPrgms_Active="Yes",IF(N(DevExp_fifth_Dev_year)&lt;YEAR(DS_DevExp_PrgmSinceDate),"The year is prior to Developer experience date of "&amp;TEXT(DS_DevExp_PrgmSinceDate,"yyyy")&amp;" for a ","This Development meets the program experience date requirement for a ")&amp;IF(DevExp_fifth_Dev_program&lt;&gt;A$48,"Mixed Income Development"&amp;IF(OR(DevExp_fifth_Dev_program=A$49,DevExp_fifth_Dev_program=A$52,DevExp_fifth_Dev_program=A$54,DevExp_fifth_Dev_program=A$55)," &amp; LIHTC Development committed to AIT","")&amp;IF(OR(DevExp_fifth_Dev_program=A$50,DevExp_fifth_Dev_program=A$53,DevExp_fifth_Dev_program=A$54,DevExp_fifth_Dev_program=A$55)," &amp; LIHTC Development w/ at least 20% non-LIHTC units","")&amp;IF(AND(OR(DevExp_fifth_Dev_program=A$48,DevExp_fifth_Dev_program=A$51,DevExp_fifth_Dev_program=A$52,DevExp_fifth_Dev_program=A$53,DevExp_fifth_Dev_program=A$55),OR(DS_ExcelCheckbox_MixedUse_Comm=TRUE,DS_ExcelCheckbox_MixedUse_Inst=TRUE))," &amp; Mixed-Use Development","")&amp;". ",IF(OR(DevExp_fifth_Dev_program=A$49,DevExp_fifth_Dev_program=A$52,DevExp_fifth_Dev_program=A$54,DevExp_fifth_Dev_program=A$55),"LIHTC Development committed to AIT"&amp;IF(OR(DevExp_fifth_Dev_program=A$50,DevExp_fifth_Dev_program=A$53,DevExp_fifth_Dev_program=A$54,DevExp_fifth_Dev_program=A$55)," &amp; w/ at least 20% non-LIHTC units",IF(AND(OR(DevExp_fifth_Dev_program=A$48,DevExp_fifth_Dev_program=A$51,DevExp_fifth_Dev_program=A$52,DevExp_fifth_Dev_program=A$53,DevExp_fifth_Dev_program=A$55),OR(DS_ExcelCheckbox_MixedUse_Comm=TRUE,DS_ExcelCheckbox_MixedUse_Inst=TRUE))," &amp; Mixed-Use Development",""))&amp;". ",IF(OR(DevExp_fifth_Dev_program=A$50,DevExp_fifth_Dev_program=A$53,DevExp_fifth_Dev_program=A$54,DevExp_fifth_Dev_program=A$55),"LIHTC Development w/ at least 20% non-LIHTC units. ",IF(AND(OR(DevExp_fifth_Dev_program=A$48,DevExp_fifth_Dev_program=A$51,DevExp_fifth_Dev_program=A$52,DevExp_fifth_Dev_program=A$53,DevExp_fifth_Dev_program=A$55),OR(DS_ExcelCheckbox_MixedUse_Comm=TRUE,DS_ExcelCheckbox_MixedUse_Inst=TRUE)),"Mixed-Use Development. ",""))))&amp;IF(AND(OR(DevExp_fifth_Dev_program=A$48,DevExp_fifth_Dev_program=A$51,DevExp_fifth_Dev_program=A$52,DevExp_fifth_Dev_program=A$53,DevExp_fifth_Dev_program=A$55),DS_ExcelCheckbox_MixedUse_Comm=FALSE,DS_ExcelCheckbox_MixedUse_Inst=FALSE),"Without selecting a Mixed-Use Subcategory, the Mixed-Use Development experience is not considered. ",""),IF(AND(DevExp_PrgmMinDevs_Score="Yes",DS_DevExp_PrgmReq&lt;&gt;DevExp_fifth_Dev_program),"","This Development does not meet the Funding Program Requirement. "))))</f>
        <v/>
      </c>
      <c r="R110" s="377"/>
      <c r="S110" s="377"/>
      <c r="T110" s="377"/>
      <c r="U110" s="377"/>
      <c r="V110" s="377"/>
      <c r="W110" s="377"/>
      <c r="X110" s="377"/>
      <c r="Y110" s="377"/>
      <c r="Z110" s="377"/>
      <c r="AA110" s="377"/>
      <c r="AB110" s="377"/>
      <c r="AC110" s="377"/>
      <c r="AD110" s="377"/>
      <c r="AE110" s="377"/>
    </row>
    <row r="111" spans="1:31">
      <c r="A111" s="2043"/>
      <c r="B111" s="2043"/>
      <c r="C111" s="2043"/>
      <c r="D111" s="2043"/>
      <c r="E111" s="2043"/>
      <c r="F111" s="2043"/>
      <c r="G111" s="2043"/>
      <c r="H111" s="2043"/>
      <c r="I111" s="1696"/>
      <c r="J111" s="1654"/>
      <c r="K111" s="1668"/>
      <c r="L111" s="2060"/>
      <c r="M111" s="2060"/>
      <c r="N111" s="1118"/>
      <c r="O111" s="1118"/>
      <c r="P111" s="1944" t="s">
        <v>1808</v>
      </c>
      <c r="Q111" s="1105" t="str">
        <f>IF(RIGHT(Excel_RFA_Number,3)="213",IF(AND($Q$106="",$Q$107="",$Q$108="",$Q$109="",$Q$110=""),"",IF(OR(AND(IFERROR(FIND("mixed-income",$Q$106),0)&gt;0,IFERROR(FIND("prior",$Q$106),0)=0),AND(IFERROR(FIND("mixed-income",$Q$107),0)&gt;0,IFERROR(FIND("prior",$Q$107),0)=0),AND(IFERROR(FIND("mixed-income",$Q$108),0)&gt;0,IFERROR(FIND("prior",$Q$108),0)=0),AND(IFERROR(FIND("mixed-income",$Q$109),0)&gt;0,IFERROR(FIND("prior",$Q$109),0)=0),AND(IFERROR(FIND("mixed-income",$Q$110),0)&gt;0,IFERROR(FIND("prior",$Q$110),0)=0),AND(IFERROR(FIND("LIHTC",$Q$106),0)&gt;0,IFERROR(FIND("prior",$Q$106),0)=0),AND(IFERROR(FIND("LIHTC",$Q$107),0)&gt;0,IFERROR(FIND("prior",$Q$107),0)=0),AND(IFERROR(FIND("LIHTC",$Q$108),0)&gt;0,IFERROR(FIND("prior",$Q$108),0)=0),AND(IFERROR(FIND("LIHTC",$Q$109),0)&gt;0,IFERROR(FIND("prior",$Q$109),0)=0),AND(IFERROR(FIND("LIHTC",$Q$110),0)&gt;0,IFERROR(FIND("prior",$Q$110),0)=0)),"At least 1 development is a Mixed-Income development","No development meets the Mixed-Income requirement")&amp;". "&amp;IF(IF(AND(IFERROR(FIND("AIT",$Q$106),0)&gt;0,IFERROR(FIND("prior",$Q$106),0)=0),1,0)+IF(AND(IFERROR(FIND("AIT",$Q$107),0)&gt;0,IFERROR(FIND("prior",$Q$107),0)=0),1,0)+IF(AND(IFERROR(FIND("AIT",$Q$108),0)&gt;0,IFERROR(FIND("prior",$Q$108),0)=0),1,0)+IF(AND(IFERROR(FIND("AIT",$Q$109),0)&gt;0,IFERROR(FIND("prior",$Q$109),0)=0),1,0)+IF(AND(IFERROR(FIND("AIT",$Q$110),0)&gt;1,IFERROR(FIND("prior",$Q$110),0)=0),1,0)&gt;1,"At least 2 LIHTC developments have committed to IRS's AIT minimum","There are less than 2 LIHTC developments with the AIT IRS commitment")&amp;". "&amp;IF(OR(AND(IFERROR(FIND("non",$Q$106),0)&gt;0,IFERROR(FIND("prior",$Q$106),0)=0),AND(IFERROR(FIND("non",$Q$107),0)&gt;0,IFERROR(FIND("prior",$Q$107),0)=0),AND(IFERROR(FIND("non",$Q$108),0)&gt;0,IFERROR(FIND("prior",$Q$108),0)=0),AND(IFERROR(FIND("non",$Q$109),0)&gt;0,IFERROR(FIND("prior",$Q$109),0)=0),AND(IFERROR(FIND("non",$Q$110),0)&gt;0,IFERROR(FIND("prior",$Q$110),0)=0)),"At least 1 LIHTC development has at least 20% non-LIHTC units","There no LIHTC developments with at least 20% non-LIHTC units")&amp;". "),IF(AND(DevExp_first_Dev_year="",DevExp_second_Dev_year="",DevExp_third_Dev_year="",DevExp_fourth_Dev_year="",DevExp_fifth_Dev_year=""),"",IF(OR(DevExp_PrgmMinDevs_Count&gt;0,DS_DevExp_PrgmMinDevs&gt;0),"The minimum date-experience of "&amp;TEXT(DS_DevExp_PrgmMinDevs,"0")&amp;" "&amp;DS_DevExp_PrgmReq&amp;" development"&amp;IF(DS_DevExp_PrgmMinDevs&gt;1,"s","")&amp;" is "&amp;IF(DevExp_PrgmMinDevs_Count&gt;=DS_DevExp_PrgmMinDevs,"","NOT ")&amp;"met. ","")))</f>
        <v/>
      </c>
      <c r="R111" s="375"/>
      <c r="S111" s="375"/>
      <c r="T111" s="375"/>
      <c r="U111" s="375"/>
      <c r="V111" s="375"/>
      <c r="W111" s="375"/>
      <c r="X111" s="375"/>
      <c r="Y111" s="375"/>
      <c r="Z111" s="375"/>
      <c r="AA111" s="375"/>
      <c r="AB111" s="375"/>
      <c r="AC111" s="375"/>
      <c r="AD111" s="375"/>
      <c r="AE111" s="375"/>
    </row>
    <row r="112" spans="1:31">
      <c r="B112" s="2070" t="str">
        <f>$B$18</f>
        <v>Do NOT delete any formulas in any "Sequence" column (column C), it's controlled by column B entries (1 to use, 0 or delete to not use). [warning not repeated every instance]</v>
      </c>
      <c r="C112" s="2070"/>
      <c r="D112" s="2070"/>
      <c r="E112" s="2070"/>
      <c r="F112" s="2070"/>
      <c r="G112" s="2071"/>
      <c r="H112" s="2071"/>
      <c r="I112" s="2070"/>
      <c r="N112" s="1119"/>
      <c r="O112" s="1119"/>
      <c r="P112" s="1120" t="s">
        <v>1802</v>
      </c>
      <c r="Q112" s="1106" t="str">
        <f>IF(DevExp_first_Dev_units="","",IF(DS_DevExp_MinUnits_Criteria="Percentage",IF(N(Total_Units)=0,"Please enter Total Units at Section 4.A.6.(a). ",IF(AND(Unit_Min_Limit_Basis="Total",IFERROR(FIND("Attention",Min_and_max_units_met),0)&gt;0),"Please enter an appropriate number for Total Units at Section 4.A.6.(a). ",IF(DS_DevExp_MinUnits&gt;N(DevExp_first_Dev_units),"The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2" s="377"/>
      <c r="S112" s="377"/>
      <c r="T112" s="377"/>
      <c r="U112" s="377"/>
      <c r="V112" s="377"/>
      <c r="W112" s="377"/>
      <c r="X112" s="377"/>
      <c r="Y112" s="377"/>
      <c r="Z112" s="377"/>
      <c r="AA112" s="377"/>
      <c r="AB112" s="377"/>
      <c r="AC112" s="377"/>
      <c r="AD112" s="377"/>
      <c r="AE112" s="377"/>
    </row>
    <row r="113" spans="1:31" ht="18" customHeight="1">
      <c r="A113" s="571" t="s">
        <v>153</v>
      </c>
      <c r="B113" s="572" t="s">
        <v>55</v>
      </c>
      <c r="C113" s="572" t="s">
        <v>56</v>
      </c>
      <c r="D113" s="572" t="s">
        <v>57</v>
      </c>
      <c r="E113" s="516" t="s">
        <v>154</v>
      </c>
      <c r="F113" s="63" t="s">
        <v>59</v>
      </c>
      <c r="N113" s="1121"/>
      <c r="O113" s="1121"/>
      <c r="P113" s="1122" t="s">
        <v>1804</v>
      </c>
      <c r="Q113" s="1106"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3" s="377"/>
      <c r="S113" s="377"/>
      <c r="T113" s="377"/>
      <c r="U113" s="377"/>
      <c r="V113" s="377"/>
      <c r="W113" s="377"/>
      <c r="X113" s="377"/>
      <c r="Y113" s="377"/>
      <c r="Z113" s="377"/>
      <c r="AA113" s="377"/>
      <c r="AB113" s="377"/>
      <c r="AC113" s="377"/>
      <c r="AD113" s="377"/>
      <c r="AE113" s="377"/>
    </row>
    <row r="114" spans="1:31" ht="15" customHeight="1">
      <c r="A114" s="59" t="s">
        <v>2100</v>
      </c>
      <c r="B114" s="57">
        <v>1</v>
      </c>
      <c r="C114" s="60">
        <f>IF(B114&lt;&gt;1,"",SUM(B$114:B114))</f>
        <v>1</v>
      </c>
      <c r="D114" s="57">
        <v>1</v>
      </c>
      <c r="F114" s="84" t="str">
        <f>IF(COUNTA($A$114:$A114)&lt;=MAX(DS_Priority_Sequence)=TRUE,LOOKUP(COUNTA($A$114:$A114),DS_Priority_Sequence,DS_Priority_DataNames),"")</f>
        <v>Priority 1</v>
      </c>
      <c r="J114" s="1129"/>
      <c r="N114" s="1121"/>
      <c r="O114" s="1121"/>
      <c r="P114" s="1122" t="s">
        <v>1803</v>
      </c>
      <c r="Q114" s="1106"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4" s="377"/>
      <c r="S114" s="377"/>
      <c r="T114" s="377"/>
      <c r="U114" s="377"/>
      <c r="V114" s="377"/>
      <c r="W114" s="377"/>
      <c r="X114" s="377"/>
      <c r="Y114" s="377"/>
      <c r="Z114" s="377"/>
      <c r="AA114" s="377"/>
      <c r="AB114" s="377"/>
      <c r="AC114" s="377"/>
      <c r="AD114" s="377"/>
      <c r="AE114" s="377"/>
    </row>
    <row r="115" spans="1:31" ht="15" customHeight="1">
      <c r="A115" s="59" t="s">
        <v>2101</v>
      </c>
      <c r="B115" s="57">
        <v>1</v>
      </c>
      <c r="C115" s="60">
        <f>IF(B115&lt;&gt;1,"",SUM(B$114:B115))</f>
        <v>2</v>
      </c>
      <c r="D115" s="57">
        <v>2</v>
      </c>
      <c r="F115" s="84" t="str">
        <f>IF(COUNTA($A$114:$A115)&lt;=MAX(DS_Priority_Sequence)=TRUE,LOOKUP(COUNTA($A$114:$A115),DS_Priority_Sequence,DS_Priority_DataNames),"")</f>
        <v>Priority 2</v>
      </c>
      <c r="N115" s="1121"/>
      <c r="O115" s="1121"/>
      <c r="P115" s="1941" t="s">
        <v>2423</v>
      </c>
      <c r="Q115" s="1106" t="str">
        <f>IF(DevExp_fourth_Dev_units="","",IF(DS_DevExp_MinUnits_Criteria="Percentage",IF(N(Total_Units)=0,"Please enter Total Units at Section 4.A.6.(a). ",IF(DS_DevExp_MinUnits&gt;N(DevExp_fourth_Dev_units),"The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5" s="377"/>
      <c r="S115" s="377"/>
      <c r="T115" s="377"/>
      <c r="U115" s="377"/>
      <c r="V115" s="377"/>
      <c r="W115" s="377"/>
      <c r="X115" s="377"/>
      <c r="Y115" s="377"/>
      <c r="Z115" s="377"/>
      <c r="AA115" s="377"/>
      <c r="AB115" s="377"/>
      <c r="AC115" s="377"/>
      <c r="AD115" s="377"/>
      <c r="AE115" s="377"/>
    </row>
    <row r="116" spans="1:31">
      <c r="N116" s="1121"/>
      <c r="O116" s="1121"/>
      <c r="P116" s="1941" t="s">
        <v>2424</v>
      </c>
      <c r="Q116" s="1106" t="str">
        <f>IF(DevExp_fifth_Dev_units="","",IF(DS_DevExp_MinUnits_Criteria="Percentage",IF(N(Total_Units)=0,"Please enter Total Units at Section 4.A.6.(a). ",IF(DS_DevExp_MinUnits&gt;N(DevExp_fifth_Dev_units),"The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6" s="377"/>
      <c r="S116" s="377"/>
      <c r="T116" s="377"/>
      <c r="U116" s="377"/>
      <c r="V116" s="377"/>
      <c r="W116" s="377"/>
      <c r="X116" s="377"/>
      <c r="Y116" s="377"/>
      <c r="Z116" s="377"/>
      <c r="AA116" s="377"/>
      <c r="AB116" s="377"/>
      <c r="AC116" s="377"/>
      <c r="AD116" s="377"/>
      <c r="AE116" s="377"/>
    </row>
    <row r="117" spans="1:31" ht="18" customHeight="1">
      <c r="A117" s="571" t="s">
        <v>155</v>
      </c>
      <c r="B117" s="572" t="s">
        <v>55</v>
      </c>
      <c r="C117" s="572" t="s">
        <v>56</v>
      </c>
      <c r="D117" s="572" t="s">
        <v>57</v>
      </c>
      <c r="E117" s="516" t="s">
        <v>156</v>
      </c>
      <c r="F117" s="63" t="s">
        <v>59</v>
      </c>
      <c r="N117" s="1103"/>
      <c r="O117" s="1103"/>
      <c r="P117" s="1945" t="s">
        <v>1809</v>
      </c>
      <c r="Q117" s="1105" t="str">
        <f>IF(N(Total_Units)=0,"",IF(AND(OR(DevExp_first_Dev_units&lt;&gt;"",DevExp_second_Dev_units&lt;&gt;"",DevExp_third_Dev_units&lt;&gt;""),DS_DevExp_MinUnits_Devs&gt;0),"The minimum number of "&amp;TEXT(DS_DevExp_MinUnits_Devs,"0")&amp;" development"&amp;IF(DS_DevExp_MinUnits_Devs&gt;1,"s","")&amp;" to have at least "&amp;IF(AND(Unit_Min_Limit_Basis="Total",IFERROR(FIND("Attention",Min_and_max_units_met),0)&gt;0),"the minimum number of",TEXT(DS_DevExp_MinUnits,"0"))&amp;" units is "&amp;IF(DevExp_MinUnits_Count&gt;=DS_DevExp_MinUnits_Devs,"","NOT ")&amp;"met. ",""))</f>
        <v/>
      </c>
      <c r="R117" s="375"/>
      <c r="S117" s="375"/>
      <c r="T117" s="375"/>
      <c r="U117" s="375"/>
      <c r="V117" s="375"/>
      <c r="W117" s="375"/>
      <c r="X117" s="375"/>
      <c r="Y117" s="375"/>
      <c r="Z117" s="375"/>
      <c r="AA117" s="375"/>
      <c r="AB117" s="375"/>
      <c r="AC117" s="375"/>
      <c r="AD117" s="375"/>
      <c r="AE117" s="375"/>
    </row>
    <row r="118" spans="1:31" ht="15" customHeight="1">
      <c r="A118" s="59" t="s">
        <v>157</v>
      </c>
      <c r="B118" s="57">
        <v>1</v>
      </c>
      <c r="C118" s="60">
        <f>IF(B118&lt;&gt;1,"",SUM(B$118:B118))</f>
        <v>1</v>
      </c>
      <c r="D118" s="57">
        <v>1</v>
      </c>
      <c r="F118" s="63" t="str">
        <f>IF(COUNTA($A$118:$A118)&lt;=MAX(DS_States_Sequence)=TRUE,LOOKUP(COUNTA($A$118:$A118),DS_States_Sequence,DS_States_DataNames),"")</f>
        <v>AK</v>
      </c>
      <c r="H118" s="337" t="s">
        <v>1823</v>
      </c>
      <c r="I118" s="337"/>
      <c r="J118" s="337"/>
      <c r="K118" s="337"/>
      <c r="L118" s="337"/>
      <c r="M118" s="337"/>
      <c r="N118" s="1875"/>
      <c r="O118" s="1875"/>
      <c r="P118" s="1876" t="s">
        <v>2368</v>
      </c>
      <c r="Q118" s="1877" t="s">
        <v>2369</v>
      </c>
      <c r="R118" s="1874"/>
      <c r="S118" s="1874"/>
      <c r="T118" s="1874"/>
      <c r="U118" s="1874"/>
      <c r="V118" s="1874"/>
      <c r="W118" s="1874"/>
      <c r="X118" s="1874"/>
      <c r="Y118" s="1874"/>
      <c r="Z118" s="1874"/>
      <c r="AA118" s="1874"/>
      <c r="AB118" s="1874"/>
      <c r="AC118" s="1874"/>
      <c r="AD118" s="1874"/>
      <c r="AE118" s="1874"/>
    </row>
    <row r="119" spans="1:31" ht="15" customHeight="1">
      <c r="A119" s="59" t="s">
        <v>158</v>
      </c>
      <c r="B119" s="57">
        <v>1</v>
      </c>
      <c r="C119" s="60">
        <f>IF(B119&lt;&gt;1,"",SUM(B$118:B119))</f>
        <v>2</v>
      </c>
      <c r="D119" s="57">
        <v>2</v>
      </c>
      <c r="F119" s="63" t="str">
        <f>IF(COUNTA($A$118:$A119)&lt;=MAX(DS_States_Sequence)=TRUE,LOOKUP(COUNTA($A$118:$A119),DS_States_Sequence,DS_States_DataNames),"")</f>
        <v>AL</v>
      </c>
      <c r="H119" t="s">
        <v>1832</v>
      </c>
      <c r="I119" s="337"/>
      <c r="J119" s="337"/>
      <c r="K119" s="337"/>
      <c r="L119" s="337"/>
      <c r="M119" s="337"/>
    </row>
    <row r="120" spans="1:31" ht="15" customHeight="1">
      <c r="A120" s="59" t="s">
        <v>159</v>
      </c>
      <c r="B120" s="57">
        <v>1</v>
      </c>
      <c r="C120" s="60">
        <f>IF(B120&lt;&gt;1,"",SUM(B$118:B120))</f>
        <v>3</v>
      </c>
      <c r="D120" s="57">
        <v>3</v>
      </c>
      <c r="F120" s="63" t="str">
        <f>IF(COUNTA($A$118:$A120)&lt;=MAX(DS_States_Sequence)=TRUE,LOOKUP(COUNTA($A$118:$A120),DS_States_Sequence,DS_States_DataNames),"")</f>
        <v>AR</v>
      </c>
      <c r="I120" s="337"/>
      <c r="J120" s="337"/>
      <c r="K120" s="337"/>
      <c r="L120" s="337"/>
      <c r="M120" s="337"/>
    </row>
    <row r="121" spans="1:31">
      <c r="A121" s="59" t="s">
        <v>160</v>
      </c>
      <c r="B121" s="57">
        <v>1</v>
      </c>
      <c r="C121" s="60">
        <f>IF(B121&lt;&gt;1,"",SUM(B$118:B121))</f>
        <v>4</v>
      </c>
      <c r="D121" s="57">
        <v>4</v>
      </c>
      <c r="F121" s="63" t="str">
        <f>IF(COUNTA($A$118:$A121)&lt;=MAX(DS_States_Sequence)=TRUE,LOOKUP(COUNTA($A$118:$A121),DS_States_Sequence,DS_States_DataNames),"")</f>
        <v>AZ</v>
      </c>
      <c r="H121" s="337" t="s">
        <v>1824</v>
      </c>
    </row>
    <row r="122" spans="1:31">
      <c r="A122" s="59" t="s">
        <v>161</v>
      </c>
      <c r="B122" s="57">
        <v>1</v>
      </c>
      <c r="C122" s="60">
        <f>IF(B122&lt;&gt;1,"",SUM(B$118:B122))</f>
        <v>5</v>
      </c>
      <c r="D122" s="57">
        <v>5</v>
      </c>
      <c r="F122" s="63" t="str">
        <f>IF(COUNTA($A$118:$A122)&lt;=MAX(DS_States_Sequence)=TRUE,LOOKUP(COUNTA($A$118:$A122),DS_States_Sequence,DS_States_DataNames),"")</f>
        <v>CA</v>
      </c>
      <c r="H122" t="s">
        <v>1833</v>
      </c>
    </row>
    <row r="123" spans="1:31">
      <c r="A123" s="59" t="s">
        <v>162</v>
      </c>
      <c r="B123" s="57">
        <v>1</v>
      </c>
      <c r="C123" s="60">
        <f>IF(B123&lt;&gt;1,"",SUM(B$118:B123))</f>
        <v>6</v>
      </c>
      <c r="D123" s="57">
        <v>6</v>
      </c>
      <c r="F123" s="63" t="str">
        <f>IF(COUNTA($A$118:$A123)&lt;=MAX(DS_States_Sequence)=TRUE,LOOKUP(COUNTA($A$118:$A123),DS_States_Sequence,DS_States_DataNames),"")</f>
        <v>CO</v>
      </c>
    </row>
    <row r="124" spans="1:31">
      <c r="A124" s="59" t="s">
        <v>163</v>
      </c>
      <c r="B124" s="57">
        <v>1</v>
      </c>
      <c r="C124" s="60">
        <f>IF(B124&lt;&gt;1,"",SUM(B$118:B124))</f>
        <v>7</v>
      </c>
      <c r="D124" s="57">
        <v>7</v>
      </c>
      <c r="F124" s="63" t="str">
        <f>IF(COUNTA($A$118:$A124)&lt;=MAX(DS_States_Sequence)=TRUE,LOOKUP(COUNTA($A$118:$A124),DS_States_Sequence,DS_States_DataNames),"")</f>
        <v>CT</v>
      </c>
      <c r="H124" s="337" t="s">
        <v>1825</v>
      </c>
    </row>
    <row r="125" spans="1:31">
      <c r="A125" s="1075" t="s">
        <v>164</v>
      </c>
      <c r="B125" s="57">
        <v>1</v>
      </c>
      <c r="C125" s="60">
        <f>IF(B125&lt;&gt;1,"",SUM(B$118:B125))</f>
        <v>8</v>
      </c>
      <c r="D125" s="57">
        <v>8</v>
      </c>
      <c r="F125" s="63" t="str">
        <f>IF(COUNTA($A$118:$A125)&lt;=MAX(DS_States_Sequence)=TRUE,LOOKUP(COUNTA($A$118:$A125),DS_States_Sequence,DS_States_DataNames),"")</f>
        <v>DC</v>
      </c>
      <c r="H125" t="s">
        <v>1834</v>
      </c>
    </row>
    <row r="126" spans="1:31">
      <c r="A126" s="59" t="s">
        <v>165</v>
      </c>
      <c r="B126" s="57">
        <v>1</v>
      </c>
      <c r="C126" s="60">
        <f>IF(B126&lt;&gt;1,"",SUM(B$118:B126))</f>
        <v>9</v>
      </c>
      <c r="D126" s="57">
        <v>9</v>
      </c>
      <c r="F126" s="63" t="str">
        <f>IF(COUNTA($A$118:$A126)&lt;=MAX(DS_States_Sequence)=TRUE,LOOKUP(COUNTA($A$118:$A126),DS_States_Sequence,DS_States_DataNames),"")</f>
        <v>DE</v>
      </c>
      <c r="Q126" s="1329"/>
      <c r="R126" s="1329"/>
      <c r="S126" s="1329"/>
      <c r="T126" s="1329"/>
      <c r="U126" s="1329"/>
    </row>
    <row r="127" spans="1:31">
      <c r="A127" s="59" t="s">
        <v>166</v>
      </c>
      <c r="B127" s="57">
        <v>1</v>
      </c>
      <c r="C127" s="60">
        <f>IF(B127&lt;&gt;1,"",SUM(B$118:B127))</f>
        <v>10</v>
      </c>
      <c r="D127" s="57">
        <v>10</v>
      </c>
      <c r="F127" s="63" t="str">
        <f>IF(COUNTA($A$118:$A127)&lt;=MAX(DS_States_Sequence)=TRUE,LOOKUP(COUNTA($A$118:$A127),DS_States_Sequence,DS_States_DataNames),"")</f>
        <v>FL</v>
      </c>
    </row>
    <row r="128" spans="1:31">
      <c r="A128" s="59" t="s">
        <v>167</v>
      </c>
      <c r="B128" s="57">
        <v>1</v>
      </c>
      <c r="C128" s="60">
        <f>IF(B128&lt;&gt;1,"",SUM(B$118:B128))</f>
        <v>11</v>
      </c>
      <c r="D128" s="57">
        <v>11</v>
      </c>
      <c r="F128" s="63" t="str">
        <f>IF(COUNTA($A$118:$A128)&lt;=MAX(DS_States_Sequence)=TRUE,LOOKUP(COUNTA($A$118:$A128),DS_States_Sequence,DS_States_DataNames),"")</f>
        <v>GA</v>
      </c>
    </row>
    <row r="129" spans="1:6">
      <c r="A129" s="59" t="s">
        <v>168</v>
      </c>
      <c r="B129" s="57">
        <v>1</v>
      </c>
      <c r="C129" s="60">
        <f>IF(B129&lt;&gt;1,"",SUM(B$118:B129))</f>
        <v>12</v>
      </c>
      <c r="D129" s="57">
        <v>12</v>
      </c>
      <c r="F129" s="63" t="str">
        <f>IF(COUNTA($A$118:$A129)&lt;=MAX(DS_States_Sequence)=TRUE,LOOKUP(COUNTA($A$118:$A129),DS_States_Sequence,DS_States_DataNames),"")</f>
        <v>HI</v>
      </c>
    </row>
    <row r="130" spans="1:6">
      <c r="A130" s="59" t="s">
        <v>169</v>
      </c>
      <c r="B130" s="57">
        <v>1</v>
      </c>
      <c r="C130" s="60">
        <f>IF(B130&lt;&gt;1,"",SUM(B$118:B130))</f>
        <v>13</v>
      </c>
      <c r="D130" s="57">
        <v>13</v>
      </c>
      <c r="F130" s="63" t="str">
        <f>IF(COUNTA($A$118:$A130)&lt;=MAX(DS_States_Sequence)=TRUE,LOOKUP(COUNTA($A$118:$A130),DS_States_Sequence,DS_States_DataNames),"")</f>
        <v>IA</v>
      </c>
    </row>
    <row r="131" spans="1:6">
      <c r="A131" s="59" t="s">
        <v>170</v>
      </c>
      <c r="B131" s="57">
        <v>1</v>
      </c>
      <c r="C131" s="60">
        <f>IF(B131&lt;&gt;1,"",SUM(B$118:B131))</f>
        <v>14</v>
      </c>
      <c r="D131" s="57">
        <v>14</v>
      </c>
      <c r="F131" s="63" t="str">
        <f>IF(COUNTA($A$118:$A131)&lt;=MAX(DS_States_Sequence)=TRUE,LOOKUP(COUNTA($A$118:$A131),DS_States_Sequence,DS_States_DataNames),"")</f>
        <v>ID</v>
      </c>
    </row>
    <row r="132" spans="1:6">
      <c r="A132" s="59" t="s">
        <v>171</v>
      </c>
      <c r="B132" s="57">
        <v>1</v>
      </c>
      <c r="C132" s="60">
        <f>IF(B132&lt;&gt;1,"",SUM(B$118:B132))</f>
        <v>15</v>
      </c>
      <c r="D132" s="57">
        <v>15</v>
      </c>
      <c r="F132" s="63" t="str">
        <f>IF(COUNTA($A$118:$A132)&lt;=MAX(DS_States_Sequence)=TRUE,LOOKUP(COUNTA($A$118:$A132),DS_States_Sequence,DS_States_DataNames),"")</f>
        <v>IL</v>
      </c>
    </row>
    <row r="133" spans="1:6">
      <c r="A133" s="59" t="s">
        <v>172</v>
      </c>
      <c r="B133" s="57">
        <v>1</v>
      </c>
      <c r="C133" s="60">
        <f>IF(B133&lt;&gt;1,"",SUM(B$118:B133))</f>
        <v>16</v>
      </c>
      <c r="D133" s="57">
        <v>16</v>
      </c>
      <c r="F133" s="63" t="str">
        <f>IF(COUNTA($A$118:$A133)&lt;=MAX(DS_States_Sequence)=TRUE,LOOKUP(COUNTA($A$118:$A133),DS_States_Sequence,DS_States_DataNames),"")</f>
        <v>IN</v>
      </c>
    </row>
    <row r="134" spans="1:6">
      <c r="A134" s="59" t="s">
        <v>173</v>
      </c>
      <c r="B134" s="57">
        <v>1</v>
      </c>
      <c r="C134" s="60">
        <f>IF(B134&lt;&gt;1,"",SUM(B$118:B134))</f>
        <v>17</v>
      </c>
      <c r="D134" s="57">
        <v>17</v>
      </c>
      <c r="F134" s="63" t="str">
        <f>IF(COUNTA($A$118:$A134)&lt;=MAX(DS_States_Sequence)=TRUE,LOOKUP(COUNTA($A$118:$A134),DS_States_Sequence,DS_States_DataNames),"")</f>
        <v>KS</v>
      </c>
    </row>
    <row r="135" spans="1:6">
      <c r="A135" s="59" t="s">
        <v>174</v>
      </c>
      <c r="B135" s="57">
        <v>1</v>
      </c>
      <c r="C135" s="60">
        <f>IF(B135&lt;&gt;1,"",SUM(B$118:B135))</f>
        <v>18</v>
      </c>
      <c r="D135" s="57">
        <v>18</v>
      </c>
      <c r="F135" s="63" t="str">
        <f>IF(COUNTA($A$118:$A135)&lt;=MAX(DS_States_Sequence)=TRUE,LOOKUP(COUNTA($A$118:$A135),DS_States_Sequence,DS_States_DataNames),"")</f>
        <v>KY</v>
      </c>
    </row>
    <row r="136" spans="1:6">
      <c r="A136" s="59" t="s">
        <v>175</v>
      </c>
      <c r="B136" s="57">
        <v>1</v>
      </c>
      <c r="C136" s="60">
        <f>IF(B136&lt;&gt;1,"",SUM(B$118:B136))</f>
        <v>19</v>
      </c>
      <c r="D136" s="57">
        <v>19</v>
      </c>
      <c r="F136" s="63" t="str">
        <f>IF(COUNTA($A$118:$A136)&lt;=MAX(DS_States_Sequence)=TRUE,LOOKUP(COUNTA($A$118:$A136),DS_States_Sequence,DS_States_DataNames),"")</f>
        <v>LA</v>
      </c>
    </row>
    <row r="137" spans="1:6">
      <c r="A137" s="59" t="s">
        <v>176</v>
      </c>
      <c r="B137" s="57">
        <v>1</v>
      </c>
      <c r="C137" s="60">
        <f>IF(B137&lt;&gt;1,"",SUM(B$118:B137))</f>
        <v>20</v>
      </c>
      <c r="D137" s="57">
        <v>20</v>
      </c>
      <c r="F137" s="63" t="str">
        <f>IF(COUNTA($A$118:$A137)&lt;=MAX(DS_States_Sequence)=TRUE,LOOKUP(COUNTA($A$118:$A137),DS_States_Sequence,DS_States_DataNames),"")</f>
        <v>MA</v>
      </c>
    </row>
    <row r="138" spans="1:6">
      <c r="A138" s="59" t="s">
        <v>177</v>
      </c>
      <c r="B138" s="57">
        <v>1</v>
      </c>
      <c r="C138" s="60">
        <f>IF(B138&lt;&gt;1,"",SUM(B$118:B138))</f>
        <v>21</v>
      </c>
      <c r="D138" s="57">
        <v>21</v>
      </c>
      <c r="F138" s="63" t="str">
        <f>IF(COUNTA($A$118:$A138)&lt;=MAX(DS_States_Sequence)=TRUE,LOOKUP(COUNTA($A$118:$A138),DS_States_Sequence,DS_States_DataNames),"")</f>
        <v>MD</v>
      </c>
    </row>
    <row r="139" spans="1:6">
      <c r="A139" s="59" t="s">
        <v>178</v>
      </c>
      <c r="B139" s="57">
        <v>1</v>
      </c>
      <c r="C139" s="60">
        <f>IF(B139&lt;&gt;1,"",SUM(B$118:B139))</f>
        <v>22</v>
      </c>
      <c r="D139" s="57">
        <v>22</v>
      </c>
      <c r="F139" s="63" t="str">
        <f>IF(COUNTA($A$118:$A139)&lt;=MAX(DS_States_Sequence)=TRUE,LOOKUP(COUNTA($A$118:$A139),DS_States_Sequence,DS_States_DataNames),"")</f>
        <v>ME</v>
      </c>
    </row>
    <row r="140" spans="1:6">
      <c r="A140" s="59" t="s">
        <v>179</v>
      </c>
      <c r="B140" s="57">
        <v>1</v>
      </c>
      <c r="C140" s="60">
        <f>IF(B140&lt;&gt;1,"",SUM(B$118:B140))</f>
        <v>23</v>
      </c>
      <c r="D140" s="57">
        <v>23</v>
      </c>
      <c r="F140" s="63" t="str">
        <f>IF(COUNTA($A$118:$A140)&lt;=MAX(DS_States_Sequence)=TRUE,LOOKUP(COUNTA($A$118:$A140),DS_States_Sequence,DS_States_DataNames),"")</f>
        <v>MI</v>
      </c>
    </row>
    <row r="141" spans="1:6">
      <c r="A141" s="59" t="s">
        <v>180</v>
      </c>
      <c r="B141" s="57">
        <v>1</v>
      </c>
      <c r="C141" s="60">
        <f>IF(B141&lt;&gt;1,"",SUM(B$118:B141))</f>
        <v>24</v>
      </c>
      <c r="D141" s="57">
        <v>24</v>
      </c>
      <c r="F141" s="63" t="str">
        <f>IF(COUNTA($A$118:$A141)&lt;=MAX(DS_States_Sequence)=TRUE,LOOKUP(COUNTA($A$118:$A141),DS_States_Sequence,DS_States_DataNames),"")</f>
        <v>MN</v>
      </c>
    </row>
    <row r="142" spans="1:6">
      <c r="A142" s="59" t="s">
        <v>181</v>
      </c>
      <c r="B142" s="57">
        <v>1</v>
      </c>
      <c r="C142" s="60">
        <f>IF(B142&lt;&gt;1,"",SUM(B$118:B142))</f>
        <v>25</v>
      </c>
      <c r="D142" s="57">
        <v>25</v>
      </c>
      <c r="F142" s="63" t="str">
        <f>IF(COUNTA($A$118:$A142)&lt;=MAX(DS_States_Sequence)=TRUE,LOOKUP(COUNTA($A$118:$A142),DS_States_Sequence,DS_States_DataNames),"")</f>
        <v>MO</v>
      </c>
    </row>
    <row r="143" spans="1:6">
      <c r="A143" s="59" t="s">
        <v>182</v>
      </c>
      <c r="B143" s="57">
        <v>1</v>
      </c>
      <c r="C143" s="60">
        <f>IF(B143&lt;&gt;1,"",SUM(B$118:B143))</f>
        <v>26</v>
      </c>
      <c r="D143" s="57">
        <v>26</v>
      </c>
      <c r="F143" s="63" t="str">
        <f>IF(COUNTA($A$118:$A143)&lt;=MAX(DS_States_Sequence)=TRUE,LOOKUP(COUNTA($A$118:$A143),DS_States_Sequence,DS_States_DataNames),"")</f>
        <v>MS</v>
      </c>
    </row>
    <row r="144" spans="1:6">
      <c r="A144" s="59" t="s">
        <v>183</v>
      </c>
      <c r="B144" s="57">
        <v>1</v>
      </c>
      <c r="C144" s="60">
        <f>IF(B144&lt;&gt;1,"",SUM(B$118:B144))</f>
        <v>27</v>
      </c>
      <c r="D144" s="57">
        <v>27</v>
      </c>
      <c r="F144" s="63" t="str">
        <f>IF(COUNTA($A$118:$A144)&lt;=MAX(DS_States_Sequence)=TRUE,LOOKUP(COUNTA($A$118:$A144),DS_States_Sequence,DS_States_DataNames),"")</f>
        <v>MT</v>
      </c>
    </row>
    <row r="145" spans="1:6">
      <c r="A145" s="59" t="s">
        <v>184</v>
      </c>
      <c r="B145" s="57">
        <v>1</v>
      </c>
      <c r="C145" s="60">
        <f>IF(B145&lt;&gt;1,"",SUM(B$118:B145))</f>
        <v>28</v>
      </c>
      <c r="D145" s="57">
        <v>28</v>
      </c>
      <c r="F145" s="63" t="str">
        <f>IF(COUNTA($A$118:$A145)&lt;=MAX(DS_States_Sequence)=TRUE,LOOKUP(COUNTA($A$118:$A145),DS_States_Sequence,DS_States_DataNames),"")</f>
        <v>NC</v>
      </c>
    </row>
    <row r="146" spans="1:6">
      <c r="A146" s="59" t="s">
        <v>185</v>
      </c>
      <c r="B146" s="57">
        <v>1</v>
      </c>
      <c r="C146" s="60">
        <f>IF(B146&lt;&gt;1,"",SUM(B$118:B146))</f>
        <v>29</v>
      </c>
      <c r="D146" s="57">
        <v>29</v>
      </c>
      <c r="F146" s="63" t="str">
        <f>IF(COUNTA($A$118:$A146)&lt;=MAX(DS_States_Sequence)=TRUE,LOOKUP(COUNTA($A$118:$A146),DS_States_Sequence,DS_States_DataNames),"")</f>
        <v>ND</v>
      </c>
    </row>
    <row r="147" spans="1:6">
      <c r="A147" s="59" t="s">
        <v>186</v>
      </c>
      <c r="B147" s="57">
        <v>1</v>
      </c>
      <c r="C147" s="60">
        <f>IF(B147&lt;&gt;1,"",SUM(B$118:B147))</f>
        <v>30</v>
      </c>
      <c r="D147" s="57">
        <v>30</v>
      </c>
      <c r="F147" s="63" t="str">
        <f>IF(COUNTA($A$118:$A147)&lt;=MAX(DS_States_Sequence)=TRUE,LOOKUP(COUNTA($A$118:$A147),DS_States_Sequence,DS_States_DataNames),"")</f>
        <v>NE</v>
      </c>
    </row>
    <row r="148" spans="1:6">
      <c r="A148" s="59" t="s">
        <v>187</v>
      </c>
      <c r="B148" s="57">
        <v>1</v>
      </c>
      <c r="C148" s="60">
        <f>IF(B148&lt;&gt;1,"",SUM(B$118:B148))</f>
        <v>31</v>
      </c>
      <c r="D148" s="57">
        <v>31</v>
      </c>
      <c r="F148" s="63" t="str">
        <f>IF(COUNTA($A$118:$A148)&lt;=MAX(DS_States_Sequence)=TRUE,LOOKUP(COUNTA($A$118:$A148),DS_States_Sequence,DS_States_DataNames),"")</f>
        <v>NH</v>
      </c>
    </row>
    <row r="149" spans="1:6">
      <c r="A149" s="59" t="s">
        <v>188</v>
      </c>
      <c r="B149" s="57">
        <v>1</v>
      </c>
      <c r="C149" s="60">
        <f>IF(B149&lt;&gt;1,"",SUM(B$118:B149))</f>
        <v>32</v>
      </c>
      <c r="D149" s="57">
        <v>32</v>
      </c>
      <c r="F149" s="63" t="str">
        <f>IF(COUNTA($A$118:$A149)&lt;=MAX(DS_States_Sequence)=TRUE,LOOKUP(COUNTA($A$118:$A149),DS_States_Sequence,DS_States_DataNames),"")</f>
        <v>NJ</v>
      </c>
    </row>
    <row r="150" spans="1:6">
      <c r="A150" s="59" t="s">
        <v>189</v>
      </c>
      <c r="B150" s="57">
        <v>1</v>
      </c>
      <c r="C150" s="60">
        <f>IF(B150&lt;&gt;1,"",SUM(B$118:B150))</f>
        <v>33</v>
      </c>
      <c r="D150" s="57">
        <v>33</v>
      </c>
      <c r="F150" s="63" t="str">
        <f>IF(COUNTA($A$118:$A150)&lt;=MAX(DS_States_Sequence)=TRUE,LOOKUP(COUNTA($A$118:$A150),DS_States_Sequence,DS_States_DataNames),"")</f>
        <v>NM</v>
      </c>
    </row>
    <row r="151" spans="1:6">
      <c r="A151" s="59" t="s">
        <v>190</v>
      </c>
      <c r="B151" s="57">
        <v>1</v>
      </c>
      <c r="C151" s="60">
        <f>IF(B151&lt;&gt;1,"",SUM(B$118:B151))</f>
        <v>34</v>
      </c>
      <c r="D151" s="57">
        <v>34</v>
      </c>
      <c r="F151" s="63" t="str">
        <f>IF(COUNTA($A$118:$A151)&lt;=MAX(DS_States_Sequence)=TRUE,LOOKUP(COUNTA($A$118:$A151),DS_States_Sequence,DS_States_DataNames),"")</f>
        <v>NV</v>
      </c>
    </row>
    <row r="152" spans="1:6">
      <c r="A152" s="59" t="s">
        <v>191</v>
      </c>
      <c r="B152" s="57">
        <v>1</v>
      </c>
      <c r="C152" s="60">
        <f>IF(B152&lt;&gt;1,"",SUM(B$118:B152))</f>
        <v>35</v>
      </c>
      <c r="D152" s="57">
        <v>35</v>
      </c>
      <c r="F152" s="63" t="str">
        <f>IF(COUNTA($A$118:$A152)&lt;=MAX(DS_States_Sequence)=TRUE,LOOKUP(COUNTA($A$118:$A152),DS_States_Sequence,DS_States_DataNames),"")</f>
        <v>NY</v>
      </c>
    </row>
    <row r="153" spans="1:6">
      <c r="A153" s="59" t="s">
        <v>192</v>
      </c>
      <c r="B153" s="57">
        <v>1</v>
      </c>
      <c r="C153" s="60">
        <f>IF(B153&lt;&gt;1,"",SUM(B$118:B153))</f>
        <v>36</v>
      </c>
      <c r="D153" s="57">
        <v>36</v>
      </c>
      <c r="F153" s="63" t="str">
        <f>IF(COUNTA($A$118:$A153)&lt;=MAX(DS_States_Sequence)=TRUE,LOOKUP(COUNTA($A$118:$A153),DS_States_Sequence,DS_States_DataNames),"")</f>
        <v>OH</v>
      </c>
    </row>
    <row r="154" spans="1:6">
      <c r="A154" s="59" t="s">
        <v>193</v>
      </c>
      <c r="B154" s="57">
        <v>1</v>
      </c>
      <c r="C154" s="60">
        <f>IF(B154&lt;&gt;1,"",SUM(B$118:B154))</f>
        <v>37</v>
      </c>
      <c r="D154" s="57">
        <v>37</v>
      </c>
      <c r="F154" s="63" t="str">
        <f>IF(COUNTA($A$118:$A154)&lt;=MAX(DS_States_Sequence)=TRUE,LOOKUP(COUNTA($A$118:$A154),DS_States_Sequence,DS_States_DataNames),"")</f>
        <v>OK</v>
      </c>
    </row>
    <row r="155" spans="1:6">
      <c r="A155" s="59" t="s">
        <v>194</v>
      </c>
      <c r="B155" s="57">
        <v>1</v>
      </c>
      <c r="C155" s="60">
        <f>IF(B155&lt;&gt;1,"",SUM(B$118:B155))</f>
        <v>38</v>
      </c>
      <c r="D155" s="57">
        <v>38</v>
      </c>
      <c r="F155" s="63" t="str">
        <f>IF(COUNTA($A$118:$A155)&lt;=MAX(DS_States_Sequence)=TRUE,LOOKUP(COUNTA($A$118:$A155),DS_States_Sequence,DS_States_DataNames),"")</f>
        <v>OR</v>
      </c>
    </row>
    <row r="156" spans="1:6">
      <c r="A156" s="59" t="s">
        <v>195</v>
      </c>
      <c r="B156" s="57">
        <v>1</v>
      </c>
      <c r="C156" s="60">
        <f>IF(B156&lt;&gt;1,"",SUM(B$118:B156))</f>
        <v>39</v>
      </c>
      <c r="D156" s="57">
        <v>39</v>
      </c>
      <c r="F156" s="63" t="str">
        <f>IF(COUNTA($A$118:$A156)&lt;=MAX(DS_States_Sequence)=TRUE,LOOKUP(COUNTA($A$118:$A156),DS_States_Sequence,DS_States_DataNames),"")</f>
        <v>PA</v>
      </c>
    </row>
    <row r="157" spans="1:6">
      <c r="A157" s="1075" t="s">
        <v>196</v>
      </c>
      <c r="B157" s="57">
        <v>1</v>
      </c>
      <c r="C157" s="60">
        <f>IF(B157&lt;&gt;1,"",SUM(B$118:B157))</f>
        <v>40</v>
      </c>
      <c r="D157" s="57">
        <v>40</v>
      </c>
      <c r="F157" s="63" t="str">
        <f>IF(COUNTA($A$118:$A157)&lt;=MAX(DS_States_Sequence)=TRUE,LOOKUP(COUNTA($A$118:$A157),DS_States_Sequence,DS_States_DataNames),"")</f>
        <v>PR</v>
      </c>
    </row>
    <row r="158" spans="1:6">
      <c r="A158" s="59" t="s">
        <v>197</v>
      </c>
      <c r="B158" s="57">
        <v>1</v>
      </c>
      <c r="C158" s="60">
        <f>IF(B158&lt;&gt;1,"",SUM(B$118:B158))</f>
        <v>41</v>
      </c>
      <c r="D158" s="57">
        <v>41</v>
      </c>
      <c r="F158" s="63" t="str">
        <f>IF(COUNTA($A$118:$A158)&lt;=MAX(DS_States_Sequence)=TRUE,LOOKUP(COUNTA($A$118:$A158),DS_States_Sequence,DS_States_DataNames),"")</f>
        <v>RI</v>
      </c>
    </row>
    <row r="159" spans="1:6">
      <c r="A159" s="59" t="s">
        <v>198</v>
      </c>
      <c r="B159" s="57">
        <v>1</v>
      </c>
      <c r="C159" s="60">
        <f>IF(B159&lt;&gt;1,"",SUM(B$118:B159))</f>
        <v>42</v>
      </c>
      <c r="D159" s="57">
        <v>42</v>
      </c>
      <c r="F159" s="63" t="str">
        <f>IF(COUNTA($A$118:$A159)&lt;=MAX(DS_States_Sequence)=TRUE,LOOKUP(COUNTA($A$118:$A159),DS_States_Sequence,DS_States_DataNames),"")</f>
        <v>SC</v>
      </c>
    </row>
    <row r="160" spans="1:6">
      <c r="A160" s="59" t="s">
        <v>199</v>
      </c>
      <c r="B160" s="57">
        <v>1</v>
      </c>
      <c r="C160" s="60">
        <f>IF(B160&lt;&gt;1,"",SUM(B$118:B160))</f>
        <v>43</v>
      </c>
      <c r="D160" s="57">
        <v>43</v>
      </c>
      <c r="F160" s="63" t="str">
        <f>IF(COUNTA($A$118:$A160)&lt;=MAX(DS_States_Sequence)=TRUE,LOOKUP(COUNTA($A$118:$A160),DS_States_Sequence,DS_States_DataNames),"")</f>
        <v>SD</v>
      </c>
    </row>
    <row r="161" spans="1:17">
      <c r="A161" s="59" t="s">
        <v>200</v>
      </c>
      <c r="B161" s="57">
        <v>1</v>
      </c>
      <c r="C161" s="60">
        <f>IF(B161&lt;&gt;1,"",SUM(B$118:B161))</f>
        <v>44</v>
      </c>
      <c r="D161" s="57">
        <v>44</v>
      </c>
      <c r="F161" s="63" t="str">
        <f>IF(COUNTA($A$118:$A161)&lt;=MAX(DS_States_Sequence)=TRUE,LOOKUP(COUNTA($A$118:$A161),DS_States_Sequence,DS_States_DataNames),"")</f>
        <v>TN</v>
      </c>
    </row>
    <row r="162" spans="1:17">
      <c r="A162" s="59" t="s">
        <v>201</v>
      </c>
      <c r="B162" s="57">
        <v>1</v>
      </c>
      <c r="C162" s="60">
        <f>IF(B162&lt;&gt;1,"",SUM(B$118:B162))</f>
        <v>45</v>
      </c>
      <c r="D162" s="57">
        <v>45</v>
      </c>
      <c r="F162" s="63" t="str">
        <f>IF(COUNTA($A$118:$A162)&lt;=MAX(DS_States_Sequence)=TRUE,LOOKUP(COUNTA($A$118:$A162),DS_States_Sequence,DS_States_DataNames),"")</f>
        <v>TX</v>
      </c>
    </row>
    <row r="163" spans="1:17">
      <c r="A163" s="59" t="s">
        <v>202</v>
      </c>
      <c r="B163" s="57">
        <v>1</v>
      </c>
      <c r="C163" s="60">
        <f>IF(B163&lt;&gt;1,"",SUM(B$118:B163))</f>
        <v>46</v>
      </c>
      <c r="D163" s="57">
        <v>46</v>
      </c>
      <c r="F163" s="63" t="str">
        <f>IF(COUNTA($A$118:$A163)&lt;=MAX(DS_States_Sequence)=TRUE,LOOKUP(COUNTA($A$118:$A163),DS_States_Sequence,DS_States_DataNames),"")</f>
        <v>UT</v>
      </c>
      <c r="I163" s="268"/>
    </row>
    <row r="164" spans="1:17">
      <c r="A164" s="59" t="s">
        <v>203</v>
      </c>
      <c r="B164" s="57">
        <v>1</v>
      </c>
      <c r="C164" s="60">
        <f>IF(B164&lt;&gt;1,"",SUM(B$118:B164))</f>
        <v>47</v>
      </c>
      <c r="D164" s="57">
        <v>47</v>
      </c>
      <c r="F164" s="63" t="str">
        <f>IF(COUNTA($A$118:$A164)&lt;=MAX(DS_States_Sequence)=TRUE,LOOKUP(COUNTA($A$118:$A164),DS_States_Sequence,DS_States_DataNames),"")</f>
        <v>VA</v>
      </c>
    </row>
    <row r="165" spans="1:17">
      <c r="A165" s="59" t="s">
        <v>204</v>
      </c>
      <c r="B165" s="57">
        <v>1</v>
      </c>
      <c r="C165" s="60">
        <f>IF(B165&lt;&gt;1,"",SUM(B$118:B165))</f>
        <v>48</v>
      </c>
      <c r="D165" s="57">
        <v>48</v>
      </c>
      <c r="F165" s="63" t="str">
        <f>IF(COUNTA($A$118:$A165)&lt;=MAX(DS_States_Sequence)=TRUE,LOOKUP(COUNTA($A$118:$A165),DS_States_Sequence,DS_States_DataNames),"")</f>
        <v>VT</v>
      </c>
    </row>
    <row r="166" spans="1:17">
      <c r="A166" s="59" t="s">
        <v>205</v>
      </c>
      <c r="B166" s="57">
        <v>1</v>
      </c>
      <c r="C166" s="60">
        <f>IF(B166&lt;&gt;1,"",SUM(B$118:B166))</f>
        <v>49</v>
      </c>
      <c r="D166" s="57">
        <v>49</v>
      </c>
      <c r="F166" s="63" t="str">
        <f>IF(COUNTA($A$118:$A166)&lt;=MAX(DS_States_Sequence)=TRUE,LOOKUP(COUNTA($A$118:$A166),DS_States_Sequence,DS_States_DataNames),"")</f>
        <v>WA</v>
      </c>
    </row>
    <row r="167" spans="1:17">
      <c r="A167" s="59" t="s">
        <v>206</v>
      </c>
      <c r="B167" s="57">
        <v>1</v>
      </c>
      <c r="C167" s="60">
        <f>IF(B167&lt;&gt;1,"",SUM(B$118:B167))</f>
        <v>50</v>
      </c>
      <c r="D167" s="57">
        <v>50</v>
      </c>
      <c r="F167" s="63" t="str">
        <f>IF(COUNTA($A$118:$A167)&lt;=MAX(DS_States_Sequence)=TRUE,LOOKUP(COUNTA($A$118:$A167),DS_States_Sequence,DS_States_DataNames),"")</f>
        <v>WI</v>
      </c>
    </row>
    <row r="168" spans="1:17">
      <c r="A168" s="59" t="s">
        <v>207</v>
      </c>
      <c r="B168" s="57">
        <v>1</v>
      </c>
      <c r="C168" s="60">
        <f>IF(B168&lt;&gt;1,"",SUM(B$118:B168))</f>
        <v>51</v>
      </c>
      <c r="D168" s="57">
        <v>51</v>
      </c>
      <c r="F168" s="63" t="str">
        <f>IF(COUNTA($A$118:$A168)&lt;=MAX(DS_States_Sequence)=TRUE,LOOKUP(COUNTA($A$118:$A168),DS_States_Sequence,DS_States_DataNames),"")</f>
        <v>WV</v>
      </c>
    </row>
    <row r="169" spans="1:17">
      <c r="A169" s="64" t="s">
        <v>208</v>
      </c>
      <c r="B169" s="57">
        <v>1</v>
      </c>
      <c r="C169" s="60">
        <f>IF(B169&lt;&gt;1,"",SUM(B$118:B169))</f>
        <v>52</v>
      </c>
      <c r="D169" s="57">
        <v>52</v>
      </c>
      <c r="F169" s="63" t="str">
        <f>IF(COUNTA($A$118:$A169)&lt;=MAX(DS_States_Sequence)=TRUE,LOOKUP(COUNTA($A$118:$A169),DS_States_Sequence,DS_States_DataNames),"")</f>
        <v>WY</v>
      </c>
      <c r="I169" s="879" t="s">
        <v>1826</v>
      </c>
      <c r="J169" s="879" t="s">
        <v>1828</v>
      </c>
      <c r="K169" s="879"/>
      <c r="L169" s="879" t="s">
        <v>1830</v>
      </c>
    </row>
    <row r="170" spans="1:17">
      <c r="I170" s="879" t="s">
        <v>1827</v>
      </c>
      <c r="J170" s="879" t="s">
        <v>1829</v>
      </c>
      <c r="K170" s="879"/>
      <c r="L170" s="879" t="s">
        <v>1831</v>
      </c>
    </row>
    <row r="171" spans="1:17">
      <c r="A171" s="571" t="s">
        <v>209</v>
      </c>
      <c r="E171" s="516" t="s">
        <v>210</v>
      </c>
      <c r="G171" s="111" t="s">
        <v>1644</v>
      </c>
      <c r="H171" s="111" t="s">
        <v>1645</v>
      </c>
    </row>
    <row r="172" spans="1:17">
      <c r="A172" s="36" t="s">
        <v>211</v>
      </c>
      <c r="E172" s="885">
        <v>2</v>
      </c>
      <c r="G172" s="423" t="str">
        <f>IF(GCExp_MinDevs_List_Count&gt;=DS_GCExp_MinDevs_List,"Yes","No, "&amp;TEXT(DS_GCExp_MinDevs_List-GCExp_MinDevs_List_Count,"0")&amp;" shy")</f>
        <v>No, 2 shy</v>
      </c>
      <c r="H172" s="1135">
        <f>IF('General Information'!M185=0,0,IF(AND('General Information'!K192&gt;0,GCExp_Name_of_Development_1&lt;&gt;"",'General Information'!K193&gt;0,GCExp_Location_of_Development_1&lt;&gt;"",'General Information'!K194&gt;0,GCExp_Selected_Program_1&lt;&gt;"&lt;select one&gt;",'General Information'!K195&gt;0,GCExp_Other_Program_1&lt;&gt;"",'General Information'!K196&gt;0,GCExp_Development_Total_Units_1&lt;&gt;"",'General Information'!K198&gt;0,GCExp_Davis_Bacon_1&lt;&gt;"&lt;select one&gt;"),1,0)+IF(AND('General Information'!K202&gt;0,GCExp_Name_of_Development_2&lt;&gt;"",'General Information'!K203&gt;0,GCExp_Location_of_Development_2&lt;&gt;"",'General Information'!K204&gt;0,GCExp_Selected_Program_2&lt;&gt;"&lt;select one&gt;",'General Information'!K205&gt;0,GCExp_Other_Program_2&lt;&gt;"",'General Information'!K206&gt;0,GCExp_Development_Total_Units_2&lt;&gt;"",'General Information'!K208&gt;0,GCExp_Davis_Bacon_2&lt;&gt;"&lt;select one&gt;"),1,0))</f>
        <v>0</v>
      </c>
      <c r="I172" s="1027" t="s">
        <v>1638</v>
      </c>
      <c r="J172" s="36"/>
      <c r="K172" s="36"/>
      <c r="L172" s="36"/>
      <c r="M172" s="36"/>
      <c r="N172" s="337" t="s">
        <v>1823</v>
      </c>
    </row>
    <row r="173" spans="1:17">
      <c r="A173" s="1142" t="s">
        <v>1637</v>
      </c>
      <c r="B173" s="2792">
        <f>ROUNDUP(DS_GCExp_MinUnits_Percent*Total_Units,0)</f>
        <v>0</v>
      </c>
      <c r="C173" s="2792"/>
      <c r="D173" s="2792"/>
      <c r="E173" s="344">
        <v>0.5</v>
      </c>
      <c r="G173" s="424" t="str">
        <f>IF(GCExp_MinUnits_Percent_Count&gt;=DS_GCExp_MinDevs_List,"Yes","No, "&amp;TEXT(DS_GCExp_MinDevs_List-GCExp_MinUnits_Percent_Count,"0")&amp;" shy")</f>
        <v>No, 2 shy</v>
      </c>
      <c r="H173" s="1152">
        <f>IF(OR('General Information'!M185=0,N(Total_Units)=0),0,IF(AND('General Information'!K196&gt;0,GCExp_Development_Total_Units_1&gt;=DS_GCExp_MinUnits_Percent_ActualUnits,GCExp_Development_Total_Units_1&lt;&gt;""),1,0)+IF(AND('General Information'!K206&gt;0,GCExp_Development_Total_Units_2&gt;=DS_GCExp_MinUnits_Percent_ActualUnits,GCExp_Development_Total_Units_2&lt;&gt;""),1,0))</f>
        <v>0</v>
      </c>
      <c r="I173" s="1141" t="s">
        <v>1639</v>
      </c>
      <c r="J173" s="1142"/>
      <c r="K173" s="1142"/>
      <c r="L173" s="1142"/>
      <c r="M173" s="1142"/>
      <c r="N173" s="337" t="s">
        <v>1824</v>
      </c>
    </row>
    <row r="174" spans="1:17">
      <c r="A174" s="1153" t="s">
        <v>212</v>
      </c>
      <c r="E174" s="885">
        <v>1</v>
      </c>
      <c r="G174" s="424" t="str">
        <f>IF(GCExp_MinDevs_DB_Count&gt;=DS_GCExp_MinDevs_DB,"Yes","No, "&amp;TEXT(DS_GCExp_MinDevs_DB-GCExp_MinDevs_DB_Count,"0")&amp;" shy")</f>
        <v>No, 1 shy</v>
      </c>
      <c r="H174" s="1154">
        <f>IF('General Information'!M185=0,0,IF(AND('General Information'!K198&gt;0,GCExp_Davis_Bacon_1="Yes"),1,0)+IF(AND('General Information'!K208&gt;0,GCExp_Davis_Bacon_2="Yes"),1,0))</f>
        <v>0</v>
      </c>
      <c r="I174" s="1155" t="s">
        <v>1640</v>
      </c>
      <c r="J174" s="1153"/>
      <c r="K174" s="1153"/>
      <c r="L174" s="1153"/>
      <c r="M174" s="1153"/>
      <c r="N174" s="337" t="s">
        <v>1825</v>
      </c>
    </row>
    <row r="175" spans="1:17">
      <c r="N175" s="6" t="s">
        <v>1842</v>
      </c>
    </row>
    <row r="176" spans="1:17" ht="18" customHeight="1">
      <c r="A176" s="571" t="s">
        <v>213</v>
      </c>
      <c r="B176" s="6"/>
      <c r="C176" s="6"/>
      <c r="D176" s="6"/>
      <c r="E176" s="516" t="s">
        <v>214</v>
      </c>
      <c r="F176" s="244" t="s">
        <v>59</v>
      </c>
      <c r="I176" s="97" t="str">
        <f>"List-"&amp;IF('General Information'!M241=0,"NS","S"&amp;IF(IFERROR(FIND("All",Q177),0)&gt;0,"Y","N"&amp;IF(Q177="","B","F")))</f>
        <v>List-NS</v>
      </c>
      <c r="J176" s="97" t="str">
        <f>"List-"&amp;IF('General Information'!M251=0,"NS","S"&amp;IF(IFERROR(FIND("All",Q178),0)&gt;0,"Y","N"&amp;IF(Q178="","B","F")))</f>
        <v>List-NS</v>
      </c>
      <c r="Q176" s="5" t="s">
        <v>2760</v>
      </c>
    </row>
    <row r="177" spans="1:31">
      <c r="A177" s="36" t="s">
        <v>215</v>
      </c>
      <c r="D177" s="886"/>
      <c r="E177" s="885">
        <v>2</v>
      </c>
      <c r="F177" s="84" t="s">
        <v>216</v>
      </c>
      <c r="G177" s="423" t="str">
        <f>IF(MgmtExp_MinDevs_List_Count&gt;=DS_MgmtExp_MinDevs_List,"Yes","No, "&amp;TEXT(DS_MgmtExp_MinDevs_List-MgmtExp_MinDevs_List_Count,"0")&amp;" shy")</f>
        <v>No, 2 shy</v>
      </c>
      <c r="H177" s="1135">
        <f>IF(AND('General Information'!M241&gt;0,IF('General Information'!K242&gt;0,MgmtExp_first_Dev_name&lt;&gt;"",TRUE),IF('General Information'!K243&gt;0,MgmtExp_first_location&lt;&gt;"",TRUE),IF('General Information'!K244&gt;0,MgmtExp_first_currently_or_formerly_managed&lt;&gt;"&lt;select one&gt;",TRUE),IF('General Information'!K247&gt;0,MgmtExp_first_units&lt;&gt;"",TRUE),IF('General Information'!K248&gt;0,MgmtExp_first_time&lt;&gt;"",TRUE)),1,0)+IF(AND('General Information'!M251&gt;0,IF('General Information'!K252&gt;0,MgmtExp_second_Dev_name&lt;&gt;"",TRUE),IF('General Information'!K253&gt;0,MgmtExp_second_location&lt;&gt;"",TRUE),IF('General Information'!K254&gt;0,MgmtExp_second_currently_or_formerly_managed&lt;&gt;"&lt;select one&gt;",TRUE),IF('General Information'!K257&gt;0,MgmtExp_second_units&lt;&gt;"",TRUE),IF('General Information'!K258&gt;0,MgmtExp_second_time&lt;&gt;"",TRUE)),1,0)</f>
        <v>0</v>
      </c>
      <c r="I177" s="1027" t="s">
        <v>1638</v>
      </c>
      <c r="J177" s="36"/>
      <c r="K177" s="36"/>
      <c r="L177" s="36"/>
      <c r="M177" s="36"/>
      <c r="N177" s="1112"/>
      <c r="O177" s="1112"/>
      <c r="P177" s="1113" t="s">
        <v>1814</v>
      </c>
      <c r="Q177" s="1104" t="str">
        <f>IF('General Information'!M241=0,"",IF(AND(IF('General Information'!K242&gt;0,MgmtExp_first_Dev_name&lt;&gt;"",TRUE),IF('General Information'!K243&gt;0,MgmtExp_first_location&lt;&gt;"",TRUE),IF('General Information'!K244&gt;0,MgmtExp_first_currently_or_formerly_managed&lt;&gt;"&lt;select one&gt;",TRUE),IF('General Information'!K248&gt;0,MgmtExp_first_time&lt;&gt;"",TRUE),IF('General Information'!K247&gt;0,MgmtExp_first_units&lt;&gt;"",TRUE)),"All required data fields have entries. ",IF(AND(IF('General Information'!K242&gt;0,MgmtExp_first_Dev_name="",TRUE),IF('General Information'!K243&gt;0,MgmtExp_first_location="",TRUE),IF('General Information'!K244&gt;0,MgmtExp_first_currently_or_formerly_managed="&lt;select one&gt;",TRUE),IF('General Information'!K248&gt;0,MgmtExp_first_time="",TRUE),IF('General Information'!K247&gt;0,MgmtExp_first_units="",TRUE)),"",IF(IF(AND('General Information'!K242&gt;0,MgmtExp_first_Dev_name=""),1,0)+IF(AND('General Information'!K243&gt;0,MgmtExp_first_location=""),1,0)+IF(AND('General Information'!K244&gt;0,MgmtExp_first_currently_or_formerly_managed="&lt;select one&gt;"),1,0)+IF(AND('General Information'!K248&gt;0,MgmtExp_first_time=""),1,0)+IF(AND('General Information'!K247&gt;0,MgmtExp_first_units=""),1,0)&gt;1,"Fields for the above development are","A field for the above development is")&amp;" missing. ")))</f>
        <v/>
      </c>
      <c r="R177" s="374"/>
      <c r="S177" s="374"/>
      <c r="T177" s="374"/>
      <c r="U177" s="374"/>
      <c r="V177" s="374"/>
      <c r="W177" s="374"/>
      <c r="X177" s="374"/>
      <c r="Y177" s="374"/>
      <c r="Z177" s="374"/>
      <c r="AA177" s="374"/>
      <c r="AB177" s="374"/>
      <c r="AC177" s="374"/>
      <c r="AD177" s="374"/>
      <c r="AE177" s="374"/>
    </row>
    <row r="178" spans="1:31">
      <c r="A178" s="1132" t="s">
        <v>1636</v>
      </c>
      <c r="D178" s="886"/>
      <c r="E178" s="817">
        <v>2</v>
      </c>
      <c r="F178" s="84" t="s">
        <v>218</v>
      </c>
      <c r="G178" s="423" t="str">
        <f>IF(MgmtExp_MinDevs_time_Count&gt;=DS_MgmtExp_MinDevs_List,"Yes","No, "&amp;TEXT(DS_MgmtExp_MinDevs_List-MgmtExp_MinDevs_time_Count,"0")&amp;" shy")</f>
        <v>No, 2 shy</v>
      </c>
      <c r="H178" s="1134">
        <f>IF(AND('General Information'!M241&gt;0,'General Information'!K248&gt;0,MgmtExp_first_time&gt;=DS_MgmtExp_Yrs,MgmtExp_first_time&lt;&gt;""),1,0)+IF(AND('General Information'!M251&gt;0,'General Information'!K258&gt;0,MgmtExp_second_time&gt;=DS_MgmtExp_Yrs,MgmtExp_second_time&lt;&gt;""),1,0)</f>
        <v>0</v>
      </c>
      <c r="I178" s="1131" t="s">
        <v>1643</v>
      </c>
      <c r="J178" s="1132"/>
      <c r="K178" s="1132"/>
      <c r="L178" s="1132"/>
      <c r="M178" s="1132"/>
      <c r="N178" s="1109"/>
      <c r="O178" s="1109"/>
      <c r="P178" s="1145" t="s">
        <v>1815</v>
      </c>
      <c r="Q178" s="1106" t="str">
        <f>IF('General Information'!M251=0,"",IF(AND(IF('General Information'!K252&gt;0,MgmtExp_second_Dev_name&lt;&gt;"",TRUE),IF('General Information'!K253&gt;0,MgmtExp_second_location&lt;&gt;"",TRUE),IF('General Information'!K254&gt;0,MgmtExp_second_currently_or_formerly_managed&lt;&gt;"&lt;select one&gt;",TRUE),IF('General Information'!K258&gt;0,MgmtExp_second_time&lt;&gt;"",TRUE),IF('General Information'!K257&gt;0,MgmtExp_second_units&lt;&gt;"",TRUE)),"All required data fields have entries. ",IF(AND(IF('General Information'!K252&gt;0,MgmtExp_second_Dev_name="",TRUE),IF('General Information'!K253&gt;0,MgmtExp_second_location="",TRUE),IF('General Information'!K254&gt;0,MgmtExp_second_currently_or_formerly_managed="&lt;select one&gt;",TRUE),IF('General Information'!K258&gt;0,MgmtExp_second_time="",TRUE),IF('General Information'!K257&gt;0,MgmtExp_second_units="",TRUE)),"",IF(IF(AND('General Information'!K252&gt;0,MgmtExp_second_Dev_name=""),1,0)+IF(AND('General Information'!K253&gt;0,MgmtExp_second_location=""),1,0)+IF(AND('General Information'!K254&gt;0,MgmtExp_second_currently_or_formerly_managed="&lt;select one&gt;"),1,0)+IF(AND('General Information'!K258&gt;0,MgmtExp_second_time=""),1,0)+IF(AND('General Information'!K257&gt;0,MgmtExp_second_units=""),1,0)&gt;1,"Fields for the above development are","A field for the above development is")&amp;" missing. ")))</f>
        <v/>
      </c>
      <c r="R178" s="377"/>
      <c r="S178" s="377"/>
      <c r="T178" s="377"/>
      <c r="U178" s="377"/>
      <c r="V178" s="377"/>
      <c r="W178" s="377"/>
      <c r="X178" s="377"/>
      <c r="Y178" s="377"/>
      <c r="Z178" s="377"/>
      <c r="AA178" s="377"/>
      <c r="AB178" s="377"/>
      <c r="AC178" s="377"/>
      <c r="AD178" s="377"/>
      <c r="AE178" s="377"/>
    </row>
    <row r="179" spans="1:31">
      <c r="A179" s="1142" t="s">
        <v>217</v>
      </c>
      <c r="B179" s="2792">
        <f>ROUNDUP(N(Total_Units)*DS_MgmtExp_MinUnits_Percent,0)</f>
        <v>0</v>
      </c>
      <c r="C179" s="2792"/>
      <c r="D179" s="2792"/>
      <c r="E179" s="344">
        <v>0.5</v>
      </c>
      <c r="I179" s="1133" t="str">
        <f>"Years-"&amp;IF('General Information'!M241=0,"NS","S"&amp;IF(AND('General Information'!K248&gt;0,N(DS_MgmtExp_Yrs)&lt;=N(MgmtExp_first_time),MgmtExp_first_time&lt;&gt;""),"Y","N"&amp;IF(Q180="","B","F")))</f>
        <v>Years-NS</v>
      </c>
      <c r="J179" s="1150" t="str">
        <f>"Years-"&amp;IF('General Information'!M251=0,"NS","S"&amp;IF(AND('General Information'!K258&gt;0,N(DS_MgmtExp_Yrs)&lt;=N(MgmtExp_second_time),MgmtExp_second_time&lt;&gt;""),"Y","N"&amp;IF(Q181="","B","F")))</f>
        <v>Years-NS</v>
      </c>
      <c r="N179" s="1109"/>
      <c r="O179" s="1109"/>
      <c r="P179" s="1145" t="s">
        <v>1817</v>
      </c>
      <c r="Q179" s="1123" t="str">
        <f>IF(AND(MgmtExp_MinDevs_List_Count&gt;0,DS_MgmtExp_MinDevs_List&gt;0),"The minimum number of "&amp;TEXT(DS_MgmtExp_MinDevs_List,"0")&amp;" development"&amp;IF(DS_MgmtExp_MinDevs_List&gt;1,"s","")&amp;" to be listed is "&amp;IF(MgmtExp_MinDevs_List_Count&gt;=DS_MgmtExp_MinDevs_List,"","NOT ")&amp;"met.","")</f>
        <v/>
      </c>
      <c r="R179" s="375"/>
      <c r="S179" s="375"/>
      <c r="T179" s="375"/>
      <c r="U179" s="375"/>
      <c r="V179" s="375"/>
      <c r="W179" s="375"/>
      <c r="X179" s="375"/>
      <c r="Y179" s="375"/>
      <c r="Z179" s="375"/>
      <c r="AA179" s="375"/>
      <c r="AB179" s="375"/>
      <c r="AC179" s="375"/>
      <c r="AD179" s="375"/>
      <c r="AE179" s="375"/>
    </row>
    <row r="180" spans="1:31">
      <c r="A180" s="1142" t="str">
        <f>"# of developments needed with minimum total # of units (%) criteria (1"&amp;IF(DS_MgmtExp_MinDevs_List=2," or 2"&amp;")")</f>
        <v># of developments needed with minimum total # of units (%) criteria (1 or 2)</v>
      </c>
      <c r="D180" s="886"/>
      <c r="E180" s="817">
        <v>1</v>
      </c>
      <c r="G180" s="423" t="str" cm="1">
        <f t="array" ref="G180">IF(MgmtExp_MinUnits_Count&gt;=DS_MgmtExp_MinUnits_Devs,"Yes","No, "&amp;TEXT(DS_MgmtExp_MinUnits_Devs-MgmtExp_MinUnits_Count,"0")&amp;" shy")</f>
        <v>No, 1 shy</v>
      </c>
      <c r="H180" s="1140">
        <f>IF(N(Total_Units)=0,0,IF(AND('General Information'!M241&gt;0,'General Information'!K247&gt;0,MgmtExp_first_units&gt;=DS_MgmtExp_MinUnits,MgmtExp_first_units&lt;&gt;""),1,0)+IF(AND('General Information'!M251&gt;0,'General Information'!K257&gt;0,MgmtExp_second_units&gt;=DS_MgmtExp_MinUnits,MgmtExp_second_units&lt;&gt;""),1,0))</f>
        <v>0</v>
      </c>
      <c r="I180" s="1141" t="s">
        <v>1642</v>
      </c>
      <c r="J180" s="1142"/>
      <c r="K180" s="1142"/>
      <c r="L180" s="1142"/>
      <c r="M180" s="1142"/>
      <c r="N180" s="1079"/>
      <c r="O180" s="1079"/>
      <c r="P180" s="1146" t="s">
        <v>1818</v>
      </c>
      <c r="Q180" s="1104" t="str">
        <f>IF(MgmtExp_first_time="","",IF(N(MgmtExp_first_time)&lt;DS_MgmtExp_Yrs,"The # of years indicated is less than the RFA minimum of "&amp;TEXT(DS_MgmtExp_Yrs,"0")&amp;" years. ","The # of years indicated meets the minimum RFA requirement. "))</f>
        <v/>
      </c>
      <c r="R180" s="374"/>
      <c r="S180" s="374"/>
      <c r="T180" s="374"/>
      <c r="U180" s="374"/>
      <c r="V180" s="374"/>
      <c r="W180" s="374"/>
      <c r="X180" s="374"/>
      <c r="Y180" s="374"/>
      <c r="Z180" s="374"/>
      <c r="AA180" s="374"/>
      <c r="AB180" s="374"/>
      <c r="AC180" s="374"/>
      <c r="AD180" s="374"/>
      <c r="AE180" s="374"/>
    </row>
    <row r="181" spans="1:31">
      <c r="I181" s="1143" t="str" cm="1">
        <f t="array" ref="I181">"Units-"&amp;IF('General Information'!M241=0,"NS","S"&amp;IF(AND('General Information'!K247&gt;0,DS_MgmtExp_MinUnits_Devs&gt;0,DS_MgmtExp_MinUnits&lt;=MgmtExp_first_units),"Y","N"&amp;IF(Q183="","B","F")))</f>
        <v>Units-NS</v>
      </c>
      <c r="J181" s="1151" t="str" cm="1">
        <f t="array" ref="J181">"Units-"&amp;IF('General Information'!M251=0,"NS","S"&amp;IF(AND('General Information'!K257&gt;0,DS_MgmtExp_MinUnits_Devs&gt;0,DS_MgmtExp_MinUnits&lt;=MgmtExp_second_units),"Y","N"&amp;IF(Q184="","B","F")))</f>
        <v>Units-NS</v>
      </c>
      <c r="N181" s="1079"/>
      <c r="O181" s="1079"/>
      <c r="P181" s="1110" t="s">
        <v>1819</v>
      </c>
      <c r="Q181" s="1106" t="str">
        <f>IF(MgmtExp_second_time="","",IF(N(MgmtExp_second_time)&lt;DS_MgmtExp_Yrs,"The # of years indicated is less than the RFA minimum of "&amp;TEXT(DS_MgmtExp_Yrs,"0")&amp;" years. ","The # of years indicated meets the minimum RFA requirement. "))</f>
        <v/>
      </c>
      <c r="R181" s="377"/>
      <c r="S181" s="377"/>
      <c r="T181" s="377"/>
      <c r="U181" s="377"/>
      <c r="V181" s="377"/>
      <c r="W181" s="377"/>
      <c r="X181" s="377"/>
      <c r="Y181" s="377"/>
      <c r="Z181" s="377"/>
      <c r="AA181" s="377"/>
      <c r="AB181" s="377"/>
      <c r="AC181" s="377"/>
      <c r="AD181" s="377"/>
      <c r="AE181" s="377"/>
    </row>
    <row r="182" spans="1:31">
      <c r="G182" s="6" t="s">
        <v>1822</v>
      </c>
      <c r="H182" s="6"/>
      <c r="I182" s="6"/>
      <c r="J182" s="6"/>
      <c r="K182" s="6"/>
      <c r="L182" s="1156">
        <f>IF('General Information'!M241=0,0,1)+IF('General Information'!M251=0,0,1)</f>
        <v>0</v>
      </c>
      <c r="N182" s="1079"/>
      <c r="O182" s="1079"/>
      <c r="P182" s="1110" t="s">
        <v>1820</v>
      </c>
      <c r="Q182" s="1149"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182" s="375"/>
      <c r="S182" s="375"/>
      <c r="T182" s="375"/>
      <c r="U182" s="375"/>
      <c r="V182" s="375"/>
      <c r="W182" s="375"/>
      <c r="X182" s="375"/>
      <c r="Y182" s="375"/>
      <c r="Z182" s="375"/>
      <c r="AA182" s="375"/>
      <c r="AB182" s="375"/>
      <c r="AC182" s="375"/>
      <c r="AD182" s="375"/>
      <c r="AE182" s="375"/>
    </row>
    <row r="183" spans="1:31" ht="18" customHeight="1" thickBot="1">
      <c r="A183" s="571" t="s">
        <v>219</v>
      </c>
      <c r="B183" s="6"/>
      <c r="C183" s="6"/>
      <c r="D183" s="6"/>
      <c r="E183" s="516" t="s">
        <v>220</v>
      </c>
      <c r="F183" s="1531" t="s">
        <v>2173</v>
      </c>
      <c r="L183" s="899"/>
      <c r="N183" s="1148"/>
      <c r="O183" s="1148"/>
      <c r="P183" s="1147" t="s">
        <v>1802</v>
      </c>
      <c r="Q183" s="1104" t="str">
        <f>IF(OR(MgmtExp_first_units="",'General Information'!K247=0),"",IF(N(Total_Units)=0,"Please enter Total Units at Section 4.A.6.(a). ","The indicated units "&amp;IF(DS_MgmtExp_MinUnits&gt;N(MgmtExp_first_units),"do NOT ","")&amp;"meet the minimum requirement ("&amp;TEXT(DS_MgmtExp_MinUnits_Percent,"0%")&amp;" x "&amp;TEXT(Total_Units,"0")&amp;" = "&amp;TEXT(DS_MgmtExp_MinUnits,"0")&amp;"). "))</f>
        <v/>
      </c>
      <c r="R183" s="374"/>
      <c r="S183" s="374"/>
      <c r="T183" s="374"/>
      <c r="U183" s="374"/>
      <c r="V183" s="374"/>
      <c r="W183" s="374"/>
      <c r="X183" s="374"/>
      <c r="Y183" s="374"/>
      <c r="Z183" s="374"/>
      <c r="AA183" s="374"/>
      <c r="AB183" s="374"/>
      <c r="AC183" s="374"/>
      <c r="AD183" s="374"/>
      <c r="AE183" s="374"/>
    </row>
    <row r="184" spans="1:31" ht="15.75" thickBot="1">
      <c r="A184" t="s">
        <v>221</v>
      </c>
      <c r="F184" s="1532" t="str">
        <f>IF(Authorized_Contact_Middle_Initial&lt;&gt;"",CONCATENATE(Authorized_Contact_First_Name," ",Authorized_Contact_Middle_Initial," ",Authorized_Contact_Last_Name),CONCATENATE(Authorized_Contact_First_Name," ",Authorized_Contact_Last_Name))</f>
        <v xml:space="preserve"> </v>
      </c>
      <c r="N184" s="1148"/>
      <c r="O184" s="1148"/>
      <c r="P184" s="1147" t="s">
        <v>1804</v>
      </c>
      <c r="Q184" s="1106" t="str">
        <f>IF(OR(MgmtExp_second_units="",'General Information'!K257=0),"",IF(N(Total_Units)=0,"Please enter Total Units at Section 4.A.6.(a). ","The indicated units "&amp;IF(DS_MgmtExp_MinUnits&gt;N(MgmtExp_second_units),"do NOT ","")&amp;"meet the minimum requirement ("&amp;TEXT(DS_MgmtExp_MinUnits_Percent,"0%")&amp;" x "&amp;TEXT(Total_Units,"0")&amp;" = "&amp;TEXT(DS_MgmtExp_MinUnits,"0")&amp;"). "))</f>
        <v/>
      </c>
      <c r="R184" s="377"/>
      <c r="S184" s="377"/>
      <c r="T184" s="377"/>
      <c r="U184" s="377"/>
      <c r="V184" s="377"/>
      <c r="W184" s="377"/>
      <c r="X184" s="377"/>
      <c r="Y184" s="377"/>
      <c r="Z184" s="377"/>
      <c r="AA184" s="377"/>
      <c r="AB184" s="377"/>
      <c r="AC184" s="377"/>
      <c r="AD184" s="377"/>
      <c r="AE184" s="377"/>
    </row>
    <row r="185" spans="1:31" ht="15.75" thickBot="1">
      <c r="A185" t="s">
        <v>222</v>
      </c>
      <c r="F185" s="1533" t="str">
        <f>IF(Operational_Contact_Middle_Initial&lt;&gt;"",CONCATENATE(Operational_Contact_First_Name," ",Operational_Contact_Middle_Initial," ",Operational_Contact_Last_Name),CONCATENATE(Operational_Contact_First_Name," ",Operational_Contact_Last_Name))</f>
        <v xml:space="preserve"> </v>
      </c>
      <c r="N185" s="1148"/>
      <c r="O185" s="1148"/>
      <c r="P185" s="1147" t="s">
        <v>1809</v>
      </c>
      <c r="Q185" s="1123" t="str" cm="1">
        <f t="array" ref="Q185">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185" s="375"/>
      <c r="S185" s="375"/>
      <c r="T185" s="375"/>
      <c r="U185" s="375"/>
      <c r="V185" s="375"/>
      <c r="W185" s="375"/>
      <c r="X185" s="375"/>
      <c r="Y185" s="375"/>
      <c r="Z185" s="375"/>
      <c r="AA185" s="375"/>
      <c r="AB185" s="375"/>
      <c r="AC185" s="375"/>
      <c r="AD185" s="375"/>
      <c r="AE185" s="375"/>
    </row>
    <row r="186" spans="1:31">
      <c r="B186" s="2070" t="str">
        <f>$B$18</f>
        <v>Do NOT delete any formulas in any "Sequence" column (column C), it's controlled by column B entries (1 to use, 0 or delete to not use). [warning not repeated every instance]</v>
      </c>
      <c r="C186" s="2070"/>
      <c r="D186" s="2070"/>
      <c r="E186" s="2070"/>
      <c r="F186" s="2070"/>
      <c r="G186" s="2071"/>
      <c r="H186" s="2071"/>
      <c r="I186" s="2070"/>
    </row>
    <row r="187" spans="1:31" ht="18" customHeight="1">
      <c r="A187" s="571" t="s">
        <v>223</v>
      </c>
      <c r="B187" s="572" t="s">
        <v>55</v>
      </c>
      <c r="C187" s="572" t="s">
        <v>56</v>
      </c>
      <c r="D187" s="572" t="s">
        <v>57</v>
      </c>
      <c r="E187" s="516" t="s">
        <v>224</v>
      </c>
      <c r="F187" s="63" t="s">
        <v>59</v>
      </c>
    </row>
    <row r="188" spans="1:31">
      <c r="A188" s="59" t="s">
        <v>226</v>
      </c>
      <c r="B188" s="57">
        <v>1</v>
      </c>
      <c r="C188" s="60">
        <f>IF(B188&lt;&gt;1,"",SUM(B$188:B188))</f>
        <v>1</v>
      </c>
      <c r="D188" s="57">
        <v>1</v>
      </c>
      <c r="F188" s="63" t="str">
        <f>IF(COUNTA($A$188:$A188)&lt;=MAX(DS_DevCat_Sequence)=TRUE,LOOKUP(COUNTA($A$188:$A188),DS_DevCat_Sequence,DS_DevCat_DataNames),"")</f>
        <v>New Construction</v>
      </c>
      <c r="G188" s="5" t="s">
        <v>225</v>
      </c>
    </row>
    <row r="189" spans="1:31">
      <c r="A189" s="61" t="s">
        <v>230</v>
      </c>
      <c r="B189" s="58">
        <v>0</v>
      </c>
      <c r="C189" s="60" t="str">
        <f>IF(B189&lt;&gt;1,"",SUM(B$188:B189))</f>
        <v/>
      </c>
      <c r="D189" s="58">
        <v>2</v>
      </c>
      <c r="F189" s="63" t="str">
        <f>IF(COUNTA($A$188:$A189)&lt;=MAX(DS_DevCat_Sequence)=TRUE,LOOKUP(COUNTA($A$188:$A189),DS_DevCat_Sequence,DS_DevCat_DataNames),"")</f>
        <v/>
      </c>
      <c r="G189" s="933" t="s">
        <v>227</v>
      </c>
      <c r="H189" s="6" t="s">
        <v>1770</v>
      </c>
    </row>
    <row r="190" spans="1:31">
      <c r="A190" s="61" t="s">
        <v>228</v>
      </c>
      <c r="B190" s="58">
        <v>0</v>
      </c>
      <c r="C190" s="60" t="str">
        <f>IF(B190&lt;&gt;1,"",SUM(B$188:B190))</f>
        <v/>
      </c>
      <c r="D190" s="58">
        <v>3</v>
      </c>
      <c r="F190" s="63" t="str">
        <f>IF(COUNTA($A$188:$A190)&lt;=MAX(DS_DevCat_Sequence)=TRUE,LOOKUP(COUNTA($A$188:$A190),DS_DevCat_Sequence,DS_DevCat_DataNames),"")</f>
        <v/>
      </c>
      <c r="G190" s="933" t="s">
        <v>229</v>
      </c>
      <c r="H190" s="6" t="str" cm="1">
        <f t="array" aca="1" ref="H190"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191" spans="1:31">
      <c r="A191" s="61" t="s">
        <v>735</v>
      </c>
      <c r="B191" s="58">
        <v>0</v>
      </c>
      <c r="C191" s="60" t="str">
        <f>IF(B191&lt;&gt;1,"",SUM(B$188:B191))</f>
        <v/>
      </c>
      <c r="D191" s="58">
        <v>4</v>
      </c>
      <c r="F191" s="63" t="str">
        <f>IF(COUNTA($A$188:$A191)&lt;=MAX(DS_DevCat_Sequence)=TRUE,LOOKUP(COUNTA($A$188:$A191),DS_DevCat_Sequence,DS_DevCat_DataNames),"")</f>
        <v/>
      </c>
      <c r="G191" s="933" t="s">
        <v>231</v>
      </c>
      <c r="H191" s="6" t="str">
        <f>"Applicant still needs to complete the Unit Characteristics chart in Section 4.A.4."&amp;'Proposed Development Info'!A122&amp;". below. "</f>
        <v xml:space="preserve">Applicant still needs to complete the Unit Characteristics chart in Section 4.A.4.d. below. </v>
      </c>
    </row>
    <row r="192" spans="1:31">
      <c r="A192" s="61" t="s">
        <v>735</v>
      </c>
      <c r="B192" s="58">
        <v>0</v>
      </c>
      <c r="C192" s="60" t="str">
        <f>IF(B192&lt;&gt;1,"",SUM(B$188:B192))</f>
        <v/>
      </c>
      <c r="D192" s="58">
        <v>5</v>
      </c>
      <c r="E192" s="1330" t="s">
        <v>233</v>
      </c>
      <c r="F192" s="63" t="str">
        <f>IF(COUNTA($A$188:$A192)&lt;=MAX(DS_DevCat_Sequence)=TRUE,LOOKUP(COUNTA($A$188:$A192),DS_DevCat_Sequence,DS_DevCat_DataNames),"")</f>
        <v/>
      </c>
      <c r="G192" s="933" t="s">
        <v>232</v>
      </c>
      <c r="H192" t="str" cm="1">
        <f t="array" aca="1" ref="H192"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'C. DEVELOPMENT COSTS' [cell H"&amp;TEXT(ROW('Pro Forma'!H108),"0")&amp;" of "&amp;TEXT('Pro Forma'!H108,"$#,##0")&amp;"], and 'Developer Fee on Non-Acquisition Costs' [cell H"&amp;TEXT(ROW('Pro Forma'!H114),"0")&amp;" of "&amp;TEXT('Pro Forma'!H114,"$#,##0")&amp;"].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v>
      </c>
    </row>
    <row r="193" spans="1:28">
      <c r="A193" s="61" t="s">
        <v>735</v>
      </c>
      <c r="B193" s="58">
        <v>0</v>
      </c>
      <c r="C193" s="60" t="str">
        <f>IF(B193&lt;&gt;1,"",SUM(B$188:B193))</f>
        <v/>
      </c>
      <c r="D193" s="58">
        <v>6</v>
      </c>
      <c r="E193" s="1331">
        <f>IF(OR(IFERROR(MATCH("Rehabilitation",DS_DevCat_DDMenu,0),0)&gt;0,IFERROR(MATCH("Acquisition and Rehabilitation",DS_DevCat_DDMenu,0),0)&gt;0),2,0)</f>
        <v>0</v>
      </c>
      <c r="F193" s="63" t="str">
        <f>IF(COUNTA($A$188:$A193)&lt;=MAX(DS_DevCat_Sequence)=TRUE,LOOKUP(COUNTA($A$188:$A193),DS_DevCat_Sequence,DS_DevCat_DataNames),"")</f>
        <v/>
      </c>
      <c r="G193" s="1561" t="s">
        <v>234</v>
      </c>
      <c r="H193" s="1329" t="str" cm="1">
        <f t="array" aca="1" ref="H193"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and 'Developer Fee on Acquisition Costs' [cell H"&amp;TEXT(ROW('Pro Forma'!H112),"0")&amp;" of "&amp;TEXT('Pro Forma'!H112,"$#,##0")&amp;"].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v>
      </c>
    </row>
    <row r="194" spans="1:28">
      <c r="A194" s="61" t="s">
        <v>735</v>
      </c>
      <c r="B194" s="58">
        <v>0</v>
      </c>
      <c r="C194" s="60" t="str">
        <f>IF(B194&lt;&gt;1,"",SUM(B$188:B194))</f>
        <v/>
      </c>
      <c r="D194" s="58">
        <v>7</v>
      </c>
      <c r="E194" s="1331">
        <f>IF(IFERROR(MATCH("Preservation (w/ or w/o Acquisition)",DS_DevSubCat_DDMenu,0),0)&gt;0,1,0)</f>
        <v>1</v>
      </c>
      <c r="F194" s="63" t="str">
        <f>IF(COUNTA($A$188:$A194)&lt;=MAX(DS_DevCat_Sequence)=TRUE,LOOKUP(COUNTA($A$188:$A194),DS_DevCat_Sequence,DS_DevCat_DataNames),"")</f>
        <v/>
      </c>
      <c r="G194" s="933" t="s">
        <v>235</v>
      </c>
      <c r="H194" t="str" cm="1">
        <f t="array" aca="1" ref="H194" ca="1">"Applicant still needs to select a Housing Credit Set-Aside Commitment at Section 4.A.6.c.(1) in the '"&amp;MID(CELL("filename",'Units, Set-Asides, Bldgs'!$A$1),FIND("]",CELL("filename",'Units, Set-Asides, Bldgs'!$A$1))+1,255)&amp;"' worksheet tab. "</f>
        <v xml:space="preserve">Applicant still needs to select a Housing Credit Set-Aside Commitment at Section 4.A.6.c.(1) in the 'Units, Set-Asides, Bldgs' worksheet tab. </v>
      </c>
    </row>
    <row r="195" spans="1:28">
      <c r="A195" s="1357"/>
      <c r="G195" s="933" t="s">
        <v>1699</v>
      </c>
      <c r="H195" t="str">
        <f>"Existing Development was not built at least "&amp;TEXT(IF(Development_SubCategory="Redevelopment (w/ or w/o Acquisition)",DS_Redev_MinAge,DS_Preserv_MinAge),"0")&amp;" years ago. "</f>
        <v xml:space="preserve">Existing Development was not built at least 20 years ago. </v>
      </c>
    </row>
    <row r="196" spans="1:28">
      <c r="A196" s="1462" t="s">
        <v>2102</v>
      </c>
      <c r="B196" s="2767" t="s">
        <v>301</v>
      </c>
      <c r="C196" s="2767"/>
      <c r="G196" s="933" t="s">
        <v>1700</v>
      </c>
      <c r="H196"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v>
      </c>
    </row>
    <row r="197" spans="1:28">
      <c r="A197" s="1357"/>
      <c r="G197" s="933" t="s">
        <v>1701</v>
      </c>
      <c r="H197" t="s">
        <v>1731</v>
      </c>
      <c r="I197" s="1329"/>
      <c r="J197" s="1329"/>
      <c r="K197" s="1329"/>
      <c r="L197" s="1329"/>
      <c r="M197" s="1329"/>
      <c r="N197" s="1329"/>
      <c r="O197" s="1329"/>
      <c r="P197" s="1329"/>
      <c r="Q197" s="1329"/>
      <c r="R197" s="1329"/>
      <c r="S197" s="1329"/>
      <c r="T197" s="1329"/>
      <c r="U197" s="1329"/>
      <c r="V197" s="1329"/>
      <c r="W197" s="1329"/>
      <c r="X197" s="1329"/>
      <c r="Y197" s="1329"/>
      <c r="Z197" s="1329"/>
      <c r="AA197" s="1329"/>
      <c r="AB197" s="1329"/>
    </row>
    <row r="198" spans="1:28">
      <c r="A198" s="571" t="s">
        <v>1977</v>
      </c>
      <c r="B198" s="572" t="s">
        <v>55</v>
      </c>
      <c r="C198" s="572" t="s">
        <v>56</v>
      </c>
      <c r="D198" s="572" t="s">
        <v>57</v>
      </c>
      <c r="E198" s="516" t="s">
        <v>1679</v>
      </c>
      <c r="F198" s="63" t="s">
        <v>59</v>
      </c>
      <c r="G198" s="933" t="s">
        <v>1702</v>
      </c>
      <c r="H198"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 ")</f>
        <v xml:space="preserve">Applicant did not indicate if the Development received any funding from HUD or RD within the 20 years prior to an Application Deadline in a competitive solicitation where the budget was at least $10,000 per unit for rehabilitation in any year. </v>
      </c>
    </row>
    <row r="199" spans="1:28">
      <c r="A199" s="61" t="s">
        <v>1978</v>
      </c>
      <c r="B199" s="1321">
        <v>0</v>
      </c>
      <c r="C199" s="60" t="str">
        <f>IF(B199&lt;&gt;1,"",SUM(B$199:B199))</f>
        <v/>
      </c>
      <c r="D199" s="1321">
        <v>1</v>
      </c>
      <c r="F199" s="63" t="str">
        <f>IF(COUNTA($A$199:$A199)&lt;=MAX(DS_DevSubCat_Sequence)=TRUE,LOOKUP(COUNTA($A$199:$A199),DS_DevSubCat_Sequence,DS_DevSubCat_DataNames),"")</f>
        <v>Preservation (w/ or w/o Acquisition)</v>
      </c>
      <c r="G199" s="933" t="s">
        <v>1730</v>
      </c>
      <c r="H199" t="s">
        <v>1732</v>
      </c>
    </row>
    <row r="200" spans="1:28">
      <c r="A200" s="61" t="s">
        <v>1979</v>
      </c>
      <c r="B200" s="1320">
        <v>1</v>
      </c>
      <c r="C200" s="60">
        <f>IF(B200&lt;&gt;1,"",SUM(B$199:B200))</f>
        <v>1</v>
      </c>
      <c r="D200" s="1320">
        <v>2</v>
      </c>
      <c r="F200" s="63" t="str">
        <f>IF(COUNTA($A$199:$A200)&lt;=MAX(DS_DevSubCat_Sequence)=TRUE,LOOKUP(COUNTA($A$199:$A200),DS_DevSubCat_Sequence,DS_DevSubCat_DataNames),"")</f>
        <v/>
      </c>
      <c r="G200" s="933" t="s">
        <v>1769</v>
      </c>
      <c r="H200" t="str">
        <f ca="1">"The Applicant did not indicate it or the General Partner or managing member of the Applicant meets the Rule definition of a Non-Profit at Section 4.A.3.a.("&amp;'General Information'!B71&amp;"). "</f>
        <v xml:space="preserve">The Applicant did not indicate it or the General Partner or managing member of the Applicant meets the Rule definition of a Non-Profit at Section 4.A.3.a.(3). </v>
      </c>
    </row>
    <row r="201" spans="1:28">
      <c r="A201" s="61"/>
      <c r="B201" s="1346"/>
      <c r="C201" s="1003" t="str">
        <f>IF(B201&lt;&gt;1,"",SUM(B$199:B201))</f>
        <v/>
      </c>
      <c r="D201" s="1346">
        <v>3</v>
      </c>
      <c r="F201" s="63" t="str">
        <f>IF(COUNTA($A$199:$A201)&lt;=MAX(DS_DevSubCat_Sequence)=TRUE,LOOKUP(COUNTA($A$199:$A201),DS_DevSubCat_Sequence,DS_DevSubCat_DataNames),"")</f>
        <v/>
      </c>
      <c r="G201" s="933" t="s">
        <v>1783</v>
      </c>
      <c r="H201" s="1329"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Acquisition)"),B207,IF(AND(Development_Category="New Construction",Development_SubCategory="Redevelopment (w/ or w/o Acquisition)"),B215,IF(AND(OR(Development_Category="Rehabilitation",Development_Category="Acquisition and Rehabilitation"),Development_SubCategory="Preservation (w/ or w/o Acquisition)"),B230,B262)))*100,"0")&amp;" percent of total units. "</f>
        <v xml:space="preserve">The Development did not demonsrate the requirement to have the number of new construction units be at least 100 percent of total units. </v>
      </c>
    </row>
    <row r="202" spans="1:28">
      <c r="G202" s="1323" t="s">
        <v>1985</v>
      </c>
      <c r="H202" t="str" cm="1">
        <f t="array" aca="1" ref="H202" ca="1">"Applicant still needs to enter Development Costs in the '"&amp;MID(CELL("filename",'Pro Forma'!$A$1),FIND("]",CELL("filename",'Pro Forma'!$A$1))+1,255)&amp;"' worksheet tab. This Development Cost calculation specifically uses the Pro Forma amounts in column 3 ('TOTAL COSTS')"&amp;" for 'A1.1. Actual Construction Cost' [cell N"&amp;TEXT(ROW('Pro Forma'!N56),"0")&amp;" of "&amp;TEXT(N('Pro Forma'!N56),"$#,##0")&amp;"] and 'A1.4. HARD COST CONTINGENCY See Note (4)' [cell N"&amp;TEXT(ROW('Pro Forma'!N64),"0")&amp;" of "&amp;TEXT(N('Pro Forma'!N64),"$#,##0")&amp;"]. "</f>
        <v xml:space="preserve">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v>
      </c>
    </row>
    <row r="203" spans="1:28">
      <c r="A203" s="571" t="s">
        <v>236</v>
      </c>
      <c r="E203" s="516" t="s">
        <v>1679</v>
      </c>
      <c r="G203" s="1323" t="s">
        <v>1986</v>
      </c>
      <c r="H203" t="s">
        <v>1987</v>
      </c>
    </row>
    <row r="204" spans="1:28">
      <c r="A204" s="719" t="s">
        <v>1776</v>
      </c>
      <c r="B204" s="2767" t="s">
        <v>301</v>
      </c>
      <c r="C204" s="2767"/>
      <c r="D204" s="2385" t="s">
        <v>2715</v>
      </c>
      <c r="E204" s="1056"/>
      <c r="F204" s="1326"/>
      <c r="G204" s="2018" t="s">
        <v>2490</v>
      </c>
      <c r="H204" s="1357" t="str" cm="1">
        <f t="array" aca="1" ref="H204" ca="1">"Applicant still needs to enter data in the "&amp;IF(Minimum_SetAside_per_Sec_42="Average Income Test","Average Income Test",IF(Minimum_SetAside_per_Sec_42=A572,"20% @ 50%","40% @ 60%"))&amp;" Total Set-Aside Breakdown Chart at Section 4.A.6."&amp;'Units, Set-Asides, Bldgs'!A34&amp;"."&amp;IF(Minimum_SetAside_per_Sec_42="&lt;select one&gt;","",'Units, Set-Asides, Bldgs'!B47&amp;"("&amp;IF(Minimum_SetAside_per_Sec_42="Average Income Test",'Units, Set-Asides, Bldgs'!C76,'Units, Set-Asides, Bldgs'!C49)&amp;").")&amp;" in the '"&amp;MID(CELL("filename",'Units, Set-Asides, Bldgs'!$A$1),FIND("]",CELL("filename",'Units, Set-Asides, Bldgs'!$A$1))+1,255)&amp;"' worksheet tab. "</f>
        <v xml:space="preserve">Applicant still needs to enter data in the 40% @ 60% Total Set-Aside Breakdown Chart at Section 4.A.6.c. in the 'Units, Set-Asides, Bldgs' worksheet tab. </v>
      </c>
    </row>
    <row r="205" spans="1:28" ht="14.45" customHeight="1">
      <c r="A205" s="408" t="s">
        <v>2215</v>
      </c>
      <c r="G205" s="1554" t="s">
        <v>2197</v>
      </c>
      <c r="H205" t="s">
        <v>2496</v>
      </c>
    </row>
    <row r="206" spans="1:28" ht="14.45" customHeight="1">
      <c r="A206" s="6" t="s">
        <v>1767</v>
      </c>
      <c r="B206" s="2767" t="s">
        <v>301</v>
      </c>
      <c r="C206" s="2767"/>
      <c r="D206" s="312" t="s">
        <v>1768</v>
      </c>
      <c r="G206" s="1554" t="s">
        <v>2198</v>
      </c>
      <c r="H206" t="s">
        <v>2497</v>
      </c>
    </row>
    <row r="207" spans="1:28" ht="14.45" customHeight="1">
      <c r="A207" s="276" t="s">
        <v>237</v>
      </c>
      <c r="B207" s="2758">
        <f>IF(DS_100Percent_NC_Units="Yes",1,50%)</f>
        <v>1</v>
      </c>
      <c r="C207" s="2758"/>
      <c r="D207" s="276" t="s">
        <v>2027</v>
      </c>
      <c r="E207" s="271"/>
      <c r="F207" s="271"/>
      <c r="G207" s="1554" t="s">
        <v>2199</v>
      </c>
      <c r="H207"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208" spans="1:28">
      <c r="A208" s="276" t="s">
        <v>239</v>
      </c>
      <c r="B208" s="2769">
        <f>SUM('Proposed Development Info'!H$127:H$135)</f>
        <v>0</v>
      </c>
      <c r="C208" s="2769"/>
      <c r="D208" s="276"/>
      <c r="E208" s="271"/>
      <c r="F208" s="271"/>
      <c r="G208" s="1554"/>
    </row>
    <row r="209" spans="1:38">
      <c r="A209" s="277" t="s">
        <v>240</v>
      </c>
      <c r="B209" s="2759"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09" s="2759"/>
      <c r="D209" s="277" t="s">
        <v>241</v>
      </c>
      <c r="E209" s="255"/>
      <c r="F209" s="255"/>
      <c r="G209" s="64" t="str">
        <f ca="1">IF($B209="(1) (2) (3)",$H$189&amp;" "&amp;$H$190&amp;" "&amp;$H$191,IF($B209="(1) (2)",$H$189&amp;" "&amp;$H$190,IF($B209="(1) (3)",$H$189&amp;" "&amp;$H$191,IF($B209="(2) (3)",$H$190&amp;" "&amp;$H$191,IF($B209="(1)",$H$189,IF($B209="(2)",$H$190,IF($B209="(3)",$H$191,"")))))))</f>
        <v xml:space="preserve">Applicant still needs to enter Total Units in Section 4.A.6.a. in the 'Units, Set-Asides, Bldgs' worksheet tab. </v>
      </c>
      <c r="H209" s="84"/>
      <c r="I209" s="84"/>
      <c r="J209" s="84"/>
      <c r="K209" s="84"/>
      <c r="L209" s="84"/>
      <c r="M209" s="84"/>
      <c r="N209" s="84"/>
      <c r="O209" s="84"/>
      <c r="P209" s="84"/>
      <c r="Q209" s="84"/>
      <c r="R209" s="84"/>
      <c r="S209" s="84"/>
      <c r="T209" s="84"/>
      <c r="U209" s="84"/>
      <c r="V209" s="84"/>
      <c r="W209" s="84"/>
      <c r="X209" s="84"/>
      <c r="Y209" s="84"/>
      <c r="Z209" s="84"/>
      <c r="AA209" s="84"/>
    </row>
    <row r="210" spans="1:38">
      <c r="A210" s="719" t="s">
        <v>242</v>
      </c>
      <c r="B210" s="2753" t="str">
        <f>IF(Development_Category="New Construction",IF(LEFT(Data1!B209,1)="(","TBD",IF(Data1!B209&gt;=B207,"Yes","No")),"NA")</f>
        <v>TBD</v>
      </c>
      <c r="C210" s="2753"/>
      <c r="D210" s="277" t="s">
        <v>2196</v>
      </c>
      <c r="E210" s="255"/>
      <c r="F210" s="255"/>
      <c r="G210" s="6"/>
    </row>
    <row r="211" spans="1:38" ht="25.15" customHeight="1" thickBot="1">
      <c r="A211" s="730" t="s">
        <v>2214</v>
      </c>
      <c r="B211" s="2772" t="str">
        <f>IF(Development_Category="&lt;select one&gt;","(1)","")&amp;IF(Total_Units=0,"(2)","")&amp;IF(OR(total_units_in_unit_desc_chart=0,total_units_in_unit_desc_chart&lt;Total_Units),"(3)","")&amp;IF(AND(DS_NC_NP_Req="Yes",NonProfit_Applicant&lt;&gt;"Yes"),"(12)","")&amp;IF(B210="No","(13)","")</f>
        <v>(2)(3)</v>
      </c>
      <c r="C211" s="2717"/>
      <c r="D211" s="731" t="s">
        <v>2194</v>
      </c>
      <c r="E211" s="732"/>
      <c r="F211" s="732"/>
      <c r="G211" s="733" t="str">
        <f ca="1">IF(IFERROR(FIND("(1)",$B211)&gt;0,0)&gt;0,DS_DevCat_Note_01,"")&amp;IF(IFERROR(FIND("(2)",$B211)&gt;0,0)&gt;0,DS_DevCat_Note_02,"")&amp;IF(IFERROR(FIND("(3)",$B211)&gt;0,0)&gt;0,DS_DevCat_Note_03,"")&amp;IF(IFERROR(FIND("(4)",$B211)&gt;0,0)&gt;0,DS_DevCat_Note_04,"")&amp;IF(IFERROR(FIND("(5)",$B211)&gt;0,0)&gt;0,DS_DevCat_Note_05,"")&amp;IF(IFERROR(FIND("(6)",$B211)&gt;0,0)&gt;0,DS_DevCat_Note_06,"")&amp;IF(IFERROR(FIND("(7)",$B211)&gt;0,0)&gt;0,DS_DevCat_Note_07,"")&amp;IF(IFERROR(FIND("(8)",$B211)&gt;0,0)&gt;0,DS_DevCat_Note_08,"")&amp;IF(IFERROR(FIND("(9)",$B211)&gt;0,0)&gt;0,DS_DevCat_Note_09,"")&amp;IF(IFERROR(FIND("(10)",$B211)&gt;0,0)&gt;0,DS_DevCat_Note_10,"")&amp;IF(IFERROR(FIND("(11)",$B211)&gt;0,0)&gt;0,DS_DevCat_Note_11,"")&amp;IF(IFERROR(FIND("(12)",$B211)&gt;0,0)&gt;0,DS_DevCat_Note_12,"")&amp;IF(IFERROR(FIND("(13)",$B211)&gt;0,0)&gt;0,DS_DevCat_Note_13,"")&amp;IF(AND(IFERROR(FIND("(1)",$B211)&gt;0,0)=0,IFERROR(FIND("(2)",$B211)&gt;0,0)=0,IFERROR(FIND("(3)",$B211)&gt;0,0)=0,IFERROR(FIND("(4)",$B211)&gt;0,0)=0,IFERROR(FIND("(5)",$B211)&gt;0,0)=0,IFERROR(FIND("(6)",$B211)&gt;0,0)=0,IFERROR(FIND("(7)",$B211)&gt;0,0)=0,IFERROR(FIND("(8)",$B211)&gt;0,0)=0,IFERROR(FIND("(9)",$B211)&gt;0,0)=0,IFERROR(FIND("(10)",$B211)&gt;0,0)=0,IFERROR(FIND("(11)",$B211)&gt;0,0)=0,IFERROR(FIND("(12)",$B211)&gt;0,0)=0,IFERROR(FIND("(13)",$B211)&gt;0,0)=0),"This area intentionally left blank.","")</f>
        <v xml:space="preserve">Applicant still needs to enter Total Units in Section 4.A.6.a. in the 'Units, Set-Asides, Bldgs' worksheet tab. Applicant still needs to complete the Unit Characteristics chart in Section 4.A.4.d. below. </v>
      </c>
      <c r="H211" s="734"/>
      <c r="I211" s="734"/>
      <c r="J211" s="734"/>
      <c r="K211" s="734"/>
      <c r="L211" s="734"/>
      <c r="M211" s="734"/>
      <c r="N211" s="734"/>
      <c r="O211" s="734"/>
      <c r="P211" s="734"/>
      <c r="Q211" s="734"/>
      <c r="R211" s="734"/>
      <c r="S211" s="734"/>
      <c r="T211" s="734"/>
      <c r="U211" s="734"/>
      <c r="V211" s="734"/>
      <c r="W211" s="734"/>
      <c r="X211" s="734"/>
      <c r="Y211" s="734"/>
      <c r="Z211" s="734"/>
      <c r="AA211" s="734"/>
      <c r="AB211" s="734"/>
      <c r="AC211" s="734"/>
      <c r="AD211" s="734"/>
      <c r="AE211" s="734"/>
      <c r="AF211" s="734"/>
      <c r="AG211" s="734"/>
      <c r="AH211" s="734"/>
      <c r="AI211" s="734"/>
      <c r="AJ211" s="734"/>
      <c r="AK211" s="734"/>
      <c r="AL211" s="734"/>
    </row>
    <row r="212" spans="1:38">
      <c r="G212" s="6"/>
    </row>
    <row r="213" spans="1:38" ht="15" customHeight="1">
      <c r="A213" s="421" t="s">
        <v>2212</v>
      </c>
      <c r="G213" s="1610" t="s">
        <v>2238</v>
      </c>
    </row>
    <row r="214" spans="1:38" ht="15" customHeight="1">
      <c r="A214" s="1601" t="s">
        <v>2220</v>
      </c>
      <c r="B214" s="2765" t="str">
        <f>IF(OR(Development_Category="&lt;select one&gt;",Development_Category="",Development_SubCategory="&lt;select one&gt;"),"NA",IF(AND(Development_Category="New Construction",Development_SubCategory="Redevelopment (w/ or w/o Acquisition)"),"Yes","No"))</f>
        <v>NA</v>
      </c>
      <c r="C214" s="2765"/>
      <c r="D214" s="1592"/>
      <c r="E214" s="1592"/>
      <c r="F214" s="1593"/>
      <c r="G214" s="2814"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214" s="2815"/>
      <c r="I214" s="2815"/>
      <c r="J214" s="2815"/>
      <c r="K214" s="2815"/>
      <c r="L214" s="2815"/>
      <c r="M214" s="2815"/>
      <c r="N214" s="2815"/>
      <c r="O214" s="2815"/>
      <c r="P214" s="763" t="s">
        <v>59</v>
      </c>
      <c r="Q214" s="1626"/>
      <c r="R214" s="1622">
        <f>IF(OR(AND(Development_Category="New Construction",Development_SubCategory="Redevelopment (w/ or w/o Acquisition)"),AND(OR(Development_Category="Rehabilitation",Development_Category="Acquisition and Rehabilitation"),Development_SubCategory="Preservation (w/ or w/o Acquisition)")),U214,0)</f>
        <v>0</v>
      </c>
      <c r="S214" s="1627">
        <f>IF(AND(R214&lt;&gt;0,AND(Data1!K214&lt;&gt;"&lt;select one&gt;",Data1!K214&lt;&gt;"")),R214,0)</f>
        <v>0</v>
      </c>
      <c r="T214" s="1628" t="str">
        <f>CHOOSE(R214+1,"Not to be included in this RFA","A REQUIRED input field for this RFA","An OPTIONAL input field for this RFA")</f>
        <v>Not to be included in this RFA</v>
      </c>
      <c r="U214" s="725">
        <v>0</v>
      </c>
    </row>
    <row r="215" spans="1:38">
      <c r="A215" s="276" t="s">
        <v>237</v>
      </c>
      <c r="B215" s="2758">
        <f>IF(DS_100Percent_NC_Units="Yes",1,50%)</f>
        <v>1</v>
      </c>
      <c r="C215" s="2758"/>
      <c r="D215" s="276" t="s">
        <v>2027</v>
      </c>
      <c r="E215" s="271"/>
      <c r="F215" s="271"/>
      <c r="G215" s="2816"/>
      <c r="H215" s="2817"/>
      <c r="I215" s="2817"/>
      <c r="J215" s="2817"/>
      <c r="K215" s="2817"/>
      <c r="L215" s="2817"/>
      <c r="M215" s="2817"/>
      <c r="N215" s="2817"/>
      <c r="O215" s="2817"/>
      <c r="P215" s="1624"/>
      <c r="Q215" s="1624"/>
      <c r="R215" s="1629"/>
      <c r="S215" s="1629"/>
      <c r="T215" s="1629"/>
      <c r="U215" s="1630"/>
    </row>
    <row r="216" spans="1:38">
      <c r="A216" s="277" t="s">
        <v>239</v>
      </c>
      <c r="B216" s="2778">
        <f>SUM(All_NC_Units)</f>
        <v>0</v>
      </c>
      <c r="C216" s="2778"/>
      <c r="D216" s="277"/>
      <c r="E216" s="255"/>
      <c r="F216" s="255"/>
      <c r="G216" s="6"/>
    </row>
    <row r="217" spans="1:38">
      <c r="A217" s="277" t="s">
        <v>240</v>
      </c>
      <c r="B217" s="2759"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17" s="2759"/>
      <c r="D217" s="277" t="s">
        <v>241</v>
      </c>
      <c r="E217" s="255"/>
      <c r="F217" s="255"/>
      <c r="G217" s="64" t="str">
        <f ca="1">IF($B217="(1) (2) (3)",$H$189&amp;" "&amp;$H$190&amp;" "&amp;$H$191,IF($B217="(1) (2)",$H$189&amp;" "&amp;$H$190,IF($B217="(1) (3)",$H$189&amp;" "&amp;$H$191,IF($B217="(2) (3)",$H$190&amp;" "&amp;$H$191,IF($B217="(1)",$H$189,IF($B217="(2)",$H$190,IF($B217="(3)",$H$191,"")))))))</f>
        <v xml:space="preserve">Applicant still needs to enter Total Units in Section 4.A.6.a. in the 'Units, Set-Asides, Bldgs' worksheet tab. </v>
      </c>
      <c r="H217" s="84"/>
      <c r="I217" s="84"/>
      <c r="J217" s="84"/>
      <c r="K217" s="84"/>
      <c r="L217" s="84"/>
      <c r="M217" s="84"/>
      <c r="N217" s="84"/>
      <c r="O217" s="84"/>
      <c r="P217" s="84"/>
      <c r="Q217" s="84"/>
      <c r="R217" s="84"/>
      <c r="S217" s="84"/>
      <c r="T217" s="84"/>
      <c r="U217" s="84"/>
      <c r="V217" s="84"/>
      <c r="W217" s="84"/>
      <c r="X217" s="84"/>
      <c r="Y217" s="84"/>
      <c r="Z217" s="84"/>
      <c r="AA217" s="84"/>
    </row>
    <row r="218" spans="1:38">
      <c r="A218" s="1579" t="s">
        <v>2203</v>
      </c>
      <c r="B218" s="2771" t="str">
        <f>IF(AND(Development_Category="New Construction",Development_SubCategory="Redevelopment (w/ or w/o Acquisition)"),IF(LEFT(Data1!B217,1)="(","TBD",IF(Data1!B217&gt;=B215,"Yes","No")),"NA")</f>
        <v>NA</v>
      </c>
      <c r="C218" s="2771"/>
      <c r="D218" s="1597" t="s">
        <v>2196</v>
      </c>
      <c r="E218" s="1580"/>
      <c r="F218" s="1580"/>
      <c r="G218" s="6"/>
      <c r="H218" s="1466"/>
      <c r="I218" s="1466"/>
      <c r="J218" s="1466"/>
      <c r="K218" s="1466"/>
      <c r="L218" s="1466"/>
      <c r="M218" s="1466"/>
    </row>
    <row r="219" spans="1:38">
      <c r="A219" s="1600" t="s">
        <v>2222</v>
      </c>
      <c r="B219" s="2793" t="str">
        <f ca="1">IF(N(Age_of_Development)&gt;=DS_Redev_MinAge,"Yes","No")</f>
        <v>No</v>
      </c>
      <c r="C219" s="2793"/>
      <c r="D219" s="1602">
        <v>7</v>
      </c>
      <c r="E219" s="1584">
        <v>30</v>
      </c>
      <c r="F219" s="1585" t="s">
        <v>1806</v>
      </c>
    </row>
    <row r="220" spans="1:38">
      <c r="A220" s="276" t="s">
        <v>2207</v>
      </c>
      <c r="B220" s="2780" t="str">
        <f>IF(AND(Development_Category="New Construction",Development_SubCategory="Redevelopment (w/ or w/o Acquisition)"),IF(OR(AND(DevCat_Redev_FinProgram&lt;&gt;"&lt;select one&gt;",DevCat_Redev_FinProgram&lt;&gt;""),N(PBRA_Units_Currently)&gt;0),"Yes","No"),"NA")</f>
        <v>NA</v>
      </c>
      <c r="C220" s="2780"/>
      <c r="D220" s="1581" t="str">
        <f>"8   Rule Chapter 67-"&amp;IF(Funding!L$309=1,"21","48")&amp;".002(99)(a): Definition of Redevelopment"</f>
        <v>8   Rule Chapter 67-48.002(99)(a): Definition of Redevelopment</v>
      </c>
      <c r="E220" s="1112"/>
      <c r="F220" s="1112"/>
    </row>
    <row r="221" spans="1:38">
      <c r="A221" s="1586" t="s">
        <v>2208</v>
      </c>
      <c r="B221" s="2766" t="str">
        <f>IF(AND(Development_Category="New Construction",Development_SubCategory="Redevelopment (w/ or w/o Acquisition)"),IF(N(PBRA_Units_Currently)&lt;=N(PBRA_Units_Future),"Yes","No"),"NA")</f>
        <v>NA</v>
      </c>
      <c r="C221" s="2766"/>
      <c r="D221" s="1587" t="str">
        <f>"9   Rule Chapter 67-"&amp;IF(Funding!L$309=1,"21","48")&amp;".002(99)(a): Definition of Redevelopment"</f>
        <v>9   Rule Chapter 67-48.002(99)(a): Definition of Redevelopment</v>
      </c>
      <c r="E221" s="1588"/>
      <c r="F221" s="1588"/>
      <c r="G221" s="1571"/>
      <c r="H221" s="1466"/>
      <c r="I221" s="1559"/>
      <c r="J221" s="1559"/>
      <c r="K221" s="1559"/>
      <c r="L221" s="1466"/>
      <c r="M221" s="1466"/>
    </row>
    <row r="222" spans="1:38">
      <c r="A222" s="276" t="s">
        <v>2209</v>
      </c>
      <c r="B222" s="2780" t="str">
        <f>IF(AND(Development_Category="New Construction",Development_SubCategory="Redevelopment (w/ or w/o Acquisition)"),IF(AND(DevCat_PHA_DOT_or_Rehabbed="Yes",N(ACC_Units_Currently)&gt;0),"Yes","No"),"NA")</f>
        <v>NA</v>
      </c>
      <c r="C222" s="2780"/>
      <c r="D222" s="1582" t="str">
        <f>"10 Rule Chapter 67-"&amp;IF(Funding!L$309=1,"21","48")&amp;".002(99)(b): Definition of Redevelopment"</f>
        <v>10 Rule Chapter 67-48.002(99)(b): Definition of Redevelopment</v>
      </c>
      <c r="E222" s="1111"/>
      <c r="F222" s="1111"/>
      <c r="G222" s="6"/>
      <c r="H222" s="1466"/>
      <c r="I222" s="1559"/>
      <c r="J222" s="1559"/>
      <c r="K222" s="1559"/>
      <c r="L222" s="1466"/>
      <c r="M222" s="1466"/>
    </row>
    <row r="223" spans="1:38">
      <c r="A223" s="1586" t="s">
        <v>2210</v>
      </c>
      <c r="B223" s="2779" t="str">
        <f>IF(AND(Development_Category="New Construction",Development_SubCategory="Redevelopment (w/ or w/o Acquisition)"),IF(N(PBRA_Units_Future)+N(ACC_Units_Future)&gt;=ROUNDUP(25%*Total_Units,0),"Yes","No"),"NA")</f>
        <v>NA</v>
      </c>
      <c r="C223" s="2779"/>
      <c r="D223" s="1589" t="str">
        <f>"11 Rule Chapter 67-"&amp;IF(Funding!L$309=1,"21","48")&amp;".002(99)(b): Definition of Redevelopment"</f>
        <v>11 Rule Chapter 67-48.002(99)(b): Definition of Redevelopment</v>
      </c>
      <c r="E223" s="1590"/>
      <c r="F223" s="1590"/>
      <c r="G223" s="6"/>
      <c r="H223" s="1466"/>
      <c r="I223" s="1559"/>
      <c r="J223" s="1559"/>
      <c r="K223" s="1559"/>
      <c r="L223" s="1466"/>
      <c r="M223" s="1466"/>
    </row>
    <row r="224" spans="1:38">
      <c r="A224" s="1583" t="str">
        <f>"     (e) Meets the Rule Definition (67-"&amp;IF(Funding!L$309=1,"21","48")&amp;".002) for Redevelopment &amp; NC?"</f>
        <v xml:space="preserve">     (e) Meets the Rule Definition (67-48.002) for Redevelopment &amp; NC?</v>
      </c>
      <c r="B224" s="2828" t="str">
        <f>IF(AND(Development_Category="New Construction",Development_SubCategory="Redevelopment (w/ or w/o Acquisition)"),IF(AND(Data1!B219="Yes",OR(AND(Data1!B220="Yes",Data1!B221="Yes"),AND(Data1!B222="Yes",Data1!B223="Yes"))),"Yes","No"),"Did not select Redevelopment")</f>
        <v>Did not select Redevelopment</v>
      </c>
      <c r="C224" s="2829"/>
      <c r="D224" s="2829"/>
      <c r="E224" s="2829"/>
      <c r="F224" s="319" t="s">
        <v>1989</v>
      </c>
      <c r="G224" s="6"/>
      <c r="H224" s="1466"/>
      <c r="I224" s="1466"/>
      <c r="J224" s="1466"/>
      <c r="K224" s="1466"/>
      <c r="L224" s="1466"/>
      <c r="M224" s="1466"/>
    </row>
    <row r="225" spans="1:38">
      <c r="A225" s="721" t="s">
        <v>2211</v>
      </c>
      <c r="B225" s="2788" t="str">
        <f>IF(AND(Development_Category="New Construction",Development_SubCategory="Redevelopment (w/ or w/o Acquisition)"),IF(DS_DevCat_Qual_Letter="Yes","Yes",IF(DS_DevCat_Qual_Letter="No","No","Need Response at 4.A.4.b.(2)")),"NA")</f>
        <v>NA</v>
      </c>
      <c r="C225" s="2788"/>
      <c r="D225" s="2788"/>
      <c r="E225" s="2788"/>
      <c r="F225" s="1326" t="str">
        <f>"(Question is not active. Temporarily placed at cell "&amp;CHAR(64+COLUMN(G214))&amp;ROW(G214)&amp;" )"</f>
        <v>(Question is not active. Temporarily placed at cell G214 )</v>
      </c>
      <c r="G225" s="6"/>
      <c r="H225" s="1466"/>
      <c r="I225" s="1466"/>
      <c r="J225" s="1466"/>
      <c r="K225" s="1466"/>
      <c r="L225" s="1466"/>
      <c r="M225" s="1466"/>
    </row>
    <row r="226" spans="1:38" ht="25.15" customHeight="1" thickBot="1">
      <c r="A226" s="730" t="s">
        <v>2213</v>
      </c>
      <c r="B226" s="2717" t="str" cm="1">
        <f t="array" aca="1" ref="B226" ca="1">IF(Development_Category="&lt;select one&gt;","(1)","")&amp;IF(Total_Units=0,"(2)","")&amp;IF(total_units_in_unit_desc_chart&lt;Total_Units,"(3)","")&amp;IF(N(Age_of_Development)&lt;DS_Redev_MinAge,"(7)","")&amp;IF(OR(AND(DevCat_Redev_FinProgram&lt;&gt;"&lt;Select One&gt;",DevCat_Redev_FinProgram&lt;&gt;"",YEAR(DS_AppDeadline)-year_built&gt;=DS_Redev_MinAge,CELL("type",PBRA_Units_Currently)&lt;&gt;"b",N(PBRA_Units_Future)&gt;=N(PBRA_Units_Currently)),AND(DevCat_PHA_DOT_or_Rehabbed="Yes",YEAR(DS_AppDeadline)-year_built&gt;=DS_Redev_MinAge,N(ACC_Units_Currently)&gt;0,(PBRA_Units_Future+ACC_Units_Future)&gt;=25%*N(Total_Units))),"",IF(OR(DevCat_Redev_FinProgram="&lt;select one&gt;",DevCat_Redev_FinProgram="",CELL("type",PBRA_Units_Currently)="b"),"(8)","")&amp;IF(N(PBRA_Units_Future)&lt;N(PBRA_Units_Currently),"(9)","")&amp;IF(OR(DevCat_PHA_DOT_or_Rehabbed&lt;&gt;"Yes",N(ACC_Units_Currently)=0),"(10)","")&amp;IF(AND(N(ACC_Units_Currently)=0,(PBRA_Units_Future+ACC_Units_Future)&lt;25%*N(Total_Units)),"(11)",""))&amp;IF(B218="No","(13)","")</f>
        <v>(2)(7)(8)(10)</v>
      </c>
      <c r="C226" s="2717"/>
      <c r="D226" s="731" t="s">
        <v>2195</v>
      </c>
      <c r="E226" s="732"/>
      <c r="F226" s="1074"/>
      <c r="G226" s="733" t="str">
        <f ca="1">IF(IFERROR(FIND("(1)",$B226)&gt;0,0)&gt;0,DS_DevCat_Note_01,"")&amp;IF(IFERROR(FIND("(2)",$B226)&gt;0,0)&gt;0,DS_DevCat_Note_02,"")&amp;IF(IFERROR(FIND("(3)",$B226)&gt;0,0)&gt;0,DS_DevCat_Note_03,"")&amp;IF(IFERROR(FIND("(4)",$B226)&gt;0,0)&gt;0,DS_DevCat_Note_04,"")&amp;IF(IFERROR(FIND("(5)",$B226)&gt;0,0)&gt;0,DS_DevCat_Note_05,"")&amp;IF(IFERROR(FIND("(6)",$B226)&gt;0,0)&gt;0,DS_DevCat_Note_06,"")&amp;IF(IFERROR(FIND("(7)",$B226)&gt;0,0)&gt;0,DS_DevCat_Note_07,"")&amp;IF(IFERROR(FIND("(8)",$B226)&gt;0,0)&gt;0,DS_DevCat_Note_08,"")&amp;IF(IFERROR(FIND("(9)",$B226)&gt;0,0)&gt;0,DS_DevCat_Note_09,"")&amp;IF(IFERROR(FIND("(10)",$B226)&gt;0,0)&gt;0,DS_DevCat_Note_10,"")&amp;IF(IFERROR(FIND("(11)",$B226)&gt;0,0)&gt;0,DS_DevCat_Note_11,"")&amp;IF(IFERROR(FIND("(12)",$B226)&gt;0,0)&gt;0,DS_DevCat_Note_12,"")&amp;IF(IFERROR(FIND("(13)",$B226)&gt;0,0)&gt;0,DS_DevCat_Note_13,"")&amp;IF(IFERROR(FIND("(14)",$B226)&gt;0,0)&gt;0,DS_DevCat_Note_14,"")&amp;IF(IFERROR(FIND("(15)",$B226)&gt;0,0)&gt;0,DS_DevCat_Note_15,"")&amp;IF(AND(IFERROR(FIND("(1)",$B226)&gt;0,0)=0,IFERROR(FIND("(2)",$B226)&gt;0,0)=0,IFERROR(FIND("(3)",$B226)&gt;0,0)=0,IFERROR(FIND("(4)",$B226)&gt;0,0)=0,IFERROR(FIND("(5)",$B226)&gt;0,0)=0,IFERROR(FIND("(6)",$B226)&gt;0,0)=0,IFERROR(FIND("(7)",$B226)&gt;0,0)=0,IFERROR(FIND("(8)",$B226)&gt;0,0)=0,IFERROR(FIND("(9)",$B226)&gt;0,0)=0,IFERROR(FIND("(10)",$B226)&gt;0,0)=0,IFERROR(FIND("(11)",$B226)&gt;0,0)=0,IFERROR(FIND("(12)",$B226)&gt;0,0)=0,IFERROR(FIND("(13)",$B226)&gt;0,0)=0,IFERROR(FIND("(14)",$B226)&gt;0,0)=0,IFERROR(FIND("(15)",$B226)&gt;0,0)=0),"This area intentionally left blank.","")</f>
        <v xml:space="preserve">Applicant still needs to enter Total Units in Section 4.A.6.a. in the 'Units, Set-Asides, Bldgs' worksheet tab. Existing Development was not built at least 20 years ago. Applicant did not (1) identify one of the HUD/RD financing programs, and/or (2) indicate it currently has PBRA. Applicant did not indicate if the Development received any funding from HUD or RD within the 20 years prior to an Application Deadline in a competitive solicitation where the budget was at least $10,000 per unit for rehabilitation in any year. </v>
      </c>
      <c r="H226" s="734"/>
      <c r="I226" s="734"/>
      <c r="J226" s="734"/>
      <c r="K226" s="734"/>
      <c r="L226" s="734"/>
      <c r="M226" s="734"/>
      <c r="N226" s="734"/>
      <c r="O226" s="734"/>
      <c r="P226" s="734"/>
      <c r="Q226" s="734"/>
      <c r="R226" s="734"/>
      <c r="S226" s="734"/>
      <c r="T226" s="734"/>
      <c r="U226" s="734"/>
      <c r="V226" s="734"/>
      <c r="W226" s="734"/>
      <c r="X226" s="734"/>
      <c r="Y226" s="734"/>
      <c r="Z226" s="734"/>
      <c r="AA226" s="734"/>
      <c r="AB226" s="734"/>
      <c r="AC226" s="734"/>
      <c r="AD226" s="734"/>
      <c r="AE226" s="734"/>
      <c r="AF226" s="734"/>
      <c r="AG226" s="734"/>
      <c r="AH226" s="734"/>
      <c r="AI226" s="734"/>
      <c r="AJ226" s="734"/>
      <c r="AK226" s="734"/>
      <c r="AL226" s="734"/>
    </row>
    <row r="227" spans="1:38">
      <c r="G227" s="922"/>
      <c r="H227" s="937"/>
      <c r="I227" s="937"/>
      <c r="J227" s="937"/>
      <c r="K227" s="937"/>
      <c r="L227" s="937"/>
      <c r="M227" s="937"/>
      <c r="N227" s="937"/>
    </row>
    <row r="228" spans="1:38" ht="15.75" customHeight="1">
      <c r="A228" s="421" t="s">
        <v>2216</v>
      </c>
      <c r="G228" s="1610" t="s">
        <v>2238</v>
      </c>
      <c r="H228" s="1610"/>
      <c r="I228" s="1610"/>
      <c r="J228" s="1610"/>
      <c r="K228" s="1610"/>
      <c r="L228" s="1610"/>
      <c r="M228" s="1610"/>
      <c r="N228" s="1610"/>
      <c r="O228" s="1314"/>
      <c r="P228" s="1615"/>
      <c r="Q228" s="1314"/>
      <c r="R228" s="1314"/>
      <c r="S228" s="1314"/>
      <c r="T228" s="1314"/>
      <c r="U228" s="1314"/>
      <c r="V228" s="1314"/>
      <c r="W228" s="1314"/>
      <c r="X228" s="1314"/>
      <c r="Y228" s="1314"/>
      <c r="Z228" s="1314"/>
      <c r="AA228" s="1314"/>
      <c r="AB228" s="1314"/>
      <c r="AC228" s="1314"/>
      <c r="AD228" s="1314"/>
      <c r="AE228" s="1314"/>
      <c r="AF228" s="1314"/>
      <c r="AG228" s="1314"/>
      <c r="AH228" s="1314"/>
    </row>
    <row r="229" spans="1:38" ht="15.75" customHeight="1">
      <c r="A229" s="1591" t="s">
        <v>2221</v>
      </c>
      <c r="B229" s="2765" t="str">
        <f>IF(OR(Development_Category="&lt;select one&gt;",Development_Category="",Development_SubCategory="&lt;select one&gt;"),"NA",IF(AND(OR(Development_Category="Rehabilitation",Development_Category="Acquisition and Rehabilitation"),Development_SubCategory="Preservation (w/ or w/o Acquisition)"),"Yes","No"))</f>
        <v>NA</v>
      </c>
      <c r="C229" s="2765"/>
      <c r="D229" s="1592"/>
      <c r="E229" s="1592"/>
      <c r="F229" s="1592"/>
      <c r="G229" s="2818"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29" s="2819"/>
      <c r="I229" s="2819"/>
      <c r="J229" s="2819"/>
      <c r="K229" s="2819"/>
      <c r="L229" s="2819"/>
      <c r="M229" s="1621" t="s">
        <v>59</v>
      </c>
      <c r="N229" s="1626"/>
      <c r="O229" s="1626"/>
      <c r="P229" s="1622">
        <f>IF(AND(OR(Development_Category="Rehabilitation",Development_Category="Acquisition and Rehabilitation"),Development_SubCategory="Preservation (w/ or w/o Acquisition)"),S229,0)</f>
        <v>0</v>
      </c>
      <c r="Q229" s="1627">
        <f>IF(AND(P229&lt;&gt;0,AND(DevCat_Min_Occ&lt;&gt;"&lt;select one&gt;",DevCat_Min_Occ&lt;&gt;"")),P229,0)</f>
        <v>0</v>
      </c>
      <c r="R229" s="1628" t="str">
        <f>CHOOSE(P229+1,"Not to be included in this RFA","A REQUIRED input field for this RFA","An OPTIONAL input field for this RFA")</f>
        <v>Not to be included in this RFA</v>
      </c>
      <c r="S229" s="725">
        <v>1</v>
      </c>
      <c r="T229" s="1616"/>
    </row>
    <row r="230" spans="1:38">
      <c r="A230" s="276" t="s">
        <v>237</v>
      </c>
      <c r="B230" s="2735">
        <v>0.5</v>
      </c>
      <c r="C230" s="2735"/>
      <c r="D230" s="276" t="s">
        <v>2027</v>
      </c>
      <c r="E230" s="271"/>
      <c r="F230" s="271"/>
      <c r="G230" s="2820"/>
      <c r="H230" s="2821"/>
      <c r="I230" s="2821"/>
      <c r="J230" s="2821"/>
      <c r="K230" s="2821"/>
      <c r="L230" s="2821"/>
      <c r="M230" s="1623"/>
      <c r="N230" s="1623"/>
      <c r="O230" s="1624"/>
      <c r="P230" s="1624"/>
      <c r="Q230" s="1624"/>
      <c r="R230" s="1624"/>
      <c r="S230" s="1625"/>
      <c r="T230" s="1314"/>
    </row>
    <row r="231" spans="1:38">
      <c r="A231" s="276" t="s">
        <v>239</v>
      </c>
      <c r="B231" s="2778">
        <f>SUM('Proposed Development Info'!H$127:H$135)</f>
        <v>0</v>
      </c>
      <c r="C231" s="2778"/>
      <c r="D231" s="276"/>
      <c r="E231" s="271"/>
      <c r="F231" s="271"/>
      <c r="G231" s="6"/>
    </row>
    <row r="232" spans="1:38">
      <c r="A232" s="277" t="s">
        <v>240</v>
      </c>
      <c r="B232" s="2759"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32" s="2759"/>
      <c r="D232" s="277" t="s">
        <v>241</v>
      </c>
      <c r="E232" s="255"/>
      <c r="F232" s="255"/>
      <c r="G232" s="64" t="str">
        <f ca="1">IF($B232="(1) (2) (3)",$H$189&amp;" "&amp;$H$190&amp;" "&amp;$H$191,IF($B232="(1) (2)",$H$189&amp;" "&amp;$H$190,IF($B232="(1) (3)",$H$189&amp;" "&amp;$H$191,IF($B232="(2) (3)",$H$190&amp;" "&amp;$H$191,IF($B232="(1)",$H$189,IF($B232="(2)",$H$190,IF($B232="(3)",$H$191,"")))))))</f>
        <v xml:space="preserve">Applicant still needs to enter Total Units in Section 4.A.6.a. in the 'Units, Set-Asides, Bldgs' worksheet tab. </v>
      </c>
      <c r="H232" s="84"/>
      <c r="I232" s="84"/>
      <c r="J232" s="84"/>
      <c r="K232" s="84"/>
      <c r="L232" s="84"/>
      <c r="M232" s="84"/>
      <c r="N232" s="84"/>
      <c r="O232" s="84"/>
      <c r="P232" s="84"/>
      <c r="Q232" s="84"/>
      <c r="R232" s="84"/>
      <c r="S232" s="84"/>
      <c r="T232" s="84"/>
      <c r="U232" s="84"/>
      <c r="V232" s="84"/>
      <c r="W232" s="84"/>
      <c r="X232" s="84"/>
      <c r="Y232" s="84"/>
      <c r="Z232" s="84"/>
      <c r="AA232" s="84"/>
    </row>
    <row r="233" spans="1:38">
      <c r="A233" s="1579" t="s">
        <v>2203</v>
      </c>
      <c r="B233" s="2771" t="str">
        <f>IF(AND(OR(Development_Category="Rehabilitation",Development_Category="Acquisition and Rehabilitation"),Development_SubCategory="Preservation (w/ or w/o Acquisition)"),IF(LEFT(Data1!B232,1)="(","TBD",IF(Data1!B232&lt;B230,"Yes","No")),"NA")</f>
        <v>NA</v>
      </c>
      <c r="C233" s="2771"/>
      <c r="D233" s="1586" t="s">
        <v>2196</v>
      </c>
      <c r="E233" s="1580"/>
      <c r="F233" s="1580"/>
      <c r="G233" s="6"/>
      <c r="H233" s="272"/>
      <c r="I233" s="272"/>
    </row>
    <row r="234" spans="1:38">
      <c r="A234" s="1601" t="s">
        <v>2222</v>
      </c>
      <c r="B234" s="2781" t="str">
        <f ca="1">IF(N(Age_of_Development)&gt;=DS_Preserv_MinAge,"Yes","No")</f>
        <v>No</v>
      </c>
      <c r="C234" s="2781"/>
      <c r="D234" s="1602">
        <v>7</v>
      </c>
      <c r="E234" s="1595">
        <v>20</v>
      </c>
      <c r="F234" s="1605" t="str">
        <f>"7   Rule Chapter 67-"&amp;IF(Funding!L$309=1,"21","48")&amp;".002(93): Definition of Preservation"</f>
        <v>7   Rule Chapter 67-48.002(93): Definition of Preservation</v>
      </c>
      <c r="Q234" s="106"/>
      <c r="R234" s="106"/>
      <c r="S234" s="106"/>
      <c r="T234" s="106"/>
      <c r="U234" s="106"/>
    </row>
    <row r="235" spans="1:38">
      <c r="A235" s="276" t="s">
        <v>2218</v>
      </c>
      <c r="B235" s="2785"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35" s="2785"/>
      <c r="D235" s="1581" t="str">
        <f>"8   Rule Chapter 67-"&amp;IF(Funding!L$309=1,"21","48")&amp;".002(93): Definition of Preservation"</f>
        <v>8   Rule Chapter 67-48.002(93): Definition of Preservation</v>
      </c>
      <c r="E235" s="1112"/>
      <c r="F235" s="1112"/>
      <c r="Q235" s="106"/>
      <c r="R235" s="106"/>
      <c r="S235" s="106"/>
      <c r="T235" s="106"/>
      <c r="U235" s="106"/>
    </row>
    <row r="236" spans="1:38">
      <c r="A236" s="277" t="s">
        <v>2219</v>
      </c>
      <c r="B236" s="2786" t="str">
        <f>IF(AND(OR(Development_Category="Rehabilitation",Development_Category="Acquisition and Rehabilitation"),Development_SubCategory="Preservation (w/ or w/o Acquisition)"),IF(N(PBRA_Units_Currently)+N(ACC_Units_Currently)&lt;=N(PBRA_Units_Future)+N(ACC_Units_Future),"Yes","No"),"NA")</f>
        <v>NA</v>
      </c>
      <c r="C236" s="2786"/>
      <c r="D236" s="1489" t="str">
        <f>"9   Rule Chapter 67-"&amp;IF(Funding!L$309=1,"21","48")&amp;".002(93): Definition of Preservation"</f>
        <v>9   Rule Chapter 67-48.002(93): Definition of Preservation</v>
      </c>
      <c r="E236" s="1109"/>
      <c r="F236" s="1109"/>
      <c r="Q236" s="106"/>
      <c r="R236" s="106"/>
      <c r="S236" s="106"/>
      <c r="T236" s="106"/>
      <c r="U236" s="106"/>
    </row>
    <row r="237" spans="1:38">
      <c r="A237" s="1586" t="s">
        <v>2237</v>
      </c>
      <c r="B237" s="2787" t="str">
        <f>IF(AND(OR(Development_Category="Rehabilitation",Development_Category="Acquisition and Rehabilitation"),Development_SubCategory="Preservation (w/ or w/o Acquisition)"),IF(DevCat_PHA_DOT_or_Rehabbed="No","Yes","No"),"NA")</f>
        <v>NA</v>
      </c>
      <c r="C237" s="2787"/>
      <c r="D237" s="1587" t="str">
        <f>"10 Rule Chapter 67-"&amp;IF(Funding!L$309=1,"21","48")&amp;".002(93): Definition of Preservation"</f>
        <v>10 Rule Chapter 67-48.002(93): Definition of Preservation</v>
      </c>
      <c r="E237" s="1588"/>
      <c r="F237" s="1588"/>
      <c r="Q237" s="106"/>
      <c r="R237" s="106"/>
      <c r="S237" s="106"/>
      <c r="T237" s="106"/>
      <c r="U237" s="106"/>
    </row>
    <row r="238" spans="1:38">
      <c r="A238" s="276" t="s">
        <v>2761</v>
      </c>
      <c r="B238" s="2758">
        <v>0.2</v>
      </c>
      <c r="C238" s="2758"/>
      <c r="D238" s="276" t="s">
        <v>1980</v>
      </c>
      <c r="E238" s="276"/>
      <c r="F238" s="276"/>
      <c r="Q238" s="106"/>
      <c r="R238" s="106"/>
      <c r="S238" s="106"/>
      <c r="T238" s="106"/>
      <c r="U238" s="106"/>
    </row>
    <row r="239" spans="1:38">
      <c r="A239" s="277" t="s">
        <v>2223</v>
      </c>
      <c r="B239" s="2801" t="str">
        <f>IF(AND(Development_Category="&lt;select one&gt;",N(Development_Cost_eligible)-N(Acquisition_eligible)+N(Developer_fee_non_acq_eligible)=0),"(1) (4)",IF(Development_Category="&lt;select one&gt;","(1)",IF(N(Development_Cost_eligible)-N(Acquisition_eligible)+N(Developer_fee_non_acq_eligible)=0,"(4)",H273)))</f>
        <v>(4)</v>
      </c>
      <c r="C239" s="2801"/>
      <c r="D239" s="277" t="s">
        <v>248</v>
      </c>
      <c r="E239" s="2775" t="s">
        <v>2164</v>
      </c>
      <c r="F239" s="2775"/>
      <c r="G239" s="6"/>
      <c r="H239" s="272"/>
      <c r="I239" s="272"/>
    </row>
    <row r="240" spans="1:38">
      <c r="A240" s="277" t="s">
        <v>2224</v>
      </c>
      <c r="B240" s="2801" t="str">
        <f>IF(N('Pro Forma'!H$106)=0,"(5)",'Pro Forma'!H$106+'Pro Forma'!H$112)</f>
        <v>(5)</v>
      </c>
      <c r="C240" s="2801"/>
      <c r="D240" s="726" t="s">
        <v>249</v>
      </c>
      <c r="E240" s="2776"/>
      <c r="F240" s="2776"/>
      <c r="G240" s="6"/>
      <c r="H240" s="1534"/>
      <c r="I240" s="272"/>
    </row>
    <row r="241" spans="1:28">
      <c r="A241" s="277" t="str">
        <f>"     (d) "&amp;TEXT(B238,"0%")&amp;" of adjusted basis of acquired building"</f>
        <v xml:space="preserve">     (d) 20% of adjusted basis of acquired building</v>
      </c>
      <c r="B241" s="2799">
        <f>ROUND(IF(LEFT(B240,1)="(",0,B240)*B238,2)</f>
        <v>0</v>
      </c>
      <c r="C241" s="2799"/>
      <c r="D241" s="277"/>
      <c r="E241" s="2776"/>
      <c r="F241" s="2776"/>
      <c r="G241" s="6"/>
      <c r="H241" s="272"/>
      <c r="I241" s="272"/>
    </row>
    <row r="242" spans="1:28">
      <c r="A242" s="277" t="str">
        <f>"     (d) Ratio of Rehab Exp to "&amp;TEXT(B238,"0%")&amp;" of Adj Basis"</f>
        <v xml:space="preserve">     (d) Ratio of Rehab Exp to 20% of Adj Basis</v>
      </c>
      <c r="B242" s="2797" t="str">
        <f>IF(OR(LEFT(B239,1)="(",LEFT(B240,1)="("),IF(IFERROR(FIND("(1)",B239)&gt;0,0)&gt;0,"(1)","")&amp;IF(IFERROR(FIND("(4)",B239)&gt;0,0)&gt;0,"(4)","")&amp;IF(IFERROR(FIND("(5)",B240)&gt;0,0)&gt;0,"(5)",""),B239/B241)</f>
        <v>(4)(5)</v>
      </c>
      <c r="C242" s="2797"/>
      <c r="D242" s="277" t="s">
        <v>250</v>
      </c>
      <c r="E242" s="2776"/>
      <c r="F242" s="2776"/>
      <c r="G242" s="728" t="str">
        <f>IF($B242="(1) (4) (5)",$H$189&amp;" "&amp;$H$192&amp;" "&amp;$H$193,IF($B242="(1) (4)",$H$189&amp;" "&amp;$H$192,IF($B242="(1) (5)",$H$189&amp;" "&amp;$H$193,IF($B242="(4) (5)",$H$192&amp;" "&amp;$H$193,IF($B242="(1)",$H$189,IF($B242="(4)",$H$192,IF($B242="(5)",$H$193,"")))))))</f>
        <v/>
      </c>
      <c r="H242" s="84"/>
      <c r="I242" s="84"/>
      <c r="J242" s="84"/>
      <c r="K242" s="84"/>
      <c r="L242" s="84"/>
      <c r="M242" s="84"/>
      <c r="N242" s="84"/>
      <c r="O242" s="84"/>
      <c r="P242" s="84"/>
      <c r="Q242" s="84"/>
      <c r="R242" s="84"/>
      <c r="S242" s="84"/>
      <c r="T242" s="84"/>
      <c r="U242" s="84"/>
      <c r="V242" s="84"/>
      <c r="W242" s="84"/>
      <c r="X242" s="84"/>
      <c r="Y242" s="84"/>
      <c r="Z242" s="84"/>
      <c r="AA242" s="84"/>
      <c r="AB242" s="84"/>
    </row>
    <row r="243" spans="1:28">
      <c r="A243" s="1579" t="s">
        <v>2225</v>
      </c>
      <c r="B243" s="2809" t="str">
        <f>IF(AND(DS_HC_Funding="Yes",AND(OR(Development_Category="Rehabilitation",Development_Category="Acquisition and Rehabilitation"),Development_SubCategory="Preservation (w/ or w/o Acquisition)")),IF(AND(IF(LEFT(Data1!B239,1)="(",0,Data1!B239)&gt;0,IF(LEFT(Data1!B239,1)="(",0,Data1!B239)&gt;=B241),"Yes","No"),"NA")</f>
        <v>NA</v>
      </c>
      <c r="C243" s="2809"/>
      <c r="D243" s="1586"/>
      <c r="E243" s="2777"/>
      <c r="F243" s="2777"/>
      <c r="G243" s="6"/>
    </row>
    <row r="244" spans="1:28">
      <c r="A244" s="276" t="s">
        <v>2762</v>
      </c>
      <c r="B244" s="2798">
        <v>8300</v>
      </c>
      <c r="C244" s="2798"/>
      <c r="D244" s="2221" t="s">
        <v>2579</v>
      </c>
      <c r="E244" s="277"/>
      <c r="F244" s="277"/>
      <c r="G244" s="6"/>
    </row>
    <row r="245" spans="1:28">
      <c r="A245" s="277" t="s">
        <v>2226</v>
      </c>
      <c r="B245" s="2805">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45" s="2805"/>
      <c r="D245" s="277" t="s">
        <v>251</v>
      </c>
      <c r="E245" s="277"/>
      <c r="F245" s="2222" t="s">
        <v>2578</v>
      </c>
      <c r="G245" s="6"/>
    </row>
    <row r="246" spans="1:28">
      <c r="A246" s="277" t="s">
        <v>2227</v>
      </c>
      <c r="B246" s="2721"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46" s="2721"/>
      <c r="D246" s="277" t="s">
        <v>2491</v>
      </c>
      <c r="E246" s="277"/>
      <c r="F246" s="1549"/>
      <c r="G246" s="6"/>
    </row>
    <row r="247" spans="1:28">
      <c r="A247" s="277" t="s">
        <v>2228</v>
      </c>
      <c r="B247" s="2661"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47" s="2661"/>
      <c r="D247" s="277" t="s">
        <v>2491</v>
      </c>
      <c r="E247" s="277"/>
      <c r="F247" s="1549"/>
      <c r="G247" s="6"/>
    </row>
    <row r="248" spans="1:28">
      <c r="A248" s="277" t="s">
        <v>2763</v>
      </c>
      <c r="B248" s="2830"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$319&lt;&gt;0,Multiphase_subsequent="Yes"),AND(Funding!$L$324&lt;&gt;0,Small_Area_DDA="Yes"),AND(Funding!$L$332&lt;&gt;0,DDA_nonmetro="Yes"),AND(Funding!$L$337&lt;&gt;0,QCT="Yes"),AND(Funding!$L$346&lt;&gt;0,Geo_Area_of_Opp_boost="Yes"),AND(Funding!$L$364&lt;&gt;0,Funding!E$364="Yes"),AND(Funding!$L$367&lt;&gt;0,Funding!E$367="Yes")),1.3,1)*B239*MAX(N(B246),0)))))))))))))))</f>
        <v>(4) (6) (16)</v>
      </c>
      <c r="C248" s="2770"/>
      <c r="D248" s="277" t="s">
        <v>2492</v>
      </c>
      <c r="E248" s="277"/>
      <c r="F248" s="277" t="str">
        <f>"[ Rehab $ (B"&amp;TEXT(ROW(B239),"0")&amp;") x App Fraction (B"&amp;TEXT(ROW(B246),"0")&amp;") x Basis Boost (B"&amp;TEXT(ROW(B245),"0")&amp;") ]"</f>
        <v>[ Rehab $ (B239) x App Fraction (B246) x Basis Boost (B245) ]</v>
      </c>
      <c r="G248" s="6"/>
    </row>
    <row r="249" spans="1:28">
      <c r="A249" s="277" t="s">
        <v>2764</v>
      </c>
      <c r="B249" s="2729" t="str">
        <f>IF(LEFT(B248,1)="(",B248,IF(MAX('Units, Set-Asides, Bldgs'!F$67,total_HC_units_AIT)=0,0,B248/MAX('Units, Set-Asides, Bldgs'!F$67,total_HC_units_AIT)))</f>
        <v>(4) (6) (16)</v>
      </c>
      <c r="C249" s="2729"/>
      <c r="D249" s="277"/>
      <c r="E249" s="277"/>
      <c r="F249" s="277"/>
      <c r="G249" s="64" t="str">
        <f>IF($B248="(1) (4) (6)",$H$189&amp;" "&amp;$H$192&amp;" "&amp;$H$194,IF($B248="(1) (4)",$H$189&amp;" "&amp;$H$192,IF($B248="(1) (6)",$H$189&amp;" "&amp;$H$194,IF($B248="(4) (6)",$H$192&amp;" "&amp;$H$194,IF($B248="(1)",$H$189,IF($B248="(4)",$H$192,IF($B248="(6)",$H$194,"")))))))</f>
        <v/>
      </c>
      <c r="H249" s="84"/>
      <c r="I249" s="84"/>
      <c r="J249" s="84"/>
      <c r="K249" s="84"/>
      <c r="L249" s="84"/>
      <c r="M249" s="84"/>
      <c r="N249" s="84"/>
      <c r="O249" s="84"/>
      <c r="P249" s="84"/>
      <c r="Q249" s="84"/>
      <c r="R249" s="84"/>
      <c r="S249" s="84"/>
      <c r="T249" s="84"/>
      <c r="U249" s="84"/>
      <c r="V249" s="84"/>
      <c r="W249" s="84"/>
      <c r="X249" s="84"/>
      <c r="Y249" s="84"/>
      <c r="Z249" s="84"/>
      <c r="AA249" s="84"/>
      <c r="AB249" s="84"/>
    </row>
    <row r="250" spans="1:28">
      <c r="A250" s="1579" t="s">
        <v>2229</v>
      </c>
      <c r="B250" s="2802" t="str">
        <f>IF(AND(DS_HC_Funding="Yes",AND(OR(Development_Category="Rehabilitation",Development_Category="Acquisition and Rehabilitation"),Development_SubCategory="Preservation (w/ or w/o Acquisition)")),IF(IF(LEFT(Data1!B249,1)="(",0,Data1!B249)&gt;=B244,"Yes","No"),"NA")</f>
        <v>NA</v>
      </c>
      <c r="C250" s="2802"/>
      <c r="D250" s="1586"/>
      <c r="E250" s="1586"/>
      <c r="F250" s="1586"/>
      <c r="G250" s="6"/>
    </row>
    <row r="251" spans="1:28">
      <c r="A251" s="1596" t="s">
        <v>2230</v>
      </c>
      <c r="B251" s="2798">
        <v>40000</v>
      </c>
      <c r="C251" s="2798"/>
      <c r="D251" s="1596" t="s">
        <v>1981</v>
      </c>
      <c r="E251" s="1596"/>
      <c r="F251" s="1596"/>
    </row>
    <row r="252" spans="1:28">
      <c r="A252" s="1327" t="s">
        <v>2231</v>
      </c>
      <c r="B252" s="2801" t="str">
        <f>IF(N('Pro Forma'!N$56)+N('Pro Forma'!N$64)=0,"(14)",N('Pro Forma'!N$56)+N('Pro Forma'!N$64))</f>
        <v>(14)</v>
      </c>
      <c r="C252" s="2801"/>
      <c r="D252" s="1332">
        <v>14</v>
      </c>
      <c r="E252" s="1327"/>
      <c r="F252" s="1327" t="s">
        <v>2187</v>
      </c>
    </row>
    <row r="253" spans="1:28">
      <c r="A253" s="1327" t="s">
        <v>2232</v>
      </c>
      <c r="B253" s="2799" t="str">
        <f>IF(Total_Units=0,"(2)",B252/Total_Units)</f>
        <v>(2)</v>
      </c>
      <c r="C253" s="2799"/>
      <c r="D253" s="1332" t="s">
        <v>1994</v>
      </c>
      <c r="E253" s="1327"/>
      <c r="F253" s="1327"/>
      <c r="G253" s="1345"/>
    </row>
    <row r="254" spans="1:28">
      <c r="A254" s="1579" t="s">
        <v>2233</v>
      </c>
      <c r="B254" s="2802" t="str">
        <f>IF(AND(DS_HC_Funding="Yes",AND(OR(Development_Category="Rehabilitation",Development_Category="Acquisition and Rehabilitation"),Development_SubCategory="Preservation (w/ or w/o Acquisition)")),IF(N(B253)&gt;=N(B251),"Yes","No"),"NA")</f>
        <v>NA</v>
      </c>
      <c r="C254" s="2802"/>
      <c r="D254" s="1598" t="s">
        <v>1988</v>
      </c>
      <c r="E254" s="1597"/>
      <c r="F254" s="1597"/>
      <c r="G254" s="1324"/>
    </row>
    <row r="255" spans="1:28">
      <c r="A255" s="1631" t="s">
        <v>2234</v>
      </c>
      <c r="B255" s="2808" t="str">
        <f>IF(3&gt;2,"NA",IF(AND(OR(Development_Category="Rehabilitation",Development_Category="Acquisition and Rehabilitation"),Development_SubCategory="Preservation (w/ or w/o Acquisition)"),IF(DevCat_Min_Occ="Yes","Yes",IF(DevCat_Min_Occ="No","No","Need Response at 4.A.4.b.(2)")),"NA"))</f>
        <v>NA</v>
      </c>
      <c r="C255" s="2808"/>
      <c r="D255" s="2808"/>
      <c r="E255" s="2808"/>
      <c r="F255" s="1632" t="str">
        <f>"(Question is not active. Temporarily placed at cell "&amp;CHAR(64+COLUMN(G229))&amp;ROW(G229)&amp;" )"</f>
        <v>(Question is not active. Temporarily placed at cell G229 )</v>
      </c>
      <c r="G255" s="6"/>
    </row>
    <row r="256" spans="1:28">
      <c r="A256" s="1599" t="str">
        <f>"     (h) Meets the Rule Definition (67-"&amp;IF(Funding!L$309=1,"21","48")&amp;".002) for Preservation &amp; Rehab?"</f>
        <v xml:space="preserve">     (h) Meets the Rule Definition (67-48.002) for Preservation &amp; Rehab?</v>
      </c>
      <c r="B256" s="2800" t="str">
        <f>IF(AND(OR(Development_Category="Rehabilitation",Development_Category="Acquisition and Rehabilitation"),Development_SubCategory="Preservation (w/ or w/o Acquisition)"),IF(AND(B233="Yes",B234="Yes",B235="Yes",B236="Yes",B237="Yes"),"Yes","No"),"Did not select Preservation")</f>
        <v>Did not select Preservation</v>
      </c>
      <c r="C256" s="2800"/>
      <c r="D256" s="2800"/>
      <c r="E256" s="2800"/>
      <c r="F256" s="1619"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Acquisition)"),IF(B233="No","-Too many NC units  ",""),"")&amp;IF(AND(OR(Development_Category="Rehabilitation",Development_Category="Acquisition and Rehabilitation"),Development_SubCategory="Preservation (w/ or w/o Acquisition)"),IF(B234="No","-Not old enough  ",""),"")&amp;IF(AND(OR(Development_Category="Rehabilitation",Development_Category="Acquisition and Rehabilitation"),Development_SubCategory="Preservation (w/ or w/o Acquisition)"),IF(B235="No","-Exisitng Program issue  ",""),"")&amp;IF(AND(OR(Development_Category="Rehabilitation",Development_Category="Acquisition and Rehabilitation"),Development_SubCategory="Preservation (w/ or w/o Acquisition)"),IF(B236="No","-Future Program issue  ",""),"")&amp;IF(AND(OR(Development_Category="Rehabilitation",Development_Category="Acquisition and Rehabilitation"),Development_SubCategory="Preservation (w/ or w/o Acquisition)"),IF(B237="No","-DOT/Rehab Budget",""),"")&amp;IF(AND(OR(Development_Category="Rehabilitation",Development_Category="Acquisition and Rehabilitation"),Development_SubCategory="Preservation (w/ or w/o Acquisition)")," ]","")</f>
        <v/>
      </c>
      <c r="G256" s="1575"/>
    </row>
    <row r="257" spans="1:38">
      <c r="A257" s="1594" t="s">
        <v>2235</v>
      </c>
      <c r="B257" s="2810" t="str">
        <f>IF(3&gt;2,"NA",IF(AND(OR(Development_Category="Rehabilitation",Development_Category="Acquisition and Rehabilitation"),Development_SubCategory="Preservation (w/ or w/o Acquisition)"),IF(DS_DevCat_Qual_Letter="Yes","Yes",IF(DS_DevCat_Qual_Letter="No","No","Need Response at 4.A.4.b.(2)")),"NA"))</f>
        <v>NA</v>
      </c>
      <c r="C257" s="2810"/>
      <c r="D257" s="2810"/>
      <c r="E257" s="2810"/>
      <c r="F257" s="1326" t="str">
        <f>"(Question is not active. Temporarily placed at cell "&amp;CHAR(64+COLUMN(G214))&amp;ROW(G214)&amp;" )"</f>
        <v>(Question is not active. Temporarily placed at cell G214 )</v>
      </c>
      <c r="G257" s="6"/>
    </row>
    <row r="258" spans="1:38" ht="30" customHeight="1" thickBot="1">
      <c r="A258" s="730" t="s">
        <v>2217</v>
      </c>
      <c r="B258" s="2803" t="str">
        <f ca="1">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one&gt;","(6)","")&amp;IF(B234&lt;&gt;"Yes","(7)","")&amp;IF(B235&lt;&gt;"Yes","(8)","")&amp;IF(B236&lt;&gt;"Yes","(9)","")&amp;IF(B237&lt;&gt;"Yes","(10)","")&amp;IF(B233="No","(13)","")&amp;IF(N('Pro Forma'!N$56)+N('Pro Forma'!N$64)=0,"(14)","")&amp;IF(Development_SubCategory="&lt;select one&gt;","(15)","")&amp;IF(IF(Minimum_SetAside_per_Sec_42="Average Income Test",AIT_HC_SA_Percent,NonAIT_HC_SA_Percent)=0,"(16)",""),"")</f>
        <v>(2)(4)(5)(6)(7)(8)(9)(10)(14)(15)(16)</v>
      </c>
      <c r="C258" s="2804"/>
      <c r="D258" s="1620" t="s">
        <v>2493</v>
      </c>
      <c r="E258" s="732"/>
      <c r="F258" s="732"/>
      <c r="G258" s="733" t="str">
        <f ca="1">IF(IFERROR(FIND("(1)",$B258)&gt;0,0)&gt;0,DS_DevCat_Note_01,"")&amp;IF(IFERROR(FIND("(2)",$B258)&gt;0,0)&gt;0,DS_DevCat_Note_02,"")&amp;IF(IFERROR(FIND("(3)",$B258)&gt;0,0)&gt;0,DS_DevCat_Note_03,"")&amp;IF(IFERROR(FIND("(4)",$B258)&gt;0,0)&gt;0,DS_DevCat_Note_04,"")&amp;IF(IFERROR(FIND("(5)",$B258)&gt;0,0)&gt;0,DS_DevCat_Note_05,"")&amp;IF(IFERROR(FIND("(6)",$B258)&gt;0,0)&gt;0,DS_DevCat_Note_06,"")&amp;IF(IFERROR(FIND("(7)",$B258)&gt;0,0)&gt;0,DS_DevCat_Note_07,"")&amp;IF(IFERROR(FIND("(8)",$B258)&gt;0,0)&gt;0,DS_DevCat_Note_08,"")&amp;IF(IFERROR(FIND("(9)",$B258)&gt;0,0)&gt;0,DS_DevCat_Note_09,"")&amp;IF(IFERROR(FIND("(10)",$B258)&gt;0,0)&gt;0,DS_DevCat_Note_10,"")&amp;IF(IFERROR(FIND("(11)",$B258)&gt;0,0)&gt;0,DS_DevCat_Note_11,"")&amp;IF(IFERROR(FIND("(12)",$B258)&gt;0,0)&gt;0,DS_DevCat_Note_12,"")&amp;IF(IFERROR(FIND("(13)",$B258)&gt;0,0)&gt;0,DS_DevCat_Note_13,"")&amp;IF(IFERROR(FIND("(14)",$B258)&gt;0,0)&gt;0,DS_DevCat_Note_14,"")&amp;IF(IFERROR(FIND("(15)",$B258)&gt;0,0)&gt;0,DS_DevCat_Note_15,"")&amp;IF(IFERROR(FIND("(16)",$B258)&gt;0,0)&gt;0,DS_DevCat_Note_16,"")&amp;IF(AND(IFERROR(FIND("(1)",$B258)&gt;0,0)=0,IFERROR(FIND("(2)",$B258)&gt;0,0)=0,IFERROR(FIND("(3)",$B258)&gt;0,0)=0,IFERROR(FIND("(4)",$B258)&gt;0,0)=0,IFERROR(FIND("(5)",$B258)&gt;0,0)=0,IFERROR(FIND("(6)",$B258)&gt;0,0)=0,IFERROR(FIND("(7)",$B258)&gt;0,0)=0,IFERROR(FIND("(8)",$B258)&gt;0,0)=0,IFERROR(FIND("(9)",$B258)&gt;0,0)=0,IFERROR(FIND("(10)",$B258)&gt;0,0)=0,IFERROR(FIND("(11)",$B258)&gt;0,0)=0,IFERROR(FIND("(12)",$B258)&gt;0,0)=0,IFERROR(FIND("(13)",$B258)&gt;0,0)=0,IFERROR(FIND("(14)",$B258)&gt;0,0)=0,IFERROR(FIND("(15)",$B258)&gt;0,0)=0,IFERROR(FIND("(16)",$B258)&gt;0,0)=0),"This area intentionally left blank.","")</f>
        <v xml:space="preserve">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Existing Development was not built at least 20 years ago. Applicant did not (1) identify one of the HUD/RD financing programs, and/or (2) indicate it currently has PBRA. The new construction of replacement structures on the same site did not maintain at least the same number of PBRA units. Applicant did not indicate if the Development received any funding from HUD or RD within the 20 years prior to an Application Deadline in a competitive solicitation where the budget was at least $10,000 per unit for rehabilitation in any year.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select a Development Subcategory at Section 4.A.4.b.(2) above. Applicant still needs to enter data in the 40% @ 60% Total Set-Aside Breakdown Chart at Section 4.A.6.c. in the 'Units, Set-Asides, Bldgs' worksheet tab. </v>
      </c>
      <c r="H258" s="734"/>
      <c r="I258" s="734"/>
      <c r="J258" s="734"/>
      <c r="K258" s="734"/>
      <c r="L258" s="734"/>
      <c r="M258" s="734"/>
      <c r="N258" s="734"/>
      <c r="O258" s="734"/>
      <c r="P258" s="734"/>
      <c r="Q258" s="734"/>
      <c r="R258" s="734"/>
      <c r="S258" s="734"/>
      <c r="T258" s="734"/>
      <c r="U258" s="734"/>
      <c r="V258" s="734"/>
      <c r="W258" s="734"/>
      <c r="X258" s="734"/>
      <c r="Y258" s="734"/>
      <c r="Z258" s="734"/>
      <c r="AA258" s="734"/>
      <c r="AB258" s="734"/>
      <c r="AC258" s="734"/>
      <c r="AD258" s="734"/>
      <c r="AE258" s="734"/>
      <c r="AF258" s="734"/>
      <c r="AG258" s="734"/>
      <c r="AH258" s="734"/>
      <c r="AI258" s="734"/>
      <c r="AJ258" s="734"/>
      <c r="AK258" s="734"/>
      <c r="AL258" s="734"/>
    </row>
    <row r="259" spans="1:38">
      <c r="G259" s="6"/>
    </row>
    <row r="260" spans="1:38" ht="15.75">
      <c r="A260" s="421" t="s">
        <v>2247</v>
      </c>
    </row>
    <row r="261" spans="1:38" ht="15.75">
      <c r="A261" s="1591" t="s">
        <v>2248</v>
      </c>
      <c r="B261" s="2765" t="str">
        <f>IF(OR(Development_Category="&lt;select one&gt;",Development_Category="",Development_SubCategory="&lt;select one&gt;"),"NA",IF(OR(Development_Category="Rehabilitation",Development_Category="Acquisition and Rehabilitation"),"Yes","No"))</f>
        <v>NA</v>
      </c>
      <c r="C261" s="2765"/>
      <c r="D261" s="1592"/>
      <c r="E261" s="1592"/>
      <c r="F261" s="1592"/>
      <c r="G261" s="2723"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61" s="2724"/>
      <c r="I261" s="2724"/>
      <c r="J261" s="2724"/>
      <c r="K261" s="2724"/>
      <c r="L261" s="2724"/>
      <c r="M261" s="2724"/>
      <c r="N261" s="2724"/>
      <c r="O261" s="763" t="s">
        <v>59</v>
      </c>
      <c r="P261" s="722"/>
      <c r="Q261" s="723">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Acquisition)")),T261,0)</f>
        <v>0</v>
      </c>
      <c r="R261" s="724">
        <f>IF(AND(Q261&lt;&gt;0,AND(Data1!K261&lt;&gt;"&lt;select one&gt;",Data1!K261&lt;&gt;"")),Q261,0)</f>
        <v>0</v>
      </c>
      <c r="S261" s="903" t="str">
        <f>CHOOSE(Q261+1,"Not to be included in this RFA","A REQUIRED input field for this RFA","An OPTIONAL input field for this RFA")</f>
        <v>Not to be included in this RFA</v>
      </c>
      <c r="T261" s="725">
        <v>0</v>
      </c>
    </row>
    <row r="262" spans="1:38">
      <c r="A262" s="276" t="s">
        <v>244</v>
      </c>
      <c r="B262" s="2735">
        <v>0.5</v>
      </c>
      <c r="C262" s="2735"/>
      <c r="D262" s="276" t="s">
        <v>238</v>
      </c>
      <c r="E262" s="276"/>
      <c r="F262" s="276"/>
      <c r="G262" s="2725"/>
      <c r="H262" s="2726"/>
      <c r="I262" s="2726"/>
      <c r="J262" s="2726"/>
      <c r="K262" s="2726"/>
      <c r="L262" s="2726"/>
      <c r="M262" s="2726"/>
      <c r="N262" s="2726"/>
      <c r="O262" s="955"/>
      <c r="P262" s="955"/>
      <c r="Q262" s="955"/>
      <c r="R262" s="955"/>
      <c r="S262" s="955"/>
      <c r="T262" s="727"/>
    </row>
    <row r="263" spans="1:38">
      <c r="A263" s="276" t="s">
        <v>245</v>
      </c>
      <c r="B263" s="2778">
        <f>SUM('Proposed Development Info'!H$127:H$135)</f>
        <v>0</v>
      </c>
      <c r="C263" s="2778"/>
      <c r="D263" s="276"/>
      <c r="E263" s="276"/>
      <c r="F263" s="276"/>
      <c r="G263" s="6"/>
    </row>
    <row r="264" spans="1:38">
      <c r="A264" s="277" t="s">
        <v>246</v>
      </c>
      <c r="B264" s="2759"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64" s="2759"/>
      <c r="D264" s="277" t="s">
        <v>241</v>
      </c>
      <c r="E264" s="277"/>
      <c r="F264" s="277"/>
      <c r="G264" s="64" t="str">
        <f ca="1">IF($B264="(1) (2) (3)",$H$189&amp;" "&amp;$H$190&amp;" "&amp;$H$191,IF($B264="(1) (2)",$H$189&amp;" "&amp;$H$190,IF($B264="(1) (3)",$H$189&amp;" "&amp;$H$191,IF($B264="(2) (3)",$H$190&amp;" "&amp;$H$191,IF($B264="(1)",$H$189,IF($B264="(2)",$H$190,IF($B264="(3)",$H$191,"")))))))</f>
        <v xml:space="preserve">Applicant still needs to enter Total Units in Section 4.A.6.a. in the 'Units, Set-Asides, Bldgs' worksheet tab. </v>
      </c>
      <c r="H264" s="84"/>
      <c r="I264" s="84"/>
      <c r="J264" s="84"/>
      <c r="K264" s="84"/>
      <c r="L264" s="84"/>
      <c r="M264" s="84"/>
      <c r="N264" s="84"/>
      <c r="O264" s="84"/>
      <c r="P264" s="84"/>
      <c r="Q264" s="84"/>
      <c r="R264" s="84"/>
      <c r="S264" s="84"/>
      <c r="T264" s="84"/>
      <c r="U264" s="84"/>
      <c r="V264" s="84"/>
      <c r="W264" s="84"/>
      <c r="X264" s="84"/>
      <c r="Y264" s="84"/>
      <c r="Z264" s="84"/>
      <c r="AA264" s="84"/>
    </row>
    <row r="265" spans="1:38">
      <c r="A265" s="719" t="s">
        <v>247</v>
      </c>
      <c r="B265" s="2753" t="str">
        <f>IF(AND(OR(Development_Category="Rehabilitation",Development_Category="Acquisition and Rehabilitation"),Development_SubCategory&lt;&gt;"Preservation (w/ or w/o Acquisition)"),IF(LEFT(Data1!B264,1)="(","TBD",IF(Data1!B264&lt;B262,"Yes","No")),"NA")</f>
        <v>NA</v>
      </c>
      <c r="C265" s="2753"/>
      <c r="D265" s="719" t="s">
        <v>2196</v>
      </c>
      <c r="E265" s="277"/>
      <c r="F265" s="277"/>
      <c r="G265" s="1548" t="s">
        <v>2186</v>
      </c>
      <c r="H265" s="1173" t="s">
        <v>2765</v>
      </c>
      <c r="I265" s="1173" t="s">
        <v>2185</v>
      </c>
    </row>
    <row r="266" spans="1:38">
      <c r="A266" s="721" t="str">
        <f>"     (ii) Meets the Rule Definition (67-"&amp;IF(Funding!L$309=1,"21","48")&amp;".002) for Rehabilitation?"</f>
        <v xml:space="preserve">     (ii) Meets the Rule Definition (67-48.002) for Rehabilitation?</v>
      </c>
      <c r="B266" s="2788" t="str">
        <f>IF(AND(OR(Development_Category="Rehabilitation",Development_Category="Acquisition and Rehabilitation"),Development_SubCategory&lt;&gt;"Preservation (w/ or w/o Acquisition)"),IF(Data1!O$261="Yes","Yes",IF(Data1!O$261="No","No","Need Response at 4.A.4.b.(2)")),"Not a Rehabilitation development")</f>
        <v>Not a Rehabilitation development</v>
      </c>
      <c r="C266" s="2788"/>
      <c r="D266" s="2788"/>
      <c r="E266" s="2788"/>
      <c r="F266" s="1055"/>
      <c r="G266" s="6" t="s">
        <v>2177</v>
      </c>
      <c r="H266" s="1550">
        <f>N(Actual_Constructioncost_eligible)+IF(N(Actual_GCfee_total)=0,DS_MaxGCFee*N(Actual_Constructioncost_total),MIN(N(Actual_GCfee_eligible),DS_MaxGCFee*N(Actual_Constructioncost_total)))</f>
        <v>0</v>
      </c>
      <c r="I266" s="311" t="str">
        <f>Actual_TotalConstructioncost_eligible</f>
        <v/>
      </c>
      <c r="J266" t="s">
        <v>2188</v>
      </c>
    </row>
    <row r="267" spans="1:38">
      <c r="A267" s="719" t="s">
        <v>1784</v>
      </c>
      <c r="B267" s="2728" t="str">
        <f>IF(RIGHT(Excel_RFA_Number,3)="104",IF(OR(DS_ExcelCheckBox_DevCat_CorpPortfolio=TRUE,DS_ExcelCheckBox_DevCat_RDPortfolio=TRUE),"Yes","No"),"NA")</f>
        <v>NA</v>
      </c>
      <c r="C267" s="2728"/>
      <c r="D267" s="67" t="s">
        <v>1990</v>
      </c>
      <c r="E267" s="834" t="s">
        <v>2375</v>
      </c>
      <c r="F267" s="277"/>
      <c r="G267" s="6" t="s">
        <v>2178</v>
      </c>
      <c r="H267" s="1550">
        <f>MIN(N(Contingency_Hard_eligible),IF(Development_Category="New Construction",DS_MaxHCCNC,DS_MaxHCCR)*N(Actual_TotalConstructioncost_total))</f>
        <v>0</v>
      </c>
      <c r="I267" s="311">
        <f>Contingency_Hard_eligible</f>
        <v>0</v>
      </c>
      <c r="J267" t="s">
        <v>2189</v>
      </c>
    </row>
    <row r="268" spans="1:38">
      <c r="A268" s="719" t="s">
        <v>1785</v>
      </c>
      <c r="B268" s="2728" t="str">
        <f>IF(RIGHT(Excel_RFA_Number,3)="104",IF(DS_ExcelCheckBox_DevCat_CorpPortfolio=TRUE,IF(SAIL_CorpPortfolio_AppNumber&lt;&gt;"","Yes","No"),"NA"),"NA")</f>
        <v>NA</v>
      </c>
      <c r="C268" s="2728"/>
      <c r="D268" s="277" t="s">
        <v>1991</v>
      </c>
      <c r="E268" s="834" t="s">
        <v>2375</v>
      </c>
      <c r="F268" s="719"/>
      <c r="G268" s="6" t="s">
        <v>2179</v>
      </c>
      <c r="H268" s="311">
        <f>N(General_totaldevelopmentcost_eligible)</f>
        <v>0</v>
      </c>
      <c r="I268" s="311" t="str">
        <f>General_totaldevelopmentcost_eligible</f>
        <v/>
      </c>
      <c r="J268" t="s">
        <v>2190</v>
      </c>
    </row>
    <row r="269" spans="1:38">
      <c r="A269" s="719" t="s">
        <v>1786</v>
      </c>
      <c r="B269" s="2728" t="str">
        <f>IF(RIGHT(Excel_RFA_Number,3)="104",IF(FarmFish_Waivers="No","Yes","No"),"NA")</f>
        <v>NA</v>
      </c>
      <c r="C269" s="2728"/>
      <c r="D269" s="277" t="s">
        <v>1992</v>
      </c>
      <c r="E269" s="834" t="s">
        <v>2375</v>
      </c>
      <c r="F269" s="1547"/>
      <c r="G269" s="6" t="s">
        <v>2180</v>
      </c>
      <c r="H269" s="1550">
        <f>MIN(N(Contingency_Soft_eligible),DS_MaxSCC*N(General_totaldevelopmentcost_total))</f>
        <v>0</v>
      </c>
      <c r="I269" s="311">
        <f>Contingency_Soft_eligible</f>
        <v>0</v>
      </c>
      <c r="J269" t="s">
        <v>2191</v>
      </c>
    </row>
    <row r="270" spans="1:38">
      <c r="A270" s="277" t="s">
        <v>2766</v>
      </c>
      <c r="B270" s="2699">
        <v>0.2</v>
      </c>
      <c r="C270" s="2699"/>
      <c r="D270" s="277" t="s">
        <v>2030</v>
      </c>
      <c r="E270" s="277"/>
      <c r="F270" s="277"/>
      <c r="G270" s="6" t="s">
        <v>2181</v>
      </c>
      <c r="H270" s="311">
        <f>N(Financial_total_eligible)</f>
        <v>0</v>
      </c>
      <c r="I270" s="311" t="str">
        <f>Financial_total_eligible</f>
        <v/>
      </c>
      <c r="J270" t="s">
        <v>1419</v>
      </c>
    </row>
    <row r="271" spans="1:38" ht="15" customHeight="1">
      <c r="A271" s="1326" t="s">
        <v>252</v>
      </c>
      <c r="B271" s="2801" t="str">
        <f>IF(AND(Development_Category="&lt;select one&gt;",N(Development_Cost_eligible)-N(Acquisition_eligible)+N(Developer_fee_non_acq_eligible)=0),"(1) (4)",IF(Development_Category="&lt;select one&gt;","(1)",IF(N(Development_Cost_eligible)-N(Acquisition_eligible)+N(Developer_fee_non_acq_eligible)=0,"(4)",H273)))</f>
        <v>(4)</v>
      </c>
      <c r="C271" s="2801"/>
      <c r="D271" s="277" t="s">
        <v>248</v>
      </c>
      <c r="E271" s="2775" t="s">
        <v>2164</v>
      </c>
      <c r="F271" s="2775"/>
      <c r="G271" s="6" t="s">
        <v>2182</v>
      </c>
      <c r="H271" s="311">
        <f>SUM(H266:H270)</f>
        <v>0</v>
      </c>
      <c r="I271" s="311">
        <f>SUM(I266:I270)</f>
        <v>0</v>
      </c>
      <c r="J271" t="s">
        <v>1427</v>
      </c>
    </row>
    <row r="272" spans="1:38">
      <c r="A272" s="277" t="s">
        <v>253</v>
      </c>
      <c r="B272" s="2801" t="str">
        <f>IF(N('Pro Forma'!H$106)=0,"(5)",'Pro Forma'!H$106+'Pro Forma'!H$112)</f>
        <v>(5)</v>
      </c>
      <c r="C272" s="2801"/>
      <c r="D272" s="726" t="s">
        <v>249</v>
      </c>
      <c r="E272" s="2806"/>
      <c r="F272" s="2806"/>
      <c r="G272" s="1551" t="s">
        <v>2184</v>
      </c>
      <c r="H272" s="1550">
        <f>IF(Developer_fee_non_acq_total=0,ROUNDDOWN(DS_MaxDevFeeNonAcq_Percent*(N(Development_Cost_total)-N(Acquisition_total)),0),MIN(N(Developer_fee_non_acq_eligible),ROUNDDOWN(DS_MaxDevFeeNonAcq_Percent*(N(Development_Cost_total)-N(Acquisition_total)),0)))</f>
        <v>0</v>
      </c>
      <c r="I272" s="311">
        <f>Developer_fee_non_acq_eligible</f>
        <v>0</v>
      </c>
      <c r="J272" t="s">
        <v>1432</v>
      </c>
    </row>
    <row r="273" spans="1:38">
      <c r="A273" s="277" t="str">
        <f>"     (iii)(A) "&amp;TEXT(B270,"0%")&amp;" of adjusted basis of acquired building"</f>
        <v xml:space="preserve">     (iii)(A) 20% of adjusted basis of acquired building</v>
      </c>
      <c r="B273" s="2799">
        <f>ROUND(IF(LEFT(B272,1)="(",0,B272)*B270,2)</f>
        <v>0</v>
      </c>
      <c r="C273" s="2799"/>
      <c r="D273" s="277"/>
      <c r="E273" s="2806"/>
      <c r="F273" s="2806"/>
      <c r="G273" s="729" t="s">
        <v>2183</v>
      </c>
      <c r="H273" s="311">
        <f>H271+H272</f>
        <v>0</v>
      </c>
      <c r="I273" s="311">
        <f>I271+I272</f>
        <v>0</v>
      </c>
    </row>
    <row r="274" spans="1:38">
      <c r="A274" s="277" t="s">
        <v>254</v>
      </c>
      <c r="B274" s="2759" t="str">
        <f>IF(OR(LEFT(B271,1)="(",LEFT(B272,1)="("),IF(IFERROR(FIND("(1)",B271)&gt;0,0)&gt;0,"(1)","")&amp;IF(IFERROR(FIND("(4)",B271)&gt;0,0)&gt;0,"(4)","")&amp;IF(IFERROR(FIND("(5)",B272)&gt;0,0)&gt;0,"(5)",""),B271/B273)</f>
        <v>(4)(5)</v>
      </c>
      <c r="C274" s="2759"/>
      <c r="D274" s="277" t="s">
        <v>250</v>
      </c>
      <c r="E274" s="2806"/>
      <c r="F274" s="2806"/>
      <c r="G274" s="728" t="str">
        <f>IF($B274="(1) (4) (5)",$H$189&amp;" "&amp;$H$192&amp;" "&amp;$H$193,IF($B274="(1) (4)",$H$189&amp;" "&amp;$H$192,IF($B274="(1) (5)",$H$189&amp;" "&amp;$H$193,IF($B274="(4) (5)",$H$192&amp;" "&amp;$H$193,IF($B274="(1)",$H$189,IF($B274="(4)",$H$192,IF($B274="(5)",$H$193,"")))))))</f>
        <v/>
      </c>
      <c r="H274" s="84"/>
      <c r="I274" s="84"/>
      <c r="J274" s="84"/>
      <c r="K274" s="84"/>
      <c r="L274" s="84"/>
      <c r="M274" s="84"/>
      <c r="N274" s="84"/>
      <c r="O274" s="84"/>
      <c r="P274" s="84"/>
      <c r="Q274" s="84"/>
      <c r="R274" s="84"/>
      <c r="S274" s="84"/>
      <c r="T274" s="84"/>
      <c r="U274" s="84"/>
      <c r="V274" s="84"/>
      <c r="W274" s="84"/>
      <c r="X274" s="84"/>
      <c r="Y274" s="84"/>
      <c r="Z274" s="84"/>
      <c r="AA274" s="84"/>
      <c r="AB274" s="84"/>
    </row>
    <row r="275" spans="1:38">
      <c r="A275" s="719" t="s">
        <v>2204</v>
      </c>
      <c r="B275" s="2700" t="str">
        <f>IF(AND(DS_HC_Funding="Yes",AND(OR(Development_Category="Rehabilitation",Development_Category="Acquisition and Rehabilitation"),Development_SubCategory&lt;&gt;"Preservation (w/ or w/o Acquisition)")),IF(AND(IF(LEFT(Data1!B271,1)="(",0,Data1!B271)&gt;0,IF(LEFT(Data1!B271,1)="(",0,Data1!B271)&gt;=B273),"Yes","No"),"NA")</f>
        <v>NA</v>
      </c>
      <c r="C275" s="2700"/>
      <c r="D275" s="277"/>
      <c r="E275" s="2807"/>
      <c r="F275" s="2807"/>
      <c r="G275" s="6"/>
    </row>
    <row r="276" spans="1:38">
      <c r="A276" s="277" t="s">
        <v>2767</v>
      </c>
      <c r="B276" s="2722">
        <v>8300</v>
      </c>
      <c r="C276" s="2722"/>
      <c r="D276" s="2221" t="s">
        <v>2579</v>
      </c>
      <c r="E276" s="277"/>
      <c r="F276" s="277"/>
      <c r="G276" s="1164" t="s">
        <v>2192</v>
      </c>
    </row>
    <row r="277" spans="1:38">
      <c r="A277" s="277" t="s">
        <v>255</v>
      </c>
      <c r="B277" s="2768">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77" s="2768"/>
      <c r="D277" s="277" t="s">
        <v>251</v>
      </c>
      <c r="E277" s="277"/>
      <c r="F277" s="2222" t="s">
        <v>2578</v>
      </c>
      <c r="G277" s="1543" t="s">
        <v>2193</v>
      </c>
    </row>
    <row r="278" spans="1:38">
      <c r="A278" s="277" t="s">
        <v>256</v>
      </c>
      <c r="B278" s="2721"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78" s="2721"/>
      <c r="D278" s="277" t="s">
        <v>2491</v>
      </c>
      <c r="E278" s="277"/>
      <c r="F278" s="277" t="s">
        <v>2495</v>
      </c>
      <c r="G278" s="6"/>
    </row>
    <row r="279" spans="1:38">
      <c r="A279" s="277" t="s">
        <v>257</v>
      </c>
      <c r="B279" s="2661"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79" s="2661"/>
      <c r="D279" s="277" t="s">
        <v>2491</v>
      </c>
      <c r="E279" s="277"/>
      <c r="F279" s="277"/>
      <c r="G279" s="6"/>
    </row>
    <row r="280" spans="1:38">
      <c r="A280" s="277" t="s">
        <v>2768</v>
      </c>
      <c r="B280" s="2770"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$319&lt;&gt;0,Multiphase_subsequent="Yes"),AND(Funding!$L$324&lt;&gt;0,Small_Area_DDA="Yes"),AND(Funding!$L$332&lt;&gt;0,DDA_nonmetro="Yes"),AND(Funding!$L$337&lt;&gt;0,QCT="Yes"),AND(Funding!$L$346&lt;&gt;0,Geo_Area_of_Opp_boost="Yes"),AND(Funding!$L$364&lt;&gt;0,Funding!E$364="Yes"),AND(Funding!$L$367&lt;&gt;0,Funding!E$367="Yes")),1.3,1)*B271*MAX(N(B278),0)))))))))))))))</f>
        <v>(4) (6) (16)</v>
      </c>
      <c r="C280" s="2770"/>
      <c r="D280" s="277" t="s">
        <v>2492</v>
      </c>
      <c r="E280" s="277"/>
      <c r="F280" s="277" t="str">
        <f>"[ Rehab $ (B"&amp;TEXT(ROW(B271),"0")&amp;") x App Fraction (B"&amp;TEXT(ROW(B278),"0")&amp;") x Basis Boost (B"&amp;TEXT(ROW(B277),"0")&amp;") ]"</f>
        <v>[ Rehab $ (B271) x App Fraction (B278) x Basis Boost (B277) ]</v>
      </c>
      <c r="G280" s="6"/>
    </row>
    <row r="281" spans="1:38">
      <c r="A281" s="277" t="s">
        <v>2769</v>
      </c>
      <c r="B281" s="2729" t="str">
        <f>IF(LEFT(B280,1)="(",B280,IF(MAX('Units, Set-Asides, Bldgs'!F$67,total_HC_units_AIT)=0,0,B280/MAX('Units, Set-Asides, Bldgs'!F$67,total_HC_units_AIT)))</f>
        <v>(4) (6) (16)</v>
      </c>
      <c r="C281" s="2729"/>
      <c r="D281" s="277"/>
      <c r="E281" s="277"/>
      <c r="F281" s="277"/>
      <c r="G281" s="64" t="str">
        <f>IF($B280="(1) (4) (6)",$H$189&amp;" "&amp;$H$192&amp;" "&amp;$H$194,IF($B280="(1) (4)",$H$189&amp;" "&amp;$H$192,IF($B280="(1) (6)",$H$189&amp;" "&amp;$H$194,IF($B280="(4) (6)",$H$192&amp;" "&amp;$H$194,IF($B280="(1)",$H$189,IF($B280="(4)",$H$192,IF($B280="(6)",$H$194,"")))))))</f>
        <v/>
      </c>
      <c r="H281" s="84"/>
      <c r="I281" s="84"/>
      <c r="J281" s="84"/>
      <c r="K281" s="84"/>
      <c r="L281" s="84"/>
      <c r="M281" s="84"/>
      <c r="N281" s="84"/>
      <c r="O281" s="84"/>
      <c r="P281" s="84"/>
      <c r="Q281" s="84"/>
      <c r="R281" s="84"/>
      <c r="S281" s="84"/>
      <c r="T281" s="84"/>
      <c r="U281" s="84"/>
      <c r="V281" s="84"/>
      <c r="W281" s="84"/>
      <c r="X281" s="84"/>
      <c r="Y281" s="84"/>
      <c r="Z281" s="84"/>
      <c r="AA281" s="84"/>
      <c r="AB281" s="84"/>
    </row>
    <row r="282" spans="1:38">
      <c r="A282" s="719" t="s">
        <v>2205</v>
      </c>
      <c r="B282" s="2728" t="str">
        <f>IF(AND(DS_HC_Funding="Yes",AND(OR(Development_Category="Rehabilitation",Development_Category="Acquisition and Rehabilitation"),Development_SubCategory&lt;&gt;"Preservation (w/ or w/o Acquisition)")),IF(IF(LEFT(Data1!B281,1)="(",0,Data1!B281)&gt;=B276,"Yes","No"),"NA")</f>
        <v>NA</v>
      </c>
      <c r="C282" s="2728"/>
      <c r="D282" s="277"/>
      <c r="E282" s="277"/>
      <c r="F282" s="277"/>
      <c r="G282" s="6"/>
    </row>
    <row r="283" spans="1:38">
      <c r="A283" s="1328" t="s">
        <v>1982</v>
      </c>
      <c r="B283" s="2722">
        <v>40000</v>
      </c>
      <c r="C283" s="2722"/>
      <c r="D283" s="333" t="s">
        <v>1981</v>
      </c>
      <c r="E283" s="333"/>
      <c r="F283" s="333"/>
      <c r="G283" s="1324"/>
    </row>
    <row r="284" spans="1:38">
      <c r="A284" s="1328" t="s">
        <v>1983</v>
      </c>
      <c r="B284" s="2658" t="str">
        <f>IF(N('Pro Forma'!N$56)+N('Pro Forma'!N$64)=0,"(14)",N('Pro Forma'!N$56)+N('Pro Forma'!N$64))</f>
        <v>(14)</v>
      </c>
      <c r="C284" s="2658"/>
      <c r="D284" s="1333">
        <v>14</v>
      </c>
      <c r="E284" s="333"/>
      <c r="F284" s="1327" t="s">
        <v>2187</v>
      </c>
      <c r="G284" s="1324"/>
    </row>
    <row r="285" spans="1:38">
      <c r="A285" s="1328" t="s">
        <v>1984</v>
      </c>
      <c r="B285" s="2659" t="str">
        <f>IF(Total_Units=0,"(2)",B252/Total_Units)</f>
        <v>(2)</v>
      </c>
      <c r="C285" s="2659"/>
      <c r="D285" s="1333">
        <v>2</v>
      </c>
      <c r="E285" s="333"/>
      <c r="F285" s="333"/>
      <c r="G285" s="1345"/>
    </row>
    <row r="286" spans="1:38">
      <c r="A286" s="1328" t="s">
        <v>2206</v>
      </c>
      <c r="B286" s="2660" t="str">
        <f>IF(AND(DS_HC_Funding="Yes",OR(Development_Category="Rehabilitation",Development_Category="Acquisition and Rehabilitation")),IF(N(B285)&gt;=N(B283),"Yes","No"),"NA")</f>
        <v>NA</v>
      </c>
      <c r="C286" s="2660"/>
      <c r="D286" s="1344" t="s">
        <v>1993</v>
      </c>
      <c r="E286" s="333"/>
      <c r="F286" s="333"/>
      <c r="G286" s="1324"/>
    </row>
    <row r="287" spans="1:38" ht="25.15" customHeight="1" thickBot="1">
      <c r="A287" s="1094" t="s">
        <v>243</v>
      </c>
      <c r="B287" s="2717"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one&gt;","(6)",""),"")&amp;IF(B265="No","(13)","")&amp;IF(N('Pro Forma'!N$56)+N('Pro Forma'!N$64)=0,"(14)","")&amp;IF(IF(Minimum_SetAside_per_Sec_42="Average Income Test",AIT_HC_SA_Percent,NonAIT_HC_SA_Percent)=0,"(16)","")&amp;IF(B267="No","(R1)","")&amp;IF(B268="No","(R2)","")&amp;IF(B269="No","(R3)","")</f>
        <v>(2)(4)(5)(6)(14)(16)</v>
      </c>
      <c r="C287" s="2717"/>
      <c r="D287" s="1095" t="s">
        <v>2494</v>
      </c>
      <c r="E287" s="1095"/>
      <c r="F287" s="1095"/>
      <c r="G287" s="733" t="str">
        <f ca="1">IF(IFERROR(FIND("(1)",$B287)&gt;0,0)&gt;0,DS_DevCat_Note_01,"")&amp;IF(IFERROR(FIND("(2)",$B287)&gt;0,0)&gt;0,DS_DevCat_Note_02,"")&amp;IF(IFERROR(FIND("(3)",$B287)&gt;0,0)&gt;0,DS_DevCat_Note_03,"")&amp;IF(IFERROR(FIND("(4)",$B287)&gt;0,0)&gt;0,DS_DevCat_Note_04,"")&amp;IF(IFERROR(FIND("(5)",$B287)&gt;0,0)&gt;0,DS_DevCat_Note_05,"")&amp;IF(IFERROR(FIND("(6)",$B287)&gt;0,0)&gt;0,DS_DevCat_Note_06,"")&amp;IF(IFERROR(FIND("(7)",$B287)&gt;0,0)&gt;0,DS_DevCat_Note_07,"")&amp;IF(IFERROR(FIND("(8)",$B287)&gt;0,0)&gt;0,DS_DevCat_Note_08,"")&amp;IF(IFERROR(FIND("(9)",$B287)&gt;0,0)&gt;0,DS_DevCat_Note_09,"")&amp;IF(IFERROR(FIND("(10)",$B287)&gt;0,0)&gt;0,DS_DevCat_Note_10,"")&amp;IF(IFERROR(FIND("(11)",$B287)&gt;0,0)&gt;0,DS_DevCat_Note_11,"")&amp;IF(IFERROR(FIND("(12)",$B287)&gt;0,0)&gt;0,DS_DevCat_Note_12,"")&amp;IF(IFERROR(FIND("(13)",$B287)&gt;0,0)&gt;0,DS_DevCat_Note_13,"")&amp;IF(IFERROR(FIND("(14)",$B287)&gt;0,0)&gt;0,DS_DevCat_Note_14,"")&amp;IF(IFERROR(FIND("(15)",$B287)&gt;0,0)&gt;0,DS_DevCat_Note_15,"")&amp;IF(IFERROR(FIND("(16)",$B287)&gt;0,0)&gt;0,DS_DevCat_Note_16,"")&amp;IF(IFERROR(FIND("(R1)",$B287)&gt;0,0)&gt;0,DS_DevCat_Note_R1,"")&amp;IF(IFERROR(FIND("(R2)",$B287)&gt;0,0)&gt;0,DS_DevCat_Note_R2,"")&amp;IF(IFERROR(FIND("(R3)",$B287)&gt;0,0)&gt;0,DS_DevCat_Note_R3,"")&amp;IF(AND(IFERROR(FIND("(1)",$B287)&gt;0,0)=0,IFERROR(FIND("(2)",$B287)&gt;0,0)=0,IFERROR(FIND("(3)",$B287)&gt;0,0)=0,IFERROR(FIND("(4)",$B287)&gt;0,0)=0,IFERROR(FIND("(5)",$B287)&gt;0,0)=0,IFERROR(FIND("(6)",$B287)&gt;0,0)=0,IFERROR(FIND("(7)",$B287)&gt;0,0)=0,IFERROR(FIND("(8)",$B287)&gt;0,0)=0,IFERROR(FIND("(9)",$B287)&gt;0,0)=0,IFERROR(FIND("(10)",$B287)&gt;0,0)=0,IFERROR(FIND("(11)",$B287)&gt;0,0)=0,IFERROR(FIND("(12)",$B287)&gt;0,0)=0,IFERROR(FIND("(13)",$B287)&gt;0,0)=0,IFERROR(FIND("(14)",$B287)&gt;0,0)=0,IFERROR(FIND("(15)",$B287)&gt;0,0)=0,IFERROR(FIND("(16)",$B287)&gt;0,0)=0,IFERROR(FIND("(R1)",$B287)&gt;0,0)=0,IFERROR(FIND("(R2)",$B287)&gt;0,0)=0,IFERROR(FIND("(R3)",$B287)&gt;0,0)=0),"This area intentionally left blank.","")</f>
        <v xml:space="preserve">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enter data in the 40% @ 60% Total Set-Aside Breakdown Chart at Section 4.A.6.c. in the 'Units, Set-Asides, Bldgs' worksheet tab. </v>
      </c>
      <c r="H287" s="734"/>
      <c r="I287" s="734"/>
      <c r="J287" s="734"/>
      <c r="K287" s="734"/>
      <c r="L287" s="734"/>
      <c r="M287" s="734"/>
      <c r="N287" s="734"/>
      <c r="O287" s="734"/>
      <c r="P287" s="734"/>
      <c r="Q287" s="734"/>
      <c r="R287" s="734"/>
      <c r="S287" s="734"/>
      <c r="T287" s="734"/>
      <c r="U287" s="734"/>
      <c r="V287" s="734"/>
      <c r="W287" s="734"/>
      <c r="X287" s="734"/>
      <c r="Y287" s="734"/>
      <c r="Z287" s="734"/>
      <c r="AA287" s="734"/>
      <c r="AB287" s="734"/>
      <c r="AC287" s="734"/>
      <c r="AD287" s="734"/>
      <c r="AE287" s="734"/>
      <c r="AF287" s="734"/>
      <c r="AG287" s="734"/>
      <c r="AH287" s="734"/>
      <c r="AI287" s="734"/>
      <c r="AJ287" s="734"/>
      <c r="AK287" s="734"/>
      <c r="AL287" s="734"/>
    </row>
    <row r="288" spans="1:38">
      <c r="A288" s="6"/>
      <c r="B288" s="6"/>
      <c r="C288" s="6"/>
      <c r="D288" s="6"/>
      <c r="E288" s="6"/>
      <c r="F288" s="2009" t="s">
        <v>2473</v>
      </c>
      <c r="G288" s="2009" t="s">
        <v>2472</v>
      </c>
    </row>
    <row r="289" spans="1:9" ht="18" customHeight="1">
      <c r="A289" s="571" t="s">
        <v>1680</v>
      </c>
      <c r="B289" s="572" t="s">
        <v>55</v>
      </c>
      <c r="C289" s="572" t="s">
        <v>56</v>
      </c>
      <c r="D289" s="572" t="s">
        <v>57</v>
      </c>
      <c r="E289" s="516" t="s">
        <v>1679</v>
      </c>
      <c r="F289" s="63"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G289" s="1496"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H289" s="1481"/>
      <c r="I289" s="17"/>
    </row>
    <row r="290" spans="1:9">
      <c r="A290" s="1000" t="s">
        <v>2857</v>
      </c>
      <c r="B290" s="2526">
        <v>1</v>
      </c>
      <c r="C290" s="60">
        <f>IF(B290&lt;&gt;1,"",SUM(B$290:B290))</f>
        <v>1</v>
      </c>
      <c r="D290" s="2525">
        <v>1</v>
      </c>
      <c r="E290" s="2654" t="s">
        <v>2162</v>
      </c>
      <c r="F290" s="63" t="str">
        <f>IF(AND(COUNTA($A290:$A$290)&lt;=MAX(DS_RedevCat_Financing_Sequence)=TRUE,OR($E$295&lt;&gt;"Yes",AND($E$295="Yes",OR(AND(Development_Category="New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Acquisition)"))))),LOOKUP(COUNTA($A290:$A$290),DS_RedevCat_Financing_Sequence,DS_RedevCat_Financing_DataNames),"")</f>
        <v/>
      </c>
      <c r="G290" s="1497" t="str">
        <f>IF(AND($E$295="Yes",OR(AND(Development_Category="New Construction",Development_SubCategory="Redevelopment (w/ or w/o Acquisition)"),AND(OR(Development_Category="Rehabilitation",Development_Category="Acquisition and Rehabilitation"),Development_SubCategory="Preservation (w/ or w/o Acquisition)"))),"Yes","")</f>
        <v/>
      </c>
    </row>
    <row r="291" spans="1:9">
      <c r="A291" s="61" t="s">
        <v>260</v>
      </c>
      <c r="B291" s="2525">
        <v>1</v>
      </c>
      <c r="C291" s="60">
        <f>IF(B291&lt;&gt;1,"",SUM(B290:B$291))</f>
        <v>2</v>
      </c>
      <c r="D291" s="2525">
        <v>2</v>
      </c>
      <c r="E291" s="2655"/>
      <c r="F291" s="63" t="str">
        <f>IF(AND(COUNTA($A$290:$A291)&lt;=MAX(DS_RedevCat_Financing_Sequence)=TRUE,OR($E$295&lt;&gt;"Yes",AND($E$295="Yes",OR(AND(Development_Category="New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Acquisition)"))))),LOOKUP(COUNTA($A$290:$A291),DS_RedevCat_Financing_Sequence,DS_RedevCat_Financing_DataNames),"")</f>
        <v/>
      </c>
      <c r="G291" s="1498" t="str">
        <f>IF(AND($E$295="Yes",OR(AND(Development_Category="New Construction",Development_SubCategory="Redevelopment (w/ or w/o Acquisition)"),AND(OR(Development_Category="Rehabilitation",Development_Category="Acquisition and Rehabilitation"),Development_SubCategory="Preservation (w/ or w/o Acquisition)"))),"No","")</f>
        <v/>
      </c>
    </row>
    <row r="292" spans="1:9">
      <c r="A292" s="61" t="s">
        <v>261</v>
      </c>
      <c r="B292" s="58">
        <v>1</v>
      </c>
      <c r="C292" s="60">
        <f>IF(B292&lt;&gt;1,"",SUM(B$290:B292))</f>
        <v>3</v>
      </c>
      <c r="D292" s="2525">
        <v>3</v>
      </c>
      <c r="E292" s="1495" t="str">
        <f>IF(OR(AND(Development_Category="New Construction",Development_SubCategory="Redevelopment (w/ or w/o Acquisition)"),AND(OR(Development_Category="Rehabilitation",Development_Category="Acquisition and Rehabilitation"),Development_SubCategory="Preservation (w/ or w/o Acquisition)")),"Yes","No")</f>
        <v>No</v>
      </c>
      <c r="F292" s="63" t="str">
        <f>IF(AND(COUNTA($A$290:$A292)&lt;=MAX(DS_RedevCat_Financing_Sequence)=TRUE,OR($E$295&lt;&gt;"Yes",AND($E$295="Yes",OR(AND(Development_Category="New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Acquisition)"))))),LOOKUP(COUNTA($A$290:$A292),DS_RedevCat_Financing_Sequence,DS_RedevCat_Financing_DataNames),"")</f>
        <v/>
      </c>
      <c r="G292" s="2009" t="str">
        <f>"[ for row "&amp;ROW(DevCat_PHA_DOT_or_Rehabbed)&amp;" ]"</f>
        <v>[ for row 66 ]</v>
      </c>
    </row>
    <row r="293" spans="1:9">
      <c r="A293" s="61" t="s">
        <v>262</v>
      </c>
      <c r="B293" s="58">
        <v>1</v>
      </c>
      <c r="C293" s="60">
        <f>IF(B293&lt;&gt;1,"",SUM(B$290:B293))</f>
        <v>4</v>
      </c>
      <c r="D293" s="2525">
        <v>4</v>
      </c>
      <c r="E293" s="2654" t="s">
        <v>2163</v>
      </c>
      <c r="F293" s="63" t="str">
        <f>IF(AND(COUNTA($A$290:$A293)&lt;=MAX(DS_RedevCat_Financing_Sequence)=TRUE,OR($E$295&lt;&gt;"Yes",AND($E$295="Yes",OR(AND(Development_Category="New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Acquisition)"))))),LOOKUP(COUNTA($A$290:$A293),DS_RedevCat_Financing_Sequence,DS_RedevCat_Financing_DataNames),"")</f>
        <v/>
      </c>
      <c r="G293" s="6"/>
    </row>
    <row r="294" spans="1:9">
      <c r="A294" s="61" t="s">
        <v>263</v>
      </c>
      <c r="B294" s="58">
        <v>1</v>
      </c>
      <c r="C294" s="60">
        <f>IF(B294&lt;&gt;1,"",SUM(B$290:B294))</f>
        <v>5</v>
      </c>
      <c r="D294" s="2525">
        <v>5</v>
      </c>
      <c r="E294" s="2655"/>
      <c r="F294" s="63" t="str">
        <f>IF(AND(COUNTA($A$290:$A294)&lt;=MAX(DS_RedevCat_Financing_Sequence)=TRUE,OR($E$295&lt;&gt;"Yes",AND($E$295="Yes",OR(AND(Development_Category="New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Acquisition)"))))),LOOKUP(COUNTA($A$290:$A294),DS_RedevCat_Financing_Sequence,DS_RedevCat_Financing_DataNames),"")</f>
        <v/>
      </c>
      <c r="G294" s="6"/>
    </row>
    <row r="295" spans="1:9">
      <c r="A295" s="61" t="s">
        <v>264</v>
      </c>
      <c r="B295" s="58">
        <v>1</v>
      </c>
      <c r="C295" s="60">
        <f>IF(B295&lt;&gt;1,"",SUM(B$290:B295))</f>
        <v>6</v>
      </c>
      <c r="D295" s="58">
        <v>6</v>
      </c>
      <c r="E295" s="1499" t="s">
        <v>301</v>
      </c>
      <c r="F295" s="63" t="str">
        <f>IF(AND(COUNTA($A$290:$A295)&lt;=MAX(DS_RedevCat_Financing_Sequence)=TRUE,OR($E$295&lt;&gt;"Yes",AND($E$295="Yes",OR(AND(Development_Category="New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Acquisition)"))))),LOOKUP(COUNTA($A$290:$A295),DS_RedevCat_Financing_Sequence,DS_RedevCat_Financing_DataNames),"")</f>
        <v/>
      </c>
      <c r="G295" s="6"/>
    </row>
    <row r="296" spans="1:9">
      <c r="A296" s="61" t="s">
        <v>265</v>
      </c>
      <c r="B296" s="2525">
        <v>1</v>
      </c>
      <c r="C296" s="60">
        <f>IF(B296&lt;&gt;1,"",SUM(B$290:B296))</f>
        <v>7</v>
      </c>
      <c r="D296" s="2525">
        <v>7</v>
      </c>
      <c r="F296" s="63"/>
      <c r="G296" s="2528"/>
    </row>
    <row r="297" spans="1:9">
      <c r="A297" s="2615" t="s">
        <v>2858</v>
      </c>
      <c r="B297" s="2525">
        <v>1</v>
      </c>
      <c r="C297" s="60">
        <f>IF(B297&lt;&gt;1,"",SUM(B$290:B297))</f>
        <v>8</v>
      </c>
      <c r="D297" s="2527">
        <v>8</v>
      </c>
      <c r="F297" s="63"/>
      <c r="G297" s="2528"/>
    </row>
    <row r="298" spans="1:9">
      <c r="A298" s="6"/>
      <c r="B298" s="6"/>
      <c r="C298" s="6"/>
      <c r="D298" s="6"/>
      <c r="E298" s="6"/>
      <c r="F298" s="2009" t="str">
        <f>"[ for row "&amp;ROW(DevCat_Redev_FinProgram)&amp;" ]"</f>
        <v>[ for row 64 ]</v>
      </c>
    </row>
    <row r="299" spans="1:9">
      <c r="A299" s="571" t="s">
        <v>1777</v>
      </c>
      <c r="E299" s="516" t="s">
        <v>1679</v>
      </c>
      <c r="F299" s="6"/>
    </row>
    <row r="300" spans="1:9">
      <c r="A300" t="s">
        <v>1778</v>
      </c>
      <c r="B300" s="635" t="b">
        <v>0</v>
      </c>
      <c r="F300" s="6"/>
    </row>
    <row r="301" spans="1:9">
      <c r="A301" s="637" t="s">
        <v>1779</v>
      </c>
      <c r="B301" s="638" t="b">
        <v>0</v>
      </c>
      <c r="F301" s="6"/>
    </row>
    <row r="302" spans="1:9">
      <c r="A302" s="6"/>
      <c r="B302" s="6"/>
      <c r="C302" s="6"/>
      <c r="D302" s="6"/>
      <c r="E302" s="6"/>
      <c r="F302" s="6"/>
    </row>
    <row r="303" spans="1:9" ht="18" customHeight="1">
      <c r="A303" s="571" t="s">
        <v>258</v>
      </c>
      <c r="B303" s="572" t="s">
        <v>55</v>
      </c>
      <c r="C303" s="572" t="s">
        <v>56</v>
      </c>
      <c r="D303" s="572" t="s">
        <v>57</v>
      </c>
      <c r="E303" s="516" t="s">
        <v>259</v>
      </c>
      <c r="F303" s="63" t="s">
        <v>59</v>
      </c>
    </row>
    <row r="304" spans="1:9">
      <c r="A304" s="59" t="s">
        <v>260</v>
      </c>
      <c r="B304" s="57">
        <v>1</v>
      </c>
      <c r="C304" s="60">
        <f>IF(B304&lt;&gt;1,"",SUM(B$304:B304))</f>
        <v>1</v>
      </c>
      <c r="D304" s="57">
        <v>1</v>
      </c>
      <c r="F304" s="63" t="str">
        <f>IF(COUNTA($A$304:$A304)&lt;=MAX(DS_RA_Source_Sequence)=TRUE,LOOKUP(COUNTA($A$304:$A304),DS_RA_Source_Sequence,DS_RA_Source_DataNames),"")</f>
        <v>Section 202</v>
      </c>
    </row>
    <row r="305" spans="1:7">
      <c r="A305" s="64" t="s">
        <v>261</v>
      </c>
      <c r="B305" s="58">
        <v>1</v>
      </c>
      <c r="C305" s="60">
        <f>IF(B305&lt;&gt;1,"",SUM(B$304:B305))</f>
        <v>2</v>
      </c>
      <c r="D305" s="58">
        <v>2</v>
      </c>
      <c r="F305" s="63" t="str">
        <f>IF(COUNTA($A$304:$A305)&lt;=MAX(DS_RA_Source_Sequence)=TRUE,LOOKUP(COUNTA($A$304:$A305),DS_RA_Source_Sequence,DS_RA_Source_DataNames),"")</f>
        <v>Section 236</v>
      </c>
    </row>
    <row r="306" spans="1:7">
      <c r="A306" s="59" t="s">
        <v>262</v>
      </c>
      <c r="B306" s="58">
        <v>1</v>
      </c>
      <c r="C306" s="60">
        <f>IF(B306&lt;&gt;1,"",SUM(B$304:B306))</f>
        <v>3</v>
      </c>
      <c r="D306" s="58">
        <v>3</v>
      </c>
      <c r="F306" s="63" t="str">
        <f>IF(COUNTA($A$304:$A306)&lt;=MAX(DS_RA_Source_Sequence)=TRUE,LOOKUP(COUNTA($A$304:$A306),DS_RA_Source_Sequence,DS_RA_Source_DataNames),"")</f>
        <v>Section 811</v>
      </c>
    </row>
    <row r="307" spans="1:7">
      <c r="A307" s="64" t="s">
        <v>263</v>
      </c>
      <c r="B307" s="58">
        <v>1</v>
      </c>
      <c r="C307" s="60">
        <f>IF(B307&lt;&gt;1,"",SUM(B$304:B307))</f>
        <v>4</v>
      </c>
      <c r="D307" s="58">
        <v>4</v>
      </c>
      <c r="F307" s="63" t="str">
        <f>IF(COUNTA($A$304:$A307)&lt;=MAX(DS_RA_Source_Sequence)=TRUE,LOOKUP(COUNTA($A$304:$A307),DS_RA_Source_Sequence,DS_RA_Source_DataNames),"")</f>
        <v>RD 514</v>
      </c>
    </row>
    <row r="308" spans="1:7">
      <c r="A308" s="59" t="s">
        <v>264</v>
      </c>
      <c r="B308" s="58">
        <v>1</v>
      </c>
      <c r="C308" s="60">
        <f>IF(B308&lt;&gt;1,"",SUM(B$304:B308))</f>
        <v>5</v>
      </c>
      <c r="D308" s="58">
        <v>5</v>
      </c>
      <c r="F308" s="63" t="str">
        <f>IF(COUNTA($A$304:$A308)&lt;=MAX(DS_RA_Source_Sequence)=TRUE,LOOKUP(COUNTA($A$304:$A308),DS_RA_Source_Sequence,DS_RA_Source_DataNames),"")</f>
        <v>RD 515</v>
      </c>
    </row>
    <row r="309" spans="1:7">
      <c r="A309" s="64" t="s">
        <v>265</v>
      </c>
      <c r="B309" s="58">
        <v>1</v>
      </c>
      <c r="C309" s="60">
        <f>IF(B309&lt;&gt;1,"",SUM(B$304:B309))</f>
        <v>6</v>
      </c>
      <c r="D309" s="58">
        <v>6</v>
      </c>
      <c r="F309" s="63" t="str">
        <f>IF(COUNTA($A$304:$A309)&lt;=MAX(DS_RA_Source_Sequence)=TRUE,LOOKUP(COUNTA($A$304:$A309),DS_RA_Source_Sequence,DS_RA_Source_DataNames),"")</f>
        <v>RD 516</v>
      </c>
    </row>
    <row r="310" spans="1:7">
      <c r="A310" s="59" t="s">
        <v>142</v>
      </c>
      <c r="B310" s="58">
        <v>1</v>
      </c>
      <c r="C310" s="60">
        <f>IF(B310&lt;&gt;1,"",SUM(B$304:B310))</f>
        <v>7</v>
      </c>
      <c r="D310" s="58">
        <v>7</v>
      </c>
      <c r="F310" s="63" t="str">
        <f>IF(COUNTA($A$304:$A310)&lt;=MAX(DS_RA_Source_Sequence)=TRUE,LOOKUP(COUNTA($A$304:$A310),DS_RA_Source_Sequence,DS_RA_Source_DataNames),"")</f>
        <v>Other</v>
      </c>
    </row>
    <row r="311" spans="1:7">
      <c r="A311" s="6"/>
      <c r="B311" s="6"/>
      <c r="C311" s="1358" t="s">
        <v>2031</v>
      </c>
      <c r="D311" s="1365" t="s">
        <v>2032</v>
      </c>
      <c r="E311" s="1362" t="s">
        <v>2031</v>
      </c>
      <c r="F311" s="1369" t="s">
        <v>2032</v>
      </c>
      <c r="G311" s="6"/>
    </row>
    <row r="312" spans="1:7">
      <c r="A312" s="6" t="s">
        <v>266</v>
      </c>
      <c r="B312" s="51"/>
      <c r="C312" s="1359">
        <f>IF(N(Total_Units)=0,0,C313/N(Total_Units))</f>
        <v>0</v>
      </c>
      <c r="D312" s="1366">
        <f>IF(N(Total_Units)=0,0,D313/N(Total_Units))</f>
        <v>0</v>
      </c>
      <c r="E312" s="1363">
        <f>VALUE(IF(C312&lt;=$C323,$A323,IF(C312&lt;=$C322,$A322,IF(C312&lt;=$C321,$A321,IF(C312&lt;=$C320,$A320,IF(C312&lt;$C319,$A319,$A318))))))</f>
        <v>6</v>
      </c>
      <c r="F312" s="1370">
        <f>VALUE(IF(D312&lt;=$C323,$A323,IF(D312&lt;=$C322,$A322,IF(D312&lt;=$C321,$A321,IF(D312&lt;=$C320,$A320,IF(D312&lt;$C319,$A319,$A318))))))</f>
        <v>6</v>
      </c>
    </row>
    <row r="313" spans="1:7">
      <c r="A313" s="6" t="s">
        <v>267</v>
      </c>
      <c r="B313" s="51"/>
      <c r="C313" s="1360">
        <f>SUM('Proposed Development Info'!F100)+0*IF(OR(Development_Category="New Construction",Development_Category="Rehabilitation",Development_Category="Acquisition and Rehabilitation"),Other_Federal_assist_units_currently,0)</f>
        <v>0</v>
      </c>
      <c r="D313" s="1367">
        <f>SUM('Proposed Development Info'!G100)+0*IF(OR(Development_Category="New Construction",Development_Category="Rehabilitation",Development_Category="Acquisition and Rehabilitation"),Other_Federal_assist_units_future,0)</f>
        <v>0</v>
      </c>
      <c r="E313" s="1364" t="str">
        <f>IF(OR(C313&lt;$D320,C312&lt;=$F320),"NA",VALUE(IF(AND(C313&lt;$E320,C312&gt;$F320),$A320,IF(AND(C313&lt;$E319,C312&gt;$F319),$A319,IF(AND(C313&gt;=$D318,C312&gt;$F318),$A318,"NA")))))</f>
        <v>NA</v>
      </c>
      <c r="F313" s="1371" t="str">
        <f>IF(OR(D313&lt;$D320,D312&lt;=$F320),"NA",VALUE(IF(AND(D313&lt;$E320,D312&gt;$F320),$A320,IF(AND(D313&lt;$E319,D312&gt;$F319),$A319,IF(AND(D313&gt;=$D318,D312&gt;$F318),$A318,"NA")))))</f>
        <v>NA</v>
      </c>
    </row>
    <row r="314" spans="1:7">
      <c r="A314" s="6" t="s">
        <v>268</v>
      </c>
      <c r="B314" s="51"/>
      <c r="C314" s="1361" t="str">
        <f>IF(E312&lt;IF(E313="NA",6,N(E313)),"Percent",IF(IF(E313="NA",6,N(E313))&lt;E312,"Num",IF(E312=IF(E313="NA",6,N(E313)),"Both","Neither")))</f>
        <v>Both</v>
      </c>
      <c r="D314" s="1368" t="str">
        <f>IF(F312&lt;IF(F313="NA",6,N(F313)),"Percent",IF(IF(F313="NA",6,N(F313))&lt;F312,"Num",IF(F312=IF(F313="NA",6,N(F313)),"Both","Neither")))</f>
        <v>Both</v>
      </c>
      <c r="E314" s="1363">
        <f>MIN(E312,IF(E313="NA",6,N(E313)))</f>
        <v>6</v>
      </c>
      <c r="F314" s="1370">
        <f>MIN(F312,IF(F313="NA",6,N(F313)))</f>
        <v>6</v>
      </c>
    </row>
    <row r="316" spans="1:7">
      <c r="A316" s="2760" t="s">
        <v>269</v>
      </c>
      <c r="B316" s="2727" t="s">
        <v>270</v>
      </c>
      <c r="C316" s="2727"/>
      <c r="D316" s="2727" t="s">
        <v>271</v>
      </c>
      <c r="E316" s="2727"/>
      <c r="F316" s="2727"/>
    </row>
    <row r="317" spans="1:7">
      <c r="A317" s="2761"/>
      <c r="B317" s="755" t="s">
        <v>272</v>
      </c>
      <c r="C317" s="756" t="s">
        <v>273</v>
      </c>
      <c r="D317" s="757" t="s">
        <v>274</v>
      </c>
      <c r="E317" s="758" t="s">
        <v>275</v>
      </c>
      <c r="F317" s="756" t="s">
        <v>276</v>
      </c>
    </row>
    <row r="318" spans="1:7">
      <c r="A318" s="747">
        <v>1</v>
      </c>
      <c r="B318" s="799">
        <f>IF(Total_Units=0,1,(Total_Units-2)/Total_Units)</f>
        <v>1</v>
      </c>
      <c r="C318" s="738">
        <v>1</v>
      </c>
      <c r="D318" s="751">
        <v>100</v>
      </c>
      <c r="E318" s="739"/>
      <c r="F318" s="753">
        <v>0.5</v>
      </c>
    </row>
    <row r="319" spans="1:7">
      <c r="A319" s="748">
        <v>2</v>
      </c>
      <c r="B319" s="750">
        <v>0.9</v>
      </c>
      <c r="C319" s="800">
        <f>B318</f>
        <v>1</v>
      </c>
      <c r="D319" s="752">
        <v>90</v>
      </c>
      <c r="E319" s="740">
        <f>D318</f>
        <v>100</v>
      </c>
      <c r="F319" s="754">
        <v>0.5</v>
      </c>
    </row>
    <row r="320" spans="1:7">
      <c r="A320" s="748">
        <v>3</v>
      </c>
      <c r="B320" s="750">
        <v>0.75</v>
      </c>
      <c r="C320" s="735">
        <f>B319</f>
        <v>0.9</v>
      </c>
      <c r="D320" s="752">
        <v>75</v>
      </c>
      <c r="E320" s="740">
        <f>D319</f>
        <v>90</v>
      </c>
      <c r="F320" s="754">
        <v>0.5</v>
      </c>
    </row>
    <row r="321" spans="1:25">
      <c r="A321" s="748">
        <v>4</v>
      </c>
      <c r="B321" s="750">
        <v>0.5</v>
      </c>
      <c r="C321" s="735">
        <f>B320</f>
        <v>0.75</v>
      </c>
      <c r="D321" s="741"/>
      <c r="E321" s="742"/>
      <c r="F321" s="743"/>
    </row>
    <row r="322" spans="1:25">
      <c r="A322" s="748">
        <v>5</v>
      </c>
      <c r="B322" s="750">
        <v>0.1</v>
      </c>
      <c r="C322" s="735">
        <f>B321</f>
        <v>0.5</v>
      </c>
      <c r="D322" s="741"/>
      <c r="E322" s="742"/>
      <c r="F322" s="743"/>
    </row>
    <row r="323" spans="1:25">
      <c r="A323" s="749">
        <v>6</v>
      </c>
      <c r="B323" s="736">
        <v>0</v>
      </c>
      <c r="C323" s="737">
        <f>B322</f>
        <v>0.1</v>
      </c>
      <c r="D323" s="744"/>
      <c r="E323" s="745"/>
      <c r="F323" s="746"/>
    </row>
    <row r="325" spans="1:25">
      <c r="A325" s="571" t="s">
        <v>388</v>
      </c>
      <c r="B325" s="572" t="s">
        <v>55</v>
      </c>
      <c r="C325" s="572" t="s">
        <v>56</v>
      </c>
      <c r="D325" s="572" t="s">
        <v>57</v>
      </c>
      <c r="E325" s="516" t="s">
        <v>2174</v>
      </c>
      <c r="F325" s="63" t="s">
        <v>59</v>
      </c>
      <c r="I325" s="1329"/>
    </row>
    <row r="326" spans="1:25">
      <c r="A326" s="59" t="s">
        <v>389</v>
      </c>
      <c r="B326" s="57">
        <v>1</v>
      </c>
      <c r="C326" s="60">
        <f>IF(B326&lt;&gt;1,"",SUM(B$326:B326))</f>
        <v>1</v>
      </c>
      <c r="D326" s="57">
        <v>1</v>
      </c>
      <c r="F326" s="63" t="str">
        <f>IF(COUNTA($A$326:$A326)&lt;=MAX(DS_DevType_Sequence)=TRUE,LOOKUP(COUNTA($A$326:$A326),DS_DevType_Sequence,DS_DevType_DataNames),"")</f>
        <v>Garden Apartments</v>
      </c>
    </row>
    <row r="327" spans="1:25">
      <c r="A327" s="59" t="s">
        <v>291</v>
      </c>
      <c r="B327" s="57">
        <v>0</v>
      </c>
      <c r="C327" s="60" t="str">
        <f>IF(B327&lt;&gt;1,"",SUM(B$326:B327))</f>
        <v/>
      </c>
      <c r="D327" s="57">
        <v>2</v>
      </c>
      <c r="F327" s="63" t="str">
        <f>IF(COUNTA($A$326:$A327)&lt;=MAX(DS_DevType_Sequence)=TRUE,LOOKUP(COUNTA($A$326:$A327),DS_DevType_Sequence,DS_DevType_DataNames),"")</f>
        <v>Duplexes</v>
      </c>
    </row>
    <row r="328" spans="1:25">
      <c r="A328" s="59" t="s">
        <v>390</v>
      </c>
      <c r="B328" s="57">
        <v>1</v>
      </c>
      <c r="C328" s="60">
        <f>IF(B328&lt;&gt;1,"",SUM(B$326:B328))</f>
        <v>2</v>
      </c>
      <c r="D328" s="57">
        <v>3</v>
      </c>
      <c r="F328" s="63" t="str">
        <f>IF(COUNTA($A$326:$A328)&lt;=MAX(DS_DevType_Sequence)=TRUE,LOOKUP(COUNTA($A$326:$A328),DS_DevType_Sequence,DS_DevType_DataNames),"")</f>
        <v>Triplexes</v>
      </c>
    </row>
    <row r="329" spans="1:25">
      <c r="A329" s="59" t="s">
        <v>391</v>
      </c>
      <c r="B329" s="57">
        <v>1</v>
      </c>
      <c r="C329" s="60">
        <f>IF(B329&lt;&gt;1,"",SUM(B$326:B329))</f>
        <v>3</v>
      </c>
      <c r="D329" s="57">
        <v>4</v>
      </c>
      <c r="F329" s="63" t="str">
        <f>IF(COUNTA($A$326:$A329)&lt;=MAX(DS_DevType_Sequence)=TRUE,LOOKUP(COUNTA($A$326:$A329),DS_DevType_Sequence,DS_DevType_DataNames),"")</f>
        <v>Quadraplexes</v>
      </c>
    </row>
    <row r="330" spans="1:25">
      <c r="A330" s="59" t="s">
        <v>392</v>
      </c>
      <c r="B330" s="57">
        <v>1</v>
      </c>
      <c r="C330" s="60">
        <f>IF(B330&lt;&gt;1,"",SUM(B$326:B330))</f>
        <v>4</v>
      </c>
      <c r="D330" s="57">
        <v>5</v>
      </c>
      <c r="F330" s="63" t="str">
        <f>IF(COUNTA($A$326:$A330)&lt;=MAX(DS_DevType_Sequence)=TRUE,LOOKUP(COUNTA($A$326:$A330),DS_DevType_Sequence,DS_DevType_DataNames),"")</f>
        <v>Mid-Rise (4 Stories)</v>
      </c>
    </row>
    <row r="331" spans="1:25">
      <c r="A331" s="59" t="s">
        <v>393</v>
      </c>
      <c r="B331" s="57">
        <v>0</v>
      </c>
      <c r="C331" s="60" t="str">
        <f>IF(B331&lt;&gt;1,"",SUM(B$326:B331))</f>
        <v/>
      </c>
      <c r="D331" s="57">
        <v>6</v>
      </c>
      <c r="F331" s="63" t="str">
        <f>IF(COUNTA($A$326:$A331)&lt;=MAX(DS_DevType_Sequence)=TRUE,LOOKUP(COUNTA($A$326:$A331),DS_DevType_Sequence,DS_DevType_DataNames),"")</f>
        <v>Mid-Rise (5-6 Stories)</v>
      </c>
    </row>
    <row r="332" spans="1:25">
      <c r="A332" s="59" t="s">
        <v>394</v>
      </c>
      <c r="B332" s="57">
        <v>1</v>
      </c>
      <c r="C332" s="60">
        <f>IF(B332&lt;&gt;1,"",SUM(B$326:B332))</f>
        <v>5</v>
      </c>
      <c r="D332" s="57">
        <v>7</v>
      </c>
      <c r="F332" s="63" t="str">
        <f>IF(COUNTA($A$326:$A332)&lt;=MAX(DS_DevType_Sequence)=TRUE,LOOKUP(COUNTA($A$326:$A332),DS_DevType_Sequence,DS_DevType_DataNames),"")</f>
        <v>High-Rise</v>
      </c>
    </row>
    <row r="333" spans="1:25">
      <c r="A333" s="59" t="s">
        <v>395</v>
      </c>
      <c r="B333" s="57">
        <v>1</v>
      </c>
      <c r="C333" s="60">
        <f>IF(B333&lt;&gt;1,"",SUM(B$326:B333))</f>
        <v>6</v>
      </c>
      <c r="D333" s="57">
        <v>8</v>
      </c>
      <c r="F333" s="63" t="str">
        <f>IF(COUNTA($A$326:$A333)&lt;=MAX(DS_DevType_Sequence)=TRUE,LOOKUP(COUNTA($A$326:$A333),DS_DevType_Sequence,DS_DevType_DataNames),"")</f>
        <v/>
      </c>
    </row>
    <row r="334" spans="1:25">
      <c r="A334" s="59" t="s">
        <v>288</v>
      </c>
      <c r="B334" s="57">
        <v>1</v>
      </c>
      <c r="C334" s="60">
        <f>IF(B334&lt;&gt;1,"",SUM(B$326:B334))</f>
        <v>7</v>
      </c>
      <c r="D334" s="57">
        <v>9</v>
      </c>
      <c r="F334" s="63" t="str">
        <f>IF(COUNTA($A$326:$A334)&lt;=MAX(DS_DevType_Sequence)=TRUE,LOOKUP(COUNTA($A$326:$A334),DS_DevType_Sequence,DS_DevType_DataNames),"")</f>
        <v/>
      </c>
    </row>
    <row r="335" spans="1:25">
      <c r="A335" s="59" t="s">
        <v>396</v>
      </c>
      <c r="B335" s="57">
        <v>0</v>
      </c>
      <c r="C335" s="60" t="str">
        <f>IF(B335&lt;&gt;1,"",SUM(B$326:B335))</f>
        <v/>
      </c>
      <c r="D335" s="57">
        <v>10</v>
      </c>
      <c r="F335" s="63" t="str">
        <f>IF(COUNTA($A$326:$A335)&lt;=MAX(DS_DevType_Sequence)=TRUE,LOOKUP(COUNTA($A$326:$A335),DS_DevType_Sequence,DS_DevType_DataNames),"")</f>
        <v/>
      </c>
      <c r="N335" t="s">
        <v>29</v>
      </c>
      <c r="Q335" t="s">
        <v>25</v>
      </c>
      <c r="S335" t="s">
        <v>23</v>
      </c>
      <c r="V335" t="s">
        <v>27</v>
      </c>
      <c r="Y335" t="s">
        <v>665</v>
      </c>
    </row>
    <row r="336" spans="1:25">
      <c r="A336" s="59" t="s">
        <v>397</v>
      </c>
      <c r="B336" s="57">
        <v>0</v>
      </c>
      <c r="C336" s="60" t="str">
        <f>IF(B336&lt;&gt;1,"",SUM(B$326:B336))</f>
        <v/>
      </c>
      <c r="D336" s="57">
        <v>11</v>
      </c>
      <c r="F336" s="63" t="str">
        <f>IF(COUNTA($A$326:$A336)&lt;=MAX(DS_DevType_Sequence)=TRUE,LOOKUP(COUNTA($A$326:$A336),DS_DevType_Sequence,DS_DevType_DataNames),"")</f>
        <v/>
      </c>
    </row>
    <row r="337" spans="1:31">
      <c r="A337" s="59" t="s">
        <v>142</v>
      </c>
      <c r="B337" s="57">
        <v>0</v>
      </c>
      <c r="C337" s="60" t="str">
        <f>IF(B337&lt;&gt;1,"",SUM(B$326:B337))</f>
        <v/>
      </c>
      <c r="D337" s="57">
        <v>12</v>
      </c>
      <c r="F337" s="63" t="str">
        <f>IF(COUNTA($A$326:$A337)&lt;=MAX(DS_DevType_Sequence)=TRUE,LOOKUP(COUNTA($A$326:$A337),DS_DevType_Sequence,DS_DevType_DataNames),"")</f>
        <v/>
      </c>
    </row>
    <row r="338" spans="1:31" ht="15.75" thickBot="1"/>
    <row r="339" spans="1:31" ht="18" customHeight="1" thickBot="1">
      <c r="A339" s="571" t="s">
        <v>1787</v>
      </c>
      <c r="B339" s="6"/>
      <c r="C339" s="6"/>
      <c r="D339" s="6"/>
      <c r="E339" s="516" t="s">
        <v>277</v>
      </c>
      <c r="G339" s="2703" t="s">
        <v>278</v>
      </c>
      <c r="H339" s="2713"/>
      <c r="I339" s="2713"/>
      <c r="J339" s="2704"/>
      <c r="K339" s="2703" t="s">
        <v>279</v>
      </c>
      <c r="L339" s="2713"/>
      <c r="M339" s="2713"/>
      <c r="N339" s="2704"/>
      <c r="O339" s="2710">
        <f>COUNTIF(K342:N346,1)</f>
        <v>0</v>
      </c>
      <c r="P339" s="2711"/>
      <c r="Q339" s="2711"/>
      <c r="R339" s="2712"/>
      <c r="S339" s="2703" t="s">
        <v>280</v>
      </c>
      <c r="T339" s="2704"/>
      <c r="U339" s="2703" t="s">
        <v>281</v>
      </c>
      <c r="V339" s="2704"/>
      <c r="W339" s="2703" t="s">
        <v>282</v>
      </c>
      <c r="X339" s="2704"/>
    </row>
    <row r="340" spans="1:31" ht="15.75" thickBot="1">
      <c r="C340" s="668" t="str">
        <f>IF(AND(A347&lt;&gt;"Other Dev Type*",VLOOKUP("Other Dev Type*",A342:C346,2)&gt;B347),VLOOKUP("Other Dev Type*",A342:C346,2)-B347,"NA")</f>
        <v>NA</v>
      </c>
      <c r="E340" s="240"/>
      <c r="F340" s="905"/>
      <c r="G340" s="2744" t="s">
        <v>226</v>
      </c>
      <c r="H340" s="2745"/>
      <c r="I340" s="2746" t="s">
        <v>228</v>
      </c>
      <c r="J340" s="2746"/>
      <c r="K340" s="2697" t="s">
        <v>226</v>
      </c>
      <c r="L340" s="2698"/>
      <c r="M340" s="2740" t="s">
        <v>228</v>
      </c>
      <c r="N340" s="2741"/>
      <c r="O340" s="2697" t="s">
        <v>226</v>
      </c>
      <c r="P340" s="2698"/>
      <c r="Q340" s="2740" t="s">
        <v>228</v>
      </c>
      <c r="R340" s="2741"/>
      <c r="S340" s="2705" t="s">
        <v>226</v>
      </c>
      <c r="T340" s="2706"/>
      <c r="U340" s="2705" t="s">
        <v>226</v>
      </c>
      <c r="V340" s="2706"/>
      <c r="W340" s="2705" t="s">
        <v>226</v>
      </c>
      <c r="X340" s="2706"/>
    </row>
    <row r="341" spans="1:31">
      <c r="B341" s="567" t="s">
        <v>283</v>
      </c>
      <c r="C341" s="567" t="s">
        <v>284</v>
      </c>
      <c r="D341" s="567" t="s">
        <v>283</v>
      </c>
      <c r="E341" s="567" t="s">
        <v>284</v>
      </c>
      <c r="F341" s="905"/>
      <c r="G341" s="669" t="s">
        <v>285</v>
      </c>
      <c r="H341" s="670" t="s">
        <v>286</v>
      </c>
      <c r="I341" s="111" t="s">
        <v>285</v>
      </c>
      <c r="J341" s="111" t="s">
        <v>286</v>
      </c>
      <c r="K341" s="669" t="s">
        <v>285</v>
      </c>
      <c r="L341" s="671" t="s">
        <v>286</v>
      </c>
      <c r="M341" s="111" t="s">
        <v>285</v>
      </c>
      <c r="N341" s="672" t="s">
        <v>286</v>
      </c>
      <c r="O341" s="673" t="s">
        <v>285</v>
      </c>
      <c r="P341" s="671" t="s">
        <v>286</v>
      </c>
      <c r="Q341" s="674" t="s">
        <v>285</v>
      </c>
      <c r="R341" s="675" t="s">
        <v>286</v>
      </c>
      <c r="S341" s="673" t="s">
        <v>285</v>
      </c>
      <c r="T341" s="675" t="s">
        <v>286</v>
      </c>
      <c r="U341" s="673" t="s">
        <v>285</v>
      </c>
      <c r="V341" s="675" t="s">
        <v>286</v>
      </c>
      <c r="W341" s="673" t="s">
        <v>285</v>
      </c>
      <c r="X341" s="675" t="s">
        <v>286</v>
      </c>
    </row>
    <row r="342" spans="1:31">
      <c r="A342" s="6" t="s">
        <v>287</v>
      </c>
      <c r="B342" s="2032">
        <f>Garden_ESS_NC_units+Garden_non_ESS_NC_units+Garden_ESS_AR_units+Garden_non_ESS_AR_units+Garden_ESS_Rehab_units+Garden_non_ESS_Rehab_units</f>
        <v>0</v>
      </c>
      <c r="C342" s="899">
        <f>RANK(B342,B$342:B$346,0)</f>
        <v>1</v>
      </c>
      <c r="D342" s="240">
        <f>Garden_ESS_NC_units+Garden_non_ESS_NC_units+MR_ESS_NC_units+MR_Non_ESS_NC_units+HR_ESS_NC_units+SiF_ESS_NC_Units+SiF_Non_ESS_NC_Units+Other_ESS_NC_units+Other_Non_ESS_NC_units</f>
        <v>0</v>
      </c>
      <c r="E342" s="899">
        <f>RANK(D342,D$342:D$346,0)</f>
        <v>1</v>
      </c>
      <c r="F342" s="905" t="s">
        <v>226</v>
      </c>
      <c r="G342" s="676">
        <f>Garden_ESS_NC_units</f>
        <v>0</v>
      </c>
      <c r="H342" s="677">
        <f>Garden_non_ESS_NC_units</f>
        <v>0</v>
      </c>
      <c r="I342" s="899">
        <f>Garden_ESS_AR_units+Garden_ESS_Rehab_units</f>
        <v>0</v>
      </c>
      <c r="J342" s="899">
        <f>Garden_non_ESS_AR_units+Garden_non_ESS_Rehab_units</f>
        <v>0</v>
      </c>
      <c r="K342" s="676" t="str">
        <f>IF(G342=0,"",RANK(G342,$G$342:$J$346))</f>
        <v/>
      </c>
      <c r="L342" s="677" t="str">
        <f>IF(H342=0,"",RANK(H342,$G$342:$J$346))</f>
        <v/>
      </c>
      <c r="M342" s="899" t="str">
        <f>IF(I342=0,"",RANK(I342,$G$342:$J$346))</f>
        <v/>
      </c>
      <c r="N342" s="901" t="str">
        <f>IF(J342=0,"",RANK(J342,$G$342:$J$346))</f>
        <v/>
      </c>
      <c r="O342" s="904" t="str">
        <f>IF(K342=1,"New Construction Garden ESS Construction","")</f>
        <v/>
      </c>
      <c r="P342" s="678" t="str">
        <f>IF(L342=1,"New Construction Garden Non-ESS Construction","")</f>
        <v/>
      </c>
      <c r="Q342" s="934" t="str">
        <f>IF(M342=1,"Rehab Garden ESS Construction","")</f>
        <v/>
      </c>
      <c r="R342" s="679" t="str">
        <f>IF(N342=1,"Rehab Garden Non-ESS Construction","")</f>
        <v/>
      </c>
      <c r="S342" s="904" t="str">
        <f>IF(O342&lt;&gt;"",IF(OR(County="Broward",County="Miami-Dade",County="Palm Beach"),"SF","PF")&amp;"NCGAE","")</f>
        <v/>
      </c>
      <c r="T342" s="906" t="str">
        <f>IF(P342&lt;&gt;"",IF(OR(County="Broward",County="Miami-Dade",County="Palm Beach"),"SF","PF")&amp;"NCGAW","")</f>
        <v/>
      </c>
      <c r="U342" s="680" t="str">
        <f>IFERROR(VLOOKUP(S342,DS_Max_NHTF,IF(Data3!L$141=Data3!K$278,8,9)),"")</f>
        <v/>
      </c>
      <c r="V342" s="681" t="str">
        <f>IFERROR(VLOOKUP(T342,DS_Max_NHTF,IF(Data3!M$129=Data3!L$278,8,9)),"")</f>
        <v/>
      </c>
      <c r="W342" s="680">
        <f>IF(Data3!$L$141=Data3!$L$278,IF(OR(County="Broward",County="Miami-Dade",County="Palm Beach"),Data3!$L$287,Data3!$L$280),IF(OR(County="Broward",County="Miami-Dade",County="Palm Beach"),Data3!$K$287,Data3!$K$280))</f>
        <v>275000</v>
      </c>
      <c r="X342" s="681">
        <f>IF(Data3!$L$141=Data3!$L$278,IF(OR(County="Broward",County="Miami-Dade",County="Palm Beach"),Data3!$L$288,Data3!$L$281),IF(OR(County="Broward",County="Miami-Dade",County="Palm Beach"),Data3!$K$288,Data3!$K$281))</f>
        <v>260000</v>
      </c>
    </row>
    <row r="343" spans="1:31">
      <c r="A343" s="6" t="s">
        <v>288</v>
      </c>
      <c r="B343" s="2342">
        <f>HR_ESS_NC_units+HR_ESS_AR_units+HR_ESS_Rehab_units</f>
        <v>0</v>
      </c>
      <c r="C343" s="899">
        <f>RANK(B343,B$342:B$346,0)</f>
        <v>1</v>
      </c>
      <c r="D343" s="2343">
        <f>Garden_ESS_AR_units+Garden_non_ESS_AR_units+MR_ESS_AR_units+MR_non_ESS_AR_units+HR_ESS_AR_units+Other_ESS_AR_units+Other_non_ESS_AR_units</f>
        <v>0</v>
      </c>
      <c r="E343" s="899">
        <f>RANK(D343,D$342:D$346,0)</f>
        <v>1</v>
      </c>
      <c r="F343" s="1329" t="s">
        <v>159</v>
      </c>
      <c r="G343" s="676">
        <f>HR_ESS_NC_units</f>
        <v>0</v>
      </c>
      <c r="H343" s="682"/>
      <c r="I343" s="2707">
        <f>MR_ESS_AR_units+HR_ESS_AR_units+MR_ESS_Rehab_units+HR_ESS_Rehab_units</f>
        <v>0</v>
      </c>
      <c r="J343" s="2708">
        <f>MR_non_ESS_AR_units+MR_non_ESS_Rehab_units</f>
        <v>0</v>
      </c>
      <c r="K343" s="676" t="str">
        <f>IF(G343=0,"",RANK(G343,$G$342:$J$346))</f>
        <v/>
      </c>
      <c r="L343" s="682"/>
      <c r="M343" s="2714" t="str">
        <f>IF(I343=0,"",RANK(I343,$G$342:$J$346))</f>
        <v/>
      </c>
      <c r="N343" s="2709" t="str">
        <f>IF(J343=0,"",RANK(J343,$G$342:$J$346))</f>
        <v/>
      </c>
      <c r="O343" s="683" t="str">
        <f>IF(K343=1,"New Construction High-Rise ESS Construction","")</f>
        <v/>
      </c>
      <c r="P343" s="684"/>
      <c r="Q343" s="934" t="str">
        <f>IF(M343=1,"Rehab "&amp;C348&amp;" ESS Construction","")</f>
        <v/>
      </c>
      <c r="R343" s="679" t="str">
        <f>IF(N343=1,"Rehab "&amp;C348&amp;" Non-ESS Construction","")</f>
        <v/>
      </c>
      <c r="S343" s="904" t="str">
        <f>IF(O343&lt;&gt;"",IF(OR(County="Broward",County="Miami-Dade",County="Palm Beach"),"SF","PF")&amp;"NCHRE","")</f>
        <v/>
      </c>
      <c r="T343" s="685"/>
      <c r="U343" s="680" t="str">
        <f>IFERROR(VLOOKUP(S343,DS_Max_NHTF,IF(Data3!L$141=Data3!K$278,8,9)),"")</f>
        <v/>
      </c>
      <c r="V343" s="686"/>
      <c r="W343" s="680">
        <f>IF(Data3!$L$141=Data3!$L$278,IF(OR(County="Broward",County="Miami-Dade",County="Palm Beach"),Data3!$L$289,Data3!$L$282),IF(OR(County="Broward",County="Miami-Dade",County="Palm Beach"),Data3!$K$289,Data3!$K$282))</f>
        <v>335000</v>
      </c>
      <c r="X343" s="686"/>
    </row>
    <row r="344" spans="1:31">
      <c r="A344" s="6" t="s">
        <v>289</v>
      </c>
      <c r="B344" s="2342">
        <f>MR_ESS_NC_units+MR_Non_ESS_NC_units+MR_ESS_AR_units+MR_non_ESS_AR_units+MR_ESS_Rehab_units+MR_non_ESS_Rehab_units</f>
        <v>0</v>
      </c>
      <c r="C344" s="899">
        <f>RANK(B344,B$342:B$346,0)</f>
        <v>1</v>
      </c>
      <c r="D344" s="2342">
        <f>Garden_ESS_Rehab_units+Garden_non_ESS_Rehab_units+MR_ESS_Rehab_units+MR_non_ESS_Rehab_units+HR_ESS_Rehab_units+Other_ESS_Rehab_units+Other_non_ESS_Rehab_units</f>
        <v>0</v>
      </c>
      <c r="E344" s="2311">
        <f>RANK(D344,D$342:D$346,0)</f>
        <v>1</v>
      </c>
      <c r="F344" s="1329" t="s">
        <v>1053</v>
      </c>
      <c r="G344" s="676">
        <f>MR_ESS_NC_units</f>
        <v>0</v>
      </c>
      <c r="H344" s="677">
        <f>MR_Non_ESS_NC_units</f>
        <v>0</v>
      </c>
      <c r="I344" s="2707"/>
      <c r="J344" s="2708"/>
      <c r="K344" s="676" t="str">
        <f>IF(G344=0,"",RANK(G344,$G$342:$J$346))</f>
        <v/>
      </c>
      <c r="L344" s="677" t="str">
        <f>IF(H344=0,"",RANK(H344,$G$342:$J$346))</f>
        <v/>
      </c>
      <c r="M344" s="2714"/>
      <c r="N344" s="2709"/>
      <c r="O344" s="683" t="str">
        <f>IF(K344=1,"New Construction Mid-Rise ESS Construction","")</f>
        <v/>
      </c>
      <c r="P344" s="687" t="str">
        <f>IF(L344=1,"New Construction Mid-Rise Non-ESS Construction","")</f>
        <v/>
      </c>
      <c r="Q344" s="688"/>
      <c r="R344" s="685"/>
      <c r="S344" s="904" t="str">
        <f>IF(O344&lt;&gt;"",IF(OR(County="Broward",County="Miami-Dade",County="Palm Beach"),"SF","PF")&amp;"NCMRE","")</f>
        <v/>
      </c>
      <c r="T344" s="906" t="str">
        <f>IF(P344&lt;&gt;"",IF(OR(County="Broward",County="Miami-Dade",County="Palm Beach"),"SF","PF")&amp;"NCMRW","")</f>
        <v/>
      </c>
      <c r="U344" s="680" t="str">
        <f>IFERROR(VLOOKUP(S344,DS_Max_NHTF,IF(Data3!L$141=Data3!K$278,8,9)),"")</f>
        <v/>
      </c>
      <c r="V344" s="681" t="str">
        <f>IFERROR(VLOOKUP(T344,DS_Max_NHTF,IF(Data3!M$129=Data3!L$278,8,9)),"")</f>
        <v/>
      </c>
      <c r="W344" s="680">
        <f>IF(Data3!$L$141=Data3!$L$278,IF(OR(County="Broward",County="Miami-Dade",County="Palm Beach"),Data3!$L$290,Data3!$L$283),IF(OR(County="Broward",County="Miami-Dade",County="Palm Beach"),Data3!$K$290,Data3!$K$283))</f>
        <v>290000</v>
      </c>
      <c r="X344" s="681">
        <f>IF(Data3!$L$141=Data3!$L$278,IF(OR(County="Broward",County="Miami-Dade",County="Palm Beach"),Data3!$L$291,Data3!$L$284),IF(OR(County="Broward",County="Miami-Dade",County="Palm Beach"),Data3!$K$291,Data3!$K$284))</f>
        <v>275000</v>
      </c>
    </row>
    <row r="345" spans="1:31">
      <c r="A345" s="6" t="s">
        <v>290</v>
      </c>
      <c r="B345" s="2032">
        <f>Other_ESS_NC_units+Other_Non_ESS_NC_units+Other_ESS_AR_units+Other_non_ESS_AR_units+Other_ESS_Rehab_units+Other_non_ESS_Rehab_units</f>
        <v>0</v>
      </c>
      <c r="C345" s="899">
        <f>RANK(B345,B$342:B$346,0)</f>
        <v>1</v>
      </c>
      <c r="E345" s="899"/>
      <c r="G345" s="676">
        <f>Other_ESS_NC_units</f>
        <v>0</v>
      </c>
      <c r="H345" s="677" cm="1">
        <f t="array" ref="H345">Other_Non_ESS_NC_units</f>
        <v>0</v>
      </c>
      <c r="I345" s="899">
        <f>Other_ESS_AR_units+Other_ESS_Rehab_units</f>
        <v>0</v>
      </c>
      <c r="J345" s="899">
        <f>Other_non_ESS_AR_units+Other_non_ESS_Rehab_units</f>
        <v>0</v>
      </c>
      <c r="K345" s="676" t="str">
        <f>IF(G345=0,"",RANK(G345,$G$342:$J$346))</f>
        <v/>
      </c>
      <c r="L345" s="677" t="str">
        <f>IF(H345=0,"",RANK(H345,$G$342:$J$346))</f>
        <v/>
      </c>
      <c r="M345" s="899" t="str">
        <f>IF(I345=0,"",RANK(I345,$G$342:$J$346))</f>
        <v/>
      </c>
      <c r="N345" s="901" t="str">
        <f>IF(J345=0,"",RANK(J345,$G$342:$J$346))</f>
        <v/>
      </c>
      <c r="O345" s="904" t="str">
        <f>IF(K345=1,"New Construction Other Dev Type* ESS Construction","")</f>
        <v/>
      </c>
      <c r="P345" s="687" t="str">
        <f>IF(L345=1,"New Construction Other Dev Type* Non-ESS Construction","")</f>
        <v/>
      </c>
      <c r="Q345" s="934" t="str">
        <f>IF(M345=1,"Rehab Other Dev Type* ESS Construction","")</f>
        <v/>
      </c>
      <c r="R345" s="679" t="str">
        <f>IF(N345=1,"Rehab Other Dev Type* Non-ESS Construction","")</f>
        <v/>
      </c>
      <c r="S345" s="904" t="str">
        <f>IF(O345&lt;&gt;"",IF(OR(County="Broward",County="Miami-Dade",County="Palm Beach"),"SF","PF")&amp;"NCGAE","")</f>
        <v/>
      </c>
      <c r="T345" s="906" t="str">
        <f>IF(P345&lt;&gt;"",IF(OR(County="Broward",County="Miami-Dade",County="Palm Beach"),"SF","PF")&amp;"NCGAW","")</f>
        <v/>
      </c>
      <c r="U345" s="680" t="str">
        <f>IFERROR(VLOOKUP(S345,DS_Max_NHTF,IF(Data3!L$141=Data3!K$278,8,9)),"")</f>
        <v/>
      </c>
      <c r="V345" s="681" t="str">
        <f>IFERROR(VLOOKUP(T345,DS_Max_NHTF,IF(Data3!M$129=Data3!L$278,8,9)),"")</f>
        <v/>
      </c>
      <c r="W345" s="680">
        <f>W342</f>
        <v>275000</v>
      </c>
      <c r="X345" s="681">
        <f>X342</f>
        <v>260000</v>
      </c>
    </row>
    <row r="346" spans="1:31" ht="15.75" thickBot="1">
      <c r="A346" s="6" t="s">
        <v>291</v>
      </c>
      <c r="B346" s="2032">
        <f>SiF_ESS_NC_Units+SiF_Non_ESS_NC_Units</f>
        <v>0</v>
      </c>
      <c r="C346" s="899">
        <f>RANK(B346,B$342:B$346,0)</f>
        <v>1</v>
      </c>
      <c r="D346" s="240"/>
      <c r="G346" s="689">
        <f>SiF_ESS_NC_Units</f>
        <v>0</v>
      </c>
      <c r="H346" s="690">
        <f>SiF_Non_ESS_NC_Units</f>
        <v>0</v>
      </c>
      <c r="I346" s="956"/>
      <c r="J346" s="956"/>
      <c r="K346" s="689" t="str">
        <f>IF(G346=0,"",RANK(G346,$G$342:$J$346))</f>
        <v/>
      </c>
      <c r="L346" s="690" t="str">
        <f>IF(H346=0,"",RANK(H346,$G$342:$J$346))</f>
        <v/>
      </c>
      <c r="M346" s="956"/>
      <c r="N346" s="957"/>
      <c r="O346" s="691" t="str">
        <f>IF(K346=1,"New Construction Single Family ESS Construction","")</f>
        <v/>
      </c>
      <c r="P346" s="692" t="str">
        <f>IF(L346=1,"New Construction Single Family Non-ESS Construction","")</f>
        <v/>
      </c>
      <c r="Q346" s="958"/>
      <c r="R346" s="959"/>
      <c r="S346" s="907" t="str">
        <f>IF(O346&lt;&gt;"",IF(OR(County="Broward",County="Miami-Dade",County="Palm Beach"),"SF","PF")&amp;"NCGAE","")</f>
        <v/>
      </c>
      <c r="T346" s="908" t="str">
        <f>IF(P346&lt;&gt;"",IF(OR(County="Broward",County="Miami-Dade",County="Palm Beach"),"SF","PF")&amp;"NCGAW","")</f>
        <v/>
      </c>
      <c r="U346" s="680" t="str">
        <f>IFERROR(VLOOKUP(S346,DS_Max_NHTF,IF(Data3!L$141=Data3!K$278,8,9)),"")</f>
        <v/>
      </c>
      <c r="V346" s="681" t="str">
        <f>IFERROR(VLOOKUP(T346,DS_Max_NHTF,IF(Data3!M$129=Data3!L$278,8,9)),"")</f>
        <v/>
      </c>
      <c r="W346" s="693">
        <f>W342</f>
        <v>275000</v>
      </c>
      <c r="X346" s="960">
        <f>X342</f>
        <v>260000</v>
      </c>
    </row>
    <row r="347" spans="1:31" ht="15.75" thickBot="1">
      <c r="A347" s="665" t="str">
        <f>IF(DevType=A326,"Garden",IF(AND(OR(DevType=A332,DevType=A333),Development_Category="New Construction"),"Mid-Rise",IF(AND(OR(DevType=A332,DevType=A333,DevType=A334),Development_Category&lt;&gt;"New Construction"),"Mid-Rise, High-Rise",IF(OR(AND(DevType=A327,Development_Category&lt;&gt;"New Construction"),DevType=A328,DevType=A329,DevType=A330,DevType=A331,DevType=A335,DevType=A336,DevType=A337),"Other Dev Type*",DevType))))</f>
        <v>&lt;select one&gt;</v>
      </c>
      <c r="B347" s="2347">
        <f>IFERROR(VLOOKUP(A347,A342:C346,2,FALSE),0)+IF(A347="Mid-Rise, High-Rise",B343+B344,0)</f>
        <v>0</v>
      </c>
      <c r="C347" s="667">
        <f>IF(IFERROR(VLOOKUP(A347,A342:C346,2),0)=0,IF(A347="Mid-Rise, High-Rise",MIN(C343:C344),0),IFERROR(VLOOKUP(A347,A342:C346,3),0))</f>
        <v>0</v>
      </c>
      <c r="D347" s="666">
        <f>SUMIF(F342:F346,F347,D342:D346)</f>
        <v>0</v>
      </c>
      <c r="E347" s="2348">
        <f>IF(AND(F347=F342,D342&gt;0),E342,IF(AND(F347=F343,D343&gt;0),E343,IF(AND(F347=F344,D344&gt;0),E344,IF(AND(F347=F345,D345&gt;0),E345,IF(AND(F347=F346,D346&gt;0),E346,0)))))</f>
        <v>0</v>
      </c>
      <c r="F347" s="2349" t="str">
        <f>IF(Development_Category="New Construction","New Construction",IF(Development_Category="Acquisition and Rehabilitation","AR","Rehab"))</f>
        <v>New Construction</v>
      </c>
      <c r="G347" s="899"/>
      <c r="H347" s="899"/>
      <c r="I347" s="307"/>
      <c r="J347" s="899"/>
      <c r="O347" s="2723" t="str">
        <f>IF(K342=1,O342&amp;IF(O339-1&gt;1,", ",IF(O339-1=1," and ","")),"")&amp;IF(K343=1,O343&amp;IF(O339-SUM(K342:K343)&gt;1,", ",IF(O339-SUM(K342:K343)=1," and ","")),"")&amp;IF(K344=1,O344&amp;IF(O339-SUM(K342:K344)&gt;1,", ",IF(O339-SUM(K342:K344)=1," and ","")),"")&amp;IF(K345=1,O345&amp;IF(O339-SUM(K342:K345)&gt;1,", ",IF(O339-SUM(K342:K345)=1," and ","")),"")&amp;IF(K346=1,O346&amp;IF(O339-SUM(K342:K346)&gt;1,", ",IF(O339-SUM(K342:K346)=1," and ","")),"")&amp;IF(K346=1,O346&amp;IF(O339-SUM(K342:K346)&gt;1,", ",IF(O339-SUM(K342:K346)=1," and ","")),"")&amp;IF(L342=1,P342&amp;IF(O339-SUM(K342:K346)-1&gt;1,", ",IF(O339-SUM(K342:K346)-1=1," and ","")),"")&amp;IF(L344=1,P344&amp;IF(O339-SUM(K342:K346)-SUM(L342:L344)&gt;1,", ",IF(O339-SUM(K342:K346)-SUM(L342:L344)=1," and ","")),"")&amp;IF(L345=1,P345&amp;IF(O339-SUM(K342:K346)-SUM(L342:L345)&gt;1,", ",IF(O339-SUM(K342:K346)-SUM(L342:L345)=1," and ","")),"")&amp;IF(L346=1,P346&amp;IF(O339-SUM(K342:K346)-SUM(L342:L346)&gt;1,", ",IF(O339-SUM(K342:K346)-SUM(L342:L346)=1," and ","")),"")&amp;IF(L346=1,P346&amp;IF(O339-SUM(K342:K346)-SUM(L342:L346)&gt;1,", ",IF(O339-SUM(K342:K346)-SUM(L342:L346)=1," and ","")),"")&amp;IF(M342=1,Q342&amp;IF(O339-SUM(K342:K346)-SUM(L342:L346)-1&gt;1,", ",IF(O339-SUM(K342:K346)-SUM(L342:L346)-1=1," and ","")),"")&amp;IF(M343=1,Q343&amp;IF(O339-SUM(K342:K346)-SUM(L342:L346)-SUM(M342:M343)&gt;1,", ",IF(O339-SUM(K342:K346)-SUM(L342:L346)-SUM(M342:M343)=1," and ","")),"")&amp;IF(M345=1,Q345&amp;IF(O339-SUM(K342:K346)-SUM(L342:L346)-SUM(M342:M345)&gt;1,", ",IF(O339-SUM(K342:K346)-SUM(L342:L346)-SUM(M342:M345)=1," and ","")),"")&amp;IF(N342=1,R342&amp;IF(O339-SUM(K342:K346)-SUM(L342:L346)-SUM(M342:M345)-1&gt;1,", ",IF(O339-SUM(K342:K346)-SUM(L342:L346)-SUM(M342:M345)-1=1," and ","")),"")&amp;IF(N343=1,R343&amp;IF(O339-SUM(K342:K346)-SUM(L342:L346)-SUM(M342:M345)-SUM(N342:N343)=1," and ",""),"")&amp;IF(N345=1,R345,"")</f>
        <v/>
      </c>
      <c r="P347" s="2724"/>
      <c r="Q347" s="2724"/>
      <c r="R347" s="2747"/>
      <c r="U347" s="2742">
        <f>IF(SUM(U342:V346)=0,0,AVERAGEIF(U342:V346,"&gt;0"))</f>
        <v>0</v>
      </c>
      <c r="V347" s="2743"/>
      <c r="W347" s="2715">
        <f>IF(SUM(G342:H346)=0,0,(G342*W342+G343*W343+G344*W344+G345*W345+G346*W346+H342*X342+H344*X344+H345*X345+H346*X346)/SUM(G342:H346))</f>
        <v>0</v>
      </c>
      <c r="X347" s="2716"/>
    </row>
    <row r="348" spans="1:31" ht="15.75" thickBot="1">
      <c r="A348" s="1734"/>
      <c r="B348" s="1731"/>
      <c r="C348" s="1732" t="str">
        <f>IF(A347="Mid-Rise, High-Rise",IF(C343=1,"High-Rise","Mid-Rise"),A347)</f>
        <v>&lt;select one&gt;</v>
      </c>
      <c r="D348" s="1731"/>
      <c r="E348" s="1732"/>
      <c r="F348" s="1730"/>
      <c r="G348" s="1729"/>
      <c r="H348" s="1729"/>
      <c r="I348" s="1668"/>
      <c r="J348" s="1729"/>
      <c r="O348" s="2748"/>
      <c r="P348" s="2749"/>
      <c r="Q348" s="2749"/>
      <c r="R348" s="2750"/>
      <c r="U348" s="2701">
        <f>MAX(U342:V346)</f>
        <v>0</v>
      </c>
      <c r="V348" s="2702"/>
      <c r="W348" s="1733"/>
      <c r="X348" s="1733"/>
    </row>
    <row r="349" spans="1:31">
      <c r="A349" s="1734"/>
      <c r="B349" s="1731"/>
      <c r="C349" s="1732"/>
      <c r="D349" s="1731"/>
      <c r="E349" s="1732"/>
      <c r="F349" s="1730"/>
      <c r="G349" s="1729"/>
      <c r="H349" s="1729"/>
      <c r="I349" s="1668"/>
      <c r="J349" s="1729"/>
      <c r="K349" s="2681" t="s">
        <v>296</v>
      </c>
      <c r="L349" s="2682"/>
      <c r="O349" s="2725"/>
      <c r="P349" s="2751"/>
      <c r="Q349" s="2751"/>
      <c r="R349" s="2752"/>
      <c r="W349" s="1733"/>
      <c r="X349" s="1733"/>
    </row>
    <row r="350" spans="1:31">
      <c r="A350" s="1730"/>
      <c r="B350" s="1732"/>
      <c r="C350" s="1732"/>
      <c r="D350" s="1732"/>
      <c r="E350" s="1732"/>
      <c r="F350" s="1732"/>
      <c r="G350" s="1732"/>
      <c r="H350" s="1732"/>
      <c r="I350" s="1668"/>
      <c r="J350" s="1729"/>
      <c r="K350" t="s">
        <v>300</v>
      </c>
      <c r="L350" s="898" t="s">
        <v>301</v>
      </c>
      <c r="W350" s="1733"/>
      <c r="X350" s="1733"/>
    </row>
    <row r="351" spans="1:31">
      <c r="A351" s="628"/>
      <c r="B351" s="2070" t="str">
        <f>$B$18</f>
        <v>Do NOT delete any formulas in any "Sequence" column (column C), it's controlled by column B entries (1 to use, 0 or delete to not use). [warning not repeated every instance]</v>
      </c>
      <c r="C351" s="2070"/>
      <c r="D351" s="2070"/>
      <c r="E351" s="2070"/>
      <c r="F351" s="2070"/>
      <c r="G351" s="2071"/>
      <c r="H351" s="2071"/>
      <c r="I351" s="2072"/>
      <c r="J351" s="2008" t="s">
        <v>2469</v>
      </c>
      <c r="K351" t="s">
        <v>305</v>
      </c>
      <c r="L351" s="909" t="s">
        <v>301</v>
      </c>
      <c r="W351" s="1733"/>
      <c r="X351" s="1733"/>
    </row>
    <row r="352" spans="1:31">
      <c r="A352" s="628"/>
      <c r="E352" s="516" t="s">
        <v>293</v>
      </c>
      <c r="I352" s="43" t="s">
        <v>1961</v>
      </c>
      <c r="J352" s="1287" t="s">
        <v>459</v>
      </c>
      <c r="K352" t="s">
        <v>307</v>
      </c>
      <c r="L352" s="909" t="s">
        <v>459</v>
      </c>
      <c r="M352" s="857" t="s">
        <v>2022</v>
      </c>
      <c r="P352" s="2688" t="s">
        <v>2312</v>
      </c>
      <c r="Q352" s="2689"/>
      <c r="R352" s="2689"/>
      <c r="S352" s="2690"/>
      <c r="T352" s="2662" t="s">
        <v>2303</v>
      </c>
      <c r="U352" s="2663"/>
      <c r="V352" s="2663"/>
      <c r="W352" s="2664"/>
      <c r="X352" s="2754" t="s">
        <v>2358</v>
      </c>
      <c r="Y352" s="2755"/>
      <c r="Z352" s="2755"/>
      <c r="AA352" s="2756"/>
      <c r="AB352" s="2811" t="s">
        <v>2837</v>
      </c>
      <c r="AC352" s="2812"/>
      <c r="AD352" s="2812"/>
      <c r="AE352" s="2813"/>
    </row>
    <row r="353" spans="1:31" ht="18" customHeight="1">
      <c r="A353" s="571" t="s">
        <v>292</v>
      </c>
      <c r="B353" s="572" t="s">
        <v>55</v>
      </c>
      <c r="C353" s="572" t="s">
        <v>56</v>
      </c>
      <c r="D353" s="572" t="s">
        <v>57</v>
      </c>
      <c r="E353" s="572" t="s">
        <v>2410</v>
      </c>
      <c r="F353" s="63" t="s">
        <v>59</v>
      </c>
      <c r="G353" s="1950" t="s">
        <v>2432</v>
      </c>
      <c r="H353" s="65" t="s">
        <v>294</v>
      </c>
      <c r="I353" s="65" t="s">
        <v>295</v>
      </c>
      <c r="J353" s="1290" t="s">
        <v>1962</v>
      </c>
      <c r="K353" s="572" t="s">
        <v>2770</v>
      </c>
      <c r="M353" s="1356" t="s">
        <v>2021</v>
      </c>
      <c r="N353" s="2733" t="s">
        <v>2475</v>
      </c>
      <c r="O353" s="2734"/>
      <c r="P353" s="1799" t="s">
        <v>2304</v>
      </c>
      <c r="Q353" s="1800" t="s">
        <v>2305</v>
      </c>
      <c r="R353" s="1800" t="s">
        <v>2306</v>
      </c>
      <c r="S353" s="1801" t="s">
        <v>2307</v>
      </c>
      <c r="T353" s="1799" t="s">
        <v>2304</v>
      </c>
      <c r="U353" s="1800" t="s">
        <v>2305</v>
      </c>
      <c r="V353" s="1800" t="s">
        <v>2306</v>
      </c>
      <c r="W353" s="1801" t="s">
        <v>2307</v>
      </c>
      <c r="X353" s="1799" t="s">
        <v>2304</v>
      </c>
      <c r="Y353" s="1800" t="s">
        <v>2305</v>
      </c>
      <c r="Z353" s="1800" t="s">
        <v>2306</v>
      </c>
      <c r="AA353" s="2297" t="s">
        <v>2307</v>
      </c>
      <c r="AB353" s="1799" t="s">
        <v>2304</v>
      </c>
      <c r="AC353" s="1800" t="s">
        <v>2305</v>
      </c>
      <c r="AD353" s="1800" t="s">
        <v>2306</v>
      </c>
      <c r="AE353" s="2297" t="s">
        <v>2307</v>
      </c>
    </row>
    <row r="354" spans="1:31" ht="15" customHeight="1">
      <c r="A354" s="59" t="s">
        <v>297</v>
      </c>
      <c r="B354" s="57">
        <f t="shared" ref="B354:B385" si="0">IF(AND(H354="Large",L$350="Yes"),1,IF(AND(H354="Medium",L$351="Yes"),1,IF(AND(H354="Small",L$352="Yes"),1,0)))</f>
        <v>1</v>
      </c>
      <c r="C354" s="60">
        <f>IF(B354&lt;&gt;1,"",SUM(B$354:B354))</f>
        <v>1</v>
      </c>
      <c r="D354" s="57">
        <v>1</v>
      </c>
      <c r="E354" s="60" t="s">
        <v>2411</v>
      </c>
      <c r="F354" s="63" t="str">
        <f>IF(COUNTA($A$354:$A354)&lt;=MAX(DS_Counties_Sequence)=TRUE,LOOKUP(COUNTA($A$354:$A354),DS_Counties_Sequence,DS_Counties_DataNames),"")</f>
        <v>Alachua</v>
      </c>
      <c r="G354" s="268" t="s">
        <v>297</v>
      </c>
      <c r="H354" s="66" t="s">
        <v>298</v>
      </c>
      <c r="I354" s="66" t="s">
        <v>299</v>
      </c>
      <c r="J354" s="1001"/>
      <c r="K354" s="2004" t="s">
        <v>705</v>
      </c>
      <c r="M354" s="1541" t="s">
        <v>459</v>
      </c>
      <c r="N354" s="1542">
        <f>IF(M354="Yes",1+MAX(N$353:N353),0)</f>
        <v>0</v>
      </c>
      <c r="O354" s="1699" t="str">
        <f t="shared" ref="O354:O385" si="1">IF(AND(N354&gt;0,IFERROR(VLOOKUP(A354,DS_Counties_DDMenu,1),"No")&lt;&gt;"No"),"Yes","No")</f>
        <v>No</v>
      </c>
      <c r="P354" s="1802">
        <f t="shared" ref="P354:P385" si="2">COUNTIF(DS_ZCTAs_2022,$A354)</f>
        <v>2</v>
      </c>
      <c r="Q354" s="1314">
        <f t="shared" ref="Q354:Q385" si="3">COUNTIF(DS_Metro_QCTs_2022,$A354)</f>
        <v>14</v>
      </c>
      <c r="R354" s="1314">
        <f t="shared" ref="R354:R385" si="4">COUNTIF(DS_NonMetro_QCTs_2022,$A354)</f>
        <v>0</v>
      </c>
      <c r="S354" s="1803">
        <f t="shared" ref="S354:S385" si="5">COUNTIF(DS_GAOs_effective2.1.22,$A354)</f>
        <v>29</v>
      </c>
      <c r="T354" s="1802">
        <f t="shared" ref="T354:T385" si="6">COUNTIF(DS_ZCTAs_2023,$A354)</f>
        <v>0</v>
      </c>
      <c r="U354" s="1314">
        <f t="shared" ref="U354:U385" si="7">COUNTIF(DS_Metro_QCTs_2023,$A354)</f>
        <v>16</v>
      </c>
      <c r="V354" s="1314">
        <f t="shared" ref="V354:V385" si="8">COUNTIF(DS_NonMetro_QCTs_2023,$A354)</f>
        <v>0</v>
      </c>
      <c r="W354" s="1803">
        <f t="shared" ref="W354:W385" si="9">COUNTIF(DS_GAOs_effective2.1.23,$A354)</f>
        <v>31</v>
      </c>
      <c r="X354" s="1802">
        <f t="shared" ref="X354:X385" si="10">COUNTIF(DS_ZCTAs_2024,$A354)</f>
        <v>0</v>
      </c>
      <c r="Y354" s="1314">
        <f t="shared" ref="Y354:Y385" si="11">COUNTIF(DS_Metro_QCTs_2024,$A354)</f>
        <v>58</v>
      </c>
      <c r="Z354" s="1314">
        <f t="shared" ref="Z354:Z385" si="12">COUNTIF(DS_NonMetro_QCTs_2024,$A354)</f>
        <v>0</v>
      </c>
      <c r="AA354" s="2295">
        <f t="shared" ref="AA354:AA385" si="13">COUNTIF(DS_GAOs_effective2.1.24,$A354)</f>
        <v>30</v>
      </c>
      <c r="AB354" s="1802">
        <f t="shared" ref="AB354:AB385" si="14">COUNTIF(DS_ZCTAs_2025,$A354)</f>
        <v>0</v>
      </c>
      <c r="AC354" s="1314">
        <f t="shared" ref="AC354:AC385" si="15">COUNTIF(DS_Metro_QCTs_2025,$A354)</f>
        <v>0</v>
      </c>
      <c r="AD354" s="1314">
        <f t="shared" ref="AD354:AD385" si="16">COUNTIF(DS_NonMetro_QCTs_2025,$A354)</f>
        <v>0</v>
      </c>
      <c r="AE354" s="2295">
        <f t="shared" ref="AE354:AE385" si="17">COUNTIF(DS_GAOs_effective2.1.25,$A354)</f>
        <v>0</v>
      </c>
    </row>
    <row r="355" spans="1:31">
      <c r="A355" s="59" t="s">
        <v>302</v>
      </c>
      <c r="B355" s="57">
        <f t="shared" si="0"/>
        <v>0</v>
      </c>
      <c r="C355" s="60" t="str">
        <f>IF(B355&lt;&gt;1,"",SUM(B$354:B355))</f>
        <v/>
      </c>
      <c r="D355" s="57">
        <v>2</v>
      </c>
      <c r="E355" s="1958" t="s">
        <v>705</v>
      </c>
      <c r="F355" s="63" t="str">
        <f>IF(COUNTA($A$354:$A355)&lt;=MAX(DS_Counties_Sequence)=TRUE,LOOKUP(COUNTA($A$354:$A355),DS_Counties_Sequence,DS_Counties_DataNames),"")</f>
        <v>Bay</v>
      </c>
      <c r="G355" s="268" t="s">
        <v>302</v>
      </c>
      <c r="H355" s="67" t="s">
        <v>303</v>
      </c>
      <c r="I355" s="67" t="s">
        <v>304</v>
      </c>
      <c r="J355" s="1286">
        <v>3</v>
      </c>
      <c r="K355" s="2005" t="s">
        <v>2466</v>
      </c>
      <c r="M355" s="1541" t="s">
        <v>459</v>
      </c>
      <c r="N355" s="1542">
        <f>IF(M355="Yes",1+MAX(N$353:N354),0)</f>
        <v>0</v>
      </c>
      <c r="O355" s="1699" t="str">
        <f t="shared" si="1"/>
        <v>No</v>
      </c>
      <c r="P355" s="1802">
        <f t="shared" si="2"/>
        <v>0</v>
      </c>
      <c r="Q355" s="1314">
        <f t="shared" si="3"/>
        <v>0</v>
      </c>
      <c r="R355" s="1314">
        <f t="shared" si="4"/>
        <v>0</v>
      </c>
      <c r="S355" s="1803">
        <f t="shared" si="5"/>
        <v>2</v>
      </c>
      <c r="T355" s="1802">
        <f t="shared" si="6"/>
        <v>0</v>
      </c>
      <c r="U355" s="1314">
        <f t="shared" si="7"/>
        <v>0</v>
      </c>
      <c r="V355" s="1314">
        <f t="shared" si="8"/>
        <v>0</v>
      </c>
      <c r="W355" s="1803">
        <f t="shared" si="9"/>
        <v>3</v>
      </c>
      <c r="X355" s="1802">
        <f t="shared" si="10"/>
        <v>0</v>
      </c>
      <c r="Y355" s="1314">
        <f t="shared" si="11"/>
        <v>4</v>
      </c>
      <c r="Z355" s="1314">
        <f t="shared" si="12"/>
        <v>0</v>
      </c>
      <c r="AA355" s="2295">
        <f t="shared" si="13"/>
        <v>3</v>
      </c>
      <c r="AB355" s="1802">
        <f t="shared" si="14"/>
        <v>0</v>
      </c>
      <c r="AC355" s="1314">
        <f t="shared" si="15"/>
        <v>0</v>
      </c>
      <c r="AD355" s="1314">
        <f t="shared" si="16"/>
        <v>0</v>
      </c>
      <c r="AE355" s="2295">
        <f t="shared" si="17"/>
        <v>0</v>
      </c>
    </row>
    <row r="356" spans="1:31">
      <c r="A356" s="59" t="s">
        <v>306</v>
      </c>
      <c r="B356" s="57">
        <f t="shared" si="0"/>
        <v>1</v>
      </c>
      <c r="C356" s="60">
        <f>IF(B356&lt;&gt;1,"",SUM(B$354:B356))</f>
        <v>2</v>
      </c>
      <c r="D356" s="57">
        <v>3</v>
      </c>
      <c r="E356" s="60" t="s">
        <v>2411</v>
      </c>
      <c r="F356" s="63" t="str">
        <f>IF(COUNTA($A$354:$A356)&lt;=MAX(DS_Counties_Sequence)=TRUE,LOOKUP(COUNTA($A$354:$A356),DS_Counties_Sequence,DS_Counties_DataNames),"")</f>
        <v>Brevard</v>
      </c>
      <c r="G356" s="268" t="s">
        <v>306</v>
      </c>
      <c r="H356" s="67" t="s">
        <v>298</v>
      </c>
      <c r="I356" s="67" t="s">
        <v>182</v>
      </c>
      <c r="J356" s="1286"/>
      <c r="K356" s="2004" t="s">
        <v>705</v>
      </c>
      <c r="M356" s="1541" t="s">
        <v>459</v>
      </c>
      <c r="N356" s="1542">
        <f>IF(M356="Yes",1+MAX(N$353:N355),0)</f>
        <v>0</v>
      </c>
      <c r="O356" s="1699" t="str">
        <f t="shared" si="1"/>
        <v>No</v>
      </c>
      <c r="P356" s="1802">
        <f t="shared" si="2"/>
        <v>3</v>
      </c>
      <c r="Q356" s="1314">
        <f t="shared" si="3"/>
        <v>8</v>
      </c>
      <c r="R356" s="1314">
        <f t="shared" si="4"/>
        <v>0</v>
      </c>
      <c r="S356" s="1803">
        <f t="shared" si="5"/>
        <v>21</v>
      </c>
      <c r="T356" s="1802">
        <f t="shared" si="6"/>
        <v>3</v>
      </c>
      <c r="U356" s="1314">
        <f t="shared" si="7"/>
        <v>8</v>
      </c>
      <c r="V356" s="1314">
        <f t="shared" si="8"/>
        <v>0</v>
      </c>
      <c r="W356" s="1803">
        <f t="shared" si="9"/>
        <v>25</v>
      </c>
      <c r="X356" s="1802">
        <f t="shared" si="10"/>
        <v>4</v>
      </c>
      <c r="Y356" s="1314">
        <f t="shared" si="11"/>
        <v>50</v>
      </c>
      <c r="Z356" s="1314">
        <f t="shared" si="12"/>
        <v>0</v>
      </c>
      <c r="AA356" s="2295">
        <f t="shared" si="13"/>
        <v>30</v>
      </c>
      <c r="AB356" s="1802">
        <f t="shared" si="14"/>
        <v>0</v>
      </c>
      <c r="AC356" s="1314">
        <f t="shared" si="15"/>
        <v>0</v>
      </c>
      <c r="AD356" s="1314">
        <f t="shared" si="16"/>
        <v>0</v>
      </c>
      <c r="AE356" s="2295">
        <f t="shared" si="17"/>
        <v>0</v>
      </c>
    </row>
    <row r="357" spans="1:31">
      <c r="A357" s="59" t="s">
        <v>308</v>
      </c>
      <c r="B357" s="57">
        <f t="shared" si="0"/>
        <v>0</v>
      </c>
      <c r="C357" s="60" t="str">
        <f>IF(B357&lt;&gt;1,"",SUM(B$354:B357))</f>
        <v/>
      </c>
      <c r="D357" s="57">
        <v>4</v>
      </c>
      <c r="E357" s="1958" t="s">
        <v>705</v>
      </c>
      <c r="F357" s="63" t="str">
        <f>IF(COUNTA($A$354:$A357)&lt;=MAX(DS_Counties_Sequence)=TRUE,LOOKUP(COUNTA($A$354:$A357),DS_Counties_Sequence,DS_Counties_DataNames),"")</f>
        <v>Broward</v>
      </c>
      <c r="G357" s="268" t="s">
        <v>308</v>
      </c>
      <c r="H357" s="67" t="s">
        <v>303</v>
      </c>
      <c r="I357" s="67" t="s">
        <v>304</v>
      </c>
      <c r="J357" s="1286">
        <v>3</v>
      </c>
      <c r="K357" s="2005" t="s">
        <v>2466</v>
      </c>
      <c r="M357" s="1541" t="s">
        <v>459</v>
      </c>
      <c r="N357" s="1542">
        <f>IF(M357="Yes",1+MAX(N$353:N356),0)</f>
        <v>0</v>
      </c>
      <c r="O357" s="1699" t="str">
        <f t="shared" si="1"/>
        <v>No</v>
      </c>
      <c r="P357" s="1802">
        <f t="shared" si="2"/>
        <v>0</v>
      </c>
      <c r="Q357" s="1314">
        <f t="shared" si="3"/>
        <v>0</v>
      </c>
      <c r="R357" s="1314">
        <f t="shared" si="4"/>
        <v>0</v>
      </c>
      <c r="S357" s="1803">
        <f t="shared" si="5"/>
        <v>2</v>
      </c>
      <c r="T357" s="1802">
        <f t="shared" si="6"/>
        <v>0</v>
      </c>
      <c r="U357" s="1314">
        <f t="shared" si="7"/>
        <v>0</v>
      </c>
      <c r="V357" s="1314">
        <f t="shared" si="8"/>
        <v>0</v>
      </c>
      <c r="W357" s="1803">
        <f t="shared" si="9"/>
        <v>3</v>
      </c>
      <c r="X357" s="1802">
        <f t="shared" si="10"/>
        <v>0</v>
      </c>
      <c r="Y357" s="1314">
        <f t="shared" si="11"/>
        <v>0</v>
      </c>
      <c r="Z357" s="1314">
        <f t="shared" si="12"/>
        <v>6</v>
      </c>
      <c r="AA357" s="2295">
        <f t="shared" si="13"/>
        <v>3</v>
      </c>
      <c r="AB357" s="1802">
        <f t="shared" si="14"/>
        <v>0</v>
      </c>
      <c r="AC357" s="1314">
        <f t="shared" si="15"/>
        <v>0</v>
      </c>
      <c r="AD357" s="1314">
        <f t="shared" si="16"/>
        <v>0</v>
      </c>
      <c r="AE357" s="2295">
        <f t="shared" si="17"/>
        <v>0</v>
      </c>
    </row>
    <row r="358" spans="1:31">
      <c r="A358" s="59" t="s">
        <v>309</v>
      </c>
      <c r="B358" s="57">
        <f t="shared" si="0"/>
        <v>1</v>
      </c>
      <c r="C358" s="60">
        <f>IF(B358&lt;&gt;1,"",SUM(B$354:B358))</f>
        <v>3</v>
      </c>
      <c r="D358" s="57">
        <v>5</v>
      </c>
      <c r="E358" s="60" t="s">
        <v>2412</v>
      </c>
      <c r="F358" s="63" t="str">
        <f>IF(COUNTA($A$354:$A358)&lt;=MAX(DS_Counties_Sequence)=TRUE,LOOKUP(COUNTA($A$354:$A358),DS_Counties_Sequence,DS_Counties_DataNames),"")</f>
        <v>Charlotte</v>
      </c>
      <c r="G358" s="268" t="s">
        <v>309</v>
      </c>
      <c r="H358" s="67" t="s">
        <v>298</v>
      </c>
      <c r="I358" s="67" t="s">
        <v>299</v>
      </c>
      <c r="J358" s="1286"/>
      <c r="K358" s="2004" t="s">
        <v>705</v>
      </c>
      <c r="M358" s="1541" t="s">
        <v>459</v>
      </c>
      <c r="N358" s="1542">
        <f>IF(M358="Yes",1+MAX(N$353:N357),0)</f>
        <v>0</v>
      </c>
      <c r="O358" s="1699" t="str">
        <f t="shared" si="1"/>
        <v>No</v>
      </c>
      <c r="P358" s="1802">
        <f t="shared" si="2"/>
        <v>9</v>
      </c>
      <c r="Q358" s="1314">
        <f t="shared" si="3"/>
        <v>13</v>
      </c>
      <c r="R358" s="1314">
        <f t="shared" si="4"/>
        <v>0</v>
      </c>
      <c r="S358" s="1803">
        <f t="shared" si="5"/>
        <v>62</v>
      </c>
      <c r="T358" s="1802">
        <f t="shared" si="6"/>
        <v>9</v>
      </c>
      <c r="U358" s="1314">
        <f t="shared" si="7"/>
        <v>13</v>
      </c>
      <c r="V358" s="1314">
        <f t="shared" si="8"/>
        <v>0</v>
      </c>
      <c r="W358" s="1803">
        <f t="shared" si="9"/>
        <v>82</v>
      </c>
      <c r="X358" s="1802">
        <f t="shared" si="10"/>
        <v>10</v>
      </c>
      <c r="Y358" s="1314">
        <f t="shared" si="11"/>
        <v>148</v>
      </c>
      <c r="Z358" s="1314">
        <f t="shared" si="12"/>
        <v>0</v>
      </c>
      <c r="AA358" s="2295">
        <f t="shared" si="13"/>
        <v>81</v>
      </c>
      <c r="AB358" s="1802">
        <f t="shared" si="14"/>
        <v>0</v>
      </c>
      <c r="AC358" s="1314">
        <f t="shared" si="15"/>
        <v>0</v>
      </c>
      <c r="AD358" s="1314">
        <f t="shared" si="16"/>
        <v>0</v>
      </c>
      <c r="AE358" s="2295">
        <f t="shared" si="17"/>
        <v>0</v>
      </c>
    </row>
    <row r="359" spans="1:31">
      <c r="A359" s="59" t="s">
        <v>310</v>
      </c>
      <c r="B359" s="57">
        <f t="shared" si="0"/>
        <v>1</v>
      </c>
      <c r="C359" s="60">
        <f>IF(B359&lt;&gt;1,"",SUM(B$354:B359))</f>
        <v>4</v>
      </c>
      <c r="D359" s="57">
        <v>6</v>
      </c>
      <c r="E359" s="60" t="s">
        <v>2413</v>
      </c>
      <c r="F359" s="63" t="str">
        <f>IF(COUNTA($A$354:$A359)&lt;=MAX(DS_Counties_Sequence)=TRUE,LOOKUP(COUNTA($A$354:$A359),DS_Counties_Sequence,DS_Counties_DataNames),"")</f>
        <v>Citrus</v>
      </c>
      <c r="G359" s="268" t="s">
        <v>310</v>
      </c>
      <c r="H359" s="67" t="s">
        <v>311</v>
      </c>
      <c r="I359" s="67" t="s">
        <v>312</v>
      </c>
      <c r="J359" s="1286"/>
      <c r="K359" s="2004" t="s">
        <v>705</v>
      </c>
      <c r="M359" s="1541" t="s">
        <v>459</v>
      </c>
      <c r="N359" s="1542">
        <f>IF(M359="Yes",1+MAX(N$353:N358),0)</f>
        <v>0</v>
      </c>
      <c r="O359" s="1699" t="str">
        <f t="shared" si="1"/>
        <v>No</v>
      </c>
      <c r="P359" s="1802">
        <f t="shared" si="2"/>
        <v>27</v>
      </c>
      <c r="Q359" s="1314">
        <f t="shared" si="3"/>
        <v>43</v>
      </c>
      <c r="R359" s="1314">
        <f t="shared" si="4"/>
        <v>0</v>
      </c>
      <c r="S359" s="1803">
        <f t="shared" si="5"/>
        <v>188</v>
      </c>
      <c r="T359" s="1802">
        <f t="shared" si="6"/>
        <v>31</v>
      </c>
      <c r="U359" s="1314">
        <f t="shared" si="7"/>
        <v>51</v>
      </c>
      <c r="V359" s="1314">
        <f t="shared" si="8"/>
        <v>0</v>
      </c>
      <c r="W359" s="1803">
        <f t="shared" si="9"/>
        <v>223</v>
      </c>
      <c r="X359" s="1802">
        <f t="shared" si="10"/>
        <v>41</v>
      </c>
      <c r="Y359" s="1314">
        <f t="shared" si="11"/>
        <v>417</v>
      </c>
      <c r="Z359" s="1314">
        <f t="shared" si="12"/>
        <v>0</v>
      </c>
      <c r="AA359" s="2295">
        <f t="shared" si="13"/>
        <v>224</v>
      </c>
      <c r="AB359" s="1802">
        <f t="shared" si="14"/>
        <v>0</v>
      </c>
      <c r="AC359" s="1314">
        <f t="shared" si="15"/>
        <v>0</v>
      </c>
      <c r="AD359" s="1314">
        <f t="shared" si="16"/>
        <v>0</v>
      </c>
      <c r="AE359" s="2295">
        <f t="shared" si="17"/>
        <v>0</v>
      </c>
    </row>
    <row r="360" spans="1:31">
      <c r="A360" s="59" t="s">
        <v>313</v>
      </c>
      <c r="B360" s="57">
        <f t="shared" si="0"/>
        <v>0</v>
      </c>
      <c r="C360" s="60" t="str">
        <f>IF(B360&lt;&gt;1,"",SUM(B$354:B360))</f>
        <v/>
      </c>
      <c r="D360" s="57">
        <v>7</v>
      </c>
      <c r="E360" s="1958" t="s">
        <v>705</v>
      </c>
      <c r="F360" s="63" t="str">
        <f>IF(COUNTA($A$354:$A360)&lt;=MAX(DS_Counties_Sequence)=TRUE,LOOKUP(COUNTA($A$354:$A360),DS_Counties_Sequence,DS_Counties_DataNames),"")</f>
        <v>Clay</v>
      </c>
      <c r="G360" s="268" t="s">
        <v>313</v>
      </c>
      <c r="H360" s="67" t="s">
        <v>303</v>
      </c>
      <c r="I360" s="67" t="s">
        <v>314</v>
      </c>
      <c r="J360" s="1286">
        <v>3</v>
      </c>
      <c r="K360" s="2006" t="s">
        <v>2464</v>
      </c>
      <c r="M360" s="1541" t="s">
        <v>459</v>
      </c>
      <c r="N360" s="1542">
        <f>IF(M360="Yes",1+MAX(N$353:N359),0)</f>
        <v>0</v>
      </c>
      <c r="O360" s="1699" t="str">
        <f t="shared" si="1"/>
        <v>No</v>
      </c>
      <c r="P360" s="1802">
        <f t="shared" si="2"/>
        <v>0</v>
      </c>
      <c r="Q360" s="1314">
        <f t="shared" si="3"/>
        <v>0</v>
      </c>
      <c r="R360" s="1314">
        <f t="shared" si="4"/>
        <v>0</v>
      </c>
      <c r="S360" s="1803">
        <f t="shared" si="5"/>
        <v>1</v>
      </c>
      <c r="T360" s="1802">
        <f t="shared" si="6"/>
        <v>0</v>
      </c>
      <c r="U360" s="1314">
        <f t="shared" si="7"/>
        <v>0</v>
      </c>
      <c r="V360" s="1314">
        <f t="shared" si="8"/>
        <v>0</v>
      </c>
      <c r="W360" s="1803">
        <f t="shared" si="9"/>
        <v>3</v>
      </c>
      <c r="X360" s="1802">
        <f t="shared" si="10"/>
        <v>0</v>
      </c>
      <c r="Y360" s="1314">
        <f t="shared" si="11"/>
        <v>0</v>
      </c>
      <c r="Z360" s="1314">
        <f t="shared" si="12"/>
        <v>4</v>
      </c>
      <c r="AA360" s="2295">
        <f t="shared" si="13"/>
        <v>3</v>
      </c>
      <c r="AB360" s="1802">
        <f t="shared" si="14"/>
        <v>0</v>
      </c>
      <c r="AC360" s="1314">
        <f t="shared" si="15"/>
        <v>0</v>
      </c>
      <c r="AD360" s="1314">
        <f t="shared" si="16"/>
        <v>0</v>
      </c>
      <c r="AE360" s="2295">
        <f t="shared" si="17"/>
        <v>0</v>
      </c>
    </row>
    <row r="361" spans="1:31">
      <c r="A361" s="59" t="s">
        <v>315</v>
      </c>
      <c r="B361" s="57">
        <f t="shared" si="0"/>
        <v>1</v>
      </c>
      <c r="C361" s="60">
        <f>IF(B361&lt;&gt;1,"",SUM(B$354:B361))</f>
        <v>5</v>
      </c>
      <c r="D361" s="57">
        <v>8</v>
      </c>
      <c r="E361" s="60" t="s">
        <v>2414</v>
      </c>
      <c r="F361" s="63" t="str">
        <f>IF(COUNTA($A$354:$A361)&lt;=MAX(DS_Counties_Sequence)=TRUE,LOOKUP(COUNTA($A$354:$A361),DS_Counties_Sequence,DS_Counties_DataNames),"")</f>
        <v>Collier</v>
      </c>
      <c r="G361" s="268" t="s">
        <v>315</v>
      </c>
      <c r="H361" s="67" t="s">
        <v>298</v>
      </c>
      <c r="I361" s="67" t="s">
        <v>182</v>
      </c>
      <c r="J361" s="1286"/>
      <c r="K361" s="2004" t="s">
        <v>705</v>
      </c>
      <c r="M361" s="1541" t="s">
        <v>459</v>
      </c>
      <c r="N361" s="1542">
        <f>IF(M361="Yes",1+MAX(N$353:N360),0)</f>
        <v>0</v>
      </c>
      <c r="O361" s="1699" t="str">
        <f t="shared" si="1"/>
        <v>No</v>
      </c>
      <c r="P361" s="1802">
        <f t="shared" si="2"/>
        <v>5</v>
      </c>
      <c r="Q361" s="1314">
        <f t="shared" si="3"/>
        <v>2</v>
      </c>
      <c r="R361" s="1314">
        <f t="shared" si="4"/>
        <v>0</v>
      </c>
      <c r="S361" s="1803">
        <f t="shared" si="5"/>
        <v>20</v>
      </c>
      <c r="T361" s="1802">
        <f t="shared" si="6"/>
        <v>6</v>
      </c>
      <c r="U361" s="1314">
        <f t="shared" si="7"/>
        <v>1</v>
      </c>
      <c r="V361" s="1314">
        <f t="shared" si="8"/>
        <v>0</v>
      </c>
      <c r="W361" s="1803">
        <f t="shared" si="9"/>
        <v>30</v>
      </c>
      <c r="X361" s="1802">
        <f t="shared" si="10"/>
        <v>6</v>
      </c>
      <c r="Y361" s="1314">
        <f t="shared" si="11"/>
        <v>47</v>
      </c>
      <c r="Z361" s="1314">
        <f t="shared" si="12"/>
        <v>0</v>
      </c>
      <c r="AA361" s="2295">
        <f t="shared" si="13"/>
        <v>25</v>
      </c>
      <c r="AB361" s="1802">
        <f t="shared" si="14"/>
        <v>0</v>
      </c>
      <c r="AC361" s="1314">
        <f t="shared" si="15"/>
        <v>0</v>
      </c>
      <c r="AD361" s="1314">
        <f t="shared" si="16"/>
        <v>0</v>
      </c>
      <c r="AE361" s="2295">
        <f t="shared" si="17"/>
        <v>0</v>
      </c>
    </row>
    <row r="362" spans="1:31">
      <c r="A362" s="59" t="s">
        <v>316</v>
      </c>
      <c r="B362" s="57">
        <f t="shared" si="0"/>
        <v>1</v>
      </c>
      <c r="C362" s="60">
        <f>IF(B362&lt;&gt;1,"",SUM(B$354:B362))</f>
        <v>6</v>
      </c>
      <c r="D362" s="57">
        <v>9</v>
      </c>
      <c r="E362" s="60" t="s">
        <v>2414</v>
      </c>
      <c r="F362" s="63" t="str">
        <f>IF(COUNTA($A$354:$A362)&lt;=MAX(DS_Counties_Sequence)=TRUE,LOOKUP(COUNTA($A$354:$A362),DS_Counties_Sequence,DS_Counties_DataNames),"")</f>
        <v>Duval</v>
      </c>
      <c r="G362" s="268" t="s">
        <v>316</v>
      </c>
      <c r="H362" s="67" t="s">
        <v>298</v>
      </c>
      <c r="I362" s="67" t="s">
        <v>182</v>
      </c>
      <c r="J362" s="1286"/>
      <c r="K362" s="2004" t="s">
        <v>705</v>
      </c>
      <c r="M362" s="1541" t="s">
        <v>459</v>
      </c>
      <c r="N362" s="1542">
        <f>IF(M362="Yes",1+MAX(N$353:N361),0)</f>
        <v>0</v>
      </c>
      <c r="O362" s="1699" t="str">
        <f t="shared" si="1"/>
        <v>No</v>
      </c>
      <c r="P362" s="1802">
        <f t="shared" si="2"/>
        <v>4</v>
      </c>
      <c r="Q362" s="1314">
        <f t="shared" si="3"/>
        <v>4</v>
      </c>
      <c r="R362" s="1314">
        <f t="shared" si="4"/>
        <v>0</v>
      </c>
      <c r="S362" s="1803">
        <f t="shared" si="5"/>
        <v>14</v>
      </c>
      <c r="T362" s="1802">
        <f t="shared" si="6"/>
        <v>3</v>
      </c>
      <c r="U362" s="1314">
        <f t="shared" si="7"/>
        <v>5</v>
      </c>
      <c r="V362" s="1314">
        <f t="shared" si="8"/>
        <v>0</v>
      </c>
      <c r="W362" s="1803">
        <f t="shared" si="9"/>
        <v>22</v>
      </c>
      <c r="X362" s="1802">
        <f t="shared" si="10"/>
        <v>1</v>
      </c>
      <c r="Y362" s="1314">
        <f t="shared" si="11"/>
        <v>42</v>
      </c>
      <c r="Z362" s="1314">
        <f t="shared" si="12"/>
        <v>0</v>
      </c>
      <c r="AA362" s="2295">
        <f t="shared" si="13"/>
        <v>23</v>
      </c>
      <c r="AB362" s="1802">
        <f t="shared" si="14"/>
        <v>0</v>
      </c>
      <c r="AC362" s="1314">
        <f t="shared" si="15"/>
        <v>0</v>
      </c>
      <c r="AD362" s="1314">
        <f t="shared" si="16"/>
        <v>0</v>
      </c>
      <c r="AE362" s="2295">
        <f t="shared" si="17"/>
        <v>0</v>
      </c>
    </row>
    <row r="363" spans="1:31" ht="15" customHeight="1">
      <c r="A363" s="59" t="s">
        <v>317</v>
      </c>
      <c r="B363" s="57">
        <f t="shared" si="0"/>
        <v>1</v>
      </c>
      <c r="C363" s="60">
        <f>IF(B363&lt;&gt;1,"",SUM(B$354:B363))</f>
        <v>7</v>
      </c>
      <c r="D363" s="57">
        <v>10</v>
      </c>
      <c r="E363" s="60" t="s">
        <v>2411</v>
      </c>
      <c r="F363" s="63" t="str">
        <f>IF(COUNTA($A$354:$A363)&lt;=MAX(DS_Counties_Sequence)=TRUE,LOOKUP(COUNTA($A$354:$A363),DS_Counties_Sequence,DS_Counties_DataNames),"")</f>
        <v>Escambia</v>
      </c>
      <c r="G363" s="268" t="s">
        <v>317</v>
      </c>
      <c r="H363" s="67" t="s">
        <v>298</v>
      </c>
      <c r="I363" s="67" t="s">
        <v>182</v>
      </c>
      <c r="J363" s="1286"/>
      <c r="K363" s="2004" t="s">
        <v>705</v>
      </c>
      <c r="M363" s="1541" t="s">
        <v>459</v>
      </c>
      <c r="N363" s="1542">
        <f>IF(M363="Yes",1+MAX(N$353:N362),0)</f>
        <v>0</v>
      </c>
      <c r="O363" s="1699" t="str">
        <f t="shared" si="1"/>
        <v>No</v>
      </c>
      <c r="P363" s="1802">
        <f t="shared" si="2"/>
        <v>1</v>
      </c>
      <c r="Q363" s="1314">
        <f t="shared" si="3"/>
        <v>1</v>
      </c>
      <c r="R363" s="1314">
        <f t="shared" si="4"/>
        <v>0</v>
      </c>
      <c r="S363" s="1803">
        <f t="shared" si="5"/>
        <v>14</v>
      </c>
      <c r="T363" s="1802">
        <f t="shared" si="6"/>
        <v>2</v>
      </c>
      <c r="U363" s="1314">
        <f t="shared" si="7"/>
        <v>1</v>
      </c>
      <c r="V363" s="1314">
        <f t="shared" si="8"/>
        <v>0</v>
      </c>
      <c r="W363" s="1803">
        <f t="shared" si="9"/>
        <v>21</v>
      </c>
      <c r="X363" s="1802">
        <f t="shared" si="10"/>
        <v>2</v>
      </c>
      <c r="Y363" s="1314">
        <f t="shared" si="11"/>
        <v>45</v>
      </c>
      <c r="Z363" s="1314">
        <f t="shared" si="12"/>
        <v>0</v>
      </c>
      <c r="AA363" s="2295">
        <f t="shared" si="13"/>
        <v>25</v>
      </c>
      <c r="AB363" s="1802">
        <f t="shared" si="14"/>
        <v>0</v>
      </c>
      <c r="AC363" s="1314">
        <f t="shared" si="15"/>
        <v>0</v>
      </c>
      <c r="AD363" s="1314">
        <f t="shared" si="16"/>
        <v>0</v>
      </c>
      <c r="AE363" s="2295">
        <f t="shared" si="17"/>
        <v>0</v>
      </c>
    </row>
    <row r="364" spans="1:31">
      <c r="A364" s="59" t="s">
        <v>318</v>
      </c>
      <c r="B364" s="57">
        <f t="shared" si="0"/>
        <v>1</v>
      </c>
      <c r="C364" s="60">
        <f>IF(B364&lt;&gt;1,"",SUM(B$354:B364))</f>
        <v>8</v>
      </c>
      <c r="D364" s="57">
        <v>11</v>
      </c>
      <c r="E364" s="60" t="s">
        <v>2413</v>
      </c>
      <c r="F364" s="63" t="str">
        <f>IF(COUNTA($A$354:$A364)&lt;=MAX(DS_Counties_Sequence)=TRUE,LOOKUP(COUNTA($A$354:$A364),DS_Counties_Sequence,DS_Counties_DataNames),"")</f>
        <v>Flagler</v>
      </c>
      <c r="G364" s="268" t="s">
        <v>318</v>
      </c>
      <c r="H364" s="67" t="s">
        <v>298</v>
      </c>
      <c r="I364" s="67" t="s">
        <v>299</v>
      </c>
      <c r="J364" s="1286" t="s">
        <v>2470</v>
      </c>
      <c r="K364" s="2005" t="s">
        <v>2468</v>
      </c>
      <c r="M364" s="1541" t="s">
        <v>459</v>
      </c>
      <c r="N364" s="1542">
        <f>IF(M364="Yes",1+MAX(N$353:N363),0)</f>
        <v>0</v>
      </c>
      <c r="O364" s="1699" t="str">
        <f t="shared" si="1"/>
        <v>No</v>
      </c>
      <c r="P364" s="1802">
        <f t="shared" si="2"/>
        <v>9</v>
      </c>
      <c r="Q364" s="1314">
        <f t="shared" si="3"/>
        <v>11</v>
      </c>
      <c r="R364" s="1314">
        <f t="shared" si="4"/>
        <v>0</v>
      </c>
      <c r="S364" s="1803">
        <f t="shared" si="5"/>
        <v>47</v>
      </c>
      <c r="T364" s="1802">
        <f t="shared" si="6"/>
        <v>10</v>
      </c>
      <c r="U364" s="1314">
        <f t="shared" si="7"/>
        <v>10</v>
      </c>
      <c r="V364" s="1314">
        <f t="shared" si="8"/>
        <v>0</v>
      </c>
      <c r="W364" s="1803">
        <f t="shared" si="9"/>
        <v>70</v>
      </c>
      <c r="X364" s="1802">
        <f t="shared" si="10"/>
        <v>12</v>
      </c>
      <c r="Y364" s="1314">
        <f t="shared" si="11"/>
        <v>109</v>
      </c>
      <c r="Z364" s="1314">
        <f t="shared" si="12"/>
        <v>0</v>
      </c>
      <c r="AA364" s="2295">
        <f t="shared" si="13"/>
        <v>65</v>
      </c>
      <c r="AB364" s="1802">
        <f t="shared" si="14"/>
        <v>0</v>
      </c>
      <c r="AC364" s="1314">
        <f t="shared" si="15"/>
        <v>0</v>
      </c>
      <c r="AD364" s="1314">
        <f t="shared" si="16"/>
        <v>0</v>
      </c>
      <c r="AE364" s="2295">
        <f t="shared" si="17"/>
        <v>0</v>
      </c>
    </row>
    <row r="365" spans="1:31" ht="15" customHeight="1">
      <c r="A365" s="59" t="s">
        <v>319</v>
      </c>
      <c r="B365" s="57">
        <f t="shared" si="0"/>
        <v>0</v>
      </c>
      <c r="C365" s="60" t="str">
        <f>IF(B365&lt;&gt;1,"",SUM(B$354:B365))</f>
        <v/>
      </c>
      <c r="D365" s="57">
        <v>12</v>
      </c>
      <c r="E365" s="1958" t="s">
        <v>705</v>
      </c>
      <c r="F365" s="63" t="str">
        <f>IF(COUNTA($A$354:$A365)&lt;=MAX(DS_Counties_Sequence)=TRUE,LOOKUP(COUNTA($A$354:$A365),DS_Counties_Sequence,DS_Counties_DataNames),"")</f>
        <v>Hernando</v>
      </c>
      <c r="G365" s="268" t="s">
        <v>319</v>
      </c>
      <c r="H365" s="67" t="s">
        <v>303</v>
      </c>
      <c r="I365" s="67" t="s">
        <v>320</v>
      </c>
      <c r="J365" s="1286">
        <v>2</v>
      </c>
      <c r="K365" s="2005" t="s">
        <v>2466</v>
      </c>
      <c r="M365" s="1541" t="s">
        <v>459</v>
      </c>
      <c r="N365" s="1542">
        <f>IF(M365="Yes",1+MAX(N$353:N364),0)</f>
        <v>0</v>
      </c>
      <c r="O365" s="1699" t="str">
        <f t="shared" si="1"/>
        <v>No</v>
      </c>
      <c r="P365" s="1802">
        <f t="shared" si="2"/>
        <v>0</v>
      </c>
      <c r="Q365" s="1314">
        <f t="shared" si="3"/>
        <v>0</v>
      </c>
      <c r="R365" s="1314">
        <f t="shared" si="4"/>
        <v>2</v>
      </c>
      <c r="S365" s="1803">
        <f t="shared" si="5"/>
        <v>6</v>
      </c>
      <c r="T365" s="1802">
        <f t="shared" si="6"/>
        <v>0</v>
      </c>
      <c r="U365" s="1314">
        <f t="shared" si="7"/>
        <v>0</v>
      </c>
      <c r="V365" s="1314">
        <f t="shared" si="8"/>
        <v>1</v>
      </c>
      <c r="W365" s="1803">
        <f t="shared" si="9"/>
        <v>6</v>
      </c>
      <c r="X365" s="1802">
        <f t="shared" si="10"/>
        <v>0</v>
      </c>
      <c r="Y365" s="1314">
        <f t="shared" si="11"/>
        <v>0</v>
      </c>
      <c r="Z365" s="1314">
        <f t="shared" si="12"/>
        <v>13</v>
      </c>
      <c r="AA365" s="2295">
        <f t="shared" si="13"/>
        <v>7</v>
      </c>
      <c r="AB365" s="1802">
        <f t="shared" si="14"/>
        <v>0</v>
      </c>
      <c r="AC365" s="1314">
        <f t="shared" si="15"/>
        <v>0</v>
      </c>
      <c r="AD365" s="1314">
        <f t="shared" si="16"/>
        <v>0</v>
      </c>
      <c r="AE365" s="2295">
        <f t="shared" si="17"/>
        <v>0</v>
      </c>
    </row>
    <row r="366" spans="1:31">
      <c r="A366" s="59" t="s">
        <v>321</v>
      </c>
      <c r="B366" s="57">
        <f t="shared" si="0"/>
        <v>0</v>
      </c>
      <c r="C366" s="60" t="str">
        <f>IF(B366&lt;&gt;1,"",SUM(B$354:B366))</f>
        <v/>
      </c>
      <c r="D366" s="57">
        <v>13</v>
      </c>
      <c r="E366" s="1958" t="s">
        <v>705</v>
      </c>
      <c r="F366" s="63" t="str">
        <f>IF(COUNTA($A$354:$A366)&lt;=MAX(DS_Counties_Sequence)=TRUE,LOOKUP(COUNTA($A$354:$A366),DS_Counties_Sequence,DS_Counties_DataNames),"")</f>
        <v>Highlands</v>
      </c>
      <c r="G366" s="268" t="s">
        <v>321</v>
      </c>
      <c r="H366" s="67" t="s">
        <v>303</v>
      </c>
      <c r="I366" s="67" t="s">
        <v>304</v>
      </c>
      <c r="J366" s="1286">
        <v>3</v>
      </c>
      <c r="K366" s="2005" t="s">
        <v>2465</v>
      </c>
      <c r="M366" s="1541" t="s">
        <v>459</v>
      </c>
      <c r="N366" s="1542">
        <f>IF(M366="Yes",1+MAX(N$353:N365),0)</f>
        <v>0</v>
      </c>
      <c r="O366" s="1699" t="str">
        <f t="shared" si="1"/>
        <v>No</v>
      </c>
      <c r="P366" s="1802">
        <f t="shared" si="2"/>
        <v>0</v>
      </c>
      <c r="Q366" s="1314">
        <f t="shared" si="3"/>
        <v>0</v>
      </c>
      <c r="R366" s="1314">
        <f t="shared" si="4"/>
        <v>3</v>
      </c>
      <c r="S366" s="1803">
        <f t="shared" si="5"/>
        <v>7</v>
      </c>
      <c r="T366" s="1802">
        <f t="shared" si="6"/>
        <v>0</v>
      </c>
      <c r="U366" s="1314">
        <f t="shared" si="7"/>
        <v>0</v>
      </c>
      <c r="V366" s="1314">
        <f t="shared" si="8"/>
        <v>3</v>
      </c>
      <c r="W366" s="1803">
        <f t="shared" si="9"/>
        <v>5</v>
      </c>
      <c r="X366" s="1802">
        <f t="shared" si="10"/>
        <v>0</v>
      </c>
      <c r="Y366" s="1314">
        <f t="shared" si="11"/>
        <v>0</v>
      </c>
      <c r="Z366" s="1314">
        <f t="shared" si="12"/>
        <v>9</v>
      </c>
      <c r="AA366" s="2295">
        <f t="shared" si="13"/>
        <v>5</v>
      </c>
      <c r="AB366" s="1802">
        <f t="shared" si="14"/>
        <v>0</v>
      </c>
      <c r="AC366" s="1314">
        <f t="shared" si="15"/>
        <v>0</v>
      </c>
      <c r="AD366" s="1314">
        <f t="shared" si="16"/>
        <v>0</v>
      </c>
      <c r="AE366" s="2295">
        <f t="shared" si="17"/>
        <v>0</v>
      </c>
    </row>
    <row r="367" spans="1:31">
      <c r="A367" s="59" t="s">
        <v>322</v>
      </c>
      <c r="B367" s="57">
        <f t="shared" si="0"/>
        <v>0</v>
      </c>
      <c r="C367" s="60" t="str">
        <f>IF(B367&lt;&gt;1,"",SUM(B$354:B367))</f>
        <v/>
      </c>
      <c r="D367" s="57">
        <v>14</v>
      </c>
      <c r="E367" s="1958" t="s">
        <v>705</v>
      </c>
      <c r="F367" s="63" t="str">
        <f>IF(COUNTA($A$354:$A367)&lt;=MAX(DS_Counties_Sequence)=TRUE,LOOKUP(COUNTA($A$354:$A367),DS_Counties_Sequence,DS_Counties_DataNames),"")</f>
        <v>Hillsborough</v>
      </c>
      <c r="G367" s="268" t="s">
        <v>322</v>
      </c>
      <c r="H367" s="67" t="s">
        <v>303</v>
      </c>
      <c r="I367" s="67" t="s">
        <v>314</v>
      </c>
      <c r="J367" s="1286">
        <v>1</v>
      </c>
      <c r="K367" s="2005" t="s">
        <v>2466</v>
      </c>
      <c r="M367" s="1541" t="s">
        <v>459</v>
      </c>
      <c r="N367" s="1542">
        <f>IF(M367="Yes",1+MAX(N$353:N366),0)</f>
        <v>0</v>
      </c>
      <c r="O367" s="1699" t="str">
        <f t="shared" si="1"/>
        <v>No</v>
      </c>
      <c r="P367" s="1802">
        <f t="shared" si="2"/>
        <v>0</v>
      </c>
      <c r="Q367" s="1314">
        <f t="shared" si="3"/>
        <v>0</v>
      </c>
      <c r="R367" s="1314">
        <f t="shared" si="4"/>
        <v>0</v>
      </c>
      <c r="S367" s="1803">
        <f t="shared" si="5"/>
        <v>2</v>
      </c>
      <c r="T367" s="1802">
        <f t="shared" si="6"/>
        <v>0</v>
      </c>
      <c r="U367" s="1314">
        <f t="shared" si="7"/>
        <v>0</v>
      </c>
      <c r="V367" s="1314">
        <f t="shared" si="8"/>
        <v>1</v>
      </c>
      <c r="W367" s="1803">
        <f t="shared" si="9"/>
        <v>5</v>
      </c>
      <c r="X367" s="1802">
        <f t="shared" si="10"/>
        <v>0</v>
      </c>
      <c r="Y367" s="1314">
        <f t="shared" si="11"/>
        <v>0</v>
      </c>
      <c r="Z367" s="1314">
        <f t="shared" si="12"/>
        <v>6</v>
      </c>
      <c r="AA367" s="2295">
        <f t="shared" si="13"/>
        <v>3</v>
      </c>
      <c r="AB367" s="1802">
        <f t="shared" si="14"/>
        <v>0</v>
      </c>
      <c r="AC367" s="1314">
        <f t="shared" si="15"/>
        <v>0</v>
      </c>
      <c r="AD367" s="1314">
        <f t="shared" si="16"/>
        <v>0</v>
      </c>
      <c r="AE367" s="2295">
        <f t="shared" si="17"/>
        <v>0</v>
      </c>
    </row>
    <row r="368" spans="1:31">
      <c r="A368" s="59" t="s">
        <v>323</v>
      </c>
      <c r="B368" s="57">
        <f t="shared" si="0"/>
        <v>1</v>
      </c>
      <c r="C368" s="60">
        <f>IF(B368&lt;&gt;1,"",SUM(B$354:B368))</f>
        <v>9</v>
      </c>
      <c r="D368" s="57">
        <v>15</v>
      </c>
      <c r="E368" s="60" t="s">
        <v>2411</v>
      </c>
      <c r="F368" s="63" t="str">
        <f>IF(COUNTA($A$354:$A368)&lt;=MAX(DS_Counties_Sequence)=TRUE,LOOKUP(COUNTA($A$354:$A368),DS_Counties_Sequence,DS_Counties_DataNames),"")</f>
        <v>Indian River</v>
      </c>
      <c r="G368" s="268" t="s">
        <v>323</v>
      </c>
      <c r="H368" s="67" t="s">
        <v>311</v>
      </c>
      <c r="I368" s="67" t="s">
        <v>324</v>
      </c>
      <c r="J368" s="1286"/>
      <c r="K368" s="2004" t="s">
        <v>705</v>
      </c>
      <c r="M368" s="1541" t="s">
        <v>459</v>
      </c>
      <c r="N368" s="1542">
        <f>IF(M368="Yes",1+MAX(N$353:N367),0)</f>
        <v>0</v>
      </c>
      <c r="O368" s="1699" t="str">
        <f t="shared" si="1"/>
        <v>No</v>
      </c>
      <c r="P368" s="1802">
        <f t="shared" si="2"/>
        <v>9</v>
      </c>
      <c r="Q368" s="1314">
        <f t="shared" si="3"/>
        <v>42</v>
      </c>
      <c r="R368" s="1314">
        <f t="shared" si="4"/>
        <v>0</v>
      </c>
      <c r="S368" s="1803">
        <f t="shared" si="5"/>
        <v>87</v>
      </c>
      <c r="T368" s="1802">
        <f t="shared" si="6"/>
        <v>10</v>
      </c>
      <c r="U368" s="1314">
        <f t="shared" si="7"/>
        <v>47</v>
      </c>
      <c r="V368" s="1314">
        <f t="shared" si="8"/>
        <v>0</v>
      </c>
      <c r="W368" s="1803">
        <f t="shared" si="9"/>
        <v>118</v>
      </c>
      <c r="X368" s="1802">
        <f t="shared" si="10"/>
        <v>6</v>
      </c>
      <c r="Y368" s="1314">
        <f t="shared" si="11"/>
        <v>219</v>
      </c>
      <c r="Z368" s="1314">
        <f t="shared" si="12"/>
        <v>0</v>
      </c>
      <c r="AA368" s="2295">
        <f t="shared" si="13"/>
        <v>130</v>
      </c>
      <c r="AB368" s="1802">
        <f t="shared" si="14"/>
        <v>0</v>
      </c>
      <c r="AC368" s="1314">
        <f t="shared" si="15"/>
        <v>0</v>
      </c>
      <c r="AD368" s="1314">
        <f t="shared" si="16"/>
        <v>0</v>
      </c>
      <c r="AE368" s="2295">
        <f t="shared" si="17"/>
        <v>0</v>
      </c>
    </row>
    <row r="369" spans="1:31">
      <c r="A369" s="59" t="s">
        <v>325</v>
      </c>
      <c r="B369" s="57">
        <f t="shared" si="0"/>
        <v>1</v>
      </c>
      <c r="C369" s="60">
        <f>IF(B369&lt;&gt;1,"",SUM(B$354:B369))</f>
        <v>10</v>
      </c>
      <c r="D369" s="57">
        <v>16</v>
      </c>
      <c r="E369" s="60" t="s">
        <v>2411</v>
      </c>
      <c r="F369" s="63" t="str">
        <f>IF(COUNTA($A$354:$A369)&lt;=MAX(DS_Counties_Sequence)=TRUE,LOOKUP(COUNTA($A$354:$A369),DS_Counties_Sequence,DS_Counties_DataNames),"")</f>
        <v>Lake</v>
      </c>
      <c r="G369" s="268" t="s">
        <v>325</v>
      </c>
      <c r="H369" s="67" t="s">
        <v>298</v>
      </c>
      <c r="I369" s="67" t="s">
        <v>299</v>
      </c>
      <c r="J369" s="1286"/>
      <c r="K369" s="2004" t="s">
        <v>705</v>
      </c>
      <c r="M369" s="1541" t="s">
        <v>459</v>
      </c>
      <c r="N369" s="1542">
        <f>IF(M369="Yes",1+MAX(N$353:N368),0)</f>
        <v>0</v>
      </c>
      <c r="O369" s="1699" t="str">
        <f t="shared" si="1"/>
        <v>No</v>
      </c>
      <c r="P369" s="1802">
        <f t="shared" si="2"/>
        <v>1</v>
      </c>
      <c r="Q369" s="1314">
        <f t="shared" si="3"/>
        <v>16</v>
      </c>
      <c r="R369" s="1314">
        <f t="shared" si="4"/>
        <v>0</v>
      </c>
      <c r="S369" s="1803">
        <f t="shared" si="5"/>
        <v>36</v>
      </c>
      <c r="T369" s="1802">
        <f t="shared" si="6"/>
        <v>0</v>
      </c>
      <c r="U369" s="1314">
        <f t="shared" si="7"/>
        <v>14</v>
      </c>
      <c r="V369" s="1314">
        <f t="shared" si="8"/>
        <v>0</v>
      </c>
      <c r="W369" s="1803">
        <f t="shared" si="9"/>
        <v>42</v>
      </c>
      <c r="X369" s="1802">
        <f t="shared" si="10"/>
        <v>1</v>
      </c>
      <c r="Y369" s="1314">
        <f t="shared" si="11"/>
        <v>79</v>
      </c>
      <c r="Z369" s="1314">
        <f t="shared" si="12"/>
        <v>0</v>
      </c>
      <c r="AA369" s="2295">
        <f t="shared" si="13"/>
        <v>42</v>
      </c>
      <c r="AB369" s="1802">
        <f t="shared" si="14"/>
        <v>0</v>
      </c>
      <c r="AC369" s="1314">
        <f t="shared" si="15"/>
        <v>0</v>
      </c>
      <c r="AD369" s="1314">
        <f t="shared" si="16"/>
        <v>0</v>
      </c>
      <c r="AE369" s="2295">
        <f t="shared" si="17"/>
        <v>0</v>
      </c>
    </row>
    <row r="370" spans="1:31">
      <c r="A370" s="59" t="s">
        <v>326</v>
      </c>
      <c r="B370" s="57">
        <f t="shared" si="0"/>
        <v>1</v>
      </c>
      <c r="C370" s="60">
        <f>IF(B370&lt;&gt;1,"",SUM(B$354:B370))</f>
        <v>11</v>
      </c>
      <c r="D370" s="57">
        <v>17</v>
      </c>
      <c r="E370" s="60" t="s">
        <v>2411</v>
      </c>
      <c r="F370" s="63" t="str">
        <f>IF(COUNTA($A$354:$A370)&lt;=MAX(DS_Counties_Sequence)=TRUE,LOOKUP(COUNTA($A$354:$A370),DS_Counties_Sequence,DS_Counties_DataNames),"")</f>
        <v>Lee</v>
      </c>
      <c r="G370" s="268" t="s">
        <v>326</v>
      </c>
      <c r="H370" s="67" t="s">
        <v>298</v>
      </c>
      <c r="I370" s="67" t="s">
        <v>182</v>
      </c>
      <c r="J370" s="1286"/>
      <c r="K370" s="2004" t="s">
        <v>705</v>
      </c>
      <c r="M370" s="1541" t="s">
        <v>459</v>
      </c>
      <c r="N370" s="1542">
        <f>IF(M370="Yes",1+MAX(N$353:N369),0)</f>
        <v>0</v>
      </c>
      <c r="O370" s="1699" t="str">
        <f t="shared" si="1"/>
        <v>No</v>
      </c>
      <c r="P370" s="1802">
        <f t="shared" si="2"/>
        <v>0</v>
      </c>
      <c r="Q370" s="1314">
        <f t="shared" si="3"/>
        <v>0</v>
      </c>
      <c r="R370" s="1314">
        <f t="shared" si="4"/>
        <v>0</v>
      </c>
      <c r="S370" s="1803">
        <f t="shared" si="5"/>
        <v>13</v>
      </c>
      <c r="T370" s="1802">
        <f t="shared" si="6"/>
        <v>0</v>
      </c>
      <c r="U370" s="1314">
        <f t="shared" si="7"/>
        <v>0</v>
      </c>
      <c r="V370" s="1314">
        <f t="shared" si="8"/>
        <v>0</v>
      </c>
      <c r="W370" s="1803">
        <f t="shared" si="9"/>
        <v>15</v>
      </c>
      <c r="X370" s="1802">
        <f t="shared" si="10"/>
        <v>1</v>
      </c>
      <c r="Y370" s="1314">
        <f t="shared" si="11"/>
        <v>24</v>
      </c>
      <c r="Z370" s="1314">
        <f t="shared" si="12"/>
        <v>0</v>
      </c>
      <c r="AA370" s="2295">
        <f t="shared" si="13"/>
        <v>13</v>
      </c>
      <c r="AB370" s="1802">
        <f t="shared" si="14"/>
        <v>0</v>
      </c>
      <c r="AC370" s="1314">
        <f t="shared" si="15"/>
        <v>0</v>
      </c>
      <c r="AD370" s="1314">
        <f t="shared" si="16"/>
        <v>0</v>
      </c>
      <c r="AE370" s="2295">
        <f t="shared" si="17"/>
        <v>0</v>
      </c>
    </row>
    <row r="371" spans="1:31">
      <c r="A371" s="59" t="s">
        <v>327</v>
      </c>
      <c r="B371" s="57">
        <f t="shared" si="0"/>
        <v>0</v>
      </c>
      <c r="C371" s="60" t="str">
        <f>IF(B371&lt;&gt;1,"",SUM(B$354:B371))</f>
        <v/>
      </c>
      <c r="D371" s="57">
        <v>18</v>
      </c>
      <c r="E371" s="1958" t="s">
        <v>705</v>
      </c>
      <c r="F371" s="63" t="str">
        <f>IF(COUNTA($A$354:$A371)&lt;=MAX(DS_Counties_Sequence)=TRUE,LOOKUP(COUNTA($A$354:$A371),DS_Counties_Sequence,DS_Counties_DataNames),"")</f>
        <v>Leon</v>
      </c>
      <c r="G371" s="268" t="s">
        <v>327</v>
      </c>
      <c r="H371" s="67" t="s">
        <v>303</v>
      </c>
      <c r="I371" s="67" t="s">
        <v>314</v>
      </c>
      <c r="J371" s="1286"/>
      <c r="K371" s="2004" t="s">
        <v>705</v>
      </c>
      <c r="L371" s="2206" t="s">
        <v>2576</v>
      </c>
      <c r="M371" s="1339" t="str">
        <f>IF(IFERROR(MATCH("Family",DS_Demo_DDMenu,0),0)+IFERROR(MATCH("Elderly Non-ALF",DS_Demo_DDMenu,0),0)+IFERROR(MATCH("Elderly ALF",DS_Demo_DDMenu,0),0)+IFERROR(MATCH("Elderly ALF",DS_Demo_DDMenu,0),0)&gt;0,"Yes","No")</f>
        <v>Yes</v>
      </c>
      <c r="N371" s="1542">
        <f>IF(M371="Yes",1+MAX(N$353:N370),0)</f>
        <v>1</v>
      </c>
      <c r="O371" s="1699" t="str">
        <f t="shared" si="1"/>
        <v>Yes</v>
      </c>
      <c r="P371" s="1802">
        <f t="shared" si="2"/>
        <v>0</v>
      </c>
      <c r="Q371" s="1314">
        <f t="shared" si="3"/>
        <v>0</v>
      </c>
      <c r="R371" s="1314">
        <f t="shared" si="4"/>
        <v>0</v>
      </c>
      <c r="S371" s="1803">
        <f t="shared" si="5"/>
        <v>2</v>
      </c>
      <c r="T371" s="1802">
        <f t="shared" si="6"/>
        <v>0</v>
      </c>
      <c r="U371" s="1314">
        <f t="shared" si="7"/>
        <v>0</v>
      </c>
      <c r="V371" s="1314">
        <f t="shared" si="8"/>
        <v>0</v>
      </c>
      <c r="W371" s="1803">
        <f t="shared" si="9"/>
        <v>3</v>
      </c>
      <c r="X371" s="1802">
        <f t="shared" si="10"/>
        <v>0</v>
      </c>
      <c r="Y371" s="1314">
        <f t="shared" si="11"/>
        <v>0</v>
      </c>
      <c r="Z371" s="1314">
        <f t="shared" si="12"/>
        <v>7</v>
      </c>
      <c r="AA371" s="2295">
        <f t="shared" si="13"/>
        <v>2</v>
      </c>
      <c r="AB371" s="1802">
        <f t="shared" si="14"/>
        <v>0</v>
      </c>
      <c r="AC371" s="1314">
        <f t="shared" si="15"/>
        <v>0</v>
      </c>
      <c r="AD371" s="1314">
        <f t="shared" si="16"/>
        <v>0</v>
      </c>
      <c r="AE371" s="2295">
        <f t="shared" si="17"/>
        <v>0</v>
      </c>
    </row>
    <row r="372" spans="1:31">
      <c r="A372" s="59" t="s">
        <v>328</v>
      </c>
      <c r="B372" s="57">
        <f t="shared" si="0"/>
        <v>0</v>
      </c>
      <c r="C372" s="60" t="str">
        <f>IF(B372&lt;&gt;1,"",SUM(B$354:B372))</f>
        <v/>
      </c>
      <c r="D372" s="57">
        <v>19</v>
      </c>
      <c r="E372" s="1958" t="s">
        <v>705</v>
      </c>
      <c r="F372" s="63" t="str">
        <f>IF(COUNTA($A$354:$A372)&lt;=MAX(DS_Counties_Sequence)=TRUE,LOOKUP(COUNTA($A$354:$A372),DS_Counties_Sequence,DS_Counties_DataNames),"")</f>
        <v>Manatee</v>
      </c>
      <c r="G372" s="268" t="s">
        <v>328</v>
      </c>
      <c r="H372" s="67" t="s">
        <v>303</v>
      </c>
      <c r="I372" s="67" t="s">
        <v>304</v>
      </c>
      <c r="J372" s="1286">
        <v>3</v>
      </c>
      <c r="K372" s="2006" t="s">
        <v>2464</v>
      </c>
      <c r="M372" s="1541" t="s">
        <v>459</v>
      </c>
      <c r="N372" s="1542">
        <f>IF(M372="Yes",1+MAX(N$353:N371),0)</f>
        <v>0</v>
      </c>
      <c r="O372" s="1699" t="str">
        <f t="shared" si="1"/>
        <v>No</v>
      </c>
      <c r="P372" s="1802">
        <f t="shared" si="2"/>
        <v>0</v>
      </c>
      <c r="Q372" s="1314">
        <f t="shared" si="3"/>
        <v>2</v>
      </c>
      <c r="R372" s="1314">
        <f t="shared" si="4"/>
        <v>0</v>
      </c>
      <c r="S372" s="1803">
        <f t="shared" si="5"/>
        <v>5</v>
      </c>
      <c r="T372" s="1802">
        <f t="shared" si="6"/>
        <v>0</v>
      </c>
      <c r="U372" s="1314">
        <f t="shared" si="7"/>
        <v>2</v>
      </c>
      <c r="V372" s="1314">
        <f t="shared" si="8"/>
        <v>0</v>
      </c>
      <c r="W372" s="1803">
        <f t="shared" si="9"/>
        <v>7</v>
      </c>
      <c r="X372" s="1802">
        <f t="shared" si="10"/>
        <v>0</v>
      </c>
      <c r="Y372" s="1314">
        <f t="shared" si="11"/>
        <v>10</v>
      </c>
      <c r="Z372" s="1314">
        <f t="shared" si="12"/>
        <v>0</v>
      </c>
      <c r="AA372" s="2295">
        <f t="shared" si="13"/>
        <v>6</v>
      </c>
      <c r="AB372" s="1802">
        <f t="shared" si="14"/>
        <v>0</v>
      </c>
      <c r="AC372" s="1314">
        <f t="shared" si="15"/>
        <v>0</v>
      </c>
      <c r="AD372" s="1314">
        <f t="shared" si="16"/>
        <v>0</v>
      </c>
      <c r="AE372" s="2295">
        <f t="shared" si="17"/>
        <v>0</v>
      </c>
    </row>
    <row r="373" spans="1:31">
      <c r="A373" s="59" t="s">
        <v>329</v>
      </c>
      <c r="B373" s="57">
        <f t="shared" si="0"/>
        <v>0</v>
      </c>
      <c r="C373" s="60" t="str">
        <f>IF(B373&lt;&gt;1,"",SUM(B$354:B373))</f>
        <v/>
      </c>
      <c r="D373" s="57">
        <v>20</v>
      </c>
      <c r="E373" s="1958" t="s">
        <v>705</v>
      </c>
      <c r="F373" s="63" t="str">
        <f>IF(COUNTA($A$354:$A373)&lt;=MAX(DS_Counties_Sequence)=TRUE,LOOKUP(COUNTA($A$354:$A373),DS_Counties_Sequence,DS_Counties_DataNames),"")</f>
        <v>Marion</v>
      </c>
      <c r="G373" s="268" t="s">
        <v>329</v>
      </c>
      <c r="H373" s="67" t="s">
        <v>303</v>
      </c>
      <c r="I373" s="67" t="s">
        <v>314</v>
      </c>
      <c r="J373" s="1286">
        <v>3</v>
      </c>
      <c r="K373" s="2005" t="s">
        <v>2466</v>
      </c>
      <c r="M373" s="1541" t="s">
        <v>459</v>
      </c>
      <c r="N373" s="1542">
        <f>IF(M373="Yes",1+MAX(N$353:N372),0)</f>
        <v>0</v>
      </c>
      <c r="O373" s="1699" t="str">
        <f t="shared" si="1"/>
        <v>No</v>
      </c>
      <c r="P373" s="1802">
        <f t="shared" si="2"/>
        <v>0</v>
      </c>
      <c r="Q373" s="1314">
        <f t="shared" si="3"/>
        <v>0</v>
      </c>
      <c r="R373" s="1314">
        <f t="shared" si="4"/>
        <v>0</v>
      </c>
      <c r="S373" s="1803">
        <f t="shared" si="5"/>
        <v>4</v>
      </c>
      <c r="T373" s="1802">
        <f t="shared" si="6"/>
        <v>0</v>
      </c>
      <c r="U373" s="1314">
        <f t="shared" si="7"/>
        <v>0</v>
      </c>
      <c r="V373" s="1314">
        <f t="shared" si="8"/>
        <v>0</v>
      </c>
      <c r="W373" s="1803">
        <f t="shared" si="9"/>
        <v>3</v>
      </c>
      <c r="X373" s="1802">
        <f t="shared" si="10"/>
        <v>0</v>
      </c>
      <c r="Y373" s="1314">
        <f t="shared" si="11"/>
        <v>5</v>
      </c>
      <c r="Z373" s="1314">
        <f t="shared" si="12"/>
        <v>0</v>
      </c>
      <c r="AA373" s="2295">
        <f t="shared" si="13"/>
        <v>3</v>
      </c>
      <c r="AB373" s="1802">
        <f t="shared" si="14"/>
        <v>0</v>
      </c>
      <c r="AC373" s="1314">
        <f t="shared" si="15"/>
        <v>0</v>
      </c>
      <c r="AD373" s="1314">
        <f t="shared" si="16"/>
        <v>0</v>
      </c>
      <c r="AE373" s="2295">
        <f t="shared" si="17"/>
        <v>0</v>
      </c>
    </row>
    <row r="374" spans="1:31">
      <c r="A374" s="59" t="s">
        <v>330</v>
      </c>
      <c r="B374" s="57">
        <f t="shared" si="0"/>
        <v>0</v>
      </c>
      <c r="C374" s="60" t="str">
        <f>IF(B374&lt;&gt;1,"",SUM(B$354:B374))</f>
        <v/>
      </c>
      <c r="D374" s="57">
        <v>21</v>
      </c>
      <c r="E374" s="1958" t="s">
        <v>705</v>
      </c>
      <c r="F374" s="63" t="str">
        <f>IF(COUNTA($A$354:$A374)&lt;=MAX(DS_Counties_Sequence)=TRUE,LOOKUP(COUNTA($A$354:$A374),DS_Counties_Sequence,DS_Counties_DataNames),"")</f>
        <v>Martin</v>
      </c>
      <c r="G374" s="268" t="s">
        <v>330</v>
      </c>
      <c r="H374" s="67" t="s">
        <v>303</v>
      </c>
      <c r="I374" s="67" t="s">
        <v>314</v>
      </c>
      <c r="J374" s="1286">
        <v>3</v>
      </c>
      <c r="K374" s="2005" t="s">
        <v>2465</v>
      </c>
      <c r="M374" s="1541" t="s">
        <v>459</v>
      </c>
      <c r="N374" s="1542">
        <f>IF(M374="Yes",1+MAX(N$353:N373),0)</f>
        <v>0</v>
      </c>
      <c r="O374" s="1699" t="str">
        <f t="shared" si="1"/>
        <v>No</v>
      </c>
      <c r="P374" s="1802">
        <f t="shared" si="2"/>
        <v>0</v>
      </c>
      <c r="Q374" s="1314">
        <f t="shared" si="3"/>
        <v>0</v>
      </c>
      <c r="R374" s="1314">
        <f t="shared" si="4"/>
        <v>0</v>
      </c>
      <c r="S374" s="1803">
        <f t="shared" si="5"/>
        <v>1</v>
      </c>
      <c r="T374" s="1802">
        <f t="shared" si="6"/>
        <v>0</v>
      </c>
      <c r="U374" s="1314">
        <f t="shared" si="7"/>
        <v>0</v>
      </c>
      <c r="V374" s="1314">
        <f t="shared" si="8"/>
        <v>0</v>
      </c>
      <c r="W374" s="1803">
        <f t="shared" si="9"/>
        <v>3</v>
      </c>
      <c r="X374" s="1802">
        <f t="shared" si="10"/>
        <v>0</v>
      </c>
      <c r="Y374" s="1314">
        <f t="shared" si="11"/>
        <v>0</v>
      </c>
      <c r="Z374" s="1314">
        <f t="shared" si="12"/>
        <v>5</v>
      </c>
      <c r="AA374" s="2295">
        <f t="shared" si="13"/>
        <v>2</v>
      </c>
      <c r="AB374" s="1802">
        <f t="shared" si="14"/>
        <v>0</v>
      </c>
      <c r="AC374" s="1314">
        <f t="shared" si="15"/>
        <v>0</v>
      </c>
      <c r="AD374" s="1314">
        <f t="shared" si="16"/>
        <v>0</v>
      </c>
      <c r="AE374" s="2295">
        <f t="shared" si="17"/>
        <v>0</v>
      </c>
    </row>
    <row r="375" spans="1:31">
      <c r="A375" s="59" t="s">
        <v>331</v>
      </c>
      <c r="B375" s="57">
        <f t="shared" si="0"/>
        <v>0</v>
      </c>
      <c r="C375" s="60" t="str">
        <f>IF(B375&lt;&gt;1,"",SUM(B$354:B375))</f>
        <v/>
      </c>
      <c r="D375" s="57">
        <v>22</v>
      </c>
      <c r="E375" s="1958" t="s">
        <v>705</v>
      </c>
      <c r="F375" s="63" t="str">
        <f>IF(COUNTA($A$354:$A375)&lt;=MAX(DS_Counties_Sequence)=TRUE,LOOKUP(COUNTA($A$354:$A375),DS_Counties_Sequence,DS_Counties_DataNames),"")</f>
        <v>Miami-Dade</v>
      </c>
      <c r="G375" s="268" t="s">
        <v>331</v>
      </c>
      <c r="H375" s="67" t="s">
        <v>303</v>
      </c>
      <c r="I375" s="67" t="s">
        <v>314</v>
      </c>
      <c r="J375" s="1286">
        <v>3</v>
      </c>
      <c r="K375" s="2006" t="s">
        <v>2464</v>
      </c>
      <c r="M375" s="1541" t="s">
        <v>459</v>
      </c>
      <c r="N375" s="1542">
        <f>IF(M375="Yes",1+MAX(N$353:N374),0)</f>
        <v>0</v>
      </c>
      <c r="O375" s="1699" t="str">
        <f t="shared" si="1"/>
        <v>No</v>
      </c>
      <c r="P375" s="1802">
        <f t="shared" si="2"/>
        <v>1</v>
      </c>
      <c r="Q375" s="1314">
        <f t="shared" si="3"/>
        <v>0</v>
      </c>
      <c r="R375" s="1314">
        <f t="shared" si="4"/>
        <v>0</v>
      </c>
      <c r="S375" s="1803">
        <f t="shared" si="5"/>
        <v>2</v>
      </c>
      <c r="T375" s="1802">
        <f t="shared" si="6"/>
        <v>1</v>
      </c>
      <c r="U375" s="1314">
        <f t="shared" si="7"/>
        <v>0</v>
      </c>
      <c r="V375" s="1314">
        <f t="shared" si="8"/>
        <v>0</v>
      </c>
      <c r="W375" s="1803">
        <f t="shared" si="9"/>
        <v>4</v>
      </c>
      <c r="X375" s="1802">
        <f t="shared" si="10"/>
        <v>1</v>
      </c>
      <c r="Y375" s="1314">
        <f t="shared" si="11"/>
        <v>0</v>
      </c>
      <c r="Z375" s="1314">
        <f t="shared" si="12"/>
        <v>6</v>
      </c>
      <c r="AA375" s="2295">
        <f t="shared" si="13"/>
        <v>3</v>
      </c>
      <c r="AB375" s="1802">
        <f t="shared" si="14"/>
        <v>0</v>
      </c>
      <c r="AC375" s="1314">
        <f t="shared" si="15"/>
        <v>0</v>
      </c>
      <c r="AD375" s="1314">
        <f t="shared" si="16"/>
        <v>0</v>
      </c>
      <c r="AE375" s="2295">
        <f t="shared" si="17"/>
        <v>0</v>
      </c>
    </row>
    <row r="376" spans="1:31">
      <c r="A376" s="59" t="s">
        <v>332</v>
      </c>
      <c r="B376" s="57">
        <f t="shared" si="0"/>
        <v>0</v>
      </c>
      <c r="C376" s="60" t="str">
        <f>IF(B376&lt;&gt;1,"",SUM(B$354:B376))</f>
        <v/>
      </c>
      <c r="D376" s="57">
        <v>23</v>
      </c>
      <c r="E376" s="1958" t="s">
        <v>705</v>
      </c>
      <c r="F376" s="63" t="str">
        <f>IF(COUNTA($A$354:$A376)&lt;=MAX(DS_Counties_Sequence)=TRUE,LOOKUP(COUNTA($A$354:$A376),DS_Counties_Sequence,DS_Counties_DataNames),"")</f>
        <v>Nassau</v>
      </c>
      <c r="G376" s="268" t="s">
        <v>332</v>
      </c>
      <c r="H376" s="67" t="s">
        <v>303</v>
      </c>
      <c r="I376" s="67" t="s">
        <v>314</v>
      </c>
      <c r="J376" s="1286">
        <v>1</v>
      </c>
      <c r="K376" s="2005" t="s">
        <v>2466</v>
      </c>
      <c r="M376" s="1541" t="s">
        <v>459</v>
      </c>
      <c r="N376" s="1542">
        <f>IF(M376="Yes",1+MAX(N$353:N375),0)</f>
        <v>0</v>
      </c>
      <c r="O376" s="1699" t="str">
        <f t="shared" si="1"/>
        <v>No</v>
      </c>
      <c r="P376" s="1802">
        <f t="shared" si="2"/>
        <v>0</v>
      </c>
      <c r="Q376" s="1314">
        <f t="shared" si="3"/>
        <v>0</v>
      </c>
      <c r="R376" s="1314">
        <f t="shared" si="4"/>
        <v>2</v>
      </c>
      <c r="S376" s="1803">
        <f t="shared" si="5"/>
        <v>0</v>
      </c>
      <c r="T376" s="1802">
        <f t="shared" si="6"/>
        <v>0</v>
      </c>
      <c r="U376" s="1314">
        <f t="shared" si="7"/>
        <v>0</v>
      </c>
      <c r="V376" s="1314">
        <f t="shared" si="8"/>
        <v>2</v>
      </c>
      <c r="W376" s="1803">
        <f t="shared" si="9"/>
        <v>2</v>
      </c>
      <c r="X376" s="1802">
        <f t="shared" si="10"/>
        <v>0</v>
      </c>
      <c r="Y376" s="1314">
        <f t="shared" si="11"/>
        <v>0</v>
      </c>
      <c r="Z376" s="1314">
        <f t="shared" si="12"/>
        <v>6</v>
      </c>
      <c r="AA376" s="2295">
        <f t="shared" si="13"/>
        <v>2</v>
      </c>
      <c r="AB376" s="1802">
        <f t="shared" si="14"/>
        <v>0</v>
      </c>
      <c r="AC376" s="1314">
        <f t="shared" si="15"/>
        <v>0</v>
      </c>
      <c r="AD376" s="1314">
        <f t="shared" si="16"/>
        <v>0</v>
      </c>
      <c r="AE376" s="2295">
        <f t="shared" si="17"/>
        <v>0</v>
      </c>
    </row>
    <row r="377" spans="1:31">
      <c r="A377" s="59" t="s">
        <v>333</v>
      </c>
      <c r="B377" s="57">
        <f t="shared" si="0"/>
        <v>0</v>
      </c>
      <c r="C377" s="60" t="str">
        <f>IF(B377&lt;&gt;1,"",SUM(B$354:B377))</f>
        <v/>
      </c>
      <c r="D377" s="57">
        <v>24</v>
      </c>
      <c r="E377" s="1958" t="s">
        <v>705</v>
      </c>
      <c r="F377" s="63" t="str">
        <f>IF(COUNTA($A$354:$A377)&lt;=MAX(DS_Counties_Sequence)=TRUE,LOOKUP(COUNTA($A$354:$A377),DS_Counties_Sequence,DS_Counties_DataNames),"")</f>
        <v>Okaloosa</v>
      </c>
      <c r="G377" s="268" t="s">
        <v>333</v>
      </c>
      <c r="H377" s="67" t="s">
        <v>303</v>
      </c>
      <c r="I377" s="67" t="s">
        <v>304</v>
      </c>
      <c r="J377" s="1286">
        <v>3</v>
      </c>
      <c r="K377" s="2005" t="s">
        <v>2465</v>
      </c>
      <c r="M377" s="1541" t="s">
        <v>459</v>
      </c>
      <c r="N377" s="1542">
        <f>IF(M377="Yes",1+MAX(N$353:N376),0)</f>
        <v>0</v>
      </c>
      <c r="O377" s="1699" t="str">
        <f t="shared" si="1"/>
        <v>No</v>
      </c>
      <c r="P377" s="1802">
        <f t="shared" si="2"/>
        <v>0</v>
      </c>
      <c r="Q377" s="1314">
        <f t="shared" si="3"/>
        <v>0</v>
      </c>
      <c r="R377" s="1314">
        <f t="shared" si="4"/>
        <v>2</v>
      </c>
      <c r="S377" s="1803">
        <f t="shared" si="5"/>
        <v>4</v>
      </c>
      <c r="T377" s="1802">
        <f t="shared" si="6"/>
        <v>0</v>
      </c>
      <c r="U377" s="1314">
        <f t="shared" si="7"/>
        <v>0</v>
      </c>
      <c r="V377" s="1314">
        <f t="shared" si="8"/>
        <v>4</v>
      </c>
      <c r="W377" s="1803">
        <f t="shared" si="9"/>
        <v>3</v>
      </c>
      <c r="X377" s="1802">
        <f t="shared" si="10"/>
        <v>0</v>
      </c>
      <c r="Y377" s="1314">
        <f t="shared" si="11"/>
        <v>0</v>
      </c>
      <c r="Z377" s="1314">
        <f t="shared" si="12"/>
        <v>8</v>
      </c>
      <c r="AA377" s="2295">
        <f t="shared" si="13"/>
        <v>3</v>
      </c>
      <c r="AB377" s="1802">
        <f t="shared" si="14"/>
        <v>0</v>
      </c>
      <c r="AC377" s="1314">
        <f t="shared" si="15"/>
        <v>0</v>
      </c>
      <c r="AD377" s="1314">
        <f t="shared" si="16"/>
        <v>0</v>
      </c>
      <c r="AE377" s="2295">
        <f t="shared" si="17"/>
        <v>0</v>
      </c>
    </row>
    <row r="378" spans="1:31">
      <c r="A378" s="59" t="s">
        <v>334</v>
      </c>
      <c r="B378" s="57">
        <f t="shared" si="0"/>
        <v>0</v>
      </c>
      <c r="C378" s="60" t="str">
        <f>IF(B378&lt;&gt;1,"",SUM(B$354:B378))</f>
        <v/>
      </c>
      <c r="D378" s="57">
        <v>25</v>
      </c>
      <c r="E378" s="1958" t="s">
        <v>705</v>
      </c>
      <c r="F378" s="63" t="str">
        <f>IF(COUNTA($A$354:$A378)&lt;=MAX(DS_Counties_Sequence)=TRUE,LOOKUP(COUNTA($A$354:$A378),DS_Counties_Sequence,DS_Counties_DataNames),"")</f>
        <v>Orange</v>
      </c>
      <c r="G378" s="268" t="s">
        <v>334</v>
      </c>
      <c r="H378" s="67" t="s">
        <v>303</v>
      </c>
      <c r="I378" s="67" t="s">
        <v>304</v>
      </c>
      <c r="J378" s="1286">
        <v>3</v>
      </c>
      <c r="K378" s="2005" t="s">
        <v>2465</v>
      </c>
      <c r="L378" s="2206" t="s">
        <v>2577</v>
      </c>
      <c r="M378" s="1541" t="str">
        <f>IF(IFERROR(MATCH("orker",DS_Demo_DDMenu,0),0)&gt;0,"Yes","No")</f>
        <v>No</v>
      </c>
      <c r="N378" s="1542">
        <f>IF(M378="Yes",1+MAX(N$353:N377),0)</f>
        <v>0</v>
      </c>
      <c r="O378" s="1699" t="str">
        <f t="shared" si="1"/>
        <v>No</v>
      </c>
      <c r="P378" s="1802">
        <f t="shared" si="2"/>
        <v>0</v>
      </c>
      <c r="Q378" s="1314">
        <f t="shared" si="3"/>
        <v>0</v>
      </c>
      <c r="R378" s="1314">
        <f t="shared" si="4"/>
        <v>3</v>
      </c>
      <c r="S378" s="1803">
        <f t="shared" si="5"/>
        <v>3</v>
      </c>
      <c r="T378" s="1802">
        <f t="shared" si="6"/>
        <v>0</v>
      </c>
      <c r="U378" s="1314">
        <f t="shared" si="7"/>
        <v>0</v>
      </c>
      <c r="V378" s="1314">
        <f t="shared" si="8"/>
        <v>4</v>
      </c>
      <c r="W378" s="1803">
        <f t="shared" si="9"/>
        <v>5</v>
      </c>
      <c r="X378" s="1802">
        <f t="shared" si="10"/>
        <v>0</v>
      </c>
      <c r="Y378" s="1314">
        <f t="shared" si="11"/>
        <v>0</v>
      </c>
      <c r="Z378" s="1314">
        <f t="shared" si="12"/>
        <v>10</v>
      </c>
      <c r="AA378" s="2295">
        <f t="shared" si="13"/>
        <v>5</v>
      </c>
      <c r="AB378" s="1802">
        <f t="shared" si="14"/>
        <v>0</v>
      </c>
      <c r="AC378" s="1314">
        <f t="shared" si="15"/>
        <v>0</v>
      </c>
      <c r="AD378" s="1314">
        <f t="shared" si="16"/>
        <v>0</v>
      </c>
      <c r="AE378" s="2295">
        <f t="shared" si="17"/>
        <v>0</v>
      </c>
    </row>
    <row r="379" spans="1:31">
      <c r="A379" s="59" t="s">
        <v>335</v>
      </c>
      <c r="B379" s="57">
        <f t="shared" si="0"/>
        <v>1</v>
      </c>
      <c r="C379" s="60">
        <f>IF(B379&lt;&gt;1,"",SUM(B$354:B379))</f>
        <v>12</v>
      </c>
      <c r="D379" s="57">
        <v>26</v>
      </c>
      <c r="E379" s="60" t="s">
        <v>2414</v>
      </c>
      <c r="F379" s="63" t="str">
        <f>IF(COUNTA($A$354:$A379)&lt;=MAX(DS_Counties_Sequence)=TRUE,LOOKUP(COUNTA($A$354:$A379),DS_Counties_Sequence,DS_Counties_DataNames),"")</f>
        <v>Osceola</v>
      </c>
      <c r="G379" s="268" t="s">
        <v>335</v>
      </c>
      <c r="H379" s="67" t="s">
        <v>298</v>
      </c>
      <c r="I379" s="67" t="s">
        <v>182</v>
      </c>
      <c r="J379" s="1286"/>
      <c r="K379" s="2004" t="s">
        <v>705</v>
      </c>
      <c r="M379" s="1541" t="s">
        <v>459</v>
      </c>
      <c r="N379" s="1542">
        <f>IF(M379="Yes",1+MAX(N$353:N378),0)</f>
        <v>0</v>
      </c>
      <c r="O379" s="1699" t="str">
        <f t="shared" si="1"/>
        <v>No</v>
      </c>
      <c r="P379" s="1802">
        <f t="shared" si="2"/>
        <v>1</v>
      </c>
      <c r="Q379" s="1314">
        <f t="shared" si="3"/>
        <v>5</v>
      </c>
      <c r="R379" s="1314">
        <f t="shared" si="4"/>
        <v>0</v>
      </c>
      <c r="S379" s="1803">
        <f t="shared" si="5"/>
        <v>26</v>
      </c>
      <c r="T379" s="1802">
        <f t="shared" si="6"/>
        <v>0</v>
      </c>
      <c r="U379" s="1314">
        <f t="shared" si="7"/>
        <v>4</v>
      </c>
      <c r="V379" s="1314">
        <f t="shared" si="8"/>
        <v>0</v>
      </c>
      <c r="W379" s="1803">
        <f t="shared" si="9"/>
        <v>24</v>
      </c>
      <c r="X379" s="1802">
        <f t="shared" si="10"/>
        <v>1</v>
      </c>
      <c r="Y379" s="1314">
        <f t="shared" si="11"/>
        <v>47</v>
      </c>
      <c r="Z379" s="1314">
        <f t="shared" si="12"/>
        <v>0</v>
      </c>
      <c r="AA379" s="2295">
        <f t="shared" si="13"/>
        <v>24</v>
      </c>
      <c r="AB379" s="1802">
        <f t="shared" si="14"/>
        <v>0</v>
      </c>
      <c r="AC379" s="1314">
        <f t="shared" si="15"/>
        <v>0</v>
      </c>
      <c r="AD379" s="1314">
        <f t="shared" si="16"/>
        <v>0</v>
      </c>
      <c r="AE379" s="2295">
        <f t="shared" si="17"/>
        <v>0</v>
      </c>
    </row>
    <row r="380" spans="1:31">
      <c r="A380" s="59" t="s">
        <v>336</v>
      </c>
      <c r="B380" s="57">
        <f t="shared" si="0"/>
        <v>1</v>
      </c>
      <c r="C380" s="60">
        <f>IF(B380&lt;&gt;1,"",SUM(B$354:B380))</f>
        <v>13</v>
      </c>
      <c r="D380" s="57">
        <v>27</v>
      </c>
      <c r="E380" s="60" t="s">
        <v>2413</v>
      </c>
      <c r="F380" s="63" t="str">
        <f>IF(COUNTA($A$354:$A380)&lt;=MAX(DS_Counties_Sequence)=TRUE,LOOKUP(COUNTA($A$354:$A380),DS_Counties_Sequence,DS_Counties_DataNames),"")</f>
        <v>Palm Beach</v>
      </c>
      <c r="G380" s="268" t="s">
        <v>336</v>
      </c>
      <c r="H380" s="67" t="s">
        <v>298</v>
      </c>
      <c r="I380" s="67" t="s">
        <v>182</v>
      </c>
      <c r="J380" s="1286">
        <v>3</v>
      </c>
      <c r="K380" s="2005" t="s">
        <v>2465</v>
      </c>
      <c r="M380" s="1541" t="s">
        <v>459</v>
      </c>
      <c r="N380" s="1542">
        <f>IF(M380="Yes",1+MAX(N$353:N379),0)</f>
        <v>0</v>
      </c>
      <c r="O380" s="1699" t="str">
        <f t="shared" si="1"/>
        <v>No</v>
      </c>
      <c r="P380" s="1802">
        <f t="shared" si="2"/>
        <v>3</v>
      </c>
      <c r="Q380" s="1314">
        <f t="shared" si="3"/>
        <v>5</v>
      </c>
      <c r="R380" s="1314">
        <f t="shared" si="4"/>
        <v>0</v>
      </c>
      <c r="S380" s="1803">
        <f t="shared" si="5"/>
        <v>12</v>
      </c>
      <c r="T380" s="1802">
        <f t="shared" si="6"/>
        <v>2</v>
      </c>
      <c r="U380" s="1314">
        <f t="shared" si="7"/>
        <v>6</v>
      </c>
      <c r="V380" s="1314">
        <f t="shared" si="8"/>
        <v>0</v>
      </c>
      <c r="W380" s="1803">
        <f t="shared" si="9"/>
        <v>18</v>
      </c>
      <c r="X380" s="1802">
        <f t="shared" si="10"/>
        <v>1</v>
      </c>
      <c r="Y380" s="1314">
        <f t="shared" si="11"/>
        <v>35</v>
      </c>
      <c r="Z380" s="1314">
        <f t="shared" si="12"/>
        <v>0</v>
      </c>
      <c r="AA380" s="2295">
        <f t="shared" si="13"/>
        <v>17</v>
      </c>
      <c r="AB380" s="1802">
        <f t="shared" si="14"/>
        <v>0</v>
      </c>
      <c r="AC380" s="1314">
        <f t="shared" si="15"/>
        <v>0</v>
      </c>
      <c r="AD380" s="1314">
        <f t="shared" si="16"/>
        <v>0</v>
      </c>
      <c r="AE380" s="2295">
        <f t="shared" si="17"/>
        <v>0</v>
      </c>
    </row>
    <row r="381" spans="1:31">
      <c r="A381" s="59" t="s">
        <v>337</v>
      </c>
      <c r="B381" s="57">
        <f t="shared" si="0"/>
        <v>1</v>
      </c>
      <c r="C381" s="60">
        <f>IF(B381&lt;&gt;1,"",SUM(B$354:B381))</f>
        <v>14</v>
      </c>
      <c r="D381" s="57">
        <v>28</v>
      </c>
      <c r="E381" s="60" t="s">
        <v>2414</v>
      </c>
      <c r="F381" s="63" t="str">
        <f>IF(COUNTA($A$354:$A381)&lt;=MAX(DS_Counties_Sequence)=TRUE,LOOKUP(COUNTA($A$354:$A381),DS_Counties_Sequence,DS_Counties_DataNames),"")</f>
        <v>Pasco</v>
      </c>
      <c r="G381" s="268" t="s">
        <v>337</v>
      </c>
      <c r="H381" s="67" t="s">
        <v>311</v>
      </c>
      <c r="I381" s="67" t="s">
        <v>324</v>
      </c>
      <c r="J381" s="1286"/>
      <c r="K381" s="2004" t="s">
        <v>705</v>
      </c>
      <c r="M381" s="1541" t="s">
        <v>459</v>
      </c>
      <c r="N381" s="1542">
        <f>IF(M381="Yes",1+MAX(N$353:N380),0)</f>
        <v>0</v>
      </c>
      <c r="O381" s="1699" t="str">
        <f t="shared" si="1"/>
        <v>No</v>
      </c>
      <c r="P381" s="1802">
        <f t="shared" si="2"/>
        <v>33</v>
      </c>
      <c r="Q381" s="1314">
        <f t="shared" si="3"/>
        <v>80</v>
      </c>
      <c r="R381" s="1314">
        <f t="shared" si="4"/>
        <v>0</v>
      </c>
      <c r="S381" s="1803">
        <f t="shared" si="5"/>
        <v>172</v>
      </c>
      <c r="T381" s="1802">
        <f t="shared" si="6"/>
        <v>29</v>
      </c>
      <c r="U381" s="1314">
        <f t="shared" si="7"/>
        <v>73</v>
      </c>
      <c r="V381" s="1314">
        <f t="shared" si="8"/>
        <v>0</v>
      </c>
      <c r="W381" s="1803">
        <f t="shared" si="9"/>
        <v>188</v>
      </c>
      <c r="X381" s="1802">
        <f t="shared" si="10"/>
        <v>37</v>
      </c>
      <c r="Y381" s="1314">
        <f t="shared" si="11"/>
        <v>335</v>
      </c>
      <c r="Z381" s="1314">
        <f t="shared" si="12"/>
        <v>0</v>
      </c>
      <c r="AA381" s="2295">
        <f t="shared" si="13"/>
        <v>191</v>
      </c>
      <c r="AB381" s="1802">
        <f t="shared" si="14"/>
        <v>0</v>
      </c>
      <c r="AC381" s="1314">
        <f t="shared" si="15"/>
        <v>0</v>
      </c>
      <c r="AD381" s="1314">
        <f t="shared" si="16"/>
        <v>0</v>
      </c>
      <c r="AE381" s="2295">
        <f t="shared" si="17"/>
        <v>0</v>
      </c>
    </row>
    <row r="382" spans="1:31">
      <c r="A382" s="59" t="s">
        <v>338</v>
      </c>
      <c r="B382" s="57">
        <f t="shared" si="0"/>
        <v>0</v>
      </c>
      <c r="C382" s="60" t="str">
        <f>IF(B382&lt;&gt;1,"",SUM(B$354:B382))</f>
        <v/>
      </c>
      <c r="D382" s="57">
        <v>29</v>
      </c>
      <c r="E382" s="1958" t="s">
        <v>705</v>
      </c>
      <c r="F382" s="63" t="str">
        <f>IF(COUNTA($A$354:$A382)&lt;=MAX(DS_Counties_Sequence)=TRUE,LOOKUP(COUNTA($A$354:$A382),DS_Counties_Sequence,DS_Counties_DataNames),"")</f>
        <v>Pinellas</v>
      </c>
      <c r="G382" s="268" t="s">
        <v>338</v>
      </c>
      <c r="H382" s="67" t="s">
        <v>303</v>
      </c>
      <c r="I382" s="67" t="s">
        <v>314</v>
      </c>
      <c r="J382" s="1286">
        <v>3</v>
      </c>
      <c r="K382" s="2006" t="s">
        <v>2464</v>
      </c>
      <c r="M382" s="1541" t="s">
        <v>459</v>
      </c>
      <c r="N382" s="1542">
        <f>IF(M382="Yes",1+MAX(N$353:N381),0)</f>
        <v>0</v>
      </c>
      <c r="O382" s="1699" t="str">
        <f t="shared" si="1"/>
        <v>No</v>
      </c>
      <c r="P382" s="1802">
        <f t="shared" si="2"/>
        <v>0</v>
      </c>
      <c r="Q382" s="1314">
        <f t="shared" si="3"/>
        <v>0</v>
      </c>
      <c r="R382" s="1314">
        <f t="shared" si="4"/>
        <v>1</v>
      </c>
      <c r="S382" s="1803">
        <f t="shared" si="5"/>
        <v>1</v>
      </c>
      <c r="T382" s="1802">
        <f t="shared" si="6"/>
        <v>0</v>
      </c>
      <c r="U382" s="1314">
        <f t="shared" si="7"/>
        <v>0</v>
      </c>
      <c r="V382" s="1314">
        <f t="shared" si="8"/>
        <v>3</v>
      </c>
      <c r="W382" s="1803">
        <f t="shared" si="9"/>
        <v>5</v>
      </c>
      <c r="X382" s="1802">
        <f t="shared" si="10"/>
        <v>0</v>
      </c>
      <c r="Y382" s="1314">
        <f t="shared" si="11"/>
        <v>0</v>
      </c>
      <c r="Z382" s="1314">
        <f t="shared" si="12"/>
        <v>7</v>
      </c>
      <c r="AA382" s="2295">
        <f t="shared" si="13"/>
        <v>4</v>
      </c>
      <c r="AB382" s="1802">
        <f t="shared" si="14"/>
        <v>0</v>
      </c>
      <c r="AC382" s="1314">
        <f t="shared" si="15"/>
        <v>0</v>
      </c>
      <c r="AD382" s="1314">
        <f t="shared" si="16"/>
        <v>0</v>
      </c>
      <c r="AE382" s="2295">
        <f t="shared" si="17"/>
        <v>0</v>
      </c>
    </row>
    <row r="383" spans="1:31">
      <c r="A383" s="59" t="s">
        <v>339</v>
      </c>
      <c r="B383" s="57">
        <f t="shared" si="0"/>
        <v>1</v>
      </c>
      <c r="C383" s="60">
        <f>IF(B383&lt;&gt;1,"",SUM(B$354:B383))</f>
        <v>15</v>
      </c>
      <c r="D383" s="57">
        <v>30</v>
      </c>
      <c r="E383" s="60" t="s">
        <v>2412</v>
      </c>
      <c r="F383" s="63" t="str">
        <f>IF(COUNTA($A$354:$A383)&lt;=MAX(DS_Counties_Sequence)=TRUE,LOOKUP(COUNTA($A$354:$A383),DS_Counties_Sequence,DS_Counties_DataNames),"")</f>
        <v>Polk</v>
      </c>
      <c r="G383" s="268" t="s">
        <v>339</v>
      </c>
      <c r="H383" s="67" t="s">
        <v>298</v>
      </c>
      <c r="I383" s="67" t="s">
        <v>182</v>
      </c>
      <c r="J383" s="1286"/>
      <c r="K383" s="2004" t="s">
        <v>705</v>
      </c>
      <c r="L383" s="2206" t="s">
        <v>2577</v>
      </c>
      <c r="M383" s="2205" t="str">
        <f>IF(IFERROR(MATCH("orker",DS_Demo_DDMenu,0),0)&gt;0,"Yes","No")</f>
        <v>No</v>
      </c>
      <c r="N383" s="1542">
        <f>IF(M383="Yes",1+MAX(N$353:N382),0)</f>
        <v>0</v>
      </c>
      <c r="O383" s="1699" t="str">
        <f t="shared" si="1"/>
        <v>No</v>
      </c>
      <c r="P383" s="1802">
        <f t="shared" si="2"/>
        <v>2</v>
      </c>
      <c r="Q383" s="1314">
        <f t="shared" si="3"/>
        <v>3</v>
      </c>
      <c r="R383" s="1314">
        <f t="shared" si="4"/>
        <v>0</v>
      </c>
      <c r="S383" s="1803">
        <f t="shared" si="5"/>
        <v>0</v>
      </c>
      <c r="T383" s="1802">
        <f t="shared" si="6"/>
        <v>2</v>
      </c>
      <c r="U383" s="1314">
        <f t="shared" si="7"/>
        <v>3</v>
      </c>
      <c r="V383" s="1314">
        <f t="shared" si="8"/>
        <v>0</v>
      </c>
      <c r="W383" s="1803">
        <f t="shared" si="9"/>
        <v>25</v>
      </c>
      <c r="X383" s="1802">
        <f t="shared" si="10"/>
        <v>2</v>
      </c>
      <c r="Y383" s="1314">
        <f t="shared" si="11"/>
        <v>45</v>
      </c>
      <c r="Z383" s="1314">
        <f t="shared" si="12"/>
        <v>0</v>
      </c>
      <c r="AA383" s="2295">
        <f t="shared" si="13"/>
        <v>26</v>
      </c>
      <c r="AB383" s="1802">
        <f t="shared" si="14"/>
        <v>0</v>
      </c>
      <c r="AC383" s="1314">
        <f t="shared" si="15"/>
        <v>0</v>
      </c>
      <c r="AD383" s="1314">
        <f t="shared" si="16"/>
        <v>0</v>
      </c>
      <c r="AE383" s="2295">
        <f t="shared" si="17"/>
        <v>0</v>
      </c>
    </row>
    <row r="384" spans="1:31">
      <c r="A384" s="59" t="s">
        <v>340</v>
      </c>
      <c r="B384" s="57">
        <f t="shared" si="0"/>
        <v>0</v>
      </c>
      <c r="C384" s="60" t="str">
        <f>IF(B384&lt;&gt;1,"",SUM(B$354:B384))</f>
        <v/>
      </c>
      <c r="D384" s="57">
        <v>31</v>
      </c>
      <c r="E384" s="1958" t="s">
        <v>705</v>
      </c>
      <c r="F384" s="63" t="str">
        <f>IF(COUNTA($A$354:$A384)&lt;=MAX(DS_Counties_Sequence)=TRUE,LOOKUP(COUNTA($A$354:$A384),DS_Counties_Sequence,DS_Counties_DataNames),"")</f>
        <v>Santa Rosa</v>
      </c>
      <c r="G384" s="268" t="s">
        <v>340</v>
      </c>
      <c r="H384" s="67" t="s">
        <v>303</v>
      </c>
      <c r="I384" s="67" t="s">
        <v>304</v>
      </c>
      <c r="J384" s="1286">
        <v>3</v>
      </c>
      <c r="K384" s="2006" t="s">
        <v>2464</v>
      </c>
      <c r="M384" s="1541" t="s">
        <v>459</v>
      </c>
      <c r="N384" s="1542">
        <f>IF(M384="Yes",1+MAX(N$353:N383),0)</f>
        <v>0</v>
      </c>
      <c r="O384" s="1699" t="str">
        <f t="shared" si="1"/>
        <v>No</v>
      </c>
      <c r="P384" s="1802">
        <f t="shared" si="2"/>
        <v>0</v>
      </c>
      <c r="Q384" s="1314">
        <f t="shared" si="3"/>
        <v>0</v>
      </c>
      <c r="R384" s="1314">
        <f t="shared" si="4"/>
        <v>2</v>
      </c>
      <c r="S384" s="1803">
        <f t="shared" si="5"/>
        <v>6</v>
      </c>
      <c r="T384" s="1802">
        <f t="shared" si="6"/>
        <v>0</v>
      </c>
      <c r="U384" s="1314">
        <f t="shared" si="7"/>
        <v>0</v>
      </c>
      <c r="V384" s="1314">
        <f t="shared" si="8"/>
        <v>1</v>
      </c>
      <c r="W384" s="1803">
        <f t="shared" si="9"/>
        <v>8</v>
      </c>
      <c r="X384" s="1802">
        <f t="shared" si="10"/>
        <v>0</v>
      </c>
      <c r="Y384" s="1314">
        <f t="shared" si="11"/>
        <v>0</v>
      </c>
      <c r="Z384" s="1314">
        <f t="shared" si="12"/>
        <v>13</v>
      </c>
      <c r="AA384" s="2295">
        <f t="shared" si="13"/>
        <v>8</v>
      </c>
      <c r="AB384" s="1802">
        <f t="shared" si="14"/>
        <v>0</v>
      </c>
      <c r="AC384" s="1314">
        <f t="shared" si="15"/>
        <v>0</v>
      </c>
      <c r="AD384" s="1314">
        <f t="shared" si="16"/>
        <v>0</v>
      </c>
      <c r="AE384" s="2295">
        <f t="shared" si="17"/>
        <v>0</v>
      </c>
    </row>
    <row r="385" spans="1:31">
      <c r="A385" s="59" t="s">
        <v>341</v>
      </c>
      <c r="B385" s="57">
        <f t="shared" si="0"/>
        <v>0</v>
      </c>
      <c r="C385" s="60" t="str">
        <f>IF(B385&lt;&gt;1,"",SUM(B$354:B385))</f>
        <v/>
      </c>
      <c r="D385" s="57">
        <v>32</v>
      </c>
      <c r="E385" s="1958" t="s">
        <v>705</v>
      </c>
      <c r="F385" s="63" t="str">
        <f>IF(COUNTA($A$354:$A385)&lt;=MAX(DS_Counties_Sequence)=TRUE,LOOKUP(COUNTA($A$354:$A385),DS_Counties_Sequence,DS_Counties_DataNames),"")</f>
        <v>Sarasota</v>
      </c>
      <c r="G385" s="268" t="s">
        <v>341</v>
      </c>
      <c r="H385" s="67" t="s">
        <v>303</v>
      </c>
      <c r="I385" s="67" t="s">
        <v>314</v>
      </c>
      <c r="J385" s="1286">
        <v>3</v>
      </c>
      <c r="K385" s="2005" t="s">
        <v>2466</v>
      </c>
      <c r="M385" s="1541" t="s">
        <v>459</v>
      </c>
      <c r="N385" s="1542">
        <f>IF(M385="Yes",1+MAX(N$353:N384),0)</f>
        <v>0</v>
      </c>
      <c r="O385" s="1699" t="str">
        <f t="shared" si="1"/>
        <v>No</v>
      </c>
      <c r="P385" s="1802">
        <f t="shared" si="2"/>
        <v>0</v>
      </c>
      <c r="Q385" s="1314">
        <f t="shared" si="3"/>
        <v>0</v>
      </c>
      <c r="R385" s="1314">
        <f t="shared" si="4"/>
        <v>0</v>
      </c>
      <c r="S385" s="1803">
        <f t="shared" si="5"/>
        <v>2</v>
      </c>
      <c r="T385" s="1802">
        <f t="shared" si="6"/>
        <v>0</v>
      </c>
      <c r="U385" s="1314">
        <f t="shared" si="7"/>
        <v>0</v>
      </c>
      <c r="V385" s="1314">
        <f t="shared" si="8"/>
        <v>0</v>
      </c>
      <c r="W385" s="1803">
        <f t="shared" si="9"/>
        <v>4</v>
      </c>
      <c r="X385" s="1802">
        <f t="shared" si="10"/>
        <v>0</v>
      </c>
      <c r="Y385" s="1314">
        <f t="shared" si="11"/>
        <v>6</v>
      </c>
      <c r="Z385" s="1314">
        <f t="shared" si="12"/>
        <v>0</v>
      </c>
      <c r="AA385" s="2295">
        <f t="shared" si="13"/>
        <v>3</v>
      </c>
      <c r="AB385" s="1802">
        <f t="shared" si="14"/>
        <v>0</v>
      </c>
      <c r="AC385" s="1314">
        <f t="shared" si="15"/>
        <v>0</v>
      </c>
      <c r="AD385" s="1314">
        <f t="shared" si="16"/>
        <v>0</v>
      </c>
      <c r="AE385" s="2295">
        <f t="shared" si="17"/>
        <v>0</v>
      </c>
    </row>
    <row r="386" spans="1:31">
      <c r="A386" s="59" t="s">
        <v>342</v>
      </c>
      <c r="B386" s="57">
        <f t="shared" ref="B386:B420" si="18">IF(AND(H386="Large",L$350="Yes"),1,IF(AND(H386="Medium",L$351="Yes"),1,IF(AND(H386="Small",L$352="Yes"),1,0)))</f>
        <v>0</v>
      </c>
      <c r="C386" s="60" t="str">
        <f>IF(B386&lt;&gt;1,"",SUM(B$354:B386))</f>
        <v/>
      </c>
      <c r="D386" s="57">
        <v>33</v>
      </c>
      <c r="E386" s="1958" t="s">
        <v>705</v>
      </c>
      <c r="F386" s="63" t="str">
        <f>IF(COUNTA($A$354:$A386)&lt;=MAX(DS_Counties_Sequence)=TRUE,LOOKUP(COUNTA($A$354:$A386),DS_Counties_Sequence,DS_Counties_DataNames),"")</f>
        <v>Seminole</v>
      </c>
      <c r="G386" s="268" t="s">
        <v>342</v>
      </c>
      <c r="H386" s="67" t="s">
        <v>303</v>
      </c>
      <c r="I386" s="67" t="s">
        <v>314</v>
      </c>
      <c r="J386" s="1286">
        <v>2</v>
      </c>
      <c r="K386" s="2005" t="s">
        <v>2466</v>
      </c>
      <c r="M386" s="1541" t="s">
        <v>459</v>
      </c>
      <c r="N386" s="1542">
        <f>IF(M386="Yes",1+MAX(N$353:N385),0)</f>
        <v>0</v>
      </c>
      <c r="O386" s="1699" t="str">
        <f t="shared" ref="O386:O417" si="19">IF(AND(N386&gt;0,IFERROR(VLOOKUP(A386,DS_Counties_DDMenu,1),"No")&lt;&gt;"No"),"Yes","No")</f>
        <v>No</v>
      </c>
      <c r="P386" s="1802">
        <f t="shared" ref="P386:P420" si="20">COUNTIF(DS_ZCTAs_2022,$A386)</f>
        <v>0</v>
      </c>
      <c r="Q386" s="1314">
        <f t="shared" ref="Q386:Q420" si="21">COUNTIF(DS_Metro_QCTs_2022,$A386)</f>
        <v>0</v>
      </c>
      <c r="R386" s="1314">
        <f t="shared" ref="R386:R420" si="22">COUNTIF(DS_NonMetro_QCTs_2022,$A386)</f>
        <v>0</v>
      </c>
      <c r="S386" s="1803">
        <f t="shared" ref="S386:S420" si="23">COUNTIF(DS_GAOs_effective2.1.22,$A386)</f>
        <v>0</v>
      </c>
      <c r="T386" s="1802">
        <f t="shared" ref="T386:T420" si="24">COUNTIF(DS_ZCTAs_2023,$A386)</f>
        <v>0</v>
      </c>
      <c r="U386" s="1314">
        <f t="shared" ref="U386:U420" si="25">COUNTIF(DS_Metro_QCTs_2023,$A386)</f>
        <v>0</v>
      </c>
      <c r="V386" s="1314">
        <f t="shared" ref="V386:V420" si="26">COUNTIF(DS_NonMetro_QCTs_2023,$A386)</f>
        <v>0</v>
      </c>
      <c r="W386" s="1803">
        <f t="shared" ref="W386:W420" si="27">COUNTIF(DS_GAOs_effective2.1.23,$A386)</f>
        <v>1</v>
      </c>
      <c r="X386" s="1802">
        <f t="shared" ref="X386:X420" si="28">COUNTIF(DS_ZCTAs_2024,$A386)</f>
        <v>0</v>
      </c>
      <c r="Y386" s="1314">
        <f t="shared" ref="Y386:Y420" si="29">COUNTIF(DS_Metro_QCTs_2024,$A386)</f>
        <v>0</v>
      </c>
      <c r="Z386" s="1314">
        <f t="shared" ref="Z386:Z420" si="30">COUNTIF(DS_NonMetro_QCTs_2024,$A386)</f>
        <v>3</v>
      </c>
      <c r="AA386" s="2295">
        <f t="shared" ref="AA386:AA420" si="31">COUNTIF(DS_GAOs_effective2.1.24,$A386)</f>
        <v>1</v>
      </c>
      <c r="AB386" s="1802">
        <f t="shared" ref="AB386:AB420" si="32">COUNTIF(DS_ZCTAs_2025,$A386)</f>
        <v>0</v>
      </c>
      <c r="AC386" s="1314">
        <f t="shared" ref="AC386:AC420" si="33">COUNTIF(DS_Metro_QCTs_2025,$A386)</f>
        <v>0</v>
      </c>
      <c r="AD386" s="1314">
        <f t="shared" ref="AD386:AD420" si="34">COUNTIF(DS_NonMetro_QCTs_2025,$A386)</f>
        <v>0</v>
      </c>
      <c r="AE386" s="2295">
        <f t="shared" ref="AE386:AE420" si="35">COUNTIF(DS_GAOs_effective2.1.25,$A386)</f>
        <v>0</v>
      </c>
    </row>
    <row r="387" spans="1:31">
      <c r="A387" s="59" t="s">
        <v>343</v>
      </c>
      <c r="B387" s="57">
        <f t="shared" si="18"/>
        <v>1</v>
      </c>
      <c r="C387" s="60">
        <f>IF(B387&lt;&gt;1,"",SUM(B$354:B387))</f>
        <v>16</v>
      </c>
      <c r="D387" s="57">
        <v>34</v>
      </c>
      <c r="E387" s="60" t="s">
        <v>2414</v>
      </c>
      <c r="F387" s="63" t="str">
        <f>IF(COUNTA($A$354:$A387)&lt;=MAX(DS_Counties_Sequence)=TRUE,LOOKUP(COUNTA($A$354:$A387),DS_Counties_Sequence,DS_Counties_DataNames),"")</f>
        <v>St. Johns</v>
      </c>
      <c r="G387" s="268" t="s">
        <v>343</v>
      </c>
      <c r="H387" s="67" t="s">
        <v>298</v>
      </c>
      <c r="I387" s="67" t="s">
        <v>299</v>
      </c>
      <c r="J387" s="1286"/>
      <c r="K387" s="2004" t="s">
        <v>705</v>
      </c>
      <c r="M387" s="1541" t="s">
        <v>459</v>
      </c>
      <c r="N387" s="1542">
        <f>IF(M387="Yes",1+MAX(N$353:N386),0)</f>
        <v>0</v>
      </c>
      <c r="O387" s="1699" t="str">
        <f t="shared" si="19"/>
        <v>No</v>
      </c>
      <c r="P387" s="1802">
        <f t="shared" si="20"/>
        <v>6</v>
      </c>
      <c r="Q387" s="1314">
        <f t="shared" si="21"/>
        <v>7</v>
      </c>
      <c r="R387" s="1314">
        <f t="shared" si="22"/>
        <v>0</v>
      </c>
      <c r="S387" s="1803">
        <f t="shared" si="23"/>
        <v>31</v>
      </c>
      <c r="T387" s="1802">
        <f t="shared" si="24"/>
        <v>8</v>
      </c>
      <c r="U387" s="1314">
        <f t="shared" si="25"/>
        <v>6</v>
      </c>
      <c r="V387" s="1314">
        <f t="shared" si="26"/>
        <v>0</v>
      </c>
      <c r="W387" s="1803">
        <f t="shared" si="27"/>
        <v>40</v>
      </c>
      <c r="X387" s="1802">
        <f t="shared" si="28"/>
        <v>8</v>
      </c>
      <c r="Y387" s="1314">
        <f t="shared" si="29"/>
        <v>75</v>
      </c>
      <c r="Z387" s="1314">
        <f t="shared" si="30"/>
        <v>0</v>
      </c>
      <c r="AA387" s="2295">
        <f t="shared" si="31"/>
        <v>41</v>
      </c>
      <c r="AB387" s="1802">
        <f t="shared" si="32"/>
        <v>0</v>
      </c>
      <c r="AC387" s="1314">
        <f t="shared" si="33"/>
        <v>0</v>
      </c>
      <c r="AD387" s="1314">
        <f t="shared" si="34"/>
        <v>0</v>
      </c>
      <c r="AE387" s="2295">
        <f t="shared" si="35"/>
        <v>0</v>
      </c>
    </row>
    <row r="388" spans="1:31">
      <c r="A388" s="59" t="s">
        <v>344</v>
      </c>
      <c r="B388" s="57">
        <f t="shared" si="18"/>
        <v>1</v>
      </c>
      <c r="C388" s="60">
        <f>IF(B388&lt;&gt;1,"",SUM(B$354:B388))</f>
        <v>17</v>
      </c>
      <c r="D388" s="57">
        <v>35</v>
      </c>
      <c r="E388" s="60" t="s">
        <v>2414</v>
      </c>
      <c r="F388" s="63" t="str">
        <f>IF(COUNTA($A$354:$A388)&lt;=MAX(DS_Counties_Sequence)=TRUE,LOOKUP(COUNTA($A$354:$A388),DS_Counties_Sequence,DS_Counties_DataNames),"")</f>
        <v>St. Lucie</v>
      </c>
      <c r="G388" s="268" t="s">
        <v>344</v>
      </c>
      <c r="H388" s="67" t="s">
        <v>298</v>
      </c>
      <c r="I388" s="67" t="s">
        <v>299</v>
      </c>
      <c r="J388" s="1286"/>
      <c r="K388" s="2004" t="s">
        <v>705</v>
      </c>
      <c r="M388" s="1541" t="s">
        <v>459</v>
      </c>
      <c r="N388" s="1542">
        <f>IF(M388="Yes",1+MAX(N$353:N387),0)</f>
        <v>0</v>
      </c>
      <c r="O388" s="1699" t="str">
        <f t="shared" si="19"/>
        <v>No</v>
      </c>
      <c r="P388" s="1802">
        <f t="shared" si="20"/>
        <v>16</v>
      </c>
      <c r="Q388" s="1314">
        <f t="shared" si="21"/>
        <v>20</v>
      </c>
      <c r="R388" s="1314">
        <f t="shared" si="22"/>
        <v>0</v>
      </c>
      <c r="S388" s="1803">
        <f t="shared" si="23"/>
        <v>95</v>
      </c>
      <c r="T388" s="1802">
        <f t="shared" si="24"/>
        <v>11</v>
      </c>
      <c r="U388" s="1314">
        <f t="shared" si="25"/>
        <v>21</v>
      </c>
      <c r="V388" s="1314">
        <f t="shared" si="26"/>
        <v>0</v>
      </c>
      <c r="W388" s="1803">
        <f t="shared" si="27"/>
        <v>131</v>
      </c>
      <c r="X388" s="1802">
        <f t="shared" si="28"/>
        <v>13</v>
      </c>
      <c r="Y388" s="1314">
        <f t="shared" si="29"/>
        <v>223</v>
      </c>
      <c r="Z388" s="1314">
        <f t="shared" si="30"/>
        <v>0</v>
      </c>
      <c r="AA388" s="2295">
        <f t="shared" si="31"/>
        <v>135</v>
      </c>
      <c r="AB388" s="1802">
        <f t="shared" si="32"/>
        <v>0</v>
      </c>
      <c r="AC388" s="1314">
        <f t="shared" si="33"/>
        <v>0</v>
      </c>
      <c r="AD388" s="1314">
        <f t="shared" si="34"/>
        <v>0</v>
      </c>
      <c r="AE388" s="2295">
        <f t="shared" si="35"/>
        <v>0</v>
      </c>
    </row>
    <row r="389" spans="1:31">
      <c r="A389" s="59" t="s">
        <v>345</v>
      </c>
      <c r="B389" s="57">
        <f t="shared" si="18"/>
        <v>1</v>
      </c>
      <c r="C389" s="60">
        <f>IF(B389&lt;&gt;1,"",SUM(B$354:B389))</f>
        <v>18</v>
      </c>
      <c r="D389" s="57">
        <v>36</v>
      </c>
      <c r="E389" s="60" t="s">
        <v>2411</v>
      </c>
      <c r="F389" s="63" t="str">
        <f>IF(COUNTA($A$354:$A389)&lt;=MAX(DS_Counties_Sequence)=TRUE,LOOKUP(COUNTA($A$354:$A389),DS_Counties_Sequence,DS_Counties_DataNames),"")</f>
        <v>Sumter</v>
      </c>
      <c r="G389" s="268" t="s">
        <v>345</v>
      </c>
      <c r="H389" s="67" t="s">
        <v>298</v>
      </c>
      <c r="I389" s="67" t="s">
        <v>299</v>
      </c>
      <c r="J389" s="1286"/>
      <c r="K389" s="2004" t="s">
        <v>705</v>
      </c>
      <c r="M389" s="1541" t="s">
        <v>459</v>
      </c>
      <c r="N389" s="1542">
        <f>IF(M389="Yes",1+MAX(N$353:N388),0)</f>
        <v>0</v>
      </c>
      <c r="O389" s="1699" t="str">
        <f t="shared" si="19"/>
        <v>No</v>
      </c>
      <c r="P389" s="1802">
        <f t="shared" si="20"/>
        <v>1</v>
      </c>
      <c r="Q389" s="1314">
        <f t="shared" si="21"/>
        <v>18</v>
      </c>
      <c r="R389" s="1314">
        <f t="shared" si="22"/>
        <v>0</v>
      </c>
      <c r="S389" s="1803">
        <f t="shared" si="23"/>
        <v>38</v>
      </c>
      <c r="T389" s="1802">
        <f t="shared" si="24"/>
        <v>2</v>
      </c>
      <c r="U389" s="1314">
        <f t="shared" si="25"/>
        <v>20</v>
      </c>
      <c r="V389" s="1314">
        <f t="shared" si="26"/>
        <v>0</v>
      </c>
      <c r="W389" s="1803">
        <f t="shared" si="27"/>
        <v>45</v>
      </c>
      <c r="X389" s="1802">
        <f t="shared" si="28"/>
        <v>0</v>
      </c>
      <c r="Y389" s="1314">
        <f t="shared" si="29"/>
        <v>79</v>
      </c>
      <c r="Z389" s="1314">
        <f t="shared" si="30"/>
        <v>0</v>
      </c>
      <c r="AA389" s="2295">
        <f t="shared" si="31"/>
        <v>43</v>
      </c>
      <c r="AB389" s="1802">
        <f t="shared" si="32"/>
        <v>0</v>
      </c>
      <c r="AC389" s="1314">
        <f t="shared" si="33"/>
        <v>0</v>
      </c>
      <c r="AD389" s="1314">
        <f t="shared" si="34"/>
        <v>0</v>
      </c>
      <c r="AE389" s="2295">
        <f t="shared" si="35"/>
        <v>0</v>
      </c>
    </row>
    <row r="390" spans="1:31">
      <c r="A390" s="59" t="s">
        <v>346</v>
      </c>
      <c r="B390" s="57">
        <f t="shared" si="18"/>
        <v>0</v>
      </c>
      <c r="C390" s="60" t="str">
        <f>IF(B390&lt;&gt;1,"",SUM(B$354:B390))</f>
        <v/>
      </c>
      <c r="D390" s="57">
        <v>37</v>
      </c>
      <c r="E390" s="1958" t="s">
        <v>705</v>
      </c>
      <c r="F390" s="63" t="str">
        <f>IF(COUNTA($A$354:$A390)&lt;=MAX(DS_Counties_Sequence)=TRUE,LOOKUP(COUNTA($A$354:$A390),DS_Counties_Sequence,DS_Counties_DataNames),"")</f>
        <v>Volusia</v>
      </c>
      <c r="G390" s="268" t="s">
        <v>346</v>
      </c>
      <c r="H390" s="67" t="s">
        <v>303</v>
      </c>
      <c r="I390" s="67" t="s">
        <v>304</v>
      </c>
      <c r="J390" s="1698">
        <v>2</v>
      </c>
      <c r="K390" s="2005" t="s">
        <v>2466</v>
      </c>
      <c r="M390" s="1698" t="s">
        <v>459</v>
      </c>
      <c r="N390" s="1542">
        <f>IF(M390="Yes",1+MAX(N$353:N389),0)</f>
        <v>0</v>
      </c>
      <c r="O390" s="1699" t="str">
        <f t="shared" si="19"/>
        <v>No</v>
      </c>
      <c r="P390" s="1802">
        <f t="shared" si="20"/>
        <v>0</v>
      </c>
      <c r="Q390" s="1314">
        <f t="shared" si="21"/>
        <v>0</v>
      </c>
      <c r="R390" s="1314">
        <f t="shared" si="22"/>
        <v>2</v>
      </c>
      <c r="S390" s="1803">
        <f t="shared" si="23"/>
        <v>5</v>
      </c>
      <c r="T390" s="1802">
        <f t="shared" si="24"/>
        <v>0</v>
      </c>
      <c r="U390" s="1314">
        <f t="shared" si="25"/>
        <v>0</v>
      </c>
      <c r="V390" s="1314">
        <f t="shared" si="26"/>
        <v>0</v>
      </c>
      <c r="W390" s="1803">
        <f t="shared" si="27"/>
        <v>8</v>
      </c>
      <c r="X390" s="1802">
        <f t="shared" si="28"/>
        <v>0</v>
      </c>
      <c r="Y390" s="1314">
        <f t="shared" si="29"/>
        <v>13</v>
      </c>
      <c r="Z390" s="1314">
        <f t="shared" si="30"/>
        <v>0</v>
      </c>
      <c r="AA390" s="2295">
        <f t="shared" si="31"/>
        <v>7</v>
      </c>
      <c r="AB390" s="1802">
        <f t="shared" si="32"/>
        <v>0</v>
      </c>
      <c r="AC390" s="1314">
        <f t="shared" si="33"/>
        <v>0</v>
      </c>
      <c r="AD390" s="1314">
        <f t="shared" si="34"/>
        <v>0</v>
      </c>
      <c r="AE390" s="2295">
        <f t="shared" si="35"/>
        <v>0</v>
      </c>
    </row>
    <row r="391" spans="1:31">
      <c r="A391" s="59" t="s">
        <v>347</v>
      </c>
      <c r="B391" s="57">
        <f t="shared" si="18"/>
        <v>0</v>
      </c>
      <c r="C391" s="60" t="str">
        <f>IF(B391&lt;&gt;1,"",SUM(B$354:B391))</f>
        <v/>
      </c>
      <c r="D391" s="57">
        <v>38</v>
      </c>
      <c r="E391" s="1958" t="s">
        <v>705</v>
      </c>
      <c r="F391" s="63" t="str">
        <f>IF(COUNTA($A$354:$A391)&lt;=MAX(DS_Counties_Sequence)=TRUE,LOOKUP(COUNTA($A$354:$A391),DS_Counties_Sequence,DS_Counties_DataNames),"")</f>
        <v/>
      </c>
      <c r="G391" s="268" t="s">
        <v>347</v>
      </c>
      <c r="H391" s="67" t="s">
        <v>303</v>
      </c>
      <c r="I391" s="67" t="s">
        <v>314</v>
      </c>
      <c r="J391" s="1286">
        <v>3</v>
      </c>
      <c r="K391" s="2006" t="s">
        <v>2464</v>
      </c>
      <c r="M391" s="1541" t="s">
        <v>459</v>
      </c>
      <c r="N391" s="1542">
        <f>IF(M391="Yes",1+MAX(N$353:N390),0)</f>
        <v>0</v>
      </c>
      <c r="O391" s="1699" t="str">
        <f t="shared" si="19"/>
        <v>No</v>
      </c>
      <c r="P391" s="1802">
        <f t="shared" si="20"/>
        <v>0</v>
      </c>
      <c r="Q391" s="1314">
        <f t="shared" si="21"/>
        <v>0</v>
      </c>
      <c r="R391" s="1314">
        <f t="shared" si="22"/>
        <v>0</v>
      </c>
      <c r="S391" s="1803">
        <f t="shared" si="23"/>
        <v>1</v>
      </c>
      <c r="T391" s="1802">
        <f t="shared" si="24"/>
        <v>0</v>
      </c>
      <c r="U391" s="1314">
        <f t="shared" si="25"/>
        <v>0</v>
      </c>
      <c r="V391" s="1314">
        <f t="shared" si="26"/>
        <v>1</v>
      </c>
      <c r="W391" s="1803">
        <f t="shared" si="27"/>
        <v>3</v>
      </c>
      <c r="X391" s="1802">
        <f t="shared" si="28"/>
        <v>0</v>
      </c>
      <c r="Y391" s="1314">
        <f t="shared" si="29"/>
        <v>0</v>
      </c>
      <c r="Z391" s="1314">
        <f t="shared" si="30"/>
        <v>4</v>
      </c>
      <c r="AA391" s="2295">
        <f t="shared" si="31"/>
        <v>2</v>
      </c>
      <c r="AB391" s="1802">
        <f t="shared" si="32"/>
        <v>0</v>
      </c>
      <c r="AC391" s="1314">
        <f t="shared" si="33"/>
        <v>0</v>
      </c>
      <c r="AD391" s="1314">
        <f t="shared" si="34"/>
        <v>0</v>
      </c>
      <c r="AE391" s="2295">
        <f t="shared" si="35"/>
        <v>0</v>
      </c>
    </row>
    <row r="392" spans="1:31">
      <c r="A392" s="59" t="s">
        <v>348</v>
      </c>
      <c r="B392" s="57">
        <f t="shared" si="18"/>
        <v>0</v>
      </c>
      <c r="C392" s="60" t="str">
        <f>IF(B392&lt;&gt;1,"",SUM(B$354:B392))</f>
        <v/>
      </c>
      <c r="D392" s="57">
        <v>39</v>
      </c>
      <c r="E392" s="1958" t="s">
        <v>705</v>
      </c>
      <c r="F392" s="63" t="str">
        <f>IF(COUNTA($A$354:$A392)&lt;=MAX(DS_Counties_Sequence)=TRUE,LOOKUP(COUNTA($A$354:$A392),DS_Counties_Sequence,DS_Counties_DataNames),"")</f>
        <v/>
      </c>
      <c r="G392" s="268" t="s">
        <v>348</v>
      </c>
      <c r="H392" s="67" t="s">
        <v>303</v>
      </c>
      <c r="I392" s="67" t="s">
        <v>314</v>
      </c>
      <c r="J392" s="1286">
        <v>1</v>
      </c>
      <c r="K392" s="2005" t="s">
        <v>2466</v>
      </c>
      <c r="M392" s="1541" t="s">
        <v>459</v>
      </c>
      <c r="N392" s="1542">
        <f>IF(M392="Yes",1+MAX(N$353:N391),0)</f>
        <v>0</v>
      </c>
      <c r="O392" s="1699" t="str">
        <f t="shared" si="19"/>
        <v>No</v>
      </c>
      <c r="P392" s="1802">
        <f t="shared" si="20"/>
        <v>0</v>
      </c>
      <c r="Q392" s="1314">
        <f t="shared" si="21"/>
        <v>0</v>
      </c>
      <c r="R392" s="1314">
        <f t="shared" si="22"/>
        <v>2</v>
      </c>
      <c r="S392" s="1803">
        <f t="shared" si="23"/>
        <v>3</v>
      </c>
      <c r="T392" s="1802">
        <f t="shared" si="24"/>
        <v>0</v>
      </c>
      <c r="U392" s="1314">
        <f t="shared" si="25"/>
        <v>0</v>
      </c>
      <c r="V392" s="1314">
        <f t="shared" si="26"/>
        <v>2</v>
      </c>
      <c r="W392" s="1803">
        <f t="shared" si="27"/>
        <v>2</v>
      </c>
      <c r="X392" s="1802">
        <f t="shared" si="28"/>
        <v>0</v>
      </c>
      <c r="Y392" s="1314">
        <f t="shared" si="29"/>
        <v>0</v>
      </c>
      <c r="Z392" s="1314">
        <f t="shared" si="30"/>
        <v>5</v>
      </c>
      <c r="AA392" s="2295">
        <f t="shared" si="31"/>
        <v>4</v>
      </c>
      <c r="AB392" s="1802">
        <f t="shared" si="32"/>
        <v>0</v>
      </c>
      <c r="AC392" s="1314">
        <f t="shared" si="33"/>
        <v>0</v>
      </c>
      <c r="AD392" s="1314">
        <f t="shared" si="34"/>
        <v>0</v>
      </c>
      <c r="AE392" s="2295">
        <f t="shared" si="35"/>
        <v>0</v>
      </c>
    </row>
    <row r="393" spans="1:31">
      <c r="A393" s="59" t="s">
        <v>349</v>
      </c>
      <c r="B393" s="57">
        <f t="shared" si="18"/>
        <v>1</v>
      </c>
      <c r="C393" s="60">
        <f>IF(B393&lt;&gt;1,"",SUM(B$354:B393))</f>
        <v>19</v>
      </c>
      <c r="D393" s="57">
        <v>40</v>
      </c>
      <c r="E393" s="60" t="s">
        <v>2414</v>
      </c>
      <c r="F393" s="63" t="str">
        <f>IF(COUNTA($A$354:$A393)&lt;=MAX(DS_Counties_Sequence)=TRUE,LOOKUP(COUNTA($A$354:$A393),DS_Counties_Sequence,DS_Counties_DataNames),"")</f>
        <v/>
      </c>
      <c r="G393" s="268" t="s">
        <v>349</v>
      </c>
      <c r="H393" s="67" t="s">
        <v>298</v>
      </c>
      <c r="I393" s="67" t="s">
        <v>299</v>
      </c>
      <c r="J393" s="1286"/>
      <c r="K393" s="2004" t="s">
        <v>705</v>
      </c>
      <c r="M393" s="1541" t="s">
        <v>459</v>
      </c>
      <c r="N393" s="1542">
        <f>IF(M393="Yes",1+MAX(N$353:N392),0)</f>
        <v>0</v>
      </c>
      <c r="O393" s="1699" t="str">
        <f t="shared" si="19"/>
        <v>No</v>
      </c>
      <c r="P393" s="1802">
        <f t="shared" si="20"/>
        <v>9</v>
      </c>
      <c r="Q393" s="1314">
        <f t="shared" si="21"/>
        <v>13</v>
      </c>
      <c r="R393" s="1314">
        <f t="shared" si="22"/>
        <v>0</v>
      </c>
      <c r="S393" s="1803">
        <f t="shared" si="23"/>
        <v>44</v>
      </c>
      <c r="T393" s="1802">
        <f t="shared" si="24"/>
        <v>9</v>
      </c>
      <c r="U393" s="1314">
        <f t="shared" si="25"/>
        <v>18</v>
      </c>
      <c r="V393" s="1314">
        <f t="shared" si="26"/>
        <v>0</v>
      </c>
      <c r="W393" s="1803">
        <f t="shared" si="27"/>
        <v>57</v>
      </c>
      <c r="X393" s="1802">
        <f t="shared" si="28"/>
        <v>10</v>
      </c>
      <c r="Y393" s="1314">
        <f t="shared" si="29"/>
        <v>94</v>
      </c>
      <c r="Z393" s="1314">
        <f t="shared" si="30"/>
        <v>0</v>
      </c>
      <c r="AA393" s="2295">
        <f t="shared" si="31"/>
        <v>55</v>
      </c>
      <c r="AB393" s="1802">
        <f t="shared" si="32"/>
        <v>0</v>
      </c>
      <c r="AC393" s="1314">
        <f t="shared" si="33"/>
        <v>0</v>
      </c>
      <c r="AD393" s="1314">
        <f t="shared" si="34"/>
        <v>0</v>
      </c>
      <c r="AE393" s="2295">
        <f t="shared" si="35"/>
        <v>0</v>
      </c>
    </row>
    <row r="394" spans="1:31">
      <c r="A394" s="59" t="s">
        <v>350</v>
      </c>
      <c r="B394" s="57">
        <f t="shared" si="18"/>
        <v>1</v>
      </c>
      <c r="C394" s="60">
        <f>IF(B394&lt;&gt;1,"",SUM(B$354:B394))</f>
        <v>20</v>
      </c>
      <c r="D394" s="57">
        <v>41</v>
      </c>
      <c r="E394" s="60" t="s">
        <v>2411</v>
      </c>
      <c r="F394" s="63" t="str">
        <f>IF(COUNTA($A$354:$A394)&lt;=MAX(DS_Counties_Sequence)=TRUE,LOOKUP(COUNTA($A$354:$A394),DS_Counties_Sequence,DS_Counties_DataNames),"")</f>
        <v/>
      </c>
      <c r="G394" s="268" t="s">
        <v>350</v>
      </c>
      <c r="H394" s="67" t="s">
        <v>298</v>
      </c>
      <c r="I394" s="67" t="s">
        <v>299</v>
      </c>
      <c r="J394" s="1286"/>
      <c r="K394" s="2004" t="s">
        <v>705</v>
      </c>
      <c r="M394" s="1541" t="s">
        <v>459</v>
      </c>
      <c r="N394" s="1542">
        <f>IF(M394="Yes",1+MAX(N$353:N393),0)</f>
        <v>0</v>
      </c>
      <c r="O394" s="1699" t="str">
        <f t="shared" si="19"/>
        <v>No</v>
      </c>
      <c r="P394" s="1802">
        <f t="shared" si="20"/>
        <v>7</v>
      </c>
      <c r="Q394" s="1314">
        <f t="shared" si="21"/>
        <v>15</v>
      </c>
      <c r="R394" s="1314">
        <f t="shared" si="22"/>
        <v>0</v>
      </c>
      <c r="S394" s="1803">
        <f t="shared" si="23"/>
        <v>29</v>
      </c>
      <c r="T394" s="1802">
        <f t="shared" si="24"/>
        <v>5</v>
      </c>
      <c r="U394" s="1314">
        <f t="shared" si="25"/>
        <v>14</v>
      </c>
      <c r="V394" s="1314">
        <f t="shared" si="26"/>
        <v>0</v>
      </c>
      <c r="W394" s="1803">
        <f t="shared" si="27"/>
        <v>48</v>
      </c>
      <c r="X394" s="1802">
        <f t="shared" si="28"/>
        <v>6</v>
      </c>
      <c r="Y394" s="1314">
        <f t="shared" si="29"/>
        <v>93</v>
      </c>
      <c r="Z394" s="1314">
        <f t="shared" si="30"/>
        <v>0</v>
      </c>
      <c r="AA394" s="2295">
        <f t="shared" si="31"/>
        <v>50</v>
      </c>
      <c r="AB394" s="1802">
        <f t="shared" si="32"/>
        <v>0</v>
      </c>
      <c r="AC394" s="1314">
        <f t="shared" si="33"/>
        <v>0</v>
      </c>
      <c r="AD394" s="1314">
        <f t="shared" si="34"/>
        <v>0</v>
      </c>
      <c r="AE394" s="2295">
        <f t="shared" si="35"/>
        <v>0</v>
      </c>
    </row>
    <row r="395" spans="1:31">
      <c r="A395" s="59" t="s">
        <v>351</v>
      </c>
      <c r="B395" s="57">
        <f t="shared" si="18"/>
        <v>1</v>
      </c>
      <c r="C395" s="60">
        <f>IF(B395&lt;&gt;1,"",SUM(B$354:B395))</f>
        <v>21</v>
      </c>
      <c r="D395" s="57">
        <v>42</v>
      </c>
      <c r="E395" s="60" t="s">
        <v>2412</v>
      </c>
      <c r="F395" s="63" t="str">
        <f>IF(COUNTA($A$354:$A395)&lt;=MAX(DS_Counties_Sequence)=TRUE,LOOKUP(COUNTA($A$354:$A395),DS_Counties_Sequence,DS_Counties_DataNames),"")</f>
        <v/>
      </c>
      <c r="G395" s="268" t="s">
        <v>351</v>
      </c>
      <c r="H395" s="67" t="s">
        <v>298</v>
      </c>
      <c r="I395" s="67" t="s">
        <v>182</v>
      </c>
      <c r="J395" s="1286"/>
      <c r="K395" s="2004" t="s">
        <v>705</v>
      </c>
      <c r="M395" s="1541" t="s">
        <v>459</v>
      </c>
      <c r="N395" s="1542">
        <f>IF(M395="Yes",1+MAX(N$353:N394),0)</f>
        <v>0</v>
      </c>
      <c r="O395" s="1699" t="str">
        <f t="shared" si="19"/>
        <v>No</v>
      </c>
      <c r="P395" s="1802">
        <f t="shared" si="20"/>
        <v>1</v>
      </c>
      <c r="Q395" s="1314">
        <f t="shared" si="21"/>
        <v>4</v>
      </c>
      <c r="R395" s="1314">
        <f t="shared" si="22"/>
        <v>0</v>
      </c>
      <c r="S395" s="1803">
        <f t="shared" si="23"/>
        <v>21</v>
      </c>
      <c r="T395" s="1802">
        <f t="shared" si="24"/>
        <v>1</v>
      </c>
      <c r="U395" s="1314">
        <f t="shared" si="25"/>
        <v>4</v>
      </c>
      <c r="V395" s="1314">
        <f t="shared" si="26"/>
        <v>0</v>
      </c>
      <c r="W395" s="1803">
        <f t="shared" si="27"/>
        <v>27</v>
      </c>
      <c r="X395" s="1802">
        <f t="shared" si="28"/>
        <v>1</v>
      </c>
      <c r="Y395" s="1314">
        <f t="shared" si="29"/>
        <v>43</v>
      </c>
      <c r="Z395" s="1314">
        <f t="shared" si="30"/>
        <v>0</v>
      </c>
      <c r="AA395" s="2295">
        <f t="shared" si="31"/>
        <v>26</v>
      </c>
      <c r="AB395" s="1802">
        <f t="shared" si="32"/>
        <v>0</v>
      </c>
      <c r="AC395" s="1314">
        <f t="shared" si="33"/>
        <v>0</v>
      </c>
      <c r="AD395" s="1314">
        <f t="shared" si="34"/>
        <v>0</v>
      </c>
      <c r="AE395" s="2295">
        <f t="shared" si="35"/>
        <v>0</v>
      </c>
    </row>
    <row r="396" spans="1:31">
      <c r="A396" s="59" t="s">
        <v>352</v>
      </c>
      <c r="B396" s="57">
        <f t="shared" si="18"/>
        <v>1</v>
      </c>
      <c r="C396" s="60">
        <f>IF(B396&lt;&gt;1,"",SUM(B$354:B396))</f>
        <v>22</v>
      </c>
      <c r="D396" s="57">
        <v>43</v>
      </c>
      <c r="E396" s="60" t="s">
        <v>2413</v>
      </c>
      <c r="F396" s="63" t="str">
        <f>IF(COUNTA($A$354:$A396)&lt;=MAX(DS_Counties_Sequence)=TRUE,LOOKUP(COUNTA($A$354:$A396),DS_Counties_Sequence,DS_Counties_DataNames),"")</f>
        <v/>
      </c>
      <c r="G396" s="268" t="s">
        <v>352</v>
      </c>
      <c r="H396" s="67" t="s">
        <v>311</v>
      </c>
      <c r="I396" s="67" t="s">
        <v>353</v>
      </c>
      <c r="J396" s="1286"/>
      <c r="K396" s="2004" t="s">
        <v>705</v>
      </c>
      <c r="M396" s="1541" t="s">
        <v>459</v>
      </c>
      <c r="N396" s="1542">
        <f>IF(M396="Yes",1+MAX(N$353:N395),0)</f>
        <v>0</v>
      </c>
      <c r="O396" s="1699" t="str">
        <f t="shared" si="19"/>
        <v>No</v>
      </c>
      <c r="P396" s="1802">
        <f t="shared" si="20"/>
        <v>42</v>
      </c>
      <c r="Q396" s="1314">
        <f t="shared" si="21"/>
        <v>151</v>
      </c>
      <c r="R396" s="1314">
        <f t="shared" si="22"/>
        <v>0</v>
      </c>
      <c r="S396" s="1803">
        <f t="shared" si="23"/>
        <v>284</v>
      </c>
      <c r="T396" s="1802">
        <f t="shared" si="24"/>
        <v>47</v>
      </c>
      <c r="U396" s="1314">
        <f t="shared" si="25"/>
        <v>214</v>
      </c>
      <c r="V396" s="1314">
        <f t="shared" si="26"/>
        <v>0</v>
      </c>
      <c r="W396" s="1803">
        <f t="shared" si="27"/>
        <v>426</v>
      </c>
      <c r="X396" s="1802">
        <f t="shared" si="28"/>
        <v>48</v>
      </c>
      <c r="Y396" s="1314">
        <f t="shared" si="29"/>
        <v>707</v>
      </c>
      <c r="Z396" s="1314">
        <f t="shared" si="30"/>
        <v>0</v>
      </c>
      <c r="AA396" s="2295">
        <f t="shared" si="31"/>
        <v>414</v>
      </c>
      <c r="AB396" s="1802">
        <f t="shared" si="32"/>
        <v>0</v>
      </c>
      <c r="AC396" s="1314">
        <f t="shared" si="33"/>
        <v>0</v>
      </c>
      <c r="AD396" s="1314">
        <f t="shared" si="34"/>
        <v>0</v>
      </c>
      <c r="AE396" s="2295">
        <f t="shared" si="35"/>
        <v>0</v>
      </c>
    </row>
    <row r="397" spans="1:31">
      <c r="A397" s="59" t="s">
        <v>354</v>
      </c>
      <c r="B397" s="57">
        <f t="shared" si="18"/>
        <v>0</v>
      </c>
      <c r="C397" s="60" t="str">
        <f>IF(B397&lt;&gt;1,"",SUM(B$354:B397))</f>
        <v/>
      </c>
      <c r="D397" s="57">
        <v>44</v>
      </c>
      <c r="E397" s="1958" t="s">
        <v>705</v>
      </c>
      <c r="F397" s="63" t="str">
        <f>IF(COUNTA($A$354:$A397)&lt;=MAX(DS_Counties_Sequence)=TRUE,LOOKUP(COUNTA($A$354:$A397),DS_Counties_Sequence,DS_Counties_DataNames),"")</f>
        <v/>
      </c>
      <c r="G397" s="268" t="s">
        <v>354</v>
      </c>
      <c r="H397" s="67" t="s">
        <v>303</v>
      </c>
      <c r="I397" s="67" t="s">
        <v>355</v>
      </c>
      <c r="J397" s="1286"/>
      <c r="K397" s="2004" t="s">
        <v>705</v>
      </c>
      <c r="M397" s="1541" t="s">
        <v>459</v>
      </c>
      <c r="N397" s="1542">
        <f>IF(M397="Yes",1+MAX(N$353:N396),0)</f>
        <v>0</v>
      </c>
      <c r="O397" s="1699" t="str">
        <f t="shared" si="19"/>
        <v>No</v>
      </c>
      <c r="P397" s="1802">
        <f t="shared" si="20"/>
        <v>0</v>
      </c>
      <c r="Q397" s="1314">
        <f t="shared" si="21"/>
        <v>0</v>
      </c>
      <c r="R397" s="1314">
        <f t="shared" si="22"/>
        <v>1</v>
      </c>
      <c r="S397" s="1803">
        <f t="shared" si="23"/>
        <v>16</v>
      </c>
      <c r="T397" s="1802">
        <f t="shared" si="24"/>
        <v>0</v>
      </c>
      <c r="U397" s="1314">
        <f t="shared" si="25"/>
        <v>0</v>
      </c>
      <c r="V397" s="1314">
        <f t="shared" si="26"/>
        <v>0</v>
      </c>
      <c r="W397" s="1803">
        <f t="shared" si="27"/>
        <v>16</v>
      </c>
      <c r="X397" s="1802">
        <f t="shared" si="28"/>
        <v>0</v>
      </c>
      <c r="Y397" s="1314">
        <f t="shared" si="29"/>
        <v>0</v>
      </c>
      <c r="Z397" s="1314">
        <f t="shared" si="30"/>
        <v>29</v>
      </c>
      <c r="AA397" s="2295">
        <f t="shared" si="31"/>
        <v>16</v>
      </c>
      <c r="AB397" s="1802">
        <f t="shared" si="32"/>
        <v>0</v>
      </c>
      <c r="AC397" s="1314">
        <f t="shared" si="33"/>
        <v>0</v>
      </c>
      <c r="AD397" s="1314">
        <f t="shared" si="34"/>
        <v>0</v>
      </c>
      <c r="AE397" s="2295">
        <f t="shared" si="35"/>
        <v>0</v>
      </c>
    </row>
    <row r="398" spans="1:31">
      <c r="A398" s="59" t="s">
        <v>356</v>
      </c>
      <c r="B398" s="57">
        <f t="shared" si="18"/>
        <v>1</v>
      </c>
      <c r="C398" s="60">
        <f>IF(B398&lt;&gt;1,"",SUM(B$354:B398))</f>
        <v>23</v>
      </c>
      <c r="D398" s="57">
        <v>45</v>
      </c>
      <c r="E398" s="60" t="s">
        <v>2411</v>
      </c>
      <c r="F398" s="63" t="str">
        <f>IF(COUNTA($A$354:$A398)&lt;=MAX(DS_Counties_Sequence)=TRUE,LOOKUP(COUNTA($A$354:$A398),DS_Counties_Sequence,DS_Counties_DataNames),"")</f>
        <v/>
      </c>
      <c r="G398" s="268" t="s">
        <v>356</v>
      </c>
      <c r="H398" s="67" t="s">
        <v>298</v>
      </c>
      <c r="I398" s="67" t="s">
        <v>182</v>
      </c>
      <c r="J398" s="1286"/>
      <c r="K398" s="2004" t="s">
        <v>705</v>
      </c>
      <c r="M398" s="1541" t="s">
        <v>459</v>
      </c>
      <c r="N398" s="1542">
        <f>IF(M398="Yes",1+MAX(N$353:N397),0)</f>
        <v>0</v>
      </c>
      <c r="O398" s="1699" t="str">
        <f t="shared" si="19"/>
        <v>No</v>
      </c>
      <c r="P398" s="1802">
        <f t="shared" si="20"/>
        <v>0</v>
      </c>
      <c r="Q398" s="1314">
        <f t="shared" si="21"/>
        <v>0</v>
      </c>
      <c r="R398" s="1314">
        <f t="shared" si="22"/>
        <v>0</v>
      </c>
      <c r="S398" s="1803">
        <f t="shared" si="23"/>
        <v>7</v>
      </c>
      <c r="T398" s="1802">
        <f t="shared" si="24"/>
        <v>0</v>
      </c>
      <c r="U398" s="1314">
        <f t="shared" si="25"/>
        <v>0</v>
      </c>
      <c r="V398" s="1314">
        <f t="shared" si="26"/>
        <v>0</v>
      </c>
      <c r="W398" s="1803">
        <f t="shared" si="27"/>
        <v>15</v>
      </c>
      <c r="X398" s="1802">
        <f t="shared" si="28"/>
        <v>0</v>
      </c>
      <c r="Y398" s="1314">
        <f t="shared" si="29"/>
        <v>24</v>
      </c>
      <c r="Z398" s="1314">
        <f t="shared" si="30"/>
        <v>0</v>
      </c>
      <c r="AA398" s="2295">
        <f t="shared" si="31"/>
        <v>15</v>
      </c>
      <c r="AB398" s="1802">
        <f t="shared" si="32"/>
        <v>0</v>
      </c>
      <c r="AC398" s="1314">
        <f t="shared" si="33"/>
        <v>0</v>
      </c>
      <c r="AD398" s="1314">
        <f t="shared" si="34"/>
        <v>0</v>
      </c>
      <c r="AE398" s="2295">
        <f t="shared" si="35"/>
        <v>0</v>
      </c>
    </row>
    <row r="399" spans="1:31">
      <c r="A399" s="59" t="s">
        <v>357</v>
      </c>
      <c r="B399" s="57">
        <f t="shared" si="18"/>
        <v>1</v>
      </c>
      <c r="C399" s="60">
        <f>IF(B399&lt;&gt;1,"",SUM(B$354:B399))</f>
        <v>24</v>
      </c>
      <c r="D399" s="57">
        <v>46</v>
      </c>
      <c r="E399" s="60" t="s">
        <v>2411</v>
      </c>
      <c r="F399" s="63" t="str">
        <f>IF(COUNTA($A$354:$A399)&lt;=MAX(DS_Counties_Sequence)=TRUE,LOOKUP(COUNTA($A$354:$A399),DS_Counties_Sequence,DS_Counties_DataNames),"")</f>
        <v/>
      </c>
      <c r="G399" s="268" t="s">
        <v>357</v>
      </c>
      <c r="H399" s="67" t="s">
        <v>298</v>
      </c>
      <c r="I399" s="67" t="s">
        <v>182</v>
      </c>
      <c r="J399" s="1286"/>
      <c r="K399" s="2004" t="s">
        <v>705</v>
      </c>
      <c r="M399" s="1541" t="s">
        <v>459</v>
      </c>
      <c r="N399" s="1542">
        <f>IF(M399="Yes",1+MAX(N$353:N398),0)</f>
        <v>0</v>
      </c>
      <c r="O399" s="1699" t="str">
        <f t="shared" si="19"/>
        <v>No</v>
      </c>
      <c r="P399" s="1802">
        <f t="shared" si="20"/>
        <v>3</v>
      </c>
      <c r="Q399" s="1314">
        <f t="shared" si="21"/>
        <v>2</v>
      </c>
      <c r="R399" s="1314">
        <f t="shared" si="22"/>
        <v>0</v>
      </c>
      <c r="S399" s="1803">
        <f t="shared" si="23"/>
        <v>16</v>
      </c>
      <c r="T399" s="1802">
        <f t="shared" si="24"/>
        <v>3</v>
      </c>
      <c r="U399" s="1314">
        <f t="shared" si="25"/>
        <v>2</v>
      </c>
      <c r="V399" s="1314">
        <f t="shared" si="26"/>
        <v>0</v>
      </c>
      <c r="W399" s="1803">
        <f t="shared" si="27"/>
        <v>23</v>
      </c>
      <c r="X399" s="1802">
        <f t="shared" si="28"/>
        <v>3</v>
      </c>
      <c r="Y399" s="1314">
        <f t="shared" si="29"/>
        <v>49</v>
      </c>
      <c r="Z399" s="1314">
        <f t="shared" si="30"/>
        <v>0</v>
      </c>
      <c r="AA399" s="2295">
        <f t="shared" si="31"/>
        <v>31</v>
      </c>
      <c r="AB399" s="1802">
        <f t="shared" si="32"/>
        <v>0</v>
      </c>
      <c r="AC399" s="1314">
        <f t="shared" si="33"/>
        <v>0</v>
      </c>
      <c r="AD399" s="1314">
        <f t="shared" si="34"/>
        <v>0</v>
      </c>
      <c r="AE399" s="2295">
        <f t="shared" si="35"/>
        <v>0</v>
      </c>
    </row>
    <row r="400" spans="1:31">
      <c r="A400" s="59" t="s">
        <v>358</v>
      </c>
      <c r="B400" s="57">
        <f t="shared" si="18"/>
        <v>0</v>
      </c>
      <c r="C400" s="60" t="str">
        <f>IF(B400&lt;&gt;1,"",SUM(B$354:B400))</f>
        <v/>
      </c>
      <c r="D400" s="57">
        <v>47</v>
      </c>
      <c r="E400" s="1958" t="s">
        <v>705</v>
      </c>
      <c r="F400" s="63" t="str">
        <f>IF(COUNTA($A$354:$A400)&lt;=MAX(DS_Counties_Sequence)=TRUE,LOOKUP(COUNTA($A$354:$A400),DS_Counties_Sequence,DS_Counties_DataNames),"")</f>
        <v/>
      </c>
      <c r="G400" s="268" t="s">
        <v>358</v>
      </c>
      <c r="H400" s="67" t="s">
        <v>303</v>
      </c>
      <c r="I400" s="67" t="s">
        <v>304</v>
      </c>
      <c r="J400" s="1286">
        <v>3</v>
      </c>
      <c r="K400" s="2005" t="s">
        <v>2465</v>
      </c>
      <c r="M400" s="1541" t="s">
        <v>459</v>
      </c>
      <c r="N400" s="1542">
        <f>IF(M400="Yes",1+MAX(N$353:N399),0)</f>
        <v>0</v>
      </c>
      <c r="O400" s="1699" t="str">
        <f t="shared" si="19"/>
        <v>No</v>
      </c>
      <c r="P400" s="1802">
        <f t="shared" si="20"/>
        <v>0</v>
      </c>
      <c r="Q400" s="1314">
        <f t="shared" si="21"/>
        <v>0</v>
      </c>
      <c r="R400" s="1314">
        <f t="shared" si="22"/>
        <v>0</v>
      </c>
      <c r="S400" s="1803">
        <f t="shared" si="23"/>
        <v>6</v>
      </c>
      <c r="T400" s="1802">
        <f t="shared" si="24"/>
        <v>0</v>
      </c>
      <c r="U400" s="1314">
        <f t="shared" si="25"/>
        <v>0</v>
      </c>
      <c r="V400" s="1314">
        <f t="shared" si="26"/>
        <v>1</v>
      </c>
      <c r="W400" s="1803">
        <f t="shared" si="27"/>
        <v>7</v>
      </c>
      <c r="X400" s="1802">
        <f t="shared" si="28"/>
        <v>0</v>
      </c>
      <c r="Y400" s="1314">
        <f t="shared" si="29"/>
        <v>0</v>
      </c>
      <c r="Z400" s="1314">
        <f t="shared" si="30"/>
        <v>12</v>
      </c>
      <c r="AA400" s="2295">
        <f t="shared" si="31"/>
        <v>7</v>
      </c>
      <c r="AB400" s="1802">
        <f t="shared" si="32"/>
        <v>0</v>
      </c>
      <c r="AC400" s="1314">
        <f t="shared" si="33"/>
        <v>0</v>
      </c>
      <c r="AD400" s="1314">
        <f t="shared" si="34"/>
        <v>0</v>
      </c>
      <c r="AE400" s="2295">
        <f t="shared" si="35"/>
        <v>0</v>
      </c>
    </row>
    <row r="401" spans="1:31">
      <c r="A401" s="59" t="s">
        <v>359</v>
      </c>
      <c r="B401" s="57">
        <f t="shared" si="18"/>
        <v>1</v>
      </c>
      <c r="C401" s="60">
        <f>IF(B401&lt;&gt;1,"",SUM(B$354:B401))</f>
        <v>25</v>
      </c>
      <c r="D401" s="57">
        <v>48</v>
      </c>
      <c r="E401" s="60" t="s">
        <v>2412</v>
      </c>
      <c r="F401" s="63" t="str">
        <f>IF(COUNTA($A$354:$A401)&lt;=MAX(DS_Counties_Sequence)=TRUE,LOOKUP(COUNTA($A$354:$A401),DS_Counties_Sequence,DS_Counties_DataNames),"")</f>
        <v/>
      </c>
      <c r="G401" s="268" t="s">
        <v>359</v>
      </c>
      <c r="H401" s="67" t="s">
        <v>311</v>
      </c>
      <c r="I401" s="67" t="s">
        <v>324</v>
      </c>
      <c r="J401" s="1286"/>
      <c r="K401" s="2004" t="s">
        <v>705</v>
      </c>
      <c r="M401" s="1541" t="s">
        <v>459</v>
      </c>
      <c r="N401" s="1542">
        <f>IF(M401="Yes",1+MAX(N$353:N400),0)</f>
        <v>0</v>
      </c>
      <c r="O401" s="1699" t="str">
        <f t="shared" si="19"/>
        <v>No</v>
      </c>
      <c r="P401" s="1802">
        <f t="shared" si="20"/>
        <v>26</v>
      </c>
      <c r="Q401" s="1314">
        <f t="shared" si="21"/>
        <v>59</v>
      </c>
      <c r="R401" s="1314">
        <f t="shared" si="22"/>
        <v>0</v>
      </c>
      <c r="S401" s="1803">
        <f t="shared" si="23"/>
        <v>117</v>
      </c>
      <c r="T401" s="1802">
        <f t="shared" si="24"/>
        <v>30</v>
      </c>
      <c r="U401" s="1314">
        <f t="shared" si="25"/>
        <v>54</v>
      </c>
      <c r="V401" s="1314">
        <f t="shared" si="26"/>
        <v>0</v>
      </c>
      <c r="W401" s="1803">
        <f t="shared" si="27"/>
        <v>148</v>
      </c>
      <c r="X401" s="1802">
        <f t="shared" si="28"/>
        <v>31</v>
      </c>
      <c r="Y401" s="1314">
        <f t="shared" si="29"/>
        <v>267</v>
      </c>
      <c r="Z401" s="1314">
        <f t="shared" si="30"/>
        <v>0</v>
      </c>
      <c r="AA401" s="2295">
        <f t="shared" si="31"/>
        <v>147</v>
      </c>
      <c r="AB401" s="1802">
        <f t="shared" si="32"/>
        <v>0</v>
      </c>
      <c r="AC401" s="1314">
        <f t="shared" si="33"/>
        <v>0</v>
      </c>
      <c r="AD401" s="1314">
        <f t="shared" si="34"/>
        <v>0</v>
      </c>
      <c r="AE401" s="2295">
        <f t="shared" si="35"/>
        <v>0</v>
      </c>
    </row>
    <row r="402" spans="1:31">
      <c r="A402" s="59" t="s">
        <v>360</v>
      </c>
      <c r="B402" s="57">
        <f t="shared" si="18"/>
        <v>1</v>
      </c>
      <c r="C402" s="60">
        <f>IF(B402&lt;&gt;1,"",SUM(B$354:B402))</f>
        <v>26</v>
      </c>
      <c r="D402" s="57">
        <v>49</v>
      </c>
      <c r="E402" s="60" t="s">
        <v>2412</v>
      </c>
      <c r="F402" s="63" t="str">
        <f>IF(COUNTA($A$354:$A402)&lt;=MAX(DS_Counties_Sequence)=TRUE,LOOKUP(COUNTA($A$354:$A402),DS_Counties_Sequence,DS_Counties_DataNames),"")</f>
        <v/>
      </c>
      <c r="G402" s="268" t="s">
        <v>360</v>
      </c>
      <c r="H402" s="67" t="s">
        <v>298</v>
      </c>
      <c r="I402" s="67" t="s">
        <v>299</v>
      </c>
      <c r="J402" s="1286"/>
      <c r="K402" s="2004" t="s">
        <v>705</v>
      </c>
      <c r="M402" s="1541" t="s">
        <v>459</v>
      </c>
      <c r="N402" s="1542">
        <f>IF(M402="Yes",1+MAX(N$353:N401),0)</f>
        <v>0</v>
      </c>
      <c r="O402" s="1699" t="str">
        <f t="shared" si="19"/>
        <v>No</v>
      </c>
      <c r="P402" s="1802">
        <f t="shared" si="20"/>
        <v>8</v>
      </c>
      <c r="Q402" s="1314">
        <f t="shared" si="21"/>
        <v>12</v>
      </c>
      <c r="R402" s="1314">
        <f t="shared" si="22"/>
        <v>0</v>
      </c>
      <c r="S402" s="1803">
        <f t="shared" si="23"/>
        <v>23</v>
      </c>
      <c r="T402" s="1802">
        <f t="shared" si="24"/>
        <v>8</v>
      </c>
      <c r="U402" s="1314">
        <f t="shared" si="25"/>
        <v>9</v>
      </c>
      <c r="V402" s="1314">
        <f t="shared" si="26"/>
        <v>0</v>
      </c>
      <c r="W402" s="1803">
        <f t="shared" si="27"/>
        <v>31</v>
      </c>
      <c r="X402" s="1802">
        <f t="shared" si="28"/>
        <v>8</v>
      </c>
      <c r="Y402" s="1314">
        <f t="shared" si="29"/>
        <v>59</v>
      </c>
      <c r="Z402" s="1314">
        <f t="shared" si="30"/>
        <v>0</v>
      </c>
      <c r="AA402" s="2295">
        <f t="shared" si="31"/>
        <v>30</v>
      </c>
      <c r="AB402" s="1802">
        <f t="shared" si="32"/>
        <v>0</v>
      </c>
      <c r="AC402" s="1314">
        <f t="shared" si="33"/>
        <v>0</v>
      </c>
      <c r="AD402" s="1314">
        <f t="shared" si="34"/>
        <v>0</v>
      </c>
      <c r="AE402" s="2295">
        <f t="shared" si="35"/>
        <v>0</v>
      </c>
    </row>
    <row r="403" spans="1:31">
      <c r="A403" s="59" t="s">
        <v>361</v>
      </c>
      <c r="B403" s="57">
        <f t="shared" si="18"/>
        <v>1</v>
      </c>
      <c r="C403" s="60">
        <f>IF(B403&lt;&gt;1,"",SUM(B$354:B403))</f>
        <v>27</v>
      </c>
      <c r="D403" s="57">
        <v>50</v>
      </c>
      <c r="E403" s="60" t="s">
        <v>2413</v>
      </c>
      <c r="F403" s="63" t="str">
        <f>IF(COUNTA($A$354:$A403)&lt;=MAX(DS_Counties_Sequence)=TRUE,LOOKUP(COUNTA($A$354:$A403),DS_Counties_Sequence,DS_Counties_DataNames),"")</f>
        <v/>
      </c>
      <c r="G403" s="268" t="s">
        <v>361</v>
      </c>
      <c r="H403" s="67" t="s">
        <v>311</v>
      </c>
      <c r="I403" s="67" t="s">
        <v>312</v>
      </c>
      <c r="J403" s="1286" t="s">
        <v>2470</v>
      </c>
      <c r="K403" s="2005" t="s">
        <v>2468</v>
      </c>
      <c r="M403" s="1541" t="s">
        <v>459</v>
      </c>
      <c r="N403" s="1542">
        <f>IF(M403="Yes",1+MAX(N$353:N402),0)</f>
        <v>0</v>
      </c>
      <c r="O403" s="1699" t="str">
        <f t="shared" si="19"/>
        <v>No</v>
      </c>
      <c r="P403" s="1802">
        <f t="shared" si="20"/>
        <v>29</v>
      </c>
      <c r="Q403" s="1314">
        <f t="shared" si="21"/>
        <v>41</v>
      </c>
      <c r="R403" s="1314">
        <f t="shared" si="22"/>
        <v>0</v>
      </c>
      <c r="S403" s="1803">
        <f t="shared" si="23"/>
        <v>0</v>
      </c>
      <c r="T403" s="1802">
        <f t="shared" si="24"/>
        <v>30</v>
      </c>
      <c r="U403" s="1314">
        <f t="shared" si="25"/>
        <v>43</v>
      </c>
      <c r="V403" s="1314">
        <f t="shared" si="26"/>
        <v>0</v>
      </c>
      <c r="W403" s="1803">
        <f t="shared" si="27"/>
        <v>203</v>
      </c>
      <c r="X403" s="1802">
        <f t="shared" si="28"/>
        <v>36</v>
      </c>
      <c r="Y403" s="1314">
        <f t="shared" si="29"/>
        <v>373</v>
      </c>
      <c r="Z403" s="1314">
        <f t="shared" si="30"/>
        <v>0</v>
      </c>
      <c r="AA403" s="2295">
        <f t="shared" si="31"/>
        <v>200</v>
      </c>
      <c r="AB403" s="1802">
        <f t="shared" si="32"/>
        <v>0</v>
      </c>
      <c r="AC403" s="1314">
        <f t="shared" si="33"/>
        <v>0</v>
      </c>
      <c r="AD403" s="1314">
        <f t="shared" si="34"/>
        <v>0</v>
      </c>
      <c r="AE403" s="2295">
        <f t="shared" si="35"/>
        <v>0</v>
      </c>
    </row>
    <row r="404" spans="1:31">
      <c r="A404" s="59" t="s">
        <v>362</v>
      </c>
      <c r="B404" s="57">
        <f t="shared" si="18"/>
        <v>1</v>
      </c>
      <c r="C404" s="60">
        <f>IF(B404&lt;&gt;1,"",SUM(B$354:B404))</f>
        <v>28</v>
      </c>
      <c r="D404" s="57">
        <v>51</v>
      </c>
      <c r="E404" s="60" t="s">
        <v>2414</v>
      </c>
      <c r="F404" s="63" t="str">
        <f>IF(COUNTA($A$354:$A404)&lt;=MAX(DS_Counties_Sequence)=TRUE,LOOKUP(COUNTA($A$354:$A404),DS_Counties_Sequence,DS_Counties_DataNames),"")</f>
        <v/>
      </c>
      <c r="G404" s="268" t="s">
        <v>362</v>
      </c>
      <c r="H404" s="67" t="s">
        <v>298</v>
      </c>
      <c r="I404" s="67" t="s">
        <v>299</v>
      </c>
      <c r="J404" s="1286"/>
      <c r="K404" s="2004" t="s">
        <v>705</v>
      </c>
      <c r="M404" s="1541" t="s">
        <v>459</v>
      </c>
      <c r="N404" s="1542">
        <f>IF(M404="Yes",1+MAX(N$353:N403),0)</f>
        <v>0</v>
      </c>
      <c r="O404" s="1699" t="str">
        <f t="shared" si="19"/>
        <v>No</v>
      </c>
      <c r="P404" s="1802">
        <f t="shared" si="20"/>
        <v>7</v>
      </c>
      <c r="Q404" s="1314">
        <f t="shared" si="21"/>
        <v>33</v>
      </c>
      <c r="R404" s="1314">
        <f t="shared" si="22"/>
        <v>0</v>
      </c>
      <c r="S404" s="1803">
        <f t="shared" si="23"/>
        <v>71</v>
      </c>
      <c r="T404" s="1802">
        <f t="shared" si="24"/>
        <v>7</v>
      </c>
      <c r="U404" s="1314">
        <f t="shared" si="25"/>
        <v>33</v>
      </c>
      <c r="V404" s="1314">
        <f t="shared" si="26"/>
        <v>0</v>
      </c>
      <c r="W404" s="1803">
        <f t="shared" si="27"/>
        <v>75</v>
      </c>
      <c r="X404" s="1802">
        <f t="shared" si="28"/>
        <v>8</v>
      </c>
      <c r="Y404" s="1314">
        <f t="shared" si="29"/>
        <v>131</v>
      </c>
      <c r="Z404" s="1314">
        <f t="shared" si="30"/>
        <v>0</v>
      </c>
      <c r="AA404" s="2295">
        <f t="shared" si="31"/>
        <v>73</v>
      </c>
      <c r="AB404" s="1802">
        <f t="shared" si="32"/>
        <v>0</v>
      </c>
      <c r="AC404" s="1314">
        <f t="shared" si="33"/>
        <v>0</v>
      </c>
      <c r="AD404" s="1314">
        <f t="shared" si="34"/>
        <v>0</v>
      </c>
      <c r="AE404" s="2295">
        <f t="shared" si="35"/>
        <v>0</v>
      </c>
    </row>
    <row r="405" spans="1:31">
      <c r="A405" s="59" t="s">
        <v>363</v>
      </c>
      <c r="B405" s="57">
        <f t="shared" si="18"/>
        <v>1</v>
      </c>
      <c r="C405" s="60">
        <f>IF(B405&lt;&gt;1,"",SUM(B$354:B405))</f>
        <v>29</v>
      </c>
      <c r="D405" s="57">
        <v>52</v>
      </c>
      <c r="E405" s="60" t="s">
        <v>2414</v>
      </c>
      <c r="F405" s="63" t="str">
        <f>IF(COUNTA($A$354:$A405)&lt;=MAX(DS_Counties_Sequence)=TRUE,LOOKUP(COUNTA($A$354:$A405),DS_Counties_Sequence,DS_Counties_DataNames),"")</f>
        <v/>
      </c>
      <c r="G405" s="268" t="s">
        <v>363</v>
      </c>
      <c r="H405" s="67" t="s">
        <v>311</v>
      </c>
      <c r="I405" s="67" t="s">
        <v>364</v>
      </c>
      <c r="J405" s="1286"/>
      <c r="K405" s="2004" t="s">
        <v>705</v>
      </c>
      <c r="M405" s="1541" t="s">
        <v>459</v>
      </c>
      <c r="N405" s="1542">
        <f>IF(M405="Yes",1+MAX(N$353:N404),0)</f>
        <v>0</v>
      </c>
      <c r="O405" s="1699" t="str">
        <f t="shared" si="19"/>
        <v>No</v>
      </c>
      <c r="P405" s="1802">
        <f t="shared" si="20"/>
        <v>27</v>
      </c>
      <c r="Q405" s="1314">
        <f t="shared" si="21"/>
        <v>27</v>
      </c>
      <c r="R405" s="1314">
        <f t="shared" si="22"/>
        <v>0</v>
      </c>
      <c r="S405" s="1803">
        <f t="shared" si="23"/>
        <v>147</v>
      </c>
      <c r="T405" s="1802">
        <f t="shared" si="24"/>
        <v>26</v>
      </c>
      <c r="U405" s="1314">
        <f t="shared" si="25"/>
        <v>29</v>
      </c>
      <c r="V405" s="1314">
        <f t="shared" si="26"/>
        <v>0</v>
      </c>
      <c r="W405" s="1803">
        <f t="shared" si="27"/>
        <v>160</v>
      </c>
      <c r="X405" s="1802">
        <f t="shared" si="28"/>
        <v>40</v>
      </c>
      <c r="Y405" s="1314">
        <f t="shared" si="29"/>
        <v>275</v>
      </c>
      <c r="Z405" s="1314">
        <f t="shared" si="30"/>
        <v>0</v>
      </c>
      <c r="AA405" s="2295">
        <f t="shared" si="31"/>
        <v>164</v>
      </c>
      <c r="AB405" s="1802">
        <f t="shared" si="32"/>
        <v>0</v>
      </c>
      <c r="AC405" s="1314">
        <f t="shared" si="33"/>
        <v>0</v>
      </c>
      <c r="AD405" s="1314">
        <f t="shared" si="34"/>
        <v>0</v>
      </c>
      <c r="AE405" s="2295">
        <f t="shared" si="35"/>
        <v>0</v>
      </c>
    </row>
    <row r="406" spans="1:31">
      <c r="A406" s="59" t="s">
        <v>365</v>
      </c>
      <c r="B406" s="57">
        <f t="shared" si="18"/>
        <v>1</v>
      </c>
      <c r="C406" s="60">
        <f>IF(B406&lt;&gt;1,"",SUM(B$354:B406))</f>
        <v>30</v>
      </c>
      <c r="D406" s="57">
        <v>53</v>
      </c>
      <c r="E406" s="60" t="s">
        <v>2412</v>
      </c>
      <c r="F406" s="63" t="str">
        <f>IF(COUNTA($A$354:$A406)&lt;=MAX(DS_Counties_Sequence)=TRUE,LOOKUP(COUNTA($A$354:$A406),DS_Counties_Sequence,DS_Counties_DataNames),"")</f>
        <v/>
      </c>
      <c r="G406" s="268" t="s">
        <v>365</v>
      </c>
      <c r="H406" s="67" t="s">
        <v>298</v>
      </c>
      <c r="I406" s="67" t="s">
        <v>299</v>
      </c>
      <c r="J406" s="1286"/>
      <c r="K406" s="2004" t="s">
        <v>705</v>
      </c>
      <c r="M406" s="1541" t="s">
        <v>459</v>
      </c>
      <c r="N406" s="1542">
        <f>IF(M406="Yes",1+MAX(N$353:N405),0)</f>
        <v>0</v>
      </c>
      <c r="O406" s="1699" t="str">
        <f t="shared" si="19"/>
        <v>No</v>
      </c>
      <c r="P406" s="1802">
        <f t="shared" si="20"/>
        <v>13</v>
      </c>
      <c r="Q406" s="1314">
        <f t="shared" si="21"/>
        <v>33</v>
      </c>
      <c r="R406" s="1314">
        <f t="shared" si="22"/>
        <v>0</v>
      </c>
      <c r="S406" s="1803">
        <f t="shared" si="23"/>
        <v>83</v>
      </c>
      <c r="T406" s="1802">
        <f t="shared" si="24"/>
        <v>14</v>
      </c>
      <c r="U406" s="1314">
        <f t="shared" si="25"/>
        <v>39</v>
      </c>
      <c r="V406" s="1314">
        <f t="shared" si="26"/>
        <v>0</v>
      </c>
      <c r="W406" s="1803">
        <f t="shared" si="27"/>
        <v>101</v>
      </c>
      <c r="X406" s="1802">
        <f t="shared" si="28"/>
        <v>10</v>
      </c>
      <c r="Y406" s="1314">
        <f t="shared" si="29"/>
        <v>174</v>
      </c>
      <c r="Z406" s="1314">
        <f t="shared" si="30"/>
        <v>0</v>
      </c>
      <c r="AA406" s="2295">
        <f t="shared" si="31"/>
        <v>100</v>
      </c>
      <c r="AB406" s="1802">
        <f t="shared" si="32"/>
        <v>0</v>
      </c>
      <c r="AC406" s="1314">
        <f t="shared" si="33"/>
        <v>0</v>
      </c>
      <c r="AD406" s="1314">
        <f t="shared" si="34"/>
        <v>0</v>
      </c>
      <c r="AE406" s="2295">
        <f t="shared" si="35"/>
        <v>0</v>
      </c>
    </row>
    <row r="407" spans="1:31">
      <c r="A407" s="59" t="s">
        <v>366</v>
      </c>
      <c r="B407" s="57">
        <f t="shared" si="18"/>
        <v>0</v>
      </c>
      <c r="C407" s="60" t="str">
        <f>IF(B407&lt;&gt;1,"",SUM(B$354:B407))</f>
        <v/>
      </c>
      <c r="D407" s="57">
        <v>54</v>
      </c>
      <c r="E407" s="1958" t="s">
        <v>705</v>
      </c>
      <c r="F407" s="63" t="str">
        <f>IF(COUNTA($A$354:$A407)&lt;=MAX(DS_Counties_Sequence)=TRUE,LOOKUP(COUNTA($A$354:$A407),DS_Counties_Sequence,DS_Counties_DataNames),"")</f>
        <v/>
      </c>
      <c r="G407" s="268" t="s">
        <v>366</v>
      </c>
      <c r="H407" s="67" t="s">
        <v>303</v>
      </c>
      <c r="I407" s="67" t="s">
        <v>320</v>
      </c>
      <c r="J407" s="1286">
        <v>3</v>
      </c>
      <c r="K407" s="2005" t="s">
        <v>2466</v>
      </c>
      <c r="M407" s="1541" t="s">
        <v>459</v>
      </c>
      <c r="N407" s="1542">
        <f>IF(M407="Yes",1+MAX(N$353:N406),0)</f>
        <v>0</v>
      </c>
      <c r="O407" s="1699" t="str">
        <f t="shared" si="19"/>
        <v>No</v>
      </c>
      <c r="P407" s="1802">
        <f t="shared" si="20"/>
        <v>0</v>
      </c>
      <c r="Q407" s="1314">
        <f t="shared" si="21"/>
        <v>0</v>
      </c>
      <c r="R407" s="1314">
        <f t="shared" si="22"/>
        <v>6</v>
      </c>
      <c r="S407" s="1803">
        <f t="shared" si="23"/>
        <v>9</v>
      </c>
      <c r="T407" s="1802">
        <f t="shared" si="24"/>
        <v>0</v>
      </c>
      <c r="U407" s="1314">
        <f t="shared" si="25"/>
        <v>0</v>
      </c>
      <c r="V407" s="1314">
        <f t="shared" si="26"/>
        <v>7</v>
      </c>
      <c r="W407" s="1803">
        <f t="shared" si="27"/>
        <v>8</v>
      </c>
      <c r="X407" s="1802">
        <f t="shared" si="28"/>
        <v>0</v>
      </c>
      <c r="Y407" s="1314">
        <f t="shared" si="29"/>
        <v>0</v>
      </c>
      <c r="Z407" s="1314">
        <f t="shared" si="30"/>
        <v>17</v>
      </c>
      <c r="AA407" s="2295">
        <f t="shared" si="31"/>
        <v>9</v>
      </c>
      <c r="AB407" s="1802">
        <f t="shared" si="32"/>
        <v>0</v>
      </c>
      <c r="AC407" s="1314">
        <f t="shared" si="33"/>
        <v>0</v>
      </c>
      <c r="AD407" s="1314">
        <f t="shared" si="34"/>
        <v>0</v>
      </c>
      <c r="AE407" s="2295">
        <f t="shared" si="35"/>
        <v>0</v>
      </c>
    </row>
    <row r="408" spans="1:31">
      <c r="A408" s="59" t="s">
        <v>367</v>
      </c>
      <c r="B408" s="57">
        <f t="shared" si="18"/>
        <v>1</v>
      </c>
      <c r="C408" s="60">
        <f>IF(B408&lt;&gt;1,"",SUM(B$354:B408))</f>
        <v>31</v>
      </c>
      <c r="D408" s="57">
        <v>55</v>
      </c>
      <c r="E408" s="60" t="s">
        <v>2411</v>
      </c>
      <c r="F408" s="63" t="str">
        <f>IF(COUNTA($A$354:$A408)&lt;=MAX(DS_Counties_Sequence)=TRUE,LOOKUP(COUNTA($A$354:$A408),DS_Counties_Sequence,DS_Counties_DataNames),"")</f>
        <v/>
      </c>
      <c r="G408" s="268" t="s">
        <v>367</v>
      </c>
      <c r="H408" s="67" t="s">
        <v>298</v>
      </c>
      <c r="I408" s="67" t="s">
        <v>182</v>
      </c>
      <c r="J408" s="1286"/>
      <c r="K408" s="2004" t="s">
        <v>705</v>
      </c>
      <c r="M408" s="1541" t="s">
        <v>459</v>
      </c>
      <c r="N408" s="1542">
        <f>IF(M408="Yes",1+MAX(N$353:N407),0)</f>
        <v>0</v>
      </c>
      <c r="O408" s="1699" t="str">
        <f t="shared" si="19"/>
        <v>No</v>
      </c>
      <c r="P408" s="1802">
        <f t="shared" si="20"/>
        <v>2</v>
      </c>
      <c r="Q408" s="1314">
        <f t="shared" si="21"/>
        <v>1</v>
      </c>
      <c r="R408" s="1314">
        <f t="shared" si="22"/>
        <v>0</v>
      </c>
      <c r="S408" s="1803">
        <f t="shared" si="23"/>
        <v>0</v>
      </c>
      <c r="T408" s="1802">
        <f t="shared" si="24"/>
        <v>2</v>
      </c>
      <c r="U408" s="1314">
        <f t="shared" si="25"/>
        <v>1</v>
      </c>
      <c r="V408" s="1314">
        <f t="shared" si="26"/>
        <v>0</v>
      </c>
      <c r="W408" s="1803">
        <f t="shared" si="27"/>
        <v>20</v>
      </c>
      <c r="X408" s="1802">
        <f t="shared" si="28"/>
        <v>2</v>
      </c>
      <c r="Y408" s="1314">
        <f t="shared" si="29"/>
        <v>37</v>
      </c>
      <c r="Z408" s="1314">
        <f t="shared" si="30"/>
        <v>0</v>
      </c>
      <c r="AA408" s="2295">
        <f t="shared" si="31"/>
        <v>21</v>
      </c>
      <c r="AB408" s="1802">
        <f t="shared" si="32"/>
        <v>0</v>
      </c>
      <c r="AC408" s="1314">
        <f t="shared" si="33"/>
        <v>0</v>
      </c>
      <c r="AD408" s="1314">
        <f t="shared" si="34"/>
        <v>0</v>
      </c>
      <c r="AE408" s="2295">
        <f t="shared" si="35"/>
        <v>0</v>
      </c>
    </row>
    <row r="409" spans="1:31">
      <c r="A409" s="59" t="s">
        <v>368</v>
      </c>
      <c r="B409" s="57">
        <f t="shared" si="18"/>
        <v>1</v>
      </c>
      <c r="C409" s="60">
        <f>IF(B409&lt;&gt;1,"",SUM(B$354:B409))</f>
        <v>32</v>
      </c>
      <c r="D409" s="57">
        <v>56</v>
      </c>
      <c r="E409" s="60" t="s">
        <v>2414</v>
      </c>
      <c r="F409" s="63" t="str">
        <f>IF(COUNTA($A$354:$A409)&lt;=MAX(DS_Counties_Sequence)=TRUE,LOOKUP(COUNTA($A$354:$A409),DS_Counties_Sequence,DS_Counties_DataNames),"")</f>
        <v/>
      </c>
      <c r="G409" s="268" t="s">
        <v>368</v>
      </c>
      <c r="H409" s="67" t="s">
        <v>298</v>
      </c>
      <c r="I409" s="67" t="s">
        <v>299</v>
      </c>
      <c r="J409" s="1286"/>
      <c r="K409" s="2004" t="s">
        <v>705</v>
      </c>
      <c r="L409" s="1713">
        <f>MAX($N$354:$N$420)</f>
        <v>1</v>
      </c>
      <c r="M409" s="1541" t="s">
        <v>459</v>
      </c>
      <c r="N409" s="1542">
        <f>IF(M409="Yes",1+MAX(N$353:N408),0)</f>
        <v>0</v>
      </c>
      <c r="O409" s="1699" t="str">
        <f t="shared" si="19"/>
        <v>No</v>
      </c>
      <c r="P409" s="1802">
        <f t="shared" si="20"/>
        <v>12</v>
      </c>
      <c r="Q409" s="1314">
        <f t="shared" si="21"/>
        <v>5</v>
      </c>
      <c r="R409" s="1314">
        <f t="shared" si="22"/>
        <v>0</v>
      </c>
      <c r="S409" s="1803">
        <f t="shared" si="23"/>
        <v>57</v>
      </c>
      <c r="T409" s="1802">
        <f t="shared" si="24"/>
        <v>13</v>
      </c>
      <c r="U409" s="1314">
        <f t="shared" si="25"/>
        <v>5</v>
      </c>
      <c r="V409" s="1314">
        <f t="shared" si="26"/>
        <v>0</v>
      </c>
      <c r="W409" s="1803">
        <f t="shared" si="27"/>
        <v>76</v>
      </c>
      <c r="X409" s="1802">
        <f t="shared" si="28"/>
        <v>14</v>
      </c>
      <c r="Y409" s="1314">
        <f t="shared" si="29"/>
        <v>123</v>
      </c>
      <c r="Z409" s="1314">
        <f t="shared" si="30"/>
        <v>0</v>
      </c>
      <c r="AA409" s="2295">
        <f t="shared" si="31"/>
        <v>76</v>
      </c>
      <c r="AB409" s="1802">
        <f t="shared" si="32"/>
        <v>0</v>
      </c>
      <c r="AC409" s="1314">
        <f t="shared" si="33"/>
        <v>0</v>
      </c>
      <c r="AD409" s="1314">
        <f t="shared" si="34"/>
        <v>0</v>
      </c>
      <c r="AE409" s="2295">
        <f t="shared" si="35"/>
        <v>0</v>
      </c>
    </row>
    <row r="410" spans="1:31">
      <c r="A410" s="59" t="s">
        <v>369</v>
      </c>
      <c r="B410" s="57">
        <f t="shared" si="18"/>
        <v>1</v>
      </c>
      <c r="C410" s="60">
        <f>IF(B410&lt;&gt;1,"",SUM(B$354:B410))</f>
        <v>33</v>
      </c>
      <c r="D410" s="57">
        <v>57</v>
      </c>
      <c r="E410" s="60" t="s">
        <v>2412</v>
      </c>
      <c r="F410" s="63" t="str">
        <f>IF(COUNTA($A$354:$A410)&lt;=MAX(DS_Counties_Sequence)=TRUE,LOOKUP(COUNTA($A$354:$A410),DS_Counties_Sequence,DS_Counties_DataNames),"")</f>
        <v/>
      </c>
      <c r="G410" s="268" t="s">
        <v>369</v>
      </c>
      <c r="H410" s="67" t="s">
        <v>298</v>
      </c>
      <c r="I410" s="67" t="s">
        <v>299</v>
      </c>
      <c r="J410" s="1286"/>
      <c r="K410" s="2004" t="s">
        <v>705</v>
      </c>
      <c r="L410" s="111" t="s">
        <v>2294</v>
      </c>
      <c r="M410" s="1541" t="s">
        <v>459</v>
      </c>
      <c r="N410" s="1542">
        <f>IF(M410="Yes",1+MAX(N$353:N409),0)</f>
        <v>0</v>
      </c>
      <c r="O410" s="1699" t="str">
        <f t="shared" si="19"/>
        <v>No</v>
      </c>
      <c r="P410" s="1802">
        <f t="shared" si="20"/>
        <v>10</v>
      </c>
      <c r="Q410" s="1314">
        <f t="shared" si="21"/>
        <v>4</v>
      </c>
      <c r="R410" s="1314">
        <f t="shared" si="22"/>
        <v>0</v>
      </c>
      <c r="S410" s="1803">
        <f t="shared" si="23"/>
        <v>47</v>
      </c>
      <c r="T410" s="1802">
        <f t="shared" si="24"/>
        <v>10</v>
      </c>
      <c r="U410" s="1314">
        <f t="shared" si="25"/>
        <v>5</v>
      </c>
      <c r="V410" s="1314">
        <f t="shared" si="26"/>
        <v>0</v>
      </c>
      <c r="W410" s="1803">
        <f t="shared" si="27"/>
        <v>56</v>
      </c>
      <c r="X410" s="1802">
        <f t="shared" si="28"/>
        <v>10</v>
      </c>
      <c r="Y410" s="1314">
        <f t="shared" si="29"/>
        <v>89</v>
      </c>
      <c r="Z410" s="1314">
        <f t="shared" si="30"/>
        <v>0</v>
      </c>
      <c r="AA410" s="2295">
        <f t="shared" si="31"/>
        <v>57</v>
      </c>
      <c r="AB410" s="1802">
        <f t="shared" si="32"/>
        <v>0</v>
      </c>
      <c r="AC410" s="1314">
        <f t="shared" si="33"/>
        <v>0</v>
      </c>
      <c r="AD410" s="1314">
        <f t="shared" si="34"/>
        <v>0</v>
      </c>
      <c r="AE410" s="2295">
        <f t="shared" si="35"/>
        <v>0</v>
      </c>
    </row>
    <row r="411" spans="1:31">
      <c r="A411" s="59" t="s">
        <v>370</v>
      </c>
      <c r="B411" s="57">
        <f t="shared" si="18"/>
        <v>1</v>
      </c>
      <c r="C411" s="60">
        <f>IF(B411&lt;&gt;1,"",SUM(B$354:B411))</f>
        <v>34</v>
      </c>
      <c r="D411" s="57">
        <v>58</v>
      </c>
      <c r="E411" s="60" t="s">
        <v>2411</v>
      </c>
      <c r="F411" s="63" t="str">
        <f>IF(COUNTA($A$354:$A411)&lt;=MAX(DS_Counties_Sequence)=TRUE,LOOKUP(COUNTA($A$354:$A411),DS_Counties_Sequence,DS_Counties_DataNames),"")</f>
        <v/>
      </c>
      <c r="G411" s="268" t="s">
        <v>370</v>
      </c>
      <c r="H411" s="67" t="s">
        <v>298</v>
      </c>
      <c r="I411" s="67" t="s">
        <v>299</v>
      </c>
      <c r="J411" s="1286"/>
      <c r="K411" s="2004" t="s">
        <v>705</v>
      </c>
      <c r="L411" s="63" t="str">
        <f>IF(OR(N(MAX($N$354:$N$420))=0,N(MAX($N$354:$N$420))&lt;COUNTA($L$410:$L410)),"",INDEX(DS_Counties_DataNames,MATCH(COUNTA($L$410:$L410),$N$354:$N$420,0)))</f>
        <v>Franklin</v>
      </c>
      <c r="M411" s="1541" t="s">
        <v>459</v>
      </c>
      <c r="N411" s="1542">
        <f>IF(M411="Yes",1+MAX(N$353:N410),0)</f>
        <v>0</v>
      </c>
      <c r="O411" s="1699" t="str">
        <f t="shared" si="19"/>
        <v>No</v>
      </c>
      <c r="P411" s="1802">
        <f t="shared" si="20"/>
        <v>4</v>
      </c>
      <c r="Q411" s="1314">
        <f t="shared" si="21"/>
        <v>3</v>
      </c>
      <c r="R411" s="1314">
        <f t="shared" si="22"/>
        <v>0</v>
      </c>
      <c r="S411" s="1803">
        <f t="shared" si="23"/>
        <v>0</v>
      </c>
      <c r="T411" s="1802">
        <f t="shared" si="24"/>
        <v>4</v>
      </c>
      <c r="U411" s="1314">
        <f t="shared" si="25"/>
        <v>3</v>
      </c>
      <c r="V411" s="1314">
        <f t="shared" si="26"/>
        <v>0</v>
      </c>
      <c r="W411" s="1803">
        <f t="shared" si="27"/>
        <v>32</v>
      </c>
      <c r="X411" s="1802">
        <f t="shared" si="28"/>
        <v>4</v>
      </c>
      <c r="Y411" s="1314">
        <f t="shared" si="29"/>
        <v>51</v>
      </c>
      <c r="Z411" s="1314">
        <f t="shared" si="30"/>
        <v>0</v>
      </c>
      <c r="AA411" s="2295">
        <f t="shared" si="31"/>
        <v>31</v>
      </c>
      <c r="AB411" s="1802">
        <f t="shared" si="32"/>
        <v>0</v>
      </c>
      <c r="AC411" s="1314">
        <f t="shared" si="33"/>
        <v>0</v>
      </c>
      <c r="AD411" s="1314">
        <f t="shared" si="34"/>
        <v>0</v>
      </c>
      <c r="AE411" s="2295">
        <f t="shared" si="35"/>
        <v>0</v>
      </c>
    </row>
    <row r="412" spans="1:31">
      <c r="A412" s="59" t="s">
        <v>371</v>
      </c>
      <c r="B412" s="57">
        <f t="shared" si="18"/>
        <v>1</v>
      </c>
      <c r="C412" s="60">
        <f>IF(B412&lt;&gt;1,"",SUM(B$354:B412))</f>
        <v>35</v>
      </c>
      <c r="D412" s="57">
        <v>59</v>
      </c>
      <c r="E412" s="60" t="s">
        <v>2412</v>
      </c>
      <c r="F412" s="63" t="str">
        <f>IF(COUNTA($A$354:$A412)&lt;=MAX(DS_Counties_Sequence)=TRUE,LOOKUP(COUNTA($A$354:$A412),DS_Counties_Sequence,DS_Counties_DataNames),"")</f>
        <v/>
      </c>
      <c r="G412" s="268" t="s">
        <v>371</v>
      </c>
      <c r="H412" s="67" t="s">
        <v>298</v>
      </c>
      <c r="I412" s="67" t="s">
        <v>299</v>
      </c>
      <c r="J412" s="1286"/>
      <c r="K412" s="2004" t="s">
        <v>705</v>
      </c>
      <c r="L412" s="63" t="str">
        <f>IF(OR(N(MAX($N$354:$N$420))=0,N(MAX($N$354:$N$420))&lt;COUNTA($L$410:$L411)),"",INDEX(DS_Counties_DataNames,MATCH(COUNTA($L$410:$L411),$N$354:$N$420,0)))</f>
        <v/>
      </c>
      <c r="M412" s="1541" t="s">
        <v>459</v>
      </c>
      <c r="N412" s="1542">
        <f>IF(M412="Yes",1+MAX(N$353:N411),0)</f>
        <v>0</v>
      </c>
      <c r="O412" s="1699" t="str">
        <f t="shared" si="19"/>
        <v>No</v>
      </c>
      <c r="P412" s="1802">
        <f t="shared" si="20"/>
        <v>6</v>
      </c>
      <c r="Q412" s="1314">
        <f t="shared" si="21"/>
        <v>9</v>
      </c>
      <c r="R412" s="1314">
        <f t="shared" si="22"/>
        <v>0</v>
      </c>
      <c r="S412" s="1803">
        <f t="shared" si="23"/>
        <v>0</v>
      </c>
      <c r="T412" s="1802">
        <f t="shared" si="24"/>
        <v>6</v>
      </c>
      <c r="U412" s="1314">
        <f t="shared" si="25"/>
        <v>9</v>
      </c>
      <c r="V412" s="1314">
        <f t="shared" si="26"/>
        <v>0</v>
      </c>
      <c r="W412" s="1803">
        <f t="shared" si="27"/>
        <v>37</v>
      </c>
      <c r="X412" s="1802">
        <f t="shared" si="28"/>
        <v>7</v>
      </c>
      <c r="Y412" s="1314">
        <f t="shared" si="29"/>
        <v>68</v>
      </c>
      <c r="Z412" s="1314">
        <f t="shared" si="30"/>
        <v>0</v>
      </c>
      <c r="AA412" s="2295">
        <f t="shared" si="31"/>
        <v>35</v>
      </c>
      <c r="AB412" s="1802">
        <f t="shared" si="32"/>
        <v>0</v>
      </c>
      <c r="AC412" s="1314">
        <f t="shared" si="33"/>
        <v>0</v>
      </c>
      <c r="AD412" s="1314">
        <f t="shared" si="34"/>
        <v>0</v>
      </c>
      <c r="AE412" s="2295">
        <f t="shared" si="35"/>
        <v>0</v>
      </c>
    </row>
    <row r="413" spans="1:31">
      <c r="A413" s="59" t="s">
        <v>372</v>
      </c>
      <c r="B413" s="57">
        <f t="shared" si="18"/>
        <v>1</v>
      </c>
      <c r="C413" s="60">
        <f>IF(B413&lt;&gt;1,"",SUM(B$354:B413))</f>
        <v>36</v>
      </c>
      <c r="D413" s="57">
        <v>60</v>
      </c>
      <c r="E413" s="60" t="s">
        <v>2414</v>
      </c>
      <c r="F413" s="63" t="str">
        <f>IF(COUNTA($A$354:$A413)&lt;=MAX(DS_Counties_Sequence)=TRUE,LOOKUP(COUNTA($A$354:$A413),DS_Counties_Sequence,DS_Counties_DataNames),"")</f>
        <v/>
      </c>
      <c r="G413" s="268" t="s">
        <v>372</v>
      </c>
      <c r="H413" s="67" t="s">
        <v>298</v>
      </c>
      <c r="I413" s="67" t="s">
        <v>182</v>
      </c>
      <c r="J413" s="1286"/>
      <c r="K413" s="2004" t="s">
        <v>705</v>
      </c>
      <c r="L413" s="63" t="str">
        <f>IF(OR(N(MAX($N$354:$N$420))=0,N(MAX($N$354:$N$420))&lt;COUNTA($L$410:$L412)),"",INDEX(DS_Counties_DataNames,MATCH(COUNTA($L$410:$L412),$N$354:$N$420,0)))</f>
        <v/>
      </c>
      <c r="M413" s="1541" t="s">
        <v>459</v>
      </c>
      <c r="N413" s="1542">
        <f>IF(M413="Yes",1+MAX(N$353:N412),0)</f>
        <v>0</v>
      </c>
      <c r="O413" s="1699" t="str">
        <f t="shared" si="19"/>
        <v>No</v>
      </c>
      <c r="P413" s="1802">
        <f t="shared" si="20"/>
        <v>1</v>
      </c>
      <c r="Q413" s="1314">
        <f t="shared" si="21"/>
        <v>0</v>
      </c>
      <c r="R413" s="1314">
        <f t="shared" si="22"/>
        <v>0</v>
      </c>
      <c r="S413" s="1803">
        <f t="shared" si="23"/>
        <v>9</v>
      </c>
      <c r="T413" s="1802">
        <f t="shared" si="24"/>
        <v>1</v>
      </c>
      <c r="U413" s="1314">
        <f t="shared" si="25"/>
        <v>0</v>
      </c>
      <c r="V413" s="1314">
        <f t="shared" si="26"/>
        <v>0</v>
      </c>
      <c r="W413" s="1803">
        <f t="shared" si="27"/>
        <v>15</v>
      </c>
      <c r="X413" s="1802">
        <f t="shared" si="28"/>
        <v>1</v>
      </c>
      <c r="Y413" s="1314">
        <f t="shared" si="29"/>
        <v>28</v>
      </c>
      <c r="Z413" s="1314">
        <f t="shared" si="30"/>
        <v>0</v>
      </c>
      <c r="AA413" s="2295">
        <f t="shared" si="31"/>
        <v>15</v>
      </c>
      <c r="AB413" s="1802">
        <f t="shared" si="32"/>
        <v>0</v>
      </c>
      <c r="AC413" s="1314">
        <f t="shared" si="33"/>
        <v>0</v>
      </c>
      <c r="AD413" s="1314">
        <f t="shared" si="34"/>
        <v>0</v>
      </c>
      <c r="AE413" s="2295">
        <f t="shared" si="35"/>
        <v>0</v>
      </c>
    </row>
    <row r="414" spans="1:31">
      <c r="A414" s="59" t="s">
        <v>373</v>
      </c>
      <c r="B414" s="57">
        <f t="shared" si="18"/>
        <v>0</v>
      </c>
      <c r="C414" s="60" t="str">
        <f>IF(B414&lt;&gt;1,"",SUM(B$354:B414))</f>
        <v/>
      </c>
      <c r="D414" s="57">
        <v>61</v>
      </c>
      <c r="E414" s="1958" t="s">
        <v>705</v>
      </c>
      <c r="F414" s="63" t="str">
        <f>IF(COUNTA($A$354:$A414)&lt;=MAX(DS_Counties_Sequence)=TRUE,LOOKUP(COUNTA($A$354:$A414),DS_Counties_Sequence,DS_Counties_DataNames),"")</f>
        <v/>
      </c>
      <c r="G414" s="268" t="s">
        <v>373</v>
      </c>
      <c r="H414" s="67" t="s">
        <v>303</v>
      </c>
      <c r="I414" s="67" t="s">
        <v>304</v>
      </c>
      <c r="J414" s="1286">
        <v>1</v>
      </c>
      <c r="K414" s="2005" t="s">
        <v>2466</v>
      </c>
      <c r="L414" s="63" t="str">
        <f>IF(OR(N(MAX($N$354:$N$420))=0,N(MAX($N$354:$N$420))&lt;COUNTA($L$410:$L413)),"",INDEX(DS_Counties_DataNames,MATCH(COUNTA($L$410:$L413),$N$354:$N$420,0)))</f>
        <v/>
      </c>
      <c r="M414" s="1541" t="s">
        <v>459</v>
      </c>
      <c r="N414" s="1542">
        <f>IF(M414="Yes",1+MAX(N$353:N413),0)</f>
        <v>0</v>
      </c>
      <c r="O414" s="1699" t="str">
        <f t="shared" si="19"/>
        <v>No</v>
      </c>
      <c r="P414" s="1802">
        <f t="shared" si="20"/>
        <v>0</v>
      </c>
      <c r="Q414" s="1314">
        <f t="shared" si="21"/>
        <v>0</v>
      </c>
      <c r="R414" s="1314">
        <f t="shared" si="22"/>
        <v>0</v>
      </c>
      <c r="S414" s="1803">
        <f t="shared" si="23"/>
        <v>3</v>
      </c>
      <c r="T414" s="1802">
        <f t="shared" si="24"/>
        <v>0</v>
      </c>
      <c r="U414" s="1314">
        <f t="shared" si="25"/>
        <v>0</v>
      </c>
      <c r="V414" s="1314">
        <f t="shared" si="26"/>
        <v>0</v>
      </c>
      <c r="W414" s="1803">
        <f t="shared" si="27"/>
        <v>8</v>
      </c>
      <c r="X414" s="1802">
        <f t="shared" si="28"/>
        <v>0</v>
      </c>
      <c r="Y414" s="1314">
        <f t="shared" si="29"/>
        <v>0</v>
      </c>
      <c r="Z414" s="1314">
        <f t="shared" si="30"/>
        <v>11</v>
      </c>
      <c r="AA414" s="2295">
        <f t="shared" si="31"/>
        <v>8</v>
      </c>
      <c r="AB414" s="1802">
        <f t="shared" si="32"/>
        <v>0</v>
      </c>
      <c r="AC414" s="1314">
        <f t="shared" si="33"/>
        <v>0</v>
      </c>
      <c r="AD414" s="1314">
        <f t="shared" si="34"/>
        <v>0</v>
      </c>
      <c r="AE414" s="2295">
        <f t="shared" si="35"/>
        <v>0</v>
      </c>
    </row>
    <row r="415" spans="1:31">
      <c r="A415" s="59" t="s">
        <v>374</v>
      </c>
      <c r="B415" s="57">
        <f t="shared" si="18"/>
        <v>0</v>
      </c>
      <c r="C415" s="60" t="str">
        <f>IF(B415&lt;&gt;1,"",SUM(B$354:B415))</f>
        <v/>
      </c>
      <c r="D415" s="57">
        <v>62</v>
      </c>
      <c r="E415" s="1958" t="s">
        <v>705</v>
      </c>
      <c r="F415" s="63" t="str">
        <f>IF(COUNTA($A$354:$A415)&lt;=MAX(DS_Counties_Sequence)=TRUE,LOOKUP(COUNTA($A$354:$A415),DS_Counties_Sequence,DS_Counties_DataNames),"")</f>
        <v/>
      </c>
      <c r="G415" s="268" t="s">
        <v>374</v>
      </c>
      <c r="H415" s="67" t="s">
        <v>303</v>
      </c>
      <c r="I415" s="67" t="s">
        <v>304</v>
      </c>
      <c r="J415" s="1286">
        <v>1</v>
      </c>
      <c r="K415" s="2005" t="s">
        <v>2466</v>
      </c>
      <c r="L415" s="63" t="str">
        <f>IF(OR(N(MAX($N$354:$N$420))=0,N(MAX($N$354:$N$420))&lt;COUNTA($L$410:$L414)),"",INDEX(DS_Counties_DataNames,MATCH(COUNTA($L$410:$L414),$N$354:$N$420,0)))</f>
        <v/>
      </c>
      <c r="M415" s="1541" t="s">
        <v>459</v>
      </c>
      <c r="N415" s="1542">
        <f>IF(M415="Yes",1+MAX(N$353:N414),0)</f>
        <v>0</v>
      </c>
      <c r="O415" s="1699" t="str">
        <f t="shared" si="19"/>
        <v>No</v>
      </c>
      <c r="P415" s="1802">
        <f t="shared" si="20"/>
        <v>0</v>
      </c>
      <c r="Q415" s="1314">
        <f t="shared" si="21"/>
        <v>0</v>
      </c>
      <c r="R415" s="1314">
        <f t="shared" si="22"/>
        <v>1</v>
      </c>
      <c r="S415" s="1803">
        <f t="shared" si="23"/>
        <v>3</v>
      </c>
      <c r="T415" s="1802">
        <f t="shared" si="24"/>
        <v>0</v>
      </c>
      <c r="U415" s="1314">
        <f t="shared" si="25"/>
        <v>0</v>
      </c>
      <c r="V415" s="1314">
        <f t="shared" si="26"/>
        <v>2</v>
      </c>
      <c r="W415" s="1803">
        <f t="shared" si="27"/>
        <v>5</v>
      </c>
      <c r="X415" s="1802">
        <f t="shared" si="28"/>
        <v>0</v>
      </c>
      <c r="Y415" s="1314">
        <f t="shared" si="29"/>
        <v>0</v>
      </c>
      <c r="Z415" s="1314">
        <f t="shared" si="30"/>
        <v>8</v>
      </c>
      <c r="AA415" s="2295">
        <f t="shared" si="31"/>
        <v>4</v>
      </c>
      <c r="AB415" s="1802">
        <f t="shared" si="32"/>
        <v>0</v>
      </c>
      <c r="AC415" s="1314">
        <f t="shared" si="33"/>
        <v>0</v>
      </c>
      <c r="AD415" s="1314">
        <f t="shared" si="34"/>
        <v>0</v>
      </c>
      <c r="AE415" s="2295">
        <f t="shared" si="35"/>
        <v>0</v>
      </c>
    </row>
    <row r="416" spans="1:31">
      <c r="A416" s="59" t="s">
        <v>375</v>
      </c>
      <c r="B416" s="57">
        <f t="shared" si="18"/>
        <v>0</v>
      </c>
      <c r="C416" s="60" t="str">
        <f>IF(B416&lt;&gt;1,"",SUM(B$354:B416))</f>
        <v/>
      </c>
      <c r="D416" s="57">
        <v>63</v>
      </c>
      <c r="E416" s="1958" t="s">
        <v>705</v>
      </c>
      <c r="F416" s="63" t="str">
        <f>IF(COUNTA($A$354:$A416)&lt;=MAX(DS_Counties_Sequence)=TRUE,LOOKUP(COUNTA($A$354:$A416),DS_Counties_Sequence,DS_Counties_DataNames),"")</f>
        <v/>
      </c>
      <c r="G416" s="268" t="s">
        <v>375</v>
      </c>
      <c r="H416" s="67" t="s">
        <v>303</v>
      </c>
      <c r="I416" s="67" t="s">
        <v>314</v>
      </c>
      <c r="J416" s="1286">
        <v>3</v>
      </c>
      <c r="K416" s="2005" t="s">
        <v>2466</v>
      </c>
      <c r="L416" s="63" t="str">
        <f>IF(OR(N(MAX($N$354:$N$420))=0,N(MAX($N$354:$N$420))&lt;COUNTA($L$410:$L415)),"",INDEX(DS_Counties_DataNames,MATCH(COUNTA($L$410:$L415),$N$354:$N$420,0)))</f>
        <v/>
      </c>
      <c r="M416" s="1541" t="s">
        <v>459</v>
      </c>
      <c r="N416" s="1542">
        <f>IF(M416="Yes",1+MAX(N$353:N415),0)</f>
        <v>0</v>
      </c>
      <c r="O416" s="1699" t="str">
        <f t="shared" si="19"/>
        <v>No</v>
      </c>
      <c r="P416" s="1802">
        <f t="shared" si="20"/>
        <v>0</v>
      </c>
      <c r="Q416" s="1314">
        <f t="shared" si="21"/>
        <v>0</v>
      </c>
      <c r="R416" s="1314">
        <f t="shared" si="22"/>
        <v>0</v>
      </c>
      <c r="S416" s="1803">
        <f t="shared" si="23"/>
        <v>2</v>
      </c>
      <c r="T416" s="1802">
        <f t="shared" si="24"/>
        <v>0</v>
      </c>
      <c r="U416" s="1314">
        <f t="shared" si="25"/>
        <v>0</v>
      </c>
      <c r="V416" s="1314">
        <f t="shared" si="26"/>
        <v>0</v>
      </c>
      <c r="W416" s="1803">
        <f t="shared" si="27"/>
        <v>3</v>
      </c>
      <c r="X416" s="1802">
        <f t="shared" si="28"/>
        <v>0</v>
      </c>
      <c r="Y416" s="1314">
        <f t="shared" si="29"/>
        <v>0</v>
      </c>
      <c r="Z416" s="1314">
        <f t="shared" si="30"/>
        <v>4</v>
      </c>
      <c r="AA416" s="2295">
        <f t="shared" si="31"/>
        <v>3</v>
      </c>
      <c r="AB416" s="1802">
        <f t="shared" si="32"/>
        <v>0</v>
      </c>
      <c r="AC416" s="1314">
        <f t="shared" si="33"/>
        <v>0</v>
      </c>
      <c r="AD416" s="1314">
        <f t="shared" si="34"/>
        <v>0</v>
      </c>
      <c r="AE416" s="2295">
        <f t="shared" si="35"/>
        <v>0</v>
      </c>
    </row>
    <row r="417" spans="1:31">
      <c r="A417" s="59" t="s">
        <v>376</v>
      </c>
      <c r="B417" s="57">
        <f t="shared" si="18"/>
        <v>1</v>
      </c>
      <c r="C417" s="60">
        <f>IF(B417&lt;&gt;1,"",SUM(B$354:B417))</f>
        <v>37</v>
      </c>
      <c r="D417" s="57">
        <v>64</v>
      </c>
      <c r="E417" s="60" t="s">
        <v>2411</v>
      </c>
      <c r="F417" s="63" t="str">
        <f>IF(COUNTA($A$354:$A417)&lt;=MAX(DS_Counties_Sequence)=TRUE,LOOKUP(COUNTA($A$354:$A417),DS_Counties_Sequence,DS_Counties_DataNames),"")</f>
        <v/>
      </c>
      <c r="G417" s="268" t="s">
        <v>376</v>
      </c>
      <c r="H417" s="67" t="s">
        <v>298</v>
      </c>
      <c r="I417" s="67" t="s">
        <v>299</v>
      </c>
      <c r="J417" s="1286"/>
      <c r="K417" s="2004" t="s">
        <v>705</v>
      </c>
      <c r="L417" s="63" t="str">
        <f>IF(OR(N(MAX($N$354:$N$420))=0,N(MAX($N$354:$N$420))&lt;COUNTA($L$410:$L416)),"",INDEX(DS_Counties_DataNames,MATCH(COUNTA($L$410:$L416),$N$354:$N$420,0)))</f>
        <v/>
      </c>
      <c r="M417" s="1541" t="s">
        <v>459</v>
      </c>
      <c r="N417" s="1542">
        <f>IF(M417="Yes",1+MAX(N$353:N416),0)</f>
        <v>0</v>
      </c>
      <c r="O417" s="1699" t="str">
        <f t="shared" si="19"/>
        <v>No</v>
      </c>
      <c r="P417" s="1802">
        <f t="shared" si="20"/>
        <v>6</v>
      </c>
      <c r="Q417" s="1314">
        <f t="shared" si="21"/>
        <v>18</v>
      </c>
      <c r="R417" s="1314">
        <f t="shared" si="22"/>
        <v>0</v>
      </c>
      <c r="S417" s="1803">
        <f t="shared" si="23"/>
        <v>67</v>
      </c>
      <c r="T417" s="1802">
        <f t="shared" si="24"/>
        <v>6</v>
      </c>
      <c r="U417" s="1314">
        <f t="shared" si="25"/>
        <v>18</v>
      </c>
      <c r="V417" s="1314">
        <f t="shared" si="26"/>
        <v>0</v>
      </c>
      <c r="W417" s="1803">
        <f t="shared" si="27"/>
        <v>81</v>
      </c>
      <c r="X417" s="1802">
        <f t="shared" si="28"/>
        <v>9</v>
      </c>
      <c r="Y417" s="1314">
        <f t="shared" si="29"/>
        <v>130</v>
      </c>
      <c r="Z417" s="1314">
        <f t="shared" si="30"/>
        <v>0</v>
      </c>
      <c r="AA417" s="2295">
        <f t="shared" si="31"/>
        <v>80</v>
      </c>
      <c r="AB417" s="1802">
        <f t="shared" si="32"/>
        <v>0</v>
      </c>
      <c r="AC417" s="1314">
        <f t="shared" si="33"/>
        <v>0</v>
      </c>
      <c r="AD417" s="1314">
        <f t="shared" si="34"/>
        <v>0</v>
      </c>
      <c r="AE417" s="2295">
        <f t="shared" si="35"/>
        <v>0</v>
      </c>
    </row>
    <row r="418" spans="1:31">
      <c r="A418" s="59" t="s">
        <v>377</v>
      </c>
      <c r="B418" s="57">
        <f t="shared" si="18"/>
        <v>0</v>
      </c>
      <c r="C418" s="60" t="str">
        <f>IF(B418&lt;&gt;1,"",SUM(B$354:B418))</f>
        <v/>
      </c>
      <c r="D418" s="57">
        <v>65</v>
      </c>
      <c r="E418" s="1958" t="s">
        <v>705</v>
      </c>
      <c r="F418" s="63" t="str">
        <f>IF(COUNTA($A$354:$A418)&lt;=MAX(DS_Counties_Sequence)=TRUE,LOOKUP(COUNTA($A$354:$A418),DS_Counties_Sequence,DS_Counties_DataNames),"")</f>
        <v/>
      </c>
      <c r="G418" s="268" t="s">
        <v>377</v>
      </c>
      <c r="H418" s="67" t="s">
        <v>303</v>
      </c>
      <c r="I418" s="67" t="s">
        <v>304</v>
      </c>
      <c r="J418" s="1286">
        <v>3</v>
      </c>
      <c r="K418" s="2006" t="s">
        <v>2464</v>
      </c>
      <c r="L418" s="63" t="str">
        <f>IF(OR(N(MAX($N$354:$N$420))=0,N(MAX($N$354:$N$420))&lt;COUNTA($L$410:$L417)),"",INDEX(DS_Counties_DataNames,MATCH(COUNTA($L$410:$L417),$N$354:$N$420,0)))</f>
        <v/>
      </c>
      <c r="M418" s="1541" t="s">
        <v>459</v>
      </c>
      <c r="N418" s="1542">
        <f>IF(M418="Yes",1+MAX(N$353:N417),0)</f>
        <v>0</v>
      </c>
      <c r="O418" s="1699" t="str">
        <f t="shared" ref="O418:O420" si="36">IF(AND(N418&gt;0,IFERROR(VLOOKUP(A418,DS_Counties_DDMenu,1),"No")&lt;&gt;"No"),"Yes","No")</f>
        <v>No</v>
      </c>
      <c r="P418" s="1802">
        <f t="shared" si="20"/>
        <v>0</v>
      </c>
      <c r="Q418" s="1314">
        <f t="shared" si="21"/>
        <v>0</v>
      </c>
      <c r="R418" s="1314">
        <f t="shared" si="22"/>
        <v>0</v>
      </c>
      <c r="S418" s="1803">
        <f t="shared" si="23"/>
        <v>2</v>
      </c>
      <c r="T418" s="1802">
        <f t="shared" si="24"/>
        <v>1</v>
      </c>
      <c r="U418" s="1314">
        <f t="shared" si="25"/>
        <v>0</v>
      </c>
      <c r="V418" s="1314">
        <f t="shared" si="26"/>
        <v>0</v>
      </c>
      <c r="W418" s="1803">
        <f t="shared" si="27"/>
        <v>6</v>
      </c>
      <c r="X418" s="1802">
        <f t="shared" si="28"/>
        <v>1</v>
      </c>
      <c r="Y418" s="1314">
        <f t="shared" si="29"/>
        <v>9</v>
      </c>
      <c r="Z418" s="1314">
        <f t="shared" si="30"/>
        <v>0</v>
      </c>
      <c r="AA418" s="2295">
        <f t="shared" si="31"/>
        <v>5</v>
      </c>
      <c r="AB418" s="1802">
        <f t="shared" si="32"/>
        <v>0</v>
      </c>
      <c r="AC418" s="1314">
        <f t="shared" si="33"/>
        <v>0</v>
      </c>
      <c r="AD418" s="1314">
        <f t="shared" si="34"/>
        <v>0</v>
      </c>
      <c r="AE418" s="2295">
        <f t="shared" si="35"/>
        <v>0</v>
      </c>
    </row>
    <row r="419" spans="1:31">
      <c r="A419" s="59" t="s">
        <v>378</v>
      </c>
      <c r="B419" s="57">
        <f t="shared" si="18"/>
        <v>0</v>
      </c>
      <c r="C419" s="60" t="str">
        <f>IF(B419&lt;&gt;1,"",SUM(B$354:B419))</f>
        <v/>
      </c>
      <c r="D419" s="57">
        <v>66</v>
      </c>
      <c r="E419" s="1958" t="s">
        <v>705</v>
      </c>
      <c r="F419" s="63" t="str">
        <f>IF(COUNTA($A$354:$A419)&lt;=MAX(DS_Counties_Sequence)=TRUE,LOOKUP(COUNTA($A$354:$A419),DS_Counties_Sequence,DS_Counties_DataNames),"")</f>
        <v/>
      </c>
      <c r="G419" s="268" t="s">
        <v>378</v>
      </c>
      <c r="H419" s="67" t="s">
        <v>303</v>
      </c>
      <c r="I419" s="67" t="s">
        <v>320</v>
      </c>
      <c r="J419" s="1286" t="s">
        <v>2470</v>
      </c>
      <c r="K419" s="2007" t="s">
        <v>2467</v>
      </c>
      <c r="L419" s="63" t="str">
        <f>IF(OR(N(MAX($N$354:$N$420))=0,N(MAX($N$354:$N$420))&lt;COUNTA($L$410:$L418)),"",INDEX(DS_Counties_DataNames,MATCH(COUNTA($L$410:$L418),$N$354:$N$420,0)))</f>
        <v/>
      </c>
      <c r="M419" s="1541" t="s">
        <v>459</v>
      </c>
      <c r="N419" s="1542">
        <f>IF(M419="Yes",1+MAX(N$353:N418),0)</f>
        <v>0</v>
      </c>
      <c r="O419" s="1699" t="str">
        <f t="shared" si="36"/>
        <v>No</v>
      </c>
      <c r="P419" s="1802">
        <f t="shared" si="20"/>
        <v>2</v>
      </c>
      <c r="Q419" s="1314">
        <f t="shared" si="21"/>
        <v>2</v>
      </c>
      <c r="R419" s="1314">
        <f t="shared" si="22"/>
        <v>0</v>
      </c>
      <c r="S419" s="1803">
        <f t="shared" si="23"/>
        <v>7</v>
      </c>
      <c r="T419" s="1802">
        <f t="shared" si="24"/>
        <v>1</v>
      </c>
      <c r="U419" s="1314">
        <f t="shared" si="25"/>
        <v>1</v>
      </c>
      <c r="V419" s="1314">
        <f t="shared" si="26"/>
        <v>0</v>
      </c>
      <c r="W419" s="1803">
        <f t="shared" si="27"/>
        <v>13</v>
      </c>
      <c r="X419" s="1802">
        <f t="shared" si="28"/>
        <v>2</v>
      </c>
      <c r="Y419" s="1314">
        <f t="shared" si="29"/>
        <v>21</v>
      </c>
      <c r="Z419" s="1314">
        <f t="shared" si="30"/>
        <v>0</v>
      </c>
      <c r="AA419" s="2295">
        <f t="shared" si="31"/>
        <v>10</v>
      </c>
      <c r="AB419" s="1802">
        <f t="shared" si="32"/>
        <v>0</v>
      </c>
      <c r="AC419" s="1314">
        <f t="shared" si="33"/>
        <v>0</v>
      </c>
      <c r="AD419" s="1314">
        <f t="shared" si="34"/>
        <v>0</v>
      </c>
      <c r="AE419" s="2295">
        <f t="shared" si="35"/>
        <v>0</v>
      </c>
    </row>
    <row r="420" spans="1:31">
      <c r="A420" s="59" t="s">
        <v>379</v>
      </c>
      <c r="B420" s="57">
        <f t="shared" si="18"/>
        <v>0</v>
      </c>
      <c r="C420" s="60" t="str">
        <f>IF(B420&lt;&gt;1,"",SUM(B$354:B420))</f>
        <v/>
      </c>
      <c r="D420" s="57">
        <v>67</v>
      </c>
      <c r="E420" s="1958" t="s">
        <v>705</v>
      </c>
      <c r="F420" s="63" t="str">
        <f>IF(COUNTA($A$354:$A420)&lt;=MAX(DS_Counties_Sequence)=TRUE,LOOKUP(COUNTA($A$354:$A420),DS_Counties_Sequence,DS_Counties_DataNames),"")</f>
        <v/>
      </c>
      <c r="G420" s="268" t="s">
        <v>379</v>
      </c>
      <c r="H420" s="67" t="s">
        <v>303</v>
      </c>
      <c r="I420" s="67" t="s">
        <v>304</v>
      </c>
      <c r="J420" s="1286">
        <v>3</v>
      </c>
      <c r="K420" s="2006" t="s">
        <v>2464</v>
      </c>
      <c r="L420" s="63" t="str">
        <f>IF(OR(N(MAX($N$354:$N$420))=0,N(MAX($N$354:$N$420))&lt;COUNTA($L$410:$L419)),"",INDEX(DS_Counties_DataNames,MATCH(COUNTA($L$410:$L419),$N$354:$N$420,0)))</f>
        <v/>
      </c>
      <c r="M420" s="1541" t="s">
        <v>459</v>
      </c>
      <c r="N420" s="1542">
        <f>IF(M420="Yes",1+MAX(N$353:N419),0)</f>
        <v>0</v>
      </c>
      <c r="O420" s="1699" t="str">
        <f t="shared" si="36"/>
        <v>No</v>
      </c>
      <c r="P420" s="547">
        <f t="shared" si="20"/>
        <v>0</v>
      </c>
      <c r="Q420" s="1804">
        <f t="shared" si="21"/>
        <v>0</v>
      </c>
      <c r="R420" s="1804">
        <f t="shared" si="22"/>
        <v>3</v>
      </c>
      <c r="S420" s="1805">
        <f t="shared" si="23"/>
        <v>4</v>
      </c>
      <c r="T420" s="547">
        <f t="shared" si="24"/>
        <v>0</v>
      </c>
      <c r="U420" s="1804">
        <f t="shared" si="25"/>
        <v>0</v>
      </c>
      <c r="V420" s="1804">
        <f t="shared" si="26"/>
        <v>4</v>
      </c>
      <c r="W420" s="1805">
        <f t="shared" si="27"/>
        <v>5</v>
      </c>
      <c r="X420" s="547">
        <f t="shared" si="28"/>
        <v>0</v>
      </c>
      <c r="Y420" s="1804">
        <f t="shared" si="29"/>
        <v>0</v>
      </c>
      <c r="Z420" s="1804">
        <f t="shared" si="30"/>
        <v>7</v>
      </c>
      <c r="AA420" s="2296">
        <f t="shared" si="31"/>
        <v>5</v>
      </c>
      <c r="AB420" s="547">
        <f t="shared" si="32"/>
        <v>0</v>
      </c>
      <c r="AC420" s="2510">
        <f t="shared" si="33"/>
        <v>0</v>
      </c>
      <c r="AD420" s="2510">
        <f t="shared" si="34"/>
        <v>0</v>
      </c>
      <c r="AE420" s="2511">
        <f t="shared" si="35"/>
        <v>0</v>
      </c>
    </row>
    <row r="422" spans="1:31" ht="18" customHeight="1">
      <c r="A422" s="571" t="s">
        <v>380</v>
      </c>
      <c r="B422" s="6"/>
      <c r="C422" s="6"/>
      <c r="D422" s="6"/>
      <c r="E422" s="516" t="s">
        <v>381</v>
      </c>
      <c r="F422" s="63" t="s">
        <v>59</v>
      </c>
    </row>
    <row r="423" spans="1:31">
      <c r="F423" s="63" t="s">
        <v>382</v>
      </c>
    </row>
    <row r="424" spans="1:31">
      <c r="F424" s="63" t="s">
        <v>383</v>
      </c>
    </row>
    <row r="426" spans="1:31" ht="18" customHeight="1">
      <c r="A426" s="571" t="s">
        <v>384</v>
      </c>
      <c r="B426" s="6"/>
      <c r="C426" s="6"/>
      <c r="D426" s="6"/>
      <c r="E426" s="516" t="s">
        <v>385</v>
      </c>
      <c r="F426" s="63" t="s">
        <v>59</v>
      </c>
    </row>
    <row r="427" spans="1:31">
      <c r="F427" s="63" t="s">
        <v>386</v>
      </c>
    </row>
    <row r="428" spans="1:31">
      <c r="F428" s="63" t="s">
        <v>387</v>
      </c>
    </row>
    <row r="429" spans="1:31">
      <c r="F429" s="15"/>
      <c r="W429" s="1649" t="s">
        <v>2733</v>
      </c>
    </row>
    <row r="430" spans="1:31">
      <c r="E430" s="516" t="s">
        <v>385</v>
      </c>
      <c r="F430" s="15"/>
      <c r="W430" s="580"/>
    </row>
    <row r="431" spans="1:31">
      <c r="A431" s="571" t="s">
        <v>2695</v>
      </c>
      <c r="B431" s="572" t="s">
        <v>55</v>
      </c>
      <c r="C431" s="572" t="s">
        <v>56</v>
      </c>
      <c r="D431" s="572" t="s">
        <v>57</v>
      </c>
      <c r="E431" s="572" t="s">
        <v>2709</v>
      </c>
      <c r="F431" s="63" t="s">
        <v>59</v>
      </c>
      <c r="H431" s="1777" t="s">
        <v>2718</v>
      </c>
      <c r="W431" s="580"/>
    </row>
    <row r="432" spans="1:31">
      <c r="A432" t="s">
        <v>2699</v>
      </c>
      <c r="B432" s="2376">
        <v>1</v>
      </c>
      <c r="C432" s="60">
        <f>IF(B432&lt;&gt;1,"",SUM(B$432:B432))</f>
        <v>1</v>
      </c>
      <c r="D432" s="2376">
        <v>1</v>
      </c>
      <c r="E432" s="1225" t="s">
        <v>2711</v>
      </c>
      <c r="F432" s="63" t="str">
        <f>IF(COUNTA($A$432:$A432)&lt;=MAX(DS_Military_Sequence)=TRUE,LOOKUP(COUNTA($A$432:$A432),DS_Military_Sequence,DS_Military_DataNames),"")</f>
        <v>Bay County - NSA Panama City</v>
      </c>
      <c r="H432" s="2377">
        <v>4</v>
      </c>
      <c r="W432" s="580"/>
    </row>
    <row r="433" spans="1:32">
      <c r="A433" t="s">
        <v>2700</v>
      </c>
      <c r="B433" s="2376">
        <v>1</v>
      </c>
      <c r="C433" s="60">
        <f>IF(B433&lt;&gt;1,"",SUM(B$432:B433))</f>
        <v>2</v>
      </c>
      <c r="D433" s="2376">
        <v>2</v>
      </c>
      <c r="E433" s="403" t="s">
        <v>2711</v>
      </c>
      <c r="F433" s="63" t="str">
        <f>IF(COUNTA($A$432:$A433)&lt;=MAX(DS_Military_Sequence)=TRUE,LOOKUP(COUNTA($A$432:$A433),DS_Military_Sequence,DS_Military_DataNames),"")</f>
        <v>Bay County - Tyndall AFB</v>
      </c>
      <c r="H433" s="2377">
        <v>5</v>
      </c>
      <c r="W433" s="580"/>
    </row>
    <row r="434" spans="1:32">
      <c r="A434" t="s">
        <v>2696</v>
      </c>
      <c r="B434" s="2376">
        <v>1</v>
      </c>
      <c r="C434" s="60">
        <f>IF(B434&lt;&gt;1,"",SUM(B$432:B434))</f>
        <v>3</v>
      </c>
      <c r="D434" s="2376">
        <v>3</v>
      </c>
      <c r="E434" s="403" t="s">
        <v>2710</v>
      </c>
      <c r="F434" s="63" t="str">
        <f>IF(COUNTA($A$432:$A434)&lt;=MAX(DS_Military_Sequence)=TRUE,LOOKUP(COUNTA($A$432:$A434),DS_Military_Sequence,DS_Military_DataNames),"")</f>
        <v>Clay County - Camp Blanding</v>
      </c>
      <c r="H434" s="2377">
        <v>1</v>
      </c>
      <c r="W434" s="580"/>
    </row>
    <row r="435" spans="1:32">
      <c r="A435" t="s">
        <v>2697</v>
      </c>
      <c r="B435" s="2376">
        <v>1</v>
      </c>
      <c r="C435" s="60">
        <f>IF(B435&lt;&gt;1,"",SUM(B$432:B435))</f>
        <v>4</v>
      </c>
      <c r="D435" s="2376">
        <v>4</v>
      </c>
      <c r="E435" s="403" t="s">
        <v>2710</v>
      </c>
      <c r="F435" s="63" t="str">
        <f>IF(COUNTA($A$432:$A435)&lt;=MAX(DS_Military_Sequence)=TRUE,LOOKUP(COUNTA($A$432:$A435),DS_Military_Sequence,DS_Military_DataNames),"")</f>
        <v>Duval County - NAS Jacksonville</v>
      </c>
      <c r="H435" s="2377">
        <v>2</v>
      </c>
      <c r="W435" s="580"/>
    </row>
    <row r="436" spans="1:32">
      <c r="A436" t="s">
        <v>2698</v>
      </c>
      <c r="B436" s="2376">
        <v>1</v>
      </c>
      <c r="C436" s="60">
        <f>IF(B436&lt;&gt;1,"",SUM(B$432:B436))</f>
        <v>5</v>
      </c>
      <c r="D436" s="2376">
        <v>5</v>
      </c>
      <c r="E436" s="403" t="s">
        <v>2710</v>
      </c>
      <c r="F436" s="63" t="str">
        <f>IF(COUNTA($A$432:$A436)&lt;=MAX(DS_Military_Sequence)=TRUE,LOOKUP(COUNTA($A$432:$A436),DS_Military_Sequence,DS_Military_DataNames),"")</f>
        <v>Duval County - NS Mayport</v>
      </c>
      <c r="H436" s="2377">
        <v>3</v>
      </c>
      <c r="W436" s="580"/>
    </row>
    <row r="437" spans="1:32">
      <c r="A437" t="s">
        <v>2701</v>
      </c>
      <c r="B437" s="2376">
        <v>1</v>
      </c>
      <c r="C437" s="60">
        <f>IF(B437&lt;&gt;1,"",SUM(B$432:B437))</f>
        <v>6</v>
      </c>
      <c r="D437" s="2376">
        <v>6</v>
      </c>
      <c r="E437" s="403" t="s">
        <v>2711</v>
      </c>
      <c r="F437" s="63" t="str">
        <f>IF(COUNTA($A$432:$A437)&lt;=MAX(DS_Military_Sequence)=TRUE,LOOKUP(COUNTA($A$432:$A437),DS_Military_Sequence,DS_Military_DataNames),"")</f>
        <v>Escambia County - NAS Pensacola</v>
      </c>
      <c r="H437" s="2377">
        <v>6</v>
      </c>
      <c r="W437" s="580"/>
    </row>
    <row r="438" spans="1:32">
      <c r="A438" t="s">
        <v>2708</v>
      </c>
      <c r="B438" s="2376">
        <v>1</v>
      </c>
      <c r="C438" s="60">
        <f>IF(B438&lt;&gt;1,"",SUM(B$432:B438))</f>
        <v>7</v>
      </c>
      <c r="D438" s="2376">
        <v>7</v>
      </c>
      <c r="E438" s="403" t="s">
        <v>2414</v>
      </c>
      <c r="F438" s="63" t="str">
        <f>IF(COUNTA($A$432:$A438)&lt;=MAX(DS_Military_Sequence)=TRUE,LOOKUP(COUNTA($A$432:$A438),DS_Military_Sequence,DS_Military_DataNames),"")</f>
        <v>Hillsborough County - MacDill AFB</v>
      </c>
      <c r="H438" s="2377">
        <v>14</v>
      </c>
      <c r="W438" s="580"/>
    </row>
    <row r="439" spans="1:32">
      <c r="A439" t="s">
        <v>2705</v>
      </c>
      <c r="B439" s="2376">
        <v>1</v>
      </c>
      <c r="C439" s="60">
        <f>IF(B439&lt;&gt;1,"",SUM(B$432:B439))</f>
        <v>8</v>
      </c>
      <c r="D439" s="2376">
        <v>8</v>
      </c>
      <c r="E439" s="403" t="s">
        <v>2712</v>
      </c>
      <c r="F439" s="63" t="str">
        <f>IF(COUNTA($A$432:$A439)&lt;=MAX(DS_Military_Sequence)=TRUE,LOOKUP(COUNTA($A$432:$A439),DS_Military_Sequence,DS_Military_DataNames),"")</f>
        <v xml:space="preserve">Miami-Dade County - Homestead Air Reserve Base </v>
      </c>
      <c r="H439" s="2377">
        <v>10</v>
      </c>
      <c r="W439" s="580"/>
    </row>
    <row r="440" spans="1:32">
      <c r="A440" t="s">
        <v>2706</v>
      </c>
      <c r="B440" s="2376">
        <v>1</v>
      </c>
      <c r="C440" s="60">
        <f>IF(B440&lt;&gt;1,"",SUM(B$432:B440))</f>
        <v>9</v>
      </c>
      <c r="D440" s="2376">
        <v>9</v>
      </c>
      <c r="E440" s="403" t="s">
        <v>2712</v>
      </c>
      <c r="F440" s="63" t="str">
        <f>IF(COUNTA($A$432:$A440)&lt;=MAX(DS_Military_Sequence)=TRUE,LOOKUP(COUNTA($A$432:$A440),DS_Military_Sequence,DS_Military_DataNames),"")</f>
        <v xml:space="preserve">Miami-Dade County - US Coast Guard 7th District Base </v>
      </c>
      <c r="H440" s="2377">
        <v>11</v>
      </c>
      <c r="W440" s="580"/>
    </row>
    <row r="441" spans="1:32">
      <c r="A441" t="s">
        <v>2707</v>
      </c>
      <c r="B441" s="2376">
        <v>1</v>
      </c>
      <c r="C441" s="60">
        <f>IF(B441&lt;&gt;1,"",SUM(B$432:B441))</f>
        <v>10</v>
      </c>
      <c r="D441" s="2376">
        <v>10</v>
      </c>
      <c r="E441" s="403" t="s">
        <v>2712</v>
      </c>
      <c r="F441" s="63" t="str">
        <f>IF(COUNTA($A$432:$A441)&lt;=MAX(DS_Military_Sequence)=TRUE,LOOKUP(COUNTA($A$432:$A441),DS_Military_Sequence,DS_Military_DataNames),"")</f>
        <v xml:space="preserve">Miami-Dade County - US Southern Command </v>
      </c>
      <c r="H441" s="2377">
        <v>12</v>
      </c>
      <c r="W441" s="580"/>
    </row>
    <row r="442" spans="1:32">
      <c r="A442" t="s">
        <v>2717</v>
      </c>
      <c r="B442" s="2376">
        <v>1</v>
      </c>
      <c r="C442" s="60">
        <f>IF(B442&lt;&gt;1,"",SUM(B$432:B442))</f>
        <v>11</v>
      </c>
      <c r="D442" s="2376">
        <v>11</v>
      </c>
      <c r="E442" s="403" t="s">
        <v>2712</v>
      </c>
      <c r="F442" s="63" t="str">
        <f>IF(COUNTA($A$432:$A442)&lt;=MAX(DS_Military_Sequence)=TRUE,LOOKUP(COUNTA($A$432:$A442),DS_Military_Sequence,DS_Military_DataNames),"")</f>
        <v>Monroe County - NAS Key West</v>
      </c>
      <c r="H442" s="2377">
        <v>13</v>
      </c>
      <c r="W442" s="580"/>
    </row>
    <row r="443" spans="1:32">
      <c r="A443" t="s">
        <v>2702</v>
      </c>
      <c r="B443" s="2376">
        <v>1</v>
      </c>
      <c r="C443" s="60">
        <f>IF(B443&lt;&gt;1,"",SUM(B$432:B443))</f>
        <v>12</v>
      </c>
      <c r="D443" s="2376">
        <v>12</v>
      </c>
      <c r="E443" s="403" t="s">
        <v>2711</v>
      </c>
      <c r="F443" s="63" t="str">
        <f>IF(COUNTA($A$432:$A443)&lt;=MAX(DS_Military_Sequence)=TRUE,LOOKUP(COUNTA($A$432:$A443),DS_Military_Sequence,DS_Military_DataNames),"")</f>
        <v>Okaloosa County - Eglin AFB</v>
      </c>
      <c r="H443" s="2377">
        <v>7</v>
      </c>
      <c r="W443" s="580"/>
    </row>
    <row r="444" spans="1:32">
      <c r="A444" t="s">
        <v>2703</v>
      </c>
      <c r="B444" s="2376">
        <v>1</v>
      </c>
      <c r="C444" s="60">
        <f>IF(B444&lt;&gt;1,"",SUM(B$432:B444))</f>
        <v>13</v>
      </c>
      <c r="D444" s="2376">
        <v>13</v>
      </c>
      <c r="E444" s="403" t="s">
        <v>2711</v>
      </c>
      <c r="F444" s="63" t="str">
        <f>IF(COUNTA($A$432:$A444)&lt;=MAX(DS_Military_Sequence)=TRUE,LOOKUP(COUNTA($A$432:$A444),DS_Military_Sequence,DS_Military_DataNames),"")</f>
        <v>Okaloosa County - Hurlburt Field</v>
      </c>
      <c r="H444" s="2377">
        <v>8</v>
      </c>
      <c r="W444" s="580"/>
    </row>
    <row r="445" spans="1:32">
      <c r="A445" t="s">
        <v>2704</v>
      </c>
      <c r="B445" s="2376">
        <v>1</v>
      </c>
      <c r="C445" s="60">
        <f>IF(B445&lt;&gt;1,"",SUM(B$432:B445))</f>
        <v>14</v>
      </c>
      <c r="D445" s="2376">
        <v>14</v>
      </c>
      <c r="E445" s="403" t="s">
        <v>2711</v>
      </c>
      <c r="F445" s="63" t="str">
        <f>IF(COUNTA($A$432:$A445)&lt;=MAX(DS_Military_Sequence)=TRUE,LOOKUP(COUNTA($A$432:$A445),DS_Military_Sequence,DS_Military_DataNames),"")</f>
        <v xml:space="preserve">Santa Rosa County - NAS Whiting Field </v>
      </c>
      <c r="H445" s="2377">
        <v>9</v>
      </c>
      <c r="W445" s="580"/>
    </row>
    <row r="446" spans="1:32">
      <c r="F446" s="15"/>
      <c r="W446" s="580"/>
    </row>
    <row r="447" spans="1:32" ht="18" customHeight="1" thickBot="1">
      <c r="A447" s="571" t="s">
        <v>400</v>
      </c>
      <c r="B447" s="6"/>
      <c r="C447" s="6"/>
      <c r="D447" s="6"/>
      <c r="E447" s="516" t="s">
        <v>401</v>
      </c>
      <c r="F447" s="583" t="s">
        <v>402</v>
      </c>
      <c r="G447" s="567" t="s">
        <v>303</v>
      </c>
      <c r="H447" s="567" t="s">
        <v>1653</v>
      </c>
      <c r="I447" s="567" t="s">
        <v>403</v>
      </c>
      <c r="J447" s="567" t="s">
        <v>404</v>
      </c>
      <c r="K447" s="567" t="s">
        <v>1662</v>
      </c>
      <c r="L447" s="567" t="s">
        <v>1661</v>
      </c>
      <c r="W447" s="1649" t="s">
        <v>2732</v>
      </c>
    </row>
    <row r="448" spans="1:32" ht="14.45" customHeight="1">
      <c r="A448" s="6" t="s">
        <v>406</v>
      </c>
      <c r="B448" s="953">
        <v>3</v>
      </c>
      <c r="C448" s="1042">
        <f>IF(PHA_Prox_boost="Yes",B448,0)</f>
        <v>0</v>
      </c>
      <c r="D448" s="2718">
        <f>C448+C449+C451</f>
        <v>0</v>
      </c>
      <c r="E448" s="516"/>
      <c r="F448" s="1043" t="s">
        <v>407</v>
      </c>
      <c r="G448" s="575">
        <v>0.3</v>
      </c>
      <c r="H448" s="575">
        <v>0.3</v>
      </c>
      <c r="I448" s="1083">
        <v>2</v>
      </c>
      <c r="J448" s="1083">
        <v>4</v>
      </c>
      <c r="K448" s="1083">
        <v>6</v>
      </c>
      <c r="L448" s="1083">
        <v>6</v>
      </c>
      <c r="M448" s="1161" t="s">
        <v>1657</v>
      </c>
      <c r="O448" s="1016"/>
      <c r="P448" s="1017">
        <f>SQRT(((((6378137/1000)^2*COS(P450))^2)+(((6356752.3142245/1000)^2*SIN(P450))^2))/((((6378137/1000)*COS(P450))^2)+(((6356752.3142245/1000)*SIN(P450))^2)))/1.609343834</f>
        <v>3960.5661225585404</v>
      </c>
      <c r="Q448" s="1018"/>
      <c r="R448" s="1018"/>
      <c r="S448" s="1018"/>
      <c r="T448" s="1018"/>
      <c r="U448" s="1018"/>
      <c r="V448" s="1018"/>
      <c r="W448" s="1018"/>
      <c r="X448" s="1018"/>
      <c r="Y448" s="1018"/>
      <c r="Z448" s="1018"/>
      <c r="AA448" s="1018"/>
      <c r="AB448" s="1018"/>
      <c r="AC448" s="1018"/>
      <c r="AD448" s="1018"/>
      <c r="AE448" s="1018"/>
      <c r="AF448" s="1019"/>
    </row>
    <row r="449" spans="1:33" ht="14.45" customHeight="1">
      <c r="A449" s="6" t="s">
        <v>409</v>
      </c>
      <c r="B449" s="953">
        <v>3</v>
      </c>
      <c r="C449" s="1041">
        <f>IF(AND(RD_Prox_boost="Yes",PHA_Prox_boost&lt;&gt;"Yes"),B449,0)</f>
        <v>0</v>
      </c>
      <c r="D449" s="2719"/>
      <c r="E449" s="516"/>
      <c r="F449" s="1043" t="s">
        <v>407</v>
      </c>
      <c r="G449" s="576">
        <v>0.75</v>
      </c>
      <c r="H449" s="576">
        <v>0.4</v>
      </c>
      <c r="I449" s="1084">
        <v>1.5</v>
      </c>
      <c r="J449" s="1084">
        <v>3</v>
      </c>
      <c r="K449" s="1084">
        <v>5.5</v>
      </c>
      <c r="L449" s="1084">
        <v>5.5</v>
      </c>
      <c r="M449" s="1161" t="s">
        <v>1658</v>
      </c>
      <c r="O449" s="1020"/>
      <c r="P449" s="1021" t="s">
        <v>398</v>
      </c>
      <c r="Q449" s="6"/>
      <c r="R449" s="6"/>
      <c r="S449" s="6"/>
      <c r="T449" s="6"/>
      <c r="U449" s="6"/>
      <c r="V449" s="6"/>
      <c r="W449" s="6"/>
      <c r="X449" s="6"/>
      <c r="Y449" s="6"/>
      <c r="Z449" s="6"/>
      <c r="AA449" s="6"/>
      <c r="AB449" s="6"/>
      <c r="AC449" s="6"/>
      <c r="AD449" s="6"/>
      <c r="AE449" s="6"/>
      <c r="AF449" s="1022"/>
    </row>
    <row r="450" spans="1:33" ht="14.45" customHeight="1">
      <c r="A450" s="408" t="s">
        <v>413</v>
      </c>
      <c r="C450" s="578"/>
      <c r="D450" s="2719"/>
      <c r="E450" s="516"/>
      <c r="F450" s="1043" t="s">
        <v>407</v>
      </c>
      <c r="G450" s="586">
        <v>1</v>
      </c>
      <c r="H450" s="586">
        <v>0.5</v>
      </c>
      <c r="I450" s="1085">
        <v>1</v>
      </c>
      <c r="J450" s="1085">
        <v>2</v>
      </c>
      <c r="K450" s="1085">
        <v>5</v>
      </c>
      <c r="L450" s="1085">
        <v>5.5</v>
      </c>
      <c r="M450" s="1161" t="s">
        <v>1659</v>
      </c>
      <c r="O450" s="1023" t="s">
        <v>399</v>
      </c>
      <c r="P450" s="1172">
        <f>IF(VALUE(DLP_latitude)=0,27.812095,DLP_latitude)</f>
        <v>27.812094999999999</v>
      </c>
      <c r="Q450" s="6"/>
      <c r="R450" s="6"/>
      <c r="S450" s="6"/>
      <c r="T450" s="6"/>
      <c r="U450" s="6"/>
      <c r="V450" s="6"/>
      <c r="X450" s="6"/>
      <c r="Y450" s="6"/>
      <c r="Z450" s="6"/>
      <c r="AA450" s="6"/>
      <c r="AB450" s="6"/>
      <c r="AC450" s="6"/>
      <c r="AD450" s="925" t="s">
        <v>1857</v>
      </c>
      <c r="AE450" s="531">
        <v>6</v>
      </c>
      <c r="AF450" s="1022"/>
    </row>
    <row r="451" spans="1:33" ht="14.45" customHeight="1" thickBot="1">
      <c r="A451" s="6" t="s">
        <v>1635</v>
      </c>
      <c r="B451" s="953">
        <v>6</v>
      </c>
      <c r="C451" s="1041">
        <f>MIN(B451,SUM(C452:C456))</f>
        <v>0</v>
      </c>
      <c r="D451" s="2720"/>
      <c r="E451" s="516"/>
      <c r="F451" s="1043" t="s">
        <v>407</v>
      </c>
      <c r="G451" s="586">
        <v>1.25</v>
      </c>
      <c r="H451" s="586">
        <v>0.75</v>
      </c>
      <c r="I451" s="1084">
        <v>0.5</v>
      </c>
      <c r="J451" s="1084">
        <v>1</v>
      </c>
      <c r="K451" s="1084">
        <v>4.5</v>
      </c>
      <c r="L451" s="1084">
        <v>5</v>
      </c>
      <c r="M451" s="1161" t="s">
        <v>1660</v>
      </c>
      <c r="O451" s="1024" t="s">
        <v>405</v>
      </c>
      <c r="P451" s="1171">
        <f>(6378137*1+0*6378800)/1000</f>
        <v>6378.1369999999997</v>
      </c>
      <c r="Q451" s="333">
        <f>P451^2</f>
        <v>40680631.590768993</v>
      </c>
      <c r="R451" s="333">
        <f>Q451*Q452</f>
        <v>-36411455.79754369</v>
      </c>
      <c r="S451" s="333">
        <f>R451^2</f>
        <v>1325794113296478</v>
      </c>
      <c r="T451" s="1025"/>
      <c r="U451" s="6"/>
      <c r="V451" s="925" t="s">
        <v>1848</v>
      </c>
      <c r="W451" s="531">
        <f>1.609347*0+0*6356.7523142/3949.9027642+1*6378.137/3963.191</f>
        <v>1.6093438342991797</v>
      </c>
      <c r="X451" s="6"/>
      <c r="Y451" s="6"/>
      <c r="Z451" s="6"/>
      <c r="AA451" s="6"/>
      <c r="AB451" s="899" t="s">
        <v>411</v>
      </c>
      <c r="AC451" s="899" t="s">
        <v>412</v>
      </c>
      <c r="AD451" s="1163" t="s">
        <v>411</v>
      </c>
      <c r="AE451" s="1163" t="s">
        <v>412</v>
      </c>
      <c r="AF451" s="1022"/>
    </row>
    <row r="452" spans="1:33" ht="14.45" customHeight="1">
      <c r="A452" s="94" t="s">
        <v>417</v>
      </c>
      <c r="B452" s="953">
        <v>2</v>
      </c>
      <c r="C452" s="578">
        <f>IF(AND(OR(Demographic="Elderly Non-ALF",Demographic="Elderly ALF"),Private_transportation="Yes"),B452,0)</f>
        <v>0</v>
      </c>
      <c r="D452" s="899"/>
      <c r="E452" s="516"/>
      <c r="F452" s="1043" t="s">
        <v>407</v>
      </c>
      <c r="G452" s="1088">
        <f>G451</f>
        <v>1.25</v>
      </c>
      <c r="H452" s="576">
        <v>1</v>
      </c>
      <c r="I452" s="1084">
        <v>0</v>
      </c>
      <c r="J452" s="1084">
        <v>0</v>
      </c>
      <c r="K452" s="1084">
        <v>0</v>
      </c>
      <c r="L452" s="1084">
        <v>4.5</v>
      </c>
      <c r="M452" s="1161" t="s">
        <v>1663</v>
      </c>
      <c r="O452" s="1023" t="s">
        <v>408</v>
      </c>
      <c r="P452" s="6">
        <f>COS(P$450)</f>
        <v>-0.89505630502074007</v>
      </c>
      <c r="Q452" s="6">
        <f>P452</f>
        <v>-0.89505630502074007</v>
      </c>
      <c r="R452" s="6"/>
      <c r="S452" s="6"/>
      <c r="T452" s="1026">
        <f>S451+S453</f>
        <v>1650522031715820.5</v>
      </c>
      <c r="U452" s="6"/>
      <c r="V452" s="6"/>
      <c r="W452" s="6"/>
      <c r="X452" s="6"/>
      <c r="Y452" s="6"/>
      <c r="Z452" s="6"/>
      <c r="AA452" s="6" t="s">
        <v>439</v>
      </c>
      <c r="AB452" s="1180">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$454)</f>
        <v>0</v>
      </c>
      <c r="AC452" s="1183">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$454)</f>
        <v>0</v>
      </c>
      <c r="AD452" s="1177">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$450)</f>
        <v>0</v>
      </c>
      <c r="AE452" s="1174">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$450)</f>
        <v>0</v>
      </c>
      <c r="AF452" s="1022"/>
    </row>
    <row r="453" spans="1:33" ht="14.45" customHeight="1">
      <c r="A453" s="94" t="s">
        <v>418</v>
      </c>
      <c r="B453" s="953">
        <v>6</v>
      </c>
      <c r="C453" s="578">
        <f>MIN(B453,C473)</f>
        <v>0</v>
      </c>
      <c r="D453" s="899"/>
      <c r="E453" s="516"/>
      <c r="F453" s="1036" t="s">
        <v>407</v>
      </c>
      <c r="G453" s="961"/>
      <c r="H453" s="961">
        <f>DS_BS_ML_5</f>
        <v>1</v>
      </c>
      <c r="I453" s="1086">
        <v>0</v>
      </c>
      <c r="J453" s="1086">
        <v>0</v>
      </c>
      <c r="K453" s="1086">
        <v>0</v>
      </c>
      <c r="L453" s="1086">
        <v>0</v>
      </c>
      <c r="M453" s="1162" t="s">
        <v>1664</v>
      </c>
      <c r="O453" s="1023" t="s">
        <v>410</v>
      </c>
      <c r="P453" s="15">
        <f>6356752.3142245/1000</f>
        <v>6356.7523142245</v>
      </c>
      <c r="Q453" s="6">
        <f>P453^2</f>
        <v>40408299.984398536</v>
      </c>
      <c r="R453" s="6">
        <f>Q453*Q454</f>
        <v>18020208.611981787</v>
      </c>
      <c r="S453" s="6">
        <f>R453^2</f>
        <v>324727918419342.56</v>
      </c>
      <c r="T453" s="1026"/>
      <c r="U453" s="6"/>
      <c r="V453" s="925" t="s">
        <v>411</v>
      </c>
      <c r="W453" s="925" t="s">
        <v>412</v>
      </c>
      <c r="X453" s="6"/>
      <c r="Y453" s="6"/>
      <c r="Z453" s="6"/>
      <c r="AA453" s="6" t="s">
        <v>440</v>
      </c>
      <c r="AB453" s="1181">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$454)</f>
        <v>0</v>
      </c>
      <c r="AC453" s="1184">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$454)</f>
        <v>0</v>
      </c>
      <c r="AD453" s="1178">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$450)</f>
        <v>0</v>
      </c>
      <c r="AE453" s="1175">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$450)</f>
        <v>0</v>
      </c>
      <c r="AF453" s="1022"/>
    </row>
    <row r="454" spans="1:33" ht="14.45" customHeight="1">
      <c r="A454" s="94" t="s">
        <v>419</v>
      </c>
      <c r="B454" s="953">
        <v>6</v>
      </c>
      <c r="C454" s="578">
        <f>MIN(B454,C476)</f>
        <v>0</v>
      </c>
      <c r="D454" s="899"/>
      <c r="F454" s="1043" t="s">
        <v>420</v>
      </c>
      <c r="G454" s="575">
        <v>0.3</v>
      </c>
      <c r="H454" s="1014">
        <v>0.3</v>
      </c>
      <c r="I454" s="1083">
        <v>6</v>
      </c>
      <c r="K454" s="899"/>
      <c r="L454" s="899">
        <v>1</v>
      </c>
      <c r="M454" s="1161" t="s">
        <v>1647</v>
      </c>
      <c r="O454" s="1023" t="s">
        <v>414</v>
      </c>
      <c r="P454" s="6">
        <f>SIN(P$450)</f>
        <v>0.44595314870804531</v>
      </c>
      <c r="Q454" s="6">
        <f>P454</f>
        <v>0.44595314870804531</v>
      </c>
      <c r="R454" s="6"/>
      <c r="S454" s="6"/>
      <c r="T454" s="6"/>
      <c r="U454" s="2685">
        <f>T452/T456</f>
        <v>40626762.705522977</v>
      </c>
      <c r="V454" s="6">
        <f>SQRT(U454)</f>
        <v>6373.9126684888752</v>
      </c>
      <c r="W454" s="6">
        <f>V454/$W$451</f>
        <v>3960.5661218222644</v>
      </c>
      <c r="X454" s="6" t="s">
        <v>415</v>
      </c>
      <c r="Y454" s="6"/>
      <c r="Z454" s="6"/>
      <c r="AA454" s="6" t="s">
        <v>441</v>
      </c>
      <c r="AB454" s="1181">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$454)</f>
        <v>0</v>
      </c>
      <c r="AC454" s="1184">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$454)</f>
        <v>0</v>
      </c>
      <c r="AD454" s="1178">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$450)</f>
        <v>0</v>
      </c>
      <c r="AE454" s="1175">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$450)</f>
        <v>0</v>
      </c>
      <c r="AF454" s="1022"/>
    </row>
    <row r="455" spans="1:33" ht="14.45" customHeight="1">
      <c r="A455" s="94" t="s">
        <v>421</v>
      </c>
      <c r="B455" s="953">
        <v>6</v>
      </c>
      <c r="C455" s="578">
        <f>MIN(B455,C477)</f>
        <v>0</v>
      </c>
      <c r="D455" s="899"/>
      <c r="F455" s="1043" t="s">
        <v>420</v>
      </c>
      <c r="G455" s="575">
        <v>0.75</v>
      </c>
      <c r="H455" s="575">
        <v>0.5</v>
      </c>
      <c r="I455" s="1084">
        <v>5.5</v>
      </c>
      <c r="K455" s="899"/>
      <c r="L455" s="899">
        <v>2</v>
      </c>
      <c r="M455" s="1161" t="s">
        <v>1654</v>
      </c>
      <c r="O455" s="1028" t="s">
        <v>405</v>
      </c>
      <c r="P455" s="1029">
        <f>P451</f>
        <v>6378.1369999999997</v>
      </c>
      <c r="Q455" s="1029">
        <f>P455*P456</f>
        <v>-5708.7917361360678</v>
      </c>
      <c r="R455" s="1029">
        <f>Q455^2</f>
        <v>32590303.08657546</v>
      </c>
      <c r="S455" s="1029"/>
      <c r="T455" s="1029"/>
      <c r="U455" s="2686"/>
      <c r="V455" s="6">
        <f>P453</f>
        <v>6356.7523142245</v>
      </c>
      <c r="W455" s="6">
        <f>V455/$W$451</f>
        <v>3949.9031709359188</v>
      </c>
      <c r="X455" s="6" t="s">
        <v>416</v>
      </c>
      <c r="Y455" s="6"/>
      <c r="Z455" s="6"/>
      <c r="AA455" s="6" t="s">
        <v>442</v>
      </c>
      <c r="AB455" s="1181">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$454)</f>
        <v>0</v>
      </c>
      <c r="AC455" s="1184">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$454)</f>
        <v>0</v>
      </c>
      <c r="AD455" s="1178">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$450)</f>
        <v>0</v>
      </c>
      <c r="AE455" s="1175">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$450)</f>
        <v>0</v>
      </c>
      <c r="AF455" s="1022"/>
    </row>
    <row r="456" spans="1:33" ht="14.45" customHeight="1">
      <c r="A456" s="94" t="s">
        <v>422</v>
      </c>
      <c r="B456" s="953">
        <v>6</v>
      </c>
      <c r="C456" s="578">
        <f>MIN(B456,C478)</f>
        <v>0</v>
      </c>
      <c r="D456" s="899"/>
      <c r="F456" s="1043" t="s">
        <v>420</v>
      </c>
      <c r="G456" s="575">
        <v>1</v>
      </c>
      <c r="H456" s="575">
        <v>0.75</v>
      </c>
      <c r="I456" s="1084">
        <v>5</v>
      </c>
      <c r="K456" s="899"/>
      <c r="L456" s="899">
        <v>3</v>
      </c>
      <c r="M456" s="1161" t="s">
        <v>1650</v>
      </c>
      <c r="O456" s="1023" t="s">
        <v>408</v>
      </c>
      <c r="P456" s="6">
        <f>COS(P$450)</f>
        <v>-0.89505630502074007</v>
      </c>
      <c r="Q456" s="6"/>
      <c r="R456" s="6"/>
      <c r="S456" s="6"/>
      <c r="T456" s="1026">
        <f>R455+R457</f>
        <v>40626471.857464574</v>
      </c>
      <c r="U456" s="6"/>
      <c r="V456" s="6">
        <f>P451</f>
        <v>6378.1369999999997</v>
      </c>
      <c r="W456" s="1030">
        <f>V456/$W$451</f>
        <v>3963.1909999999998</v>
      </c>
      <c r="X456" s="6" t="s">
        <v>2771</v>
      </c>
      <c r="Y456" s="6"/>
      <c r="Z456" s="6"/>
      <c r="AA456" s="6" t="s">
        <v>443</v>
      </c>
      <c r="AB456" s="1181">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$454)</f>
        <v>0</v>
      </c>
      <c r="AC456" s="1184">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$454)</f>
        <v>0</v>
      </c>
      <c r="AD456" s="1178">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$450)</f>
        <v>0</v>
      </c>
      <c r="AE456" s="1175">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$450)</f>
        <v>0</v>
      </c>
      <c r="AF456" s="1022"/>
    </row>
    <row r="457" spans="1:33" ht="14.45" customHeight="1">
      <c r="A457" s="6" t="s">
        <v>423</v>
      </c>
      <c r="B457" s="953">
        <v>12</v>
      </c>
      <c r="C457" s="579">
        <f>IF(IFERROR(_xlfn.XLOOKUP(5,E480:E483,E480:E483),0)=5,SUMIF(C480:C483,"&lt;&gt;"""),IF(OR(LEFT(DS_GMPPS_Score_Rank,2)="14",LEFT(DS_GMPPS_Score_Rank,2)="24",LEFT(DS_GMPPS_Score_Rank,2)="34"),SUMIF(E480:E483,"&lt;4",C480:C483),IF(OR(LEFT(DS_GMPPS_Distance_Rank,2)="14",LEFT(DS_GMPPS_Distance_Rank,2)="24",LEFT(DS_GMPPS_Distance_Rank,2)="34"),SUMIF(D480:D483,"&lt;4",C480:C483),IF(LEFT(DS_GMPPS_Distance_Rank,2)="33",SUMIF(D$480:D$483,"&lt;3",C$480:C$483)+_xlfn.XLOOKUP(3,D$480:D$483,C$480:C$483,0,0,1),IF(DS_GMPPS_Distance_Rank="1222",SUMIF(D$480:D$483,1,C$480:C$483)+_xlfn.XLOOKUP(2,D$480:D$483,C$480:C$483,0,0,1),_xlfn.XLOOKUP(1,E480:E483,C480:C483,0,0,1)+2*_xlfn.XLOOKUP(2,E480:E483,C480:C483,0,0,1))))))</f>
        <v>0</v>
      </c>
      <c r="D457" s="106"/>
      <c r="F457" s="1043" t="s">
        <v>420</v>
      </c>
      <c r="G457" s="575">
        <v>1.25</v>
      </c>
      <c r="H457" s="575">
        <v>1</v>
      </c>
      <c r="I457" s="1084">
        <v>4.5</v>
      </c>
      <c r="K457" s="899"/>
      <c r="L457" s="899">
        <v>4</v>
      </c>
      <c r="O457" s="1023" t="s">
        <v>410</v>
      </c>
      <c r="P457" s="6">
        <f>P453</f>
        <v>6356.7523142245</v>
      </c>
      <c r="Q457" s="6">
        <f>P457*P458</f>
        <v>2834.8137100855697</v>
      </c>
      <c r="R457" s="6">
        <f>Q457^2</f>
        <v>8036168.7708891127</v>
      </c>
      <c r="S457" s="6"/>
      <c r="T457" s="1026"/>
      <c r="U457" s="6"/>
      <c r="V457" s="6"/>
      <c r="W457" s="6"/>
      <c r="X457" s="6"/>
      <c r="Y457" s="6"/>
      <c r="Z457" s="6"/>
      <c r="AA457" s="6" t="s">
        <v>444</v>
      </c>
      <c r="AB457" s="1182">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$454)</f>
        <v>0</v>
      </c>
      <c r="AC457" s="1185">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$454)</f>
        <v>0</v>
      </c>
      <c r="AD457" s="1179">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$450)</f>
        <v>0</v>
      </c>
      <c r="AE457" s="1176">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$450)</f>
        <v>0</v>
      </c>
      <c r="AF457" s="1022"/>
    </row>
    <row r="458" spans="1:33" ht="14.45" customHeight="1">
      <c r="A458" s="94" t="s">
        <v>424</v>
      </c>
      <c r="B458" s="953">
        <v>4</v>
      </c>
      <c r="C458" s="578"/>
      <c r="D458" s="899"/>
      <c r="F458" s="1043" t="s">
        <v>420</v>
      </c>
      <c r="G458" s="575">
        <v>1.5</v>
      </c>
      <c r="H458" s="575">
        <v>1.25</v>
      </c>
      <c r="I458" s="1084">
        <v>4</v>
      </c>
      <c r="K458" s="899"/>
      <c r="L458" s="899">
        <v>5</v>
      </c>
      <c r="O458" s="1031" t="s">
        <v>414</v>
      </c>
      <c r="P458" s="395">
        <f>SIN(P$450)</f>
        <v>0.44595314870804531</v>
      </c>
      <c r="Q458" s="395"/>
      <c r="R458" s="395"/>
      <c r="S458" s="395"/>
      <c r="T458" s="1032"/>
      <c r="U458" s="6"/>
      <c r="V458" s="6"/>
      <c r="W458" s="6"/>
      <c r="X458" s="6"/>
      <c r="Y458" s="6"/>
      <c r="Z458" s="6"/>
      <c r="AA458" s="6"/>
      <c r="AB458" s="6"/>
      <c r="AC458" s="6"/>
      <c r="AD458" s="6"/>
      <c r="AE458" s="6"/>
      <c r="AF458" s="1022"/>
    </row>
    <row r="459" spans="1:33" ht="14.45" customHeight="1" thickBot="1">
      <c r="A459" s="94" t="s">
        <v>425</v>
      </c>
      <c r="B459" s="953">
        <v>3</v>
      </c>
      <c r="C459" s="578"/>
      <c r="D459" s="899"/>
      <c r="F459" s="1043" t="s">
        <v>420</v>
      </c>
      <c r="G459" s="575">
        <v>1.75</v>
      </c>
      <c r="H459" s="575">
        <v>1.5</v>
      </c>
      <c r="I459" s="1083">
        <v>3.5</v>
      </c>
      <c r="K459" s="899"/>
      <c r="L459" s="899">
        <v>6</v>
      </c>
      <c r="O459" s="1033"/>
      <c r="P459" s="1034"/>
      <c r="Q459" s="1034"/>
      <c r="R459" s="1034"/>
      <c r="S459" s="1034"/>
      <c r="T459" s="1034"/>
      <c r="U459" s="731"/>
      <c r="V459" s="731"/>
      <c r="W459" s="731"/>
      <c r="X459" s="731"/>
      <c r="Y459" s="731"/>
      <c r="Z459" s="731"/>
      <c r="AA459" s="731"/>
      <c r="AB459" s="731"/>
      <c r="AC459" s="731"/>
      <c r="AD459" s="731"/>
      <c r="AE459" s="731"/>
      <c r="AF459" s="1035"/>
    </row>
    <row r="460" spans="1:33" ht="14.45" customHeight="1">
      <c r="A460" s="10" t="s">
        <v>426</v>
      </c>
      <c r="C460" s="584">
        <f>C$448+C$449+C$451+C$457</f>
        <v>0</v>
      </c>
      <c r="D460" s="899"/>
      <c r="F460" s="1043" t="s">
        <v>420</v>
      </c>
      <c r="G460" s="575">
        <v>2</v>
      </c>
      <c r="H460" s="575">
        <v>1.75</v>
      </c>
      <c r="I460" s="1084">
        <v>3</v>
      </c>
      <c r="K460" s="899"/>
      <c r="L460" s="899">
        <v>7</v>
      </c>
      <c r="O460" s="43"/>
      <c r="AA460" s="1895" t="s">
        <v>2399</v>
      </c>
      <c r="AB460" s="1173" t="s">
        <v>2</v>
      </c>
      <c r="AC460" s="1173" t="s">
        <v>3</v>
      </c>
      <c r="AD460" s="1173" t="s">
        <v>1855</v>
      </c>
      <c r="AE460" s="1173" t="s">
        <v>1856</v>
      </c>
      <c r="AF460" s="1173"/>
      <c r="AG460" s="1173"/>
    </row>
    <row r="461" spans="1:33" ht="14.45" customHeight="1">
      <c r="A461" s="408" t="s">
        <v>1669</v>
      </c>
      <c r="D461" s="899"/>
      <c r="F461" s="1043" t="s">
        <v>420</v>
      </c>
      <c r="G461" s="575">
        <v>2.5</v>
      </c>
      <c r="H461" s="575">
        <v>2</v>
      </c>
      <c r="I461" s="1084">
        <v>2.5</v>
      </c>
      <c r="K461" s="899"/>
      <c r="L461" s="899">
        <v>8</v>
      </c>
      <c r="O461" s="43"/>
      <c r="X461" s="818" t="s">
        <v>1849</v>
      </c>
      <c r="Z461">
        <v>0.11</v>
      </c>
      <c r="AA461" s="1165">
        <f>IF($AD461=0,0,2*ATAN2(SQRT(1-SIN(ABS($AD461-$AB461)*PI()/180/2)^2+COS($AB461*PI()/180)*COS($AD461*PI()/180)*SIN(ABS($AE461-$AC461)*PI()/180/2)^2),SQRT(SIN(ABS($AD461-$AB461)*PI()/180/2)^2+COS($AB461*PI()/180)*COS($AD461*PI()/180)*SIN(ABS($AE461-$AC461)*PI()/180/2)^2))*$W$454)</f>
        <v>0.47217108521922341</v>
      </c>
      <c r="AB461" s="1894">
        <v>30.4187762</v>
      </c>
      <c r="AC461" s="1894">
        <v>-84.235858199999996</v>
      </c>
      <c r="AD461" s="1894">
        <v>30.422654999999999</v>
      </c>
      <c r="AE461" s="1894">
        <v>-84.229337999999998</v>
      </c>
      <c r="AF461" s="1896"/>
    </row>
    <row r="462" spans="1:33" ht="14.45" customHeight="1">
      <c r="A462" s="6" t="s">
        <v>427</v>
      </c>
      <c r="B462" s="321">
        <v>10.5</v>
      </c>
      <c r="C462" s="578" t="str">
        <f>IF(OR(C$460&gt;=IF(County_Size="Large",B462,IF(County_Size="Medium",B463,B464)),LGAO_Designation="Yes",LGAO_Documentation="Yes",SunRail_Prox_Score="Yes"),"Meets","Fails")</f>
        <v>Fails</v>
      </c>
      <c r="D462" s="106"/>
      <c r="E462" s="567" t="s">
        <v>1674</v>
      </c>
      <c r="F462" s="1036" t="s">
        <v>420</v>
      </c>
      <c r="G462" s="577">
        <f>G461</f>
        <v>2.5</v>
      </c>
      <c r="H462" s="577">
        <f>H461</f>
        <v>2</v>
      </c>
      <c r="I462" s="1087">
        <v>0</v>
      </c>
      <c r="J462" s="955"/>
      <c r="K462" s="882"/>
      <c r="L462" s="882"/>
      <c r="M462" s="955"/>
      <c r="O462" s="43"/>
      <c r="X462" s="1166" t="s">
        <v>1850</v>
      </c>
      <c r="Z462">
        <v>0.11</v>
      </c>
      <c r="AA462" s="1165">
        <f t="shared" ref="AA462:AA512" si="37">IF($AD462=0,0,2*ATAN2(SQRT(1-SIN(ABS($AD462-$AB462)*PI()/180/2)^2+COS($AB462*PI()/180)*COS($AD462*PI()/180)*SIN(ABS($AE462-$AC462)*PI()/180/2)^2),SQRT(SIN(ABS($AD462-$AB462)*PI()/180/2)^2+COS($AB462*PI()/180)*COS($AD462*PI()/180)*SIN(ABS($AE462-$AC462)*PI()/180/2)^2))*$W$454)</f>
        <v>6.5415783987052861E-2</v>
      </c>
      <c r="AB462" s="1894">
        <v>27.263857000000002</v>
      </c>
      <c r="AC462" s="1894">
        <v>-80.831661999999994</v>
      </c>
      <c r="AD462" s="1894">
        <v>27.263769</v>
      </c>
      <c r="AE462" s="1894">
        <v>-80.830601999999999</v>
      </c>
    </row>
    <row r="463" spans="1:33" ht="14.45" customHeight="1">
      <c r="A463" s="6" t="s">
        <v>428</v>
      </c>
      <c r="B463" s="321">
        <v>7</v>
      </c>
      <c r="C463" s="578" t="str">
        <f>IF(County_Size="Medium",IF(C$460&gt;=B463,"Meets","Fails"),"")</f>
        <v/>
      </c>
      <c r="D463" s="106"/>
      <c r="E463" s="2">
        <v>1111</v>
      </c>
      <c r="F463" s="1043" t="s">
        <v>429</v>
      </c>
      <c r="G463" s="575">
        <v>0.3</v>
      </c>
      <c r="H463" s="575">
        <v>0.3</v>
      </c>
      <c r="I463" s="1083">
        <v>4</v>
      </c>
      <c r="K463" s="899"/>
      <c r="L463" s="899">
        <v>1</v>
      </c>
      <c r="M463" s="1161" t="s">
        <v>1648</v>
      </c>
      <c r="O463" s="5" t="s">
        <v>2772</v>
      </c>
      <c r="X463" s="1168" t="s">
        <v>1852</v>
      </c>
      <c r="Z463">
        <v>0.1</v>
      </c>
      <c r="AA463" s="1165">
        <f t="shared" si="37"/>
        <v>6.5415783987052861E-2</v>
      </c>
      <c r="AB463" s="1894">
        <v>27.263857000000002</v>
      </c>
      <c r="AC463" s="1894">
        <v>-80.831661999999994</v>
      </c>
      <c r="AD463" s="1894">
        <v>27.263769</v>
      </c>
      <c r="AE463" s="1894">
        <v>-80.830601999999999</v>
      </c>
    </row>
    <row r="464" spans="1:33" ht="14.45" customHeight="1">
      <c r="A464" s="6" t="s">
        <v>430</v>
      </c>
      <c r="B464" s="321">
        <v>4</v>
      </c>
      <c r="C464" s="578" t="str">
        <f>IF(County_Size="Small",IF(C$460&gt;=B464,"Meets","Fails"),"")</f>
        <v/>
      </c>
      <c r="D464" s="899"/>
      <c r="E464" s="2">
        <v>1114</v>
      </c>
      <c r="F464" s="1043" t="s">
        <v>429</v>
      </c>
      <c r="G464" s="575">
        <v>0.75</v>
      </c>
      <c r="H464" s="575">
        <v>0.5</v>
      </c>
      <c r="I464" s="1083">
        <v>3.5</v>
      </c>
      <c r="K464" s="899"/>
      <c r="L464" s="899">
        <v>2</v>
      </c>
      <c r="M464" s="1161" t="s">
        <v>1656</v>
      </c>
      <c r="O464" s="2691"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64" s="2692"/>
      <c r="Q464" s="2692"/>
      <c r="R464" s="2692"/>
      <c r="S464" s="2692"/>
      <c r="T464" s="2692"/>
      <c r="U464" s="2692"/>
      <c r="V464" s="2692"/>
      <c r="W464" s="2693"/>
      <c r="X464" s="1169" t="s">
        <v>1853</v>
      </c>
      <c r="Z464">
        <v>0.47</v>
      </c>
      <c r="AA464" s="1165">
        <f t="shared" si="37"/>
        <v>8.984410682196059E-2</v>
      </c>
      <c r="AB464" s="1894">
        <v>27.264679000000001</v>
      </c>
      <c r="AC464" s="1894">
        <v>-80.831646000000006</v>
      </c>
      <c r="AD464" s="1894">
        <v>27.263769</v>
      </c>
      <c r="AE464" s="1894">
        <v>-80.830601999999999</v>
      </c>
    </row>
    <row r="465" spans="1:31" ht="14.45" customHeight="1">
      <c r="A465" s="408" t="s">
        <v>431</v>
      </c>
      <c r="D465" s="899"/>
      <c r="E465" s="2">
        <v>1133</v>
      </c>
      <c r="F465" s="1043" t="s">
        <v>429</v>
      </c>
      <c r="G465" s="575">
        <v>1</v>
      </c>
      <c r="H465" s="575">
        <v>0.75</v>
      </c>
      <c r="I465" s="1084">
        <v>3</v>
      </c>
      <c r="K465" s="899"/>
      <c r="L465" s="899">
        <v>3</v>
      </c>
      <c r="M465" s="1161" t="s">
        <v>1651</v>
      </c>
      <c r="O465" s="2694"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65" s="2695"/>
      <c r="Q465" s="2695"/>
      <c r="R465" s="2695"/>
      <c r="S465" s="2695"/>
      <c r="T465" s="2695"/>
      <c r="U465" s="2695"/>
      <c r="V465" s="2695"/>
      <c r="W465" s="2696"/>
      <c r="X465" s="1167" t="s">
        <v>1851</v>
      </c>
      <c r="Z465">
        <v>0.2</v>
      </c>
      <c r="AA465" s="1165">
        <f t="shared" si="37"/>
        <v>1.3172461809007046</v>
      </c>
      <c r="AB465" s="1894">
        <v>29.639576000000002</v>
      </c>
      <c r="AC465" s="1894">
        <v>-81.698199000000002</v>
      </c>
      <c r="AD465" s="1894">
        <v>29.637149000000001</v>
      </c>
      <c r="AE465" s="1894">
        <v>-81.676452999999995</v>
      </c>
    </row>
    <row r="466" spans="1:31" ht="14.45" customHeight="1">
      <c r="A466" s="6" t="s">
        <v>427</v>
      </c>
      <c r="B466" s="321">
        <v>12.5</v>
      </c>
      <c r="C466" s="899" t="str">
        <f>IF(C$460&gt;=IF(County_Size="Large",B466,IF(County_Size="Medium",B467,B468)),"Meets","Fails")</f>
        <v>Fails</v>
      </c>
      <c r="D466" s="899"/>
      <c r="E466" s="2">
        <v>1134</v>
      </c>
      <c r="F466" s="1043" t="s">
        <v>429</v>
      </c>
      <c r="G466" s="575">
        <v>1.25</v>
      </c>
      <c r="H466" s="575">
        <v>1</v>
      </c>
      <c r="I466" s="1084">
        <v>2.5</v>
      </c>
      <c r="K466" s="899"/>
      <c r="L466" s="899">
        <v>4</v>
      </c>
      <c r="O466" s="2694"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66" s="2695"/>
      <c r="Q466" s="2695"/>
      <c r="R466" s="2695"/>
      <c r="S466" s="2695"/>
      <c r="T466" s="2695"/>
      <c r="U466" s="2695"/>
      <c r="V466" s="2695"/>
      <c r="W466" s="2696"/>
      <c r="X466" s="1170" t="s">
        <v>1854</v>
      </c>
      <c r="Z466">
        <v>0.2</v>
      </c>
      <c r="AA466" s="1165">
        <f>IF($AD466=0,0,2*ATAN2(SQRT(1-SIN(ABS($AD466-$AB466)*PI()/180/2)^2+COS($AB466*PI()/180)*COS($AD466*PI()/180)*SIN(ABS($AE466-$AC466)*PI()/180/2)^2),SQRT(SIN(ABS($AD466-$AB466)*PI()/180/2)^2+COS($AB466*PI()/180)*COS($AD466*PI()/180)*SIN(ABS($AE466-$AC466)*PI()/180/2)^2))*$W$454)</f>
        <v>27.130986694251696</v>
      </c>
      <c r="AB466" s="1894">
        <v>29.264679000000001</v>
      </c>
      <c r="AC466" s="1894">
        <v>-81.831646000000006</v>
      </c>
      <c r="AD466" s="1894">
        <v>29.639576000000002</v>
      </c>
      <c r="AE466" s="1894">
        <v>-81.698199000000002</v>
      </c>
    </row>
    <row r="467" spans="1:31" ht="14.45" customHeight="1">
      <c r="A467" s="6" t="s">
        <v>432</v>
      </c>
      <c r="B467" s="321">
        <v>9</v>
      </c>
      <c r="C467" s="899" t="str">
        <f>IF(County_Size="Medium",IF(C$460&gt;=B467,"Meets","Fails"),"")</f>
        <v/>
      </c>
      <c r="D467" s="899"/>
      <c r="E467" s="2">
        <v>1222</v>
      </c>
      <c r="F467" s="1043" t="s">
        <v>429</v>
      </c>
      <c r="G467" s="575">
        <v>1.5</v>
      </c>
      <c r="H467" s="575">
        <v>1.25</v>
      </c>
      <c r="I467" s="1084">
        <v>2</v>
      </c>
      <c r="K467" s="899"/>
      <c r="L467" s="899">
        <v>5</v>
      </c>
      <c r="O467" s="2694"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67" s="2695"/>
      <c r="Q467" s="2695"/>
      <c r="R467" s="2695"/>
      <c r="S467" s="2695"/>
      <c r="T467" s="2695"/>
      <c r="U467" s="2695"/>
      <c r="V467" s="2695"/>
      <c r="W467" s="2696"/>
      <c r="Z467">
        <v>0.1</v>
      </c>
      <c r="AA467" s="1165">
        <f t="shared" si="37"/>
        <v>0.10488662079432613</v>
      </c>
      <c r="AB467" s="1894">
        <v>28.58428</v>
      </c>
      <c r="AC467" s="1894">
        <v>-80.819568000000004</v>
      </c>
      <c r="AD467" s="1894">
        <v>28.585591000000001</v>
      </c>
      <c r="AE467" s="1894">
        <v>-80.818697999999998</v>
      </c>
    </row>
    <row r="468" spans="1:31">
      <c r="A468" s="6" t="s">
        <v>433</v>
      </c>
      <c r="B468" s="321">
        <v>6</v>
      </c>
      <c r="C468" s="899" t="str">
        <f>IF(County_Size="Small",IF(C$460&gt;=B468,"Meets","Fails"),"")</f>
        <v/>
      </c>
      <c r="D468" s="899"/>
      <c r="E468" s="2">
        <v>1224</v>
      </c>
      <c r="F468" s="1043" t="s">
        <v>429</v>
      </c>
      <c r="G468" s="575">
        <v>1.75</v>
      </c>
      <c r="H468" s="575">
        <v>1.5</v>
      </c>
      <c r="I468" s="1083">
        <v>1.5</v>
      </c>
      <c r="K468" s="899"/>
      <c r="L468" s="899">
        <v>6</v>
      </c>
      <c r="O468" s="2694"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468" s="2695"/>
      <c r="Q468" s="2695"/>
      <c r="R468" s="2695"/>
      <c r="S468" s="2695"/>
      <c r="T468" s="2695"/>
      <c r="U468" s="2695"/>
      <c r="V468" s="2695"/>
      <c r="W468" s="2696"/>
      <c r="Z468">
        <v>0.28000000000000003</v>
      </c>
      <c r="AA468" s="1165">
        <f t="shared" si="37"/>
        <v>0.27522060105648205</v>
      </c>
      <c r="AB468" s="1894">
        <v>28.523633</v>
      </c>
      <c r="AC468" s="1894">
        <v>-82.568196</v>
      </c>
      <c r="AD468" s="1894">
        <v>28.519677000000001</v>
      </c>
      <c r="AE468" s="1894">
        <v>-82.567684</v>
      </c>
    </row>
    <row r="469" spans="1:31">
      <c r="A469" s="408" t="s">
        <v>1668</v>
      </c>
      <c r="D469" s="106"/>
      <c r="E469" s="2">
        <v>1233</v>
      </c>
      <c r="F469" s="1043" t="s">
        <v>429</v>
      </c>
      <c r="G469" s="575">
        <v>2</v>
      </c>
      <c r="H469" s="575">
        <v>1.75</v>
      </c>
      <c r="I469" s="1084">
        <v>1</v>
      </c>
      <c r="K469" s="899"/>
      <c r="L469" s="899">
        <v>7</v>
      </c>
      <c r="O469" s="2730"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469" s="2731"/>
      <c r="Q469" s="2731"/>
      <c r="R469" s="2731"/>
      <c r="S469" s="2731"/>
      <c r="T469" s="2731"/>
      <c r="U469" s="2731"/>
      <c r="V469" s="2731"/>
      <c r="W469" s="2732"/>
      <c r="Z469">
        <v>0.54</v>
      </c>
      <c r="AA469" s="1165">
        <f t="shared" si="37"/>
        <v>0.54068876255243969</v>
      </c>
      <c r="AB469" s="1894">
        <v>28.527428</v>
      </c>
      <c r="AC469" s="1894">
        <v>-82.566488000000007</v>
      </c>
      <c r="AD469" s="1894">
        <v>28.519677000000001</v>
      </c>
      <c r="AE469" s="1894">
        <v>-82.567684</v>
      </c>
    </row>
    <row r="470" spans="1:31">
      <c r="A470" s="6" t="s">
        <v>434</v>
      </c>
      <c r="B470" s="321">
        <v>1.5</v>
      </c>
      <c r="C470" s="899" t="str">
        <f>IF(AND(County_Size="Large",OR(PHA_Prox_boost="Yes",RD_Prox_boost="Yes")),IF(C$451&gt;=B470,"Meets","Fails"),"")</f>
        <v/>
      </c>
      <c r="D470" s="899"/>
      <c r="E470" s="2">
        <v>1234</v>
      </c>
      <c r="F470" s="1043" t="s">
        <v>429</v>
      </c>
      <c r="G470" s="575">
        <v>2.25</v>
      </c>
      <c r="H470" s="575">
        <v>2</v>
      </c>
      <c r="I470" s="1084">
        <v>0.5</v>
      </c>
      <c r="K470" s="899"/>
      <c r="L470" s="899">
        <v>8</v>
      </c>
      <c r="Z470">
        <v>0.17</v>
      </c>
      <c r="AA470" s="1165">
        <f t="shared" si="37"/>
        <v>0.16378120612965077</v>
      </c>
      <c r="AB470" s="1894">
        <v>28.358124</v>
      </c>
      <c r="AC470" s="1894">
        <v>-82.690618999999998</v>
      </c>
      <c r="AD470" s="1894">
        <v>28.358937000000001</v>
      </c>
      <c r="AE470" s="1894">
        <v>-82.688090000000003</v>
      </c>
    </row>
    <row r="471" spans="1:31">
      <c r="A471" s="6" t="s">
        <v>435</v>
      </c>
      <c r="B471" s="321">
        <v>2</v>
      </c>
      <c r="C471" s="899" t="str">
        <f>IF(AND(County_Size="Large",PHA_Prox_boost&lt;&gt;"Yes",RD_Prox_boost&lt;&gt;"Yes"),IF(C$451&gt;=B471,"Meets","Fails"),"")</f>
        <v/>
      </c>
      <c r="D471" s="899"/>
      <c r="E471" s="2">
        <v>1115</v>
      </c>
      <c r="F471" s="1036" t="s">
        <v>429</v>
      </c>
      <c r="G471" s="577">
        <f>G470</f>
        <v>2.25</v>
      </c>
      <c r="H471" s="577">
        <f>H470</f>
        <v>2</v>
      </c>
      <c r="I471" s="1087">
        <v>0</v>
      </c>
      <c r="J471" s="955"/>
      <c r="K471" s="882"/>
      <c r="L471" s="882"/>
      <c r="M471" s="955"/>
      <c r="Z471">
        <v>0.43</v>
      </c>
      <c r="AA471" s="1165">
        <f t="shared" si="37"/>
        <v>0.43585214810777645</v>
      </c>
      <c r="AB471" s="1894">
        <v>30.429983</v>
      </c>
      <c r="AC471" s="1894">
        <v>-84.207262999999998</v>
      </c>
      <c r="AD471" s="1894">
        <v>30.427301</v>
      </c>
      <c r="AE471" s="1894">
        <v>-84.213881000000001</v>
      </c>
    </row>
    <row r="472" spans="1:31">
      <c r="A472" s="6"/>
      <c r="B472" s="567" t="s">
        <v>1672</v>
      </c>
      <c r="C472" s="567" t="s">
        <v>436</v>
      </c>
      <c r="D472" s="1047" t="s">
        <v>437</v>
      </c>
      <c r="E472" s="2">
        <v>1135</v>
      </c>
      <c r="F472" s="1044" t="s">
        <v>438</v>
      </c>
      <c r="G472" s="575">
        <v>0.75</v>
      </c>
      <c r="H472" s="575">
        <v>0.5</v>
      </c>
      <c r="I472" s="1083">
        <v>4</v>
      </c>
      <c r="K472" s="899"/>
      <c r="L472" s="899">
        <v>1</v>
      </c>
      <c r="M472" s="1161" t="s">
        <v>1649</v>
      </c>
      <c r="Z472">
        <v>0.09</v>
      </c>
      <c r="AA472" s="1165">
        <f t="shared" si="37"/>
        <v>9.4902106356380259E-2</v>
      </c>
      <c r="AB472" s="1894">
        <v>30.479644</v>
      </c>
      <c r="AC472" s="1894">
        <v>-87.305383000000006</v>
      </c>
      <c r="AD472" s="1894">
        <v>30.478743999999999</v>
      </c>
      <c r="AE472" s="1894">
        <v>-87.306585999999996</v>
      </c>
    </row>
    <row r="473" spans="1:31">
      <c r="A473" s="6" t="s">
        <v>439</v>
      </c>
      <c r="B473" s="548">
        <f>Transit_PBS1_distance</f>
        <v>0</v>
      </c>
      <c r="C473" s="2632">
        <f>IF(C452=2,0,IF(SUM(B473:B475)=0,0,IF(County_Size="Small",IF(MAX(B473:B475)&lt;=DS_BS_S_1,CHOOSE(COUNTIF(B473:B475,"&gt;0")+1,0,DS_BS_Score1_1,DS_BS_Score2_1,DS_BS_Score3S_1),IF(MAX(B473:B475)&lt;=DS_BS_S_2,CHOOSE(COUNTIF(B473:B475,"&gt;0")+1,0,DS_BS_Score1_2,DS_BS_Score2_2,DS_BS_Score3S_2),IF(MAX(B473:B475)&lt;=DS_BS_S_3,CHOOSE(COUNTIF(B473:B475,"&gt;0")+1,0,DS_BS_Score1_3,DS_BS_Score2_3,DS_BS_Score3S_3),IF(MAX(B473:B475)&lt;=DS_BS_S_4,CHOOSE(COUNTIF(B473:B475,"&gt;0")+1,0,DS_BS_Score1_4,DS_BS_Score2_4,DS_BS_Score3S_4),0)))),IF(MAX(B473:B475)&lt;=DS_BS_ML_1,CHOOSE(COUNTIF(B473:B475,"&gt;0")+1,0,DS_BS_Score1_1,DS_BS_Score2_1,DS_BS_Score3ML_1),IF(MAX(B473:B475)&lt;=DS_BS_ML_2,CHOOSE(COUNTIF(B473:B475,"&gt;0")+1,0,DS_BS_Score1_2,DS_BS_Score2_2,DS_BS_Score3ML_2),IF(MAX(B473:B475)&lt;=DS_BS_ML_3,CHOOSE(COUNTIF(B473:B475,"&gt;0")+1,0,DS_BS_Score1_3,DS_BS_Score2_3,DS_BS_Score3ML_3),IF(MAX(B473:B475)&lt;=DS_BS_ML_4,CHOOSE(COUNTIF(B473:B475,"&gt;0")+1,0,DS_BS_Score1_4,DS_BS_Score2_4,DS_BS_Score3ML_4),IF(MAX(B473:B475)&lt;=DS_BS_ML_5,CHOOSE(COUNTIF(B473:B475,"&gt;0")+1,0,DS_BS_Score1_5,DS_BS_Score2_5,DS_BS_Score3ML_5),0))))))))</f>
        <v>0</v>
      </c>
      <c r="D473" s="1048">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473" s="2">
        <v>1225</v>
      </c>
      <c r="F473" s="1043" t="s">
        <v>438</v>
      </c>
      <c r="G473" s="575">
        <v>1</v>
      </c>
      <c r="H473" s="575">
        <v>0.75</v>
      </c>
      <c r="I473" s="1083">
        <v>3.5</v>
      </c>
      <c r="K473" s="899"/>
      <c r="L473" s="899">
        <v>2</v>
      </c>
      <c r="M473" s="1161" t="s">
        <v>1655</v>
      </c>
      <c r="Z473">
        <v>0.15</v>
      </c>
      <c r="AA473" s="1165">
        <f t="shared" si="37"/>
        <v>0.14537120013565108</v>
      </c>
      <c r="AB473" s="1894">
        <v>28.346581</v>
      </c>
      <c r="AC473" s="1894">
        <v>-82.187034999999995</v>
      </c>
      <c r="AD473" s="1894">
        <v>28.344487999999998</v>
      </c>
      <c r="AE473" s="1894">
        <v>-82.187268000000003</v>
      </c>
    </row>
    <row r="474" spans="1:31">
      <c r="A474" s="6" t="s">
        <v>440</v>
      </c>
      <c r="B474" s="548">
        <f>Transit_PBS2_distance</f>
        <v>0</v>
      </c>
      <c r="C474" s="2632"/>
      <c r="D474" s="1048">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474" s="2">
        <v>1235</v>
      </c>
      <c r="F474" s="1043" t="s">
        <v>438</v>
      </c>
      <c r="G474" s="575">
        <v>1.25</v>
      </c>
      <c r="H474" s="575">
        <v>1</v>
      </c>
      <c r="I474" s="1084">
        <v>3</v>
      </c>
      <c r="K474" s="899"/>
      <c r="L474" s="899">
        <v>3</v>
      </c>
      <c r="M474" s="1161" t="s">
        <v>1652</v>
      </c>
      <c r="Z474">
        <v>0.22</v>
      </c>
      <c r="AA474" s="1165">
        <f t="shared" si="37"/>
        <v>0.21523602051292318</v>
      </c>
      <c r="AB474" s="1894">
        <v>30.465060999999999</v>
      </c>
      <c r="AC474" s="1894">
        <v>-84.295212000000006</v>
      </c>
      <c r="AD474" s="1894">
        <v>30.463777</v>
      </c>
      <c r="AE474" s="1894">
        <v>-84.298502999999997</v>
      </c>
    </row>
    <row r="475" spans="1:31">
      <c r="A475" s="1015" t="s">
        <v>441</v>
      </c>
      <c r="B475" s="962">
        <f>Transit_PBS3_distance</f>
        <v>0</v>
      </c>
      <c r="C475" s="2633"/>
      <c r="D475" s="1049">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475" s="2">
        <v>1155</v>
      </c>
      <c r="F475" s="1043" t="s">
        <v>438</v>
      </c>
      <c r="G475" s="575">
        <v>1.5</v>
      </c>
      <c r="H475" s="575">
        <v>1.25</v>
      </c>
      <c r="I475" s="1084">
        <v>2.5</v>
      </c>
      <c r="K475" s="899"/>
      <c r="L475" s="899">
        <v>4</v>
      </c>
      <c r="Z475">
        <v>0.16</v>
      </c>
      <c r="AA475" s="1165">
        <f t="shared" si="37"/>
        <v>0.15492198299914237</v>
      </c>
      <c r="AB475" s="1894">
        <v>30.410454999999999</v>
      </c>
      <c r="AC475" s="1894">
        <v>-86.614503999999997</v>
      </c>
      <c r="AD475" s="1894">
        <v>30.412648000000001</v>
      </c>
      <c r="AE475" s="1894">
        <v>-86.615039999999993</v>
      </c>
    </row>
    <row r="476" spans="1:31">
      <c r="A476" s="6" t="s">
        <v>442</v>
      </c>
      <c r="B476" s="548">
        <f>Transit_BTS_distance</f>
        <v>0</v>
      </c>
      <c r="C476" s="578">
        <f>IF(C452=2,0,IF(B476=0,0,IF(County_Size="Small",IF(B476&lt;=DS_RBR_S_1,DS_RBR_Score_1,IF(B476&lt;=DS_RBR_S_2,DS_RBR_Score_2,IF(B476&lt;=DS_RBR_S_3,DS_RBR_Score_3,IF(B476&lt;=DS_RBR_S_4,DS_RBR_Score_4,IF(B476&lt;=DS_RBR_S_5,DS_RBR_Score_5,IF(B476&lt;=DS_RBR_S_6,DS_RBR_Score_6,IF(B476&lt;=DS_RBR_S_7,DS_RBR_Score_7,IF(B476&lt;=DS_RBR_S_8,DS_RBR_Score_8,0)))))))),IF(B476&lt;=DS_RBR_ML_1,DS_RBR_Score_1,IF(B476&lt;=DS_RBR_ML_2,DS_RBR_Score_2,IF(B476&lt;=DS_RBR_ML_3,DS_RBR_Score_3,IF(B476&lt;=DS_RBR_ML_4,DS_RBR_Score_4,IF(B476&lt;=DS_RBR_ML_5,DS_RBR_Score_5,IF(B476&lt;=DS_RBR_ML_6,DS_RBR_Score_6,IF(B476&lt;=DS_RBR_ML_7,DS_RBR_Score_7,IF(B476&lt;=DS_RBR_ML_8,DS_RBR_Score_8,0)))))))))))</f>
        <v>0</v>
      </c>
      <c r="D476" s="1048">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476" s="2">
        <v>1255</v>
      </c>
      <c r="F476" s="1043" t="s">
        <v>438</v>
      </c>
      <c r="G476" s="575">
        <v>1.75</v>
      </c>
      <c r="H476" s="575">
        <v>1.5</v>
      </c>
      <c r="I476" s="1084">
        <v>2</v>
      </c>
      <c r="K476" s="899"/>
      <c r="L476" s="899">
        <v>5</v>
      </c>
      <c r="Z476">
        <v>0.23</v>
      </c>
      <c r="AA476" s="1165">
        <f t="shared" si="37"/>
        <v>0.23068356956156266</v>
      </c>
      <c r="AB476" s="1894">
        <v>30.409524999999999</v>
      </c>
      <c r="AC476" s="1894">
        <v>-86.616404000000003</v>
      </c>
      <c r="AD476" s="1894">
        <v>30.412648000000001</v>
      </c>
      <c r="AE476" s="1894">
        <v>-86.615039999999993</v>
      </c>
    </row>
    <row r="477" spans="1:31">
      <c r="A477" s="6" t="s">
        <v>443</v>
      </c>
      <c r="B477" s="548">
        <f>Transit_PBRTS_distance</f>
        <v>0</v>
      </c>
      <c r="C477" s="578">
        <f>IF(C452=2,0,IF(B477=0,0,IF(County_Size="Small",IF(B477&lt;=DS_RBR_S_1,DS_RBR_Score_1,IF(B477&lt;=DS_RBR_S_2,DS_RBR_Score_2,IF(B477&lt;=DS_RBR_S_3,DS_RBR_Score_3,IF(B477&lt;=DS_RBR_S_4,DS_RBR_Score_4,IF(B477&lt;=DS_RBR_S_5,DS_RBR_Score_5,IF(B477&lt;=DS_RBR_S_6,DS_RBR_Score_6,IF(B477&lt;=DS_RBR_S_7,DS_RBR_Score_7,IF(B477&lt;=DS_RBR_S_8,DS_RBR_Score_8,0)))))))),IF(B477&lt;=DS_RBR_ML_1,DS_RBR_Score_1,IF(B477&lt;=DS_RBR_ML_2,DS_RBR_Score_2,IF(B477&lt;=DS_RBR_ML_3,DS_RBR_Score_3,IF(B477&lt;=DS_RBR_ML_4,DS_RBR_Score_4,IF(B477&lt;=DS_RBR_ML_5,DS_RBR_Score_5,IF(B477&lt;=DS_RBR_ML_6,DS_RBR_Score_6,IF(B477&lt;=DS_RBR_ML_7,DS_RBR_Score_7,IF(B477&lt;=DS_RBR_ML_8,DS_RBR_Score_8,0)))))))))))</f>
        <v>0</v>
      </c>
      <c r="D477" s="1048">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477" s="2">
        <v>1555</v>
      </c>
      <c r="F477" s="1043" t="s">
        <v>438</v>
      </c>
      <c r="G477" s="575">
        <v>2</v>
      </c>
      <c r="H477" s="575">
        <v>1.75</v>
      </c>
      <c r="I477" s="1083">
        <v>1.5</v>
      </c>
      <c r="K477" s="899"/>
      <c r="L477" s="899">
        <v>6</v>
      </c>
      <c r="Z477">
        <v>0.42</v>
      </c>
      <c r="AA477" s="1165">
        <f t="shared" si="37"/>
        <v>0.41800300732564177</v>
      </c>
      <c r="AB477" s="1894">
        <v>30.455265000000001</v>
      </c>
      <c r="AC477" s="1894">
        <v>-84.243987000000004</v>
      </c>
      <c r="AD477" s="1894">
        <v>30.461009000000001</v>
      </c>
      <c r="AE477" s="1894">
        <v>-84.246179999999995</v>
      </c>
    </row>
    <row r="478" spans="1:31">
      <c r="A478" s="1015" t="s">
        <v>444</v>
      </c>
      <c r="B478" s="962">
        <f>Transit_Rail_distance</f>
        <v>0</v>
      </c>
      <c r="C478" s="963">
        <f>IF(C452=2,0,IF(B478=0,0,IF(County_Size="Small",IF(B478&lt;=DS_RBR_S_1,DS_RBR_Score_1,IF(B478&lt;=DS_RBR_S_2,DS_RBR_Score_2,IF(B478&lt;=DS_RBR_S_3,DS_RBR_Score_3,IF(B478&lt;=DS_RBR_S_4,DS_RBR_Score_4,IF(B478&lt;=DS_RBR_S_5,DS_RBR_Score_5,IF(B478&lt;=DS_RBR_S_6,DS_RBR_Score_6,IF(B478&lt;=DS_RBR_S_7,DS_RBR_Score_7,IF(B478&lt;=DS_RBR_S_8,DS_RBR_Score_8,0)))))))),IF(B478&lt;=DS_RBR_ML_1,DS_RBR_Score_1,IF(B478&lt;=DS_RBR_ML_2,DS_RBR_Score_2,IF(B478&lt;=DS_RBR_ML_3,DS_RBR_Score_3,IF(B478&lt;=DS_RBR_ML_4,DS_RBR_Score_4,IF(B478&lt;=DS_RBR_ML_5,DS_RBR_Score_5,IF(B478&lt;=DS_RBR_ML_6,DS_RBR_Score_6,IF(B478&lt;=DS_RBR_ML_7,DS_RBR_Score_7,IF(B478&lt;=DS_RBR_ML_8,DS_RBR_Score_8,0)))))))))))</f>
        <v>0</v>
      </c>
      <c r="D478" s="1049">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478" s="2">
        <v>5555</v>
      </c>
      <c r="F478" s="1043" t="s">
        <v>438</v>
      </c>
      <c r="G478" s="575">
        <v>2.25</v>
      </c>
      <c r="H478" s="575">
        <v>2</v>
      </c>
      <c r="I478" s="1084">
        <v>1</v>
      </c>
      <c r="K478" s="899"/>
      <c r="L478" s="899">
        <v>7</v>
      </c>
      <c r="Z478">
        <v>0.24</v>
      </c>
      <c r="AA478" s="1165">
        <f t="shared" si="37"/>
        <v>0.23694576892278452</v>
      </c>
      <c r="AB478" s="1894">
        <v>28.971865000000001</v>
      </c>
      <c r="AC478" s="1894">
        <v>-81.301589000000007</v>
      </c>
      <c r="AD478" s="1894">
        <v>28.969345000000001</v>
      </c>
      <c r="AE478" s="1894">
        <v>-81.298933000000005</v>
      </c>
    </row>
    <row r="479" spans="1:31">
      <c r="A479" s="6"/>
      <c r="B479" s="1052" t="str">
        <f>SMALL(D$480:D$483,1)&amp;SMALL(D$480:D$483,2)&amp;SMALL(D$480:D$483,3)&amp;SMALL(D$480:D$483,4)</f>
        <v>5555</v>
      </c>
      <c r="C479" s="1053" t="str">
        <f>SMALL(E$480:E$483,1)&amp;SMALL(E$480:E$483,2)&amp;SMALL(E$480:E$483,3)&amp;SMALL(E$480:E$483,4)</f>
        <v>5555</v>
      </c>
      <c r="D479" s="1051" t="s">
        <v>1673</v>
      </c>
      <c r="E479" s="1050" t="s">
        <v>1671</v>
      </c>
      <c r="F479" s="1036" t="s">
        <v>438</v>
      </c>
      <c r="G479" s="577">
        <f>G478</f>
        <v>2.25</v>
      </c>
      <c r="H479" s="577">
        <f>H478</f>
        <v>2</v>
      </c>
      <c r="I479" s="1087">
        <v>0</v>
      </c>
      <c r="J479" s="955"/>
      <c r="K479" s="955"/>
      <c r="L479" s="882"/>
      <c r="M479" s="955"/>
      <c r="Z479">
        <v>0.03</v>
      </c>
      <c r="AA479" s="1165">
        <f t="shared" si="37"/>
        <v>3.5289893682364085E-2</v>
      </c>
      <c r="AB479" s="1894">
        <v>27.906196000000001</v>
      </c>
      <c r="AC479" s="1894">
        <v>-81.593179000000006</v>
      </c>
      <c r="AD479" s="1894">
        <v>27.905926999999998</v>
      </c>
      <c r="AE479" s="1894">
        <v>-81.593670000000003</v>
      </c>
    </row>
    <row r="480" spans="1:31">
      <c r="A480" s="6" t="s">
        <v>445</v>
      </c>
      <c r="B480" s="548" t="str">
        <f>IF(AND(Grocery_Name&lt;&gt;"",Grocery_Address&lt;&gt;"",Grocery_Distance&lt;&gt;""),Grocery_Distance,"")</f>
        <v/>
      </c>
      <c r="C480" s="578" t="str">
        <f>IF(B480="","",IF(B480=0,0,MIN(B$458,IF(County_Size="Small",IF(B480&lt;=DS_GMP_S_1,DS_GMP_Score_1,IF(B480&lt;=DS_GMP_S_2,DS_GMP_Score_2,IF(B480&lt;=DS_GMP_S_3,DS_GMP_Score_3,IF(B480&lt;=DS_GMP_S_4,DS_GMP_Score_4,IF(B480&lt;=DS_GMP_S_5,DS_GMP_Score_5,IF(B480&lt;=DS_GMP_S_6,DS_GMP_Score_6,IF(B480&lt;=DS_GMP_S_7,DS_GMP_Score_7,IF(B480&lt;=DS_GMP_S_8,DS_GMP_Score_8,0)))))))),IF(B480&lt;=DS_GMP_ML_1,DS_GMP_Score_1,IF(B480&lt;=DS_GMP_ML_2,DS_GMP_Score_2,IF(B480&lt;=DS_GMP_ML_3,DS_GMP_Score_3,IF(B480&lt;=DS_GMP_ML_4,DS_GMP_Score_4,IF(B480&lt;=DS_GMP_ML_5,DS_GMP_Score_5,IF(B480&lt;=DS_GMP_ML_6,DS_GMP_Score_6,IF(B480&lt;=DS_GMP_ML_7,DS_GMP_Score_7,IF(B480&lt;=DS_GMP_ML_8,DS_GMP_Score_8,0))))))))))))</f>
        <v/>
      </c>
      <c r="D480" s="899">
        <f>IFERROR(RANK(B480,B$480:B$483,1),5)</f>
        <v>5</v>
      </c>
      <c r="E480" s="899">
        <f>IFERROR(RANK(C480,C$480:C$483,0),5)</f>
        <v>5</v>
      </c>
      <c r="Z480">
        <v>0.52</v>
      </c>
      <c r="AA480" s="1165">
        <f t="shared" si="37"/>
        <v>0.52267928638659633</v>
      </c>
      <c r="AB480" s="1894">
        <v>29.028063</v>
      </c>
      <c r="AC480" s="1894">
        <v>-80.937006999999994</v>
      </c>
      <c r="AD480" s="1894">
        <v>29.030363000000001</v>
      </c>
      <c r="AE480" s="1894">
        <v>-80.928769000000003</v>
      </c>
    </row>
    <row r="481" spans="1:31">
      <c r="A481" s="6" t="s">
        <v>446</v>
      </c>
      <c r="B481" s="548" t="str">
        <f>IF(AND(Medical_Name&lt;&gt;"",Medical_Address&lt;&gt;"",Medical_Distance&lt;&gt;""),Medical_Distance,"")</f>
        <v/>
      </c>
      <c r="C481" s="578" t="str">
        <f>IF(B481="","",IF(B481=0,0,MIN(B$458,IF(County_Size="Small",IF(B481&lt;=DS_GMP_S_1,DS_GMP_Score_1,IF(B481&lt;=DS_GMP_S_2,DS_GMP_Score_2,IF(B481&lt;=DS_GMP_S_3,DS_GMP_Score_3,IF(B481&lt;=DS_GMP_S_4,DS_GMP_Score_4,IF(B481&lt;=DS_GMP_S_5,DS_GMP_Score_5,IF(B481&lt;=DS_GMP_S_6,DS_GMP_Score_6,IF(B481&lt;=DS_GMP_S_7,DS_GMP_Score_7,IF(B481&lt;=DS_GMP_S_8,DS_GMP_Score_8,0)))))))),IF(B481&lt;=DS_GMP_ML_1,DS_GMP_Score_1,IF(B481&lt;=DS_GMP_ML_2,DS_GMP_Score_2,IF(B481&lt;=DS_GMP_ML_3,DS_GMP_Score_3,IF(B481&lt;=DS_GMP_ML_4,DS_GMP_Score_4,IF(B481&lt;=DS_GMP_ML_5,DS_GMP_Score_5,IF(B481&lt;=DS_GMP_ML_6,DS_GMP_Score_6,IF(B481&lt;=DS_GMP_ML_7,DS_GMP_Score_7,IF(B481&lt;=DS_GMP_ML_8,DS_GMP_Score_8,0))))))))))))</f>
        <v/>
      </c>
      <c r="D481" s="899">
        <f>IFERROR(RANK(B481,B$480:B$483,1),5)</f>
        <v>5</v>
      </c>
      <c r="E481" s="899">
        <f>IFERROR(RANK(C481,C$480:C$483,0),5)</f>
        <v>5</v>
      </c>
      <c r="L481" s="899"/>
      <c r="Z481">
        <v>0.08</v>
      </c>
      <c r="AA481" s="1165">
        <f t="shared" si="37"/>
        <v>8.2533893981742892E-2</v>
      </c>
      <c r="AB481" s="1894">
        <v>28.546555999999999</v>
      </c>
      <c r="AC481" s="1894">
        <v>-82.392735000000002</v>
      </c>
      <c r="AD481" s="1894">
        <v>28.545365</v>
      </c>
      <c r="AE481" s="1894">
        <v>-82.392639000000003</v>
      </c>
    </row>
    <row r="482" spans="1:31">
      <c r="A482" s="396" t="s">
        <v>447</v>
      </c>
      <c r="B482" s="581" t="str">
        <f>IF(AND(Pharmacy_Name&lt;&gt;"",Pharmacy_Address&lt;&gt;"",Pharmacy_Distance&lt;&gt;""),Pharmacy_Distance,"")</f>
        <v/>
      </c>
      <c r="C482" s="582" t="str">
        <f>IF(B482="","",IF(B482=0,0,MIN(B$458,IF(County_Size="Small",IF(B482&lt;=DS_GMP_S_1,DS_GMP_Score_1,IF(B482&lt;=DS_GMP_S_2,DS_GMP_Score_2,IF(B482&lt;=DS_GMP_S_3,DS_GMP_Score_3,IF(B482&lt;=DS_GMP_S_4,DS_GMP_Score_4,IF(B482&lt;=DS_GMP_S_5,DS_GMP_Score_5,IF(B482&lt;=DS_GMP_S_6,DS_GMP_Score_6,IF(B482&lt;=DS_GMP_S_7,DS_GMP_Score_7,IF(B482&lt;=DS_GMP_S_8,DS_GMP_Score_8,0)))))))),IF(B482&lt;=DS_GMP_ML_1,DS_GMP_Score_1,IF(B482&lt;=DS_GMP_ML_2,DS_GMP_Score_2,IF(B482&lt;=DS_GMP_ML_3,DS_GMP_Score_3,IF(B482&lt;=DS_GMP_ML_4,DS_GMP_Score_4,IF(B482&lt;=DS_GMP_ML_5,DS_GMP_Score_5,IF(B482&lt;=DS_GMP_ML_6,DS_GMP_Score_6,IF(B482&lt;=DS_GMP_ML_7,DS_GMP_Score_7,IF(B482&lt;=DS_GMP_ML_8,DS_GMP_Score_8,0))))))))))))</f>
        <v/>
      </c>
      <c r="D482" s="899">
        <f>IFERROR(RANK(B482,B$480:B$483,1),5)</f>
        <v>5</v>
      </c>
      <c r="E482" s="899">
        <f>IFERROR(RANK(C482,C$480:C$483,0),5)</f>
        <v>5</v>
      </c>
      <c r="M482" s="899"/>
      <c r="Z482">
        <v>0.27</v>
      </c>
      <c r="AA482" s="1165">
        <f t="shared" si="37"/>
        <v>0.26927760950769541</v>
      </c>
      <c r="AB482" s="1894">
        <v>27.434687</v>
      </c>
      <c r="AC482" s="1894">
        <v>-80.355975999999998</v>
      </c>
      <c r="AD482" s="1894">
        <v>27.431443000000002</v>
      </c>
      <c r="AE482" s="1894">
        <v>-80.358406000000002</v>
      </c>
    </row>
    <row r="483" spans="1:31">
      <c r="A483" s="1015" t="s">
        <v>438</v>
      </c>
      <c r="B483" s="962" t="str">
        <f>IF(AND(School_Name&lt;&gt;"",School_Address&lt;&gt;"",School_Distance&lt;&gt;""),School_Distance,"")</f>
        <v/>
      </c>
      <c r="C483" s="963" t="str">
        <f>IF(B483="","",IF(B483=0,0,MIN(B$458,IF(County_Size="Small",IF(B483&lt;=DS_PS_S_1,DS_PS_Score_1,IF(B483&lt;=DS_PS_S_2,DS_PS_Score_2,IF(B483&lt;=DS_PS_S_3,DS_PS_Score_3,IF(B483&lt;=DS_PS_S_4,DS_PS_Score_4,IF(B483&lt;=DS_PS_S_5,DS_PS_Score_5,IF(B483&lt;=DS_PS_S_6,DS_PS_Score_6,IF(B483&lt;=DS_PS_S_7,DS_PS_Score_7,0))))))),IF(B483&lt;=DS_PS_ML_1,DS_PS_Score_1,IF(B483&lt;=DS_PS_ML_2,DS_PS_Score_2,IF(B483&lt;=DS_PS_ML_3,DS_PS_Score_3,IF(B483&lt;=DS_PS_ML_4,DS_PS_Score_4,IF(B483&lt;=DS_PS_ML_5,DS_PS_Score_5,IF(B483&lt;=DS_PS_ML_6,DS_PS_Score_6,IF(B483&lt;=DS_PS_ML_7,DS_PS_Score_7,0)))))))))))</f>
        <v/>
      </c>
      <c r="D483" s="1046">
        <f>IFERROR(RANK(B483,B$480:B$483,1),5)</f>
        <v>5</v>
      </c>
      <c r="E483" s="1046">
        <f>IFERROR(RANK(C483,C$480:C$483,0),5)</f>
        <v>5</v>
      </c>
      <c r="M483" s="899"/>
      <c r="Z483">
        <v>0.06</v>
      </c>
      <c r="AA483" s="1165">
        <f t="shared" si="37"/>
        <v>5.6893913406185326E-2</v>
      </c>
      <c r="AB483" s="1894">
        <v>27.374355000000001</v>
      </c>
      <c r="AC483" s="1894">
        <v>-82.553548000000006</v>
      </c>
      <c r="AD483" s="1894">
        <v>27.374883000000001</v>
      </c>
      <c r="AE483" s="1894">
        <v>-82.554259000000002</v>
      </c>
    </row>
    <row r="484" spans="1:31">
      <c r="Z484">
        <v>0</v>
      </c>
      <c r="AA484" s="1165">
        <f t="shared" si="37"/>
        <v>2.0136909446579794</v>
      </c>
      <c r="AB484" s="1894">
        <v>26.953296000000002</v>
      </c>
      <c r="AC484" s="1894">
        <v>-81.994286000000002</v>
      </c>
      <c r="AD484" s="1894">
        <v>26.982420000000001</v>
      </c>
      <c r="AE484" s="1894">
        <v>-81.993560000000002</v>
      </c>
    </row>
    <row r="485" spans="1:31">
      <c r="Z485">
        <v>0.45</v>
      </c>
      <c r="AA485" s="1165">
        <f t="shared" si="37"/>
        <v>0.45363724120288185</v>
      </c>
      <c r="AB485" s="1894">
        <v>28.550284000000001</v>
      </c>
      <c r="AC485" s="1894">
        <v>-81.730920999999995</v>
      </c>
      <c r="AD485" s="1894">
        <v>28.551549000000001</v>
      </c>
      <c r="AE485" s="1894">
        <v>-81.723590000000002</v>
      </c>
    </row>
    <row r="486" spans="1:31">
      <c r="A486" s="546" t="s">
        <v>448</v>
      </c>
      <c r="B486" s="2670">
        <f>IF(Private_transportation="Yes",0,COUNT('Proximity, Mand.Dist., RECAP'!H24:H26))</f>
        <v>0</v>
      </c>
      <c r="C486" s="2671"/>
      <c r="F486" s="580" t="s">
        <v>449</v>
      </c>
      <c r="Z486">
        <v>0.15</v>
      </c>
      <c r="AA486" s="1165">
        <f t="shared" si="37"/>
        <v>0.14744913154129025</v>
      </c>
      <c r="AB486" s="1894">
        <v>29.632549000000001</v>
      </c>
      <c r="AC486" s="1894">
        <v>-82.317751999999999</v>
      </c>
      <c r="AD486" s="1894">
        <v>29.633997000000001</v>
      </c>
      <c r="AE486" s="1894">
        <v>-82.315950000000001</v>
      </c>
    </row>
    <row r="487" spans="1:31">
      <c r="A487" s="547" t="s">
        <v>450</v>
      </c>
      <c r="B487" s="2668">
        <f>IF(Private_transportation="Yes",0,MAX('Proximity, Mand.Dist., RECAP'!H24:H26))</f>
        <v>0</v>
      </c>
      <c r="C487" s="2669"/>
      <c r="F487" t="s">
        <v>2773</v>
      </c>
      <c r="Z487">
        <v>0.23</v>
      </c>
      <c r="AA487" s="1165">
        <f t="shared" si="37"/>
        <v>0.22155416752966206</v>
      </c>
      <c r="AB487" s="1894">
        <v>27.672464000000002</v>
      </c>
      <c r="AC487" s="1894">
        <v>-80.424672000000001</v>
      </c>
      <c r="AD487" s="1894">
        <v>27.673036</v>
      </c>
      <c r="AE487" s="1894">
        <v>-80.421110999999996</v>
      </c>
    </row>
    <row r="488" spans="1:31">
      <c r="N488" s="899"/>
      <c r="Z488">
        <v>0.08</v>
      </c>
      <c r="AA488" s="1165">
        <f t="shared" si="37"/>
        <v>8.4645563245245622E-2</v>
      </c>
      <c r="AB488" s="1894">
        <v>30.477900000000002</v>
      </c>
      <c r="AC488" s="1894">
        <v>-84.305480000000003</v>
      </c>
      <c r="AD488" s="1894">
        <v>30.478044000000001</v>
      </c>
      <c r="AE488" s="1894">
        <v>-84.306890999999993</v>
      </c>
    </row>
    <row r="489" spans="1:31">
      <c r="A489" s="6" t="s">
        <v>451</v>
      </c>
      <c r="B489" s="882" t="str">
        <f>IF(OR(LGAO_Designation="Yes",LGAO_Documentation="Yes"),"Yes","No")</f>
        <v>No</v>
      </c>
      <c r="Z489">
        <v>0.2</v>
      </c>
      <c r="AA489" s="1165">
        <f t="shared" si="37"/>
        <v>0.1952727618035085</v>
      </c>
      <c r="AB489" s="1894">
        <v>30.430610562441998</v>
      </c>
      <c r="AC489" s="1894">
        <v>-87.2326503645847</v>
      </c>
      <c r="AD489" s="1894">
        <v>30.430526581991199</v>
      </c>
      <c r="AE489" s="1894">
        <v>-87.229375562364197</v>
      </c>
    </row>
    <row r="490" spans="1:31">
      <c r="A490" t="s">
        <v>452</v>
      </c>
      <c r="B490" s="291" t="str">
        <f>IF(SunRail_Prox_Score="Yes","Yes","No")</f>
        <v>No</v>
      </c>
      <c r="Z490">
        <v>0.1</v>
      </c>
      <c r="AA490" s="1165">
        <f t="shared" si="37"/>
        <v>0.10341130937131762</v>
      </c>
      <c r="AB490" s="1894">
        <v>30.479644</v>
      </c>
      <c r="AC490" s="1894">
        <v>-87.305383000000006</v>
      </c>
      <c r="AD490" s="1894">
        <v>30.480547000000001</v>
      </c>
      <c r="AE490" s="1894">
        <v>-87.306766999999994</v>
      </c>
    </row>
    <row r="491" spans="1:31">
      <c r="A491" t="s">
        <v>453</v>
      </c>
      <c r="B491" s="291" t="str">
        <f>IF(DS_ExcelCheckbox_LGAO_Prior_App_1YR=TRUE,"Yes","No")</f>
        <v>No</v>
      </c>
      <c r="Z491">
        <v>0.15</v>
      </c>
      <c r="AA491" s="1165">
        <f t="shared" si="37"/>
        <v>0.14391257219929976</v>
      </c>
      <c r="AB491" s="1894">
        <v>30.410454999999999</v>
      </c>
      <c r="AC491" s="1894">
        <v>-86.614503999999997</v>
      </c>
      <c r="AD491" s="1894">
        <v>30.412495</v>
      </c>
      <c r="AE491" s="1894">
        <v>-86.614022000000006</v>
      </c>
    </row>
    <row r="492" spans="1:31">
      <c r="Z492">
        <v>0.25</v>
      </c>
      <c r="AA492" s="1165">
        <f t="shared" si="37"/>
        <v>0.24962566887666898</v>
      </c>
      <c r="AB492" s="1894">
        <v>30.409524999999999</v>
      </c>
      <c r="AC492" s="1894">
        <v>-86.616404000000003</v>
      </c>
      <c r="AD492" s="1894">
        <v>30.412495</v>
      </c>
      <c r="AE492" s="1894">
        <v>-86.614022000000006</v>
      </c>
    </row>
    <row r="493" spans="1:31" ht="18" customHeight="1">
      <c r="A493" s="571" t="s">
        <v>1682</v>
      </c>
      <c r="B493" s="572" t="s">
        <v>55</v>
      </c>
      <c r="C493" s="572" t="s">
        <v>56</v>
      </c>
      <c r="D493" s="572" t="s">
        <v>57</v>
      </c>
      <c r="E493" s="516" t="s">
        <v>1681</v>
      </c>
      <c r="F493" s="63" t="s">
        <v>59</v>
      </c>
      <c r="Z493">
        <v>0.23</v>
      </c>
      <c r="AA493" s="1165">
        <f t="shared" si="37"/>
        <v>0.23278921510395295</v>
      </c>
      <c r="AB493" s="1894">
        <v>30.455265000000001</v>
      </c>
      <c r="AC493" s="1894">
        <v>-84.243987000000004</v>
      </c>
      <c r="AD493" s="1894">
        <v>30.455880000000001</v>
      </c>
      <c r="AE493" s="1894">
        <v>-84.240145999999996</v>
      </c>
    </row>
    <row r="494" spans="1:31">
      <c r="A494" s="271" t="s">
        <v>1695</v>
      </c>
      <c r="B494" s="57">
        <v>1</v>
      </c>
      <c r="C494" s="60">
        <f>IF(B494&lt;&gt;1,"",SUM(B$494:B494))</f>
        <v>1</v>
      </c>
      <c r="D494" s="57">
        <v>1</v>
      </c>
      <c r="E494" s="385">
        <v>8</v>
      </c>
      <c r="F494" s="63" t="str">
        <f ca="1">IF(COUNTA($A$494:$A494)&lt;=MAX(DS_SunRail_Sequence)=TRUE,LOOKUP(COUNTA($A$494:$A494),DS_SunRail_Sequence,DS_SunRail_DataNames),"")</f>
        <v>AdventHealth (500 E. Rollins St., Orlando, 32803)</v>
      </c>
      <c r="Z494">
        <v>0.23</v>
      </c>
      <c r="AA494" s="1165">
        <f t="shared" si="37"/>
        <v>0.22143893720465002</v>
      </c>
      <c r="AB494" s="1894">
        <v>28.971865000000001</v>
      </c>
      <c r="AC494" s="1894">
        <v>-81.301589000000007</v>
      </c>
      <c r="AD494" s="1894">
        <v>28.970027000000002</v>
      </c>
      <c r="AE494" s="1894">
        <v>-81.298590000000004</v>
      </c>
    </row>
    <row r="495" spans="1:31">
      <c r="A495" s="255" t="s">
        <v>1698</v>
      </c>
      <c r="B495" s="58">
        <v>1</v>
      </c>
      <c r="C495" s="1003">
        <f>IF(B495&lt;&gt;1,"",SUM(B$494:B495))</f>
        <v>2</v>
      </c>
      <c r="D495" s="58">
        <v>2</v>
      </c>
      <c r="E495" s="403">
        <v>5</v>
      </c>
      <c r="F495" s="63" t="str">
        <f ca="1">IF(COUNTA($A$494:$A495)&lt;=MAX(DS_SunRail_Sequence)=TRUE,LOOKUP(COUNTA($A$494:$A495),DS_SunRail_Sequence,DS_SunRail_DataNames),"")</f>
        <v>Altamonte Springs (2741 S. Ronald Reagan Blvd., Altamonte Springs, 32701)</v>
      </c>
      <c r="Z495">
        <v>0.03</v>
      </c>
      <c r="AA495" s="1165">
        <f t="shared" si="37"/>
        <v>4.2354852909921678E-2</v>
      </c>
      <c r="AB495" s="1894">
        <v>27.906196000000001</v>
      </c>
      <c r="AC495" s="1894">
        <v>-81.593179000000006</v>
      </c>
      <c r="AD495" s="1894">
        <v>27.905892000000001</v>
      </c>
      <c r="AE495" s="1894">
        <v>-81.593781000000007</v>
      </c>
    </row>
    <row r="496" spans="1:31">
      <c r="A496" s="255" t="s">
        <v>1693</v>
      </c>
      <c r="B496" s="58">
        <v>1</v>
      </c>
      <c r="C496" s="1003">
        <f>IF(B496&lt;&gt;1,"",SUM(B$494:B496))</f>
        <v>3</v>
      </c>
      <c r="D496" s="58">
        <v>3</v>
      </c>
      <c r="E496" s="403">
        <v>10</v>
      </c>
      <c r="F496" s="63" t="str">
        <f ca="1">IF(COUNTA($A$494:$A496)&lt;=MAX(DS_SunRail_Sequence)=TRUE,LOOKUP(COUNTA($A$494:$A496),DS_SunRail_Sequence,DS_SunRail_DataNames),"")</f>
        <v>Church Street (99 W. South St., Orlando, 32801)</v>
      </c>
      <c r="Z496">
        <v>0.54</v>
      </c>
      <c r="AA496" s="1165">
        <f t="shared" si="37"/>
        <v>0.53787556398414837</v>
      </c>
      <c r="AB496" s="1894">
        <v>29.028063</v>
      </c>
      <c r="AC496" s="1894">
        <v>-80.937006999999994</v>
      </c>
      <c r="AD496" s="1894">
        <v>29.031033999999998</v>
      </c>
      <c r="AE496" s="1894">
        <v>-80.928781999999998</v>
      </c>
    </row>
    <row r="497" spans="1:31">
      <c r="A497" s="255" t="s">
        <v>1683</v>
      </c>
      <c r="B497" s="58">
        <v>1</v>
      </c>
      <c r="C497" s="1003">
        <f>IF(B497&lt;&gt;1,"",SUM(B$494:B497))</f>
        <v>4</v>
      </c>
      <c r="D497" s="58">
        <v>4</v>
      </c>
      <c r="E497" s="403">
        <v>1</v>
      </c>
      <c r="F497" s="63" t="str">
        <f ca="1">IF(COUNTA($A$494:$A497)&lt;=MAX(DS_SunRail_Sequence)=TRUE,LOOKUP(COUNTA($A$494:$A497),DS_SunRail_Sequence,DS_SunRail_DataNames),"")</f>
        <v>Debary (630 South Charles R. Beall Blvd., DeBary, 32713)</v>
      </c>
      <c r="Z497">
        <v>0.47</v>
      </c>
      <c r="AA497" s="1165">
        <f t="shared" si="37"/>
        <v>0.4680441072550468</v>
      </c>
      <c r="AB497" s="1894">
        <v>27.434687</v>
      </c>
      <c r="AC497" s="1894">
        <v>-80.355975999999998</v>
      </c>
      <c r="AD497" s="1894">
        <v>27.438797999999998</v>
      </c>
      <c r="AE497" s="1894">
        <v>-80.349913999999998</v>
      </c>
    </row>
    <row r="498" spans="1:31">
      <c r="A498" s="255" t="s">
        <v>1684</v>
      </c>
      <c r="B498" s="58">
        <v>1</v>
      </c>
      <c r="C498" s="1003">
        <f>IF(B498&lt;&gt;1,"",SUM(B$494:B498))</f>
        <v>5</v>
      </c>
      <c r="D498" s="58">
        <v>5</v>
      </c>
      <c r="E498" s="403">
        <v>15</v>
      </c>
      <c r="F498" s="63" t="str">
        <f ca="1">IF(COUNTA($A$494:$A498)&lt;=MAX(DS_SunRail_Sequence)=TRUE,LOOKUP(COUNTA($A$494:$A498),DS_SunRail_Sequence,DS_SunRail_DataNames),"")</f>
        <v>Kissimmee / Amtrak (320 Pleasant St., Kissimmee, 34741)</v>
      </c>
      <c r="Z498">
        <v>0.06</v>
      </c>
      <c r="AA498" s="1165">
        <f t="shared" si="37"/>
        <v>5.5716287101453689E-2</v>
      </c>
      <c r="AB498" s="1894">
        <v>27.374355000000001</v>
      </c>
      <c r="AC498" s="1894">
        <v>-82.553548000000006</v>
      </c>
      <c r="AD498" s="1894">
        <v>27.374670999999999</v>
      </c>
      <c r="AE498" s="1894">
        <v>-82.554383000000001</v>
      </c>
    </row>
    <row r="499" spans="1:31">
      <c r="A499" s="255" t="s">
        <v>1685</v>
      </c>
      <c r="B499" s="58">
        <v>1</v>
      </c>
      <c r="C499" s="1003">
        <f>IF(B499&lt;&gt;1,"",SUM(B$494:B499))</f>
        <v>6</v>
      </c>
      <c r="D499" s="58">
        <v>6</v>
      </c>
      <c r="E499" s="403">
        <v>3</v>
      </c>
      <c r="F499" s="63" t="str">
        <f ca="1">IF(COUNTA($A$494:$A499)&lt;=MAX(DS_SunRail_Sequence)=TRUE,LOOKUP(COUNTA($A$494:$A499),DS_SunRail_Sequence,DS_SunRail_DataNames),"")</f>
        <v>Lake Mary (220 W. Lake Mary Blvd., Lake Mary, 32746)</v>
      </c>
      <c r="Z499">
        <v>0.47</v>
      </c>
      <c r="AA499" s="1165">
        <f t="shared" si="37"/>
        <v>0.46748357259247797</v>
      </c>
      <c r="AB499" s="1894">
        <v>28.550284000000001</v>
      </c>
      <c r="AC499" s="1894">
        <v>-81.730920999999995</v>
      </c>
      <c r="AD499" s="1894">
        <v>28.551428999999999</v>
      </c>
      <c r="AE499" s="1894">
        <v>-81.723332999999997</v>
      </c>
    </row>
    <row r="500" spans="1:31">
      <c r="A500" s="255" t="s">
        <v>1686</v>
      </c>
      <c r="B500" s="58">
        <v>1</v>
      </c>
      <c r="C500" s="1003">
        <f>IF(B500&lt;&gt;1,"",SUM(B$494:B500))</f>
        <v>7</v>
      </c>
      <c r="D500" s="58">
        <v>7</v>
      </c>
      <c r="E500" s="403">
        <v>4</v>
      </c>
      <c r="F500" s="63" t="str">
        <f ca="1">IF(COUNTA($A$494:$A500)&lt;=MAX(DS_SunRail_Sequence)=TRUE,LOOKUP(COUNTA($A$494:$A500),DS_SunRail_Sequence,DS_SunRail_DataNames),"")</f>
        <v>Longwood (149 E. Church Ave., Longwood, 32750)</v>
      </c>
      <c r="Z500">
        <v>0.14000000000000001</v>
      </c>
      <c r="AA500" s="1165">
        <f t="shared" si="37"/>
        <v>0.13797719657686203</v>
      </c>
      <c r="AB500" s="1894">
        <v>29.632549000000001</v>
      </c>
      <c r="AC500" s="1894">
        <v>-82.317751999999999</v>
      </c>
      <c r="AD500" s="1894">
        <v>29.634157999999999</v>
      </c>
      <c r="AE500" s="1894">
        <v>-82.319111000000007</v>
      </c>
    </row>
    <row r="501" spans="1:31">
      <c r="A501" s="255" t="s">
        <v>1694</v>
      </c>
      <c r="B501" s="58">
        <v>1</v>
      </c>
      <c r="C501" s="1003">
        <f>IF(B501&lt;&gt;1,"",SUM(B$494:B501))</f>
        <v>8</v>
      </c>
      <c r="D501" s="58">
        <v>8</v>
      </c>
      <c r="E501" s="403">
        <v>9</v>
      </c>
      <c r="F501" s="63" t="str">
        <f ca="1">IF(COUNTA($A$494:$A501)&lt;=MAX(DS_SunRail_Sequence)=TRUE,LOOKUP(COUNTA($A$494:$A501),DS_SunRail_Sequence,DS_SunRail_DataNames),"")</f>
        <v>Lynx Central (101 W. Livingston St., Orlando, 32801)</v>
      </c>
      <c r="Z501">
        <v>0.11</v>
      </c>
      <c r="AA501" s="1165">
        <f t="shared" si="37"/>
        <v>0.10851698417655624</v>
      </c>
      <c r="AB501" s="1894">
        <v>27.672464000000002</v>
      </c>
      <c r="AC501" s="1894">
        <v>-80.424672000000001</v>
      </c>
      <c r="AD501" s="1894">
        <v>27.671253</v>
      </c>
      <c r="AE501" s="1894">
        <v>-80.423544000000007</v>
      </c>
    </row>
    <row r="502" spans="1:31">
      <c r="A502" s="255" t="s">
        <v>1697</v>
      </c>
      <c r="B502" s="58">
        <v>1</v>
      </c>
      <c r="C502" s="1003">
        <f>IF(B502&lt;&gt;1,"",SUM(B$494:B502))</f>
        <v>9</v>
      </c>
      <c r="D502" s="58">
        <v>9</v>
      </c>
      <c r="E502" s="403">
        <v>6</v>
      </c>
      <c r="F502" s="63" t="str">
        <f ca="1">IF(COUNTA($A$494:$A502)&lt;=MAX(DS_SunRail_Sequence)=TRUE,LOOKUP(COUNTA($A$494:$A502),DS_SunRail_Sequence,DS_SunRail_DataNames),"")</f>
        <v>Maitland (801 N. Orlando Ave., Maitland, 32751)</v>
      </c>
      <c r="Z502">
        <v>0.2</v>
      </c>
      <c r="AA502" s="1165">
        <f t="shared" si="37"/>
        <v>0.18708970667334432</v>
      </c>
      <c r="AB502" s="1894">
        <v>30.430610562441998</v>
      </c>
      <c r="AC502" s="1894">
        <v>-87.2326503645847</v>
      </c>
      <c r="AD502" s="1894">
        <v>30.4308858443063</v>
      </c>
      <c r="AE502" s="1894">
        <v>-87.229527680586401</v>
      </c>
    </row>
    <row r="503" spans="1:31">
      <c r="A503" s="255" t="s">
        <v>1687</v>
      </c>
      <c r="B503" s="58">
        <v>1</v>
      </c>
      <c r="C503" s="1003">
        <f>IF(B503&lt;&gt;1,"",SUM(B$494:B503))</f>
        <v>10</v>
      </c>
      <c r="D503" s="58">
        <v>10</v>
      </c>
      <c r="E503" s="403">
        <v>13</v>
      </c>
      <c r="F503" s="63" t="str">
        <f ca="1">IF(COUNTA($A$494:$A503)&lt;=MAX(DS_SunRail_Sequence)=TRUE,LOOKUP(COUNTA($A$494:$A503),DS_SunRail_Sequence,DS_SunRail_DataNames),"")</f>
        <v>Meadow Woods (120 Fairway Woods Blvd., Orlando, 32824)</v>
      </c>
      <c r="Z503">
        <v>0.22</v>
      </c>
      <c r="AA503" s="1165">
        <f t="shared" si="37"/>
        <v>0.21788685205843158</v>
      </c>
      <c r="AB503" s="1894">
        <v>30.455265000000001</v>
      </c>
      <c r="AC503" s="1894">
        <v>-84.243987000000004</v>
      </c>
      <c r="AD503" s="1894">
        <v>30.455480999999999</v>
      </c>
      <c r="AE503" s="1894">
        <v>-84.240339000000006</v>
      </c>
    </row>
    <row r="504" spans="1:31">
      <c r="A504" s="255" t="s">
        <v>1688</v>
      </c>
      <c r="B504" s="58">
        <v>1</v>
      </c>
      <c r="C504" s="1003">
        <f>IF(B504&lt;&gt;1,"",SUM(B$494:B504))</f>
        <v>11</v>
      </c>
      <c r="D504" s="58">
        <v>11</v>
      </c>
      <c r="E504" s="403">
        <v>11</v>
      </c>
      <c r="F504" s="63" t="str">
        <f ca="1">IF(COUNTA($A$494:$A504)&lt;=MAX(DS_SunRail_Sequence)=TRUE,LOOKUP(COUNTA($A$494:$A504),DS_SunRail_Sequence,DS_SunRail_DataNames),"")</f>
        <v>Orlando Health / Amtrak (250 Columbia St., Orlando, 32806)</v>
      </c>
      <c r="Z504">
        <v>0.48</v>
      </c>
      <c r="AA504" s="1165">
        <f t="shared" si="37"/>
        <v>0.47162661524277621</v>
      </c>
      <c r="AB504" s="1894">
        <v>27.434687</v>
      </c>
      <c r="AC504" s="1894">
        <v>-80.355975999999998</v>
      </c>
      <c r="AD504" s="1894">
        <v>27.439062</v>
      </c>
      <c r="AE504" s="1894">
        <v>-80.350076999999999</v>
      </c>
    </row>
    <row r="505" spans="1:31">
      <c r="A505" s="255" t="s">
        <v>1689</v>
      </c>
      <c r="B505" s="58">
        <v>1</v>
      </c>
      <c r="C505" s="1003">
        <f>IF(B505&lt;&gt;1,"",SUM(B$494:B505))</f>
        <v>12</v>
      </c>
      <c r="D505" s="58">
        <v>12</v>
      </c>
      <c r="E505" s="403">
        <v>16</v>
      </c>
      <c r="F505" s="63" t="str">
        <f ca="1">IF(COUNTA($A$494:$A505)&lt;=MAX(DS_SunRail_Sequence)=TRUE,LOOKUP(COUNTA($A$494:$A505),DS_SunRail_Sequence,DS_SunRail_DataNames),"")</f>
        <v>Poinciana (5025 S. Rail Ave., Kissimmee, 34746)</v>
      </c>
      <c r="Z505">
        <v>0.41</v>
      </c>
      <c r="AA505" s="1165">
        <f t="shared" si="37"/>
        <v>0.4083647059057956</v>
      </c>
      <c r="AB505" s="1894">
        <v>27.374355000000001</v>
      </c>
      <c r="AC505" s="1894">
        <v>-82.553548000000006</v>
      </c>
      <c r="AD505" s="1894">
        <v>27.374772</v>
      </c>
      <c r="AE505" s="1894">
        <v>-82.546912000000006</v>
      </c>
    </row>
    <row r="506" spans="1:31">
      <c r="A506" s="255" t="s">
        <v>1690</v>
      </c>
      <c r="B506" s="58">
        <v>1</v>
      </c>
      <c r="C506" s="1003">
        <f>IF(B506&lt;&gt;1,"",SUM(B$494:B506))</f>
        <v>13</v>
      </c>
      <c r="D506" s="58">
        <v>13</v>
      </c>
      <c r="E506" s="403">
        <v>12</v>
      </c>
      <c r="F506" s="63" t="str">
        <f ca="1">IF(COUNTA($A$494:$A506)&lt;=MAX(DS_SunRail_Sequence)=TRUE,LOOKUP(COUNTA($A$494:$A506),DS_SunRail_Sequence,DS_SunRail_DataNames),"")</f>
        <v>Sand Lake Road (8030 S. Orange Ave., Pine Castle, 32809)</v>
      </c>
      <c r="Z506">
        <v>0.17</v>
      </c>
      <c r="AA506" s="1165">
        <f t="shared" si="37"/>
        <v>0.16609741547374093</v>
      </c>
      <c r="AB506" s="1894">
        <v>29.632549000000001</v>
      </c>
      <c r="AC506" s="1894">
        <v>-82.317751999999999</v>
      </c>
      <c r="AD506" s="1894">
        <v>29.632331000000001</v>
      </c>
      <c r="AE506" s="1894">
        <v>-82.320504999999997</v>
      </c>
    </row>
    <row r="507" spans="1:31">
      <c r="A507" s="255" t="s">
        <v>1691</v>
      </c>
      <c r="B507" s="58">
        <v>1</v>
      </c>
      <c r="C507" s="1003">
        <f>IF(B507&lt;&gt;1,"",SUM(B$494:B507))</f>
        <v>14</v>
      </c>
      <c r="D507" s="58">
        <v>14</v>
      </c>
      <c r="E507" s="403">
        <v>2</v>
      </c>
      <c r="F507" s="63" t="str">
        <f ca="1">IF(COUNTA($A$494:$A507)&lt;=MAX(DS_SunRail_Sequence)=TRUE,LOOKUP(COUNTA($A$494:$A507),DS_SunRail_Sequence,DS_SunRail_DataNames),"")</f>
        <v>Sanford (2720 W. State Road 46, Sanford, 32771)</v>
      </c>
      <c r="Z507">
        <v>0.92</v>
      </c>
      <c r="AA507" s="1165">
        <f t="shared" si="37"/>
        <v>0.91041575459684521</v>
      </c>
      <c r="AB507" s="1894">
        <v>28.037610999999998</v>
      </c>
      <c r="AC507" s="1894">
        <v>-81.970018999999994</v>
      </c>
      <c r="AD507" s="1894">
        <v>28.045175</v>
      </c>
      <c r="AE507" s="1894">
        <v>-81.957802999999998</v>
      </c>
    </row>
    <row r="508" spans="1:31">
      <c r="A508" s="255" t="s">
        <v>1692</v>
      </c>
      <c r="B508" s="58">
        <v>1</v>
      </c>
      <c r="C508" s="1003">
        <f>IF(B508&lt;&gt;1,"",SUM(B$494:B508))</f>
        <v>15</v>
      </c>
      <c r="D508" s="58">
        <v>15</v>
      </c>
      <c r="E508" s="403">
        <v>14</v>
      </c>
      <c r="F508" s="63" t="str">
        <f ca="1">IF(COUNTA($A$494:$A508)&lt;=MAX(DS_SunRail_Sequence)=TRUE,LOOKUP(COUNTA($A$494:$A508),DS_SunRail_Sequence,DS_SunRail_DataNames),"")</f>
        <v>Tupperware (3205 Orange Ave., Kissimmee, 34744)</v>
      </c>
      <c r="Z508">
        <v>0.72</v>
      </c>
      <c r="AA508" s="1165">
        <f t="shared" si="37"/>
        <v>0.72232943008270822</v>
      </c>
      <c r="AB508" s="1894">
        <v>26.601044999999999</v>
      </c>
      <c r="AC508" s="1894">
        <v>-81.878315000000001</v>
      </c>
      <c r="AD508" s="1894">
        <v>26.599291999999998</v>
      </c>
      <c r="AE508" s="1894">
        <v>-81.866793999999999</v>
      </c>
    </row>
    <row r="509" spans="1:31">
      <c r="A509" s="255" t="s">
        <v>1696</v>
      </c>
      <c r="B509" s="58">
        <v>1</v>
      </c>
      <c r="C509" s="1003">
        <f>IF(B509&lt;&gt;1,"",SUM(B$494:B509))</f>
        <v>16</v>
      </c>
      <c r="D509" s="58">
        <v>16</v>
      </c>
      <c r="E509" s="403">
        <v>7</v>
      </c>
      <c r="F509" s="63" t="str">
        <f ca="1">IF(COUNTA($A$494:$A509)&lt;=MAX(DS_SunRail_Sequence)=TRUE,LOOKUP(COUNTA($A$494:$A509),DS_SunRail_Sequence,DS_SunRail_DataNames),"")</f>
        <v>Winter Park / Amtrak (148 W. Morse Blvd., Winter Park, 32789)</v>
      </c>
      <c r="Z509">
        <v>0.93</v>
      </c>
      <c r="AA509" s="1165">
        <f t="shared" si="37"/>
        <v>0.92932776595229361</v>
      </c>
      <c r="AB509" s="1894">
        <v>26.700043999999998</v>
      </c>
      <c r="AC509" s="1894">
        <v>-81.901083</v>
      </c>
      <c r="AD509" s="1894">
        <v>26.686622</v>
      </c>
      <c r="AE509" s="1894">
        <v>-81.901947000000007</v>
      </c>
    </row>
    <row r="510" spans="1:31">
      <c r="E510" s="899" t="s">
        <v>1733</v>
      </c>
      <c r="Z510">
        <v>1.52</v>
      </c>
      <c r="AA510" s="1165">
        <f t="shared" si="37"/>
        <v>1.5260903122303517</v>
      </c>
      <c r="AB510" s="1894">
        <v>26.684135999999999</v>
      </c>
      <c r="AC510" s="1894">
        <v>-81.877395000000007</v>
      </c>
      <c r="AD510" s="1894">
        <v>26.686622</v>
      </c>
      <c r="AE510" s="1894">
        <v>-81.901947000000007</v>
      </c>
    </row>
    <row r="511" spans="1:31">
      <c r="E511" s="899"/>
      <c r="Z511">
        <v>0.4</v>
      </c>
      <c r="AA511" s="1165">
        <f t="shared" si="37"/>
        <v>0.39855528123315465</v>
      </c>
      <c r="AB511" s="1894">
        <v>27.343510999999999</v>
      </c>
      <c r="AC511" s="1894">
        <v>-82.540875</v>
      </c>
      <c r="AD511" s="1894">
        <v>27.337758000000001</v>
      </c>
      <c r="AE511" s="1894">
        <v>-82.540443999999994</v>
      </c>
    </row>
    <row r="512" spans="1:31" ht="18" customHeight="1">
      <c r="A512" s="571" t="s">
        <v>1102</v>
      </c>
      <c r="E512" s="516" t="str">
        <f>"4.A.5."&amp;'Proximity, Mand.Dist., RECAP'!A53&amp;"."</f>
        <v>4.A.5.f.</v>
      </c>
      <c r="Z512">
        <v>3.3</v>
      </c>
      <c r="AA512" s="1165">
        <f t="shared" si="37"/>
        <v>2.0417038986830756</v>
      </c>
      <c r="AB512" s="1894">
        <v>26.89302</v>
      </c>
      <c r="AC512" s="1894">
        <v>-82.301500000000004</v>
      </c>
      <c r="AD512" s="1894">
        <v>26.908639999999998</v>
      </c>
      <c r="AE512" s="1894">
        <v>-82.329610000000002</v>
      </c>
    </row>
    <row r="513" spans="1:13">
      <c r="A513" s="271" t="s">
        <v>1704</v>
      </c>
      <c r="B513" s="271"/>
      <c r="C513" s="271"/>
      <c r="D513" s="271"/>
      <c r="E513" s="271"/>
      <c r="F513" s="271"/>
    </row>
    <row r="514" spans="1:13" ht="15" customHeight="1">
      <c r="A514" s="277" t="s">
        <v>1847</v>
      </c>
      <c r="B514" s="403" t="str">
        <f>IF(Minimum_SetAside_per_Sec_42="&lt;select one&gt;","TBD",IF(OR(Minimum_SetAside_per_Sec_42=DS_IRS_2050,Minimum_SetAside_per_Sec_42=DS_IRS_4060),IF(SUMIF('Units, Set-Asides, Bldgs'!$I$52:$I$60,"&lt;="&amp;VLOOKUP(County,DS_CountyData,14),'Units, Set-Asides, Bldgs'!$G$52:$G$60)&gt;=30%,"Yes","No"),IF(Minimum_SetAside_per_Sec_42=DS_IRS_AIT,IF(SUM('Units, Set-Asides, Bldgs'!$G$79:$G$80)&gt;=30%,"Yes","No"),"NA")))</f>
        <v>TBD</v>
      </c>
      <c r="C514" s="1186" t="str">
        <f>IF(OR(Data1!B514="Yes",Data1!B514="No"),IF(OR(Minimum_SetAside_per_Sec_42=DS_IRS_2050,Minimum_SetAside_per_Sec_42=DS_IRS_4060),SUMIF('Units, Set-Asides, Bldgs'!$I$52:$I$60,"&lt;="&amp;VLOOKUP(County,DS_CountyData,14),'Units, Set-Asides, Bldgs'!$G$52:$G$60),SUM('Units, Set-Asides, Bldgs'!$G$79:$G$80)),"")</f>
        <v/>
      </c>
      <c r="D514" s="277"/>
      <c r="E514" s="277"/>
      <c r="F514" s="277"/>
    </row>
    <row r="515" spans="1:13">
      <c r="A515" s="277" t="s">
        <v>1716</v>
      </c>
      <c r="B515" s="403" t="str">
        <f>IF(OR(Development_Category="Rehabilitation",Development_Category="Acquisition and Rehabilitation"),"Yes","No")</f>
        <v>No</v>
      </c>
      <c r="C515" s="255"/>
      <c r="D515" s="255"/>
      <c r="E515" s="1066"/>
      <c r="F515" s="67" t="str">
        <f>Development_Category</f>
        <v>New Construction</v>
      </c>
    </row>
    <row r="516" spans="1:13">
      <c r="A516" s="277" t="s">
        <v>1717</v>
      </c>
      <c r="B516" s="403" t="str">
        <f>IF(AND(Development_Category="New Construction",Development_SubCategory="Redevelopment (w/ or w/o Acquisition)"),"Yes","No")</f>
        <v>No</v>
      </c>
      <c r="C516" s="255"/>
      <c r="D516" s="255"/>
      <c r="E516" s="1066"/>
      <c r="F516" s="67" t="str">
        <f>Development_Category</f>
        <v>New Construction</v>
      </c>
    </row>
    <row r="517" spans="1:13">
      <c r="A517" s="277" t="str">
        <f>"Did Applicant commit to (at least) "&amp;TEXT(C517,"0%")&amp;" ELI Set-Aside?"</f>
        <v>Did Applicant commit to (at least) 30% ELI Set-Aside?</v>
      </c>
      <c r="B517" s="522" t="str">
        <f>IF(Minimum_SetAside_per_Sec_42="Average Income Test",IF(SUM('Units, Set-Asides, Bldgs'!G79:G80)&gt;=C517,"Yes","No"),IF(OR(Minimum_SetAside_per_Sec_42=A572,Minimum_SetAside_per_Sec_42=A573),IF(SUMIF('Units, Set-Asides, Bldgs'!I52:I58,"&lt;="&amp;IFERROR(VLOOKUP(County,DS_CountyData,14),0),'Units, Set-Asides, Bldgs'!G52:G58)&gt;=C517,"Yes","No"),"No"))</f>
        <v>No</v>
      </c>
      <c r="C517" s="2673">
        <v>0.3</v>
      </c>
      <c r="D517" s="2673"/>
      <c r="E517" s="1066"/>
      <c r="F517" s="67" t="str">
        <f>Minimum_SetAside_per_Sec_42</f>
        <v>&lt;select one&gt;</v>
      </c>
    </row>
    <row r="518" spans="1:13">
      <c r="A518" s="277" t="s">
        <v>1705</v>
      </c>
      <c r="B518" s="403" t="str">
        <f>IF(RA_Level&lt;3,"Yes","No")</f>
        <v>No</v>
      </c>
      <c r="C518" s="255"/>
      <c r="D518" s="255"/>
      <c r="E518" s="1066"/>
      <c r="F518" s="1067">
        <f>RA_Level</f>
        <v>6</v>
      </c>
    </row>
    <row r="519" spans="1:13">
      <c r="A519" s="277" t="s">
        <v>1706</v>
      </c>
      <c r="B519" s="403" t="str">
        <f>IF(occupancy_status=F561,"Yes","No")</f>
        <v>No</v>
      </c>
      <c r="C519" s="255"/>
      <c r="D519" s="255"/>
      <c r="E519" s="1066"/>
      <c r="F519" s="67" t="str">
        <f>occupancy_status</f>
        <v>&lt;select one&gt;</v>
      </c>
    </row>
    <row r="520" spans="1:13">
      <c r="A520" s="277" t="str">
        <f>"If Redev, is the expected PBRA greater than "&amp;TEXT(C520,"0% ")&amp;"of total units?"</f>
        <v>If Redev, is the expected PBRA greater than 75% of total units?</v>
      </c>
      <c r="B520" s="403" t="str">
        <f>IF(AND(AND(Development_Category="New Construction",Development_SubCategory="Redevelopment (w/ or w/o Acquisition)"),Total_Percent_RA_Units_Future&gt;C520),"Yes","No")</f>
        <v>No</v>
      </c>
      <c r="C520" s="2672">
        <v>0.75</v>
      </c>
      <c r="D520" s="2672"/>
      <c r="E520" s="255"/>
      <c r="F520" s="1068" t="str">
        <f>TEXT(Total_Percent_RA_Units_Future,"0.000%")&amp;" with "&amp;TEXT(Total_RA_Units_Future,"0")&amp;" RA Units"</f>
        <v>0.000% with 0 RA Units</v>
      </c>
    </row>
    <row r="521" spans="1:13">
      <c r="A521" s="277" t="s">
        <v>1707</v>
      </c>
      <c r="B521" s="403" t="str">
        <f>IF(County_Size="Large","Yes","No")</f>
        <v>No</v>
      </c>
      <c r="C521" s="255"/>
      <c r="D521" s="255"/>
      <c r="E521" s="1066"/>
      <c r="F521" s="67" t="str">
        <f>County_Size</f>
        <v/>
      </c>
    </row>
    <row r="522" spans="1:13">
      <c r="A522" s="277" t="s">
        <v>1719</v>
      </c>
      <c r="B522" s="403" t="str">
        <f>IF(AND(B515="Yes",B519="Yes",B517="Yes",B518="Yes"),"Yes","No")</f>
        <v>No</v>
      </c>
      <c r="C522" s="255"/>
      <c r="D522" s="255"/>
      <c r="E522" s="1066"/>
      <c r="F522" s="1069" t="s">
        <v>1713</v>
      </c>
    </row>
    <row r="523" spans="1:13">
      <c r="A523" s="277" t="s">
        <v>1720</v>
      </c>
      <c r="B523" s="403" t="str">
        <f>IF(AND(B516="Yes",B517="Yes",B518="Yes",B520="Yes"),"Yes","No")</f>
        <v>No</v>
      </c>
      <c r="C523" s="255"/>
      <c r="D523" s="255"/>
      <c r="E523" s="1066"/>
      <c r="F523" s="1069" t="s">
        <v>1714</v>
      </c>
    </row>
    <row r="524" spans="1:13">
      <c r="A524" s="277" t="s">
        <v>1721</v>
      </c>
      <c r="B524" s="403" t="str">
        <f>B521</f>
        <v>No</v>
      </c>
      <c r="C524" s="255"/>
      <c r="D524" s="255"/>
      <c r="E524" s="1066"/>
      <c r="F524" s="1069" t="s">
        <v>1715</v>
      </c>
    </row>
    <row r="525" spans="1:13">
      <c r="A525" s="719" t="s">
        <v>1718</v>
      </c>
      <c r="B525" s="1056" t="str">
        <f>IF(OR(B522="Yes",B523="Yes",B524="Yes"),"Yes","No")</f>
        <v>No</v>
      </c>
      <c r="C525" s="255"/>
      <c r="D525" s="255"/>
      <c r="E525" s="1066"/>
      <c r="F525" s="1071" t="str">
        <f>IF(B525="Yes","Via"&amp;IF(COUNTIF(B522:B524,"Yes")&gt;1," both"," the")&amp;" 4.A.5.f.(1)("&amp;IF(B522="Yes","a",IF(B523="Yes","b","c"))&amp;IF(COUNTIF(B522:B524,"Yes")&gt;1,") and ("&amp;IF(B524="Yes","c",IF(B523="Yes","b","a")),"")&amp;") criteria","")</f>
        <v/>
      </c>
    </row>
    <row r="526" spans="1:13">
      <c r="A526" s="6"/>
      <c r="E526" s="548"/>
    </row>
    <row r="527" spans="1:13" ht="30" customHeight="1">
      <c r="A527" s="571" t="s">
        <v>454</v>
      </c>
      <c r="B527" s="2176" t="s">
        <v>2554</v>
      </c>
      <c r="C527" s="567" t="s">
        <v>455</v>
      </c>
      <c r="D527" s="1522" t="s">
        <v>456</v>
      </c>
      <c r="E527" s="516" t="s">
        <v>457</v>
      </c>
      <c r="G527" s="2176" t="s">
        <v>2552</v>
      </c>
      <c r="H527" s="2176" t="s">
        <v>2553</v>
      </c>
      <c r="K527" s="2176" t="s">
        <v>2556</v>
      </c>
      <c r="L527" s="567" t="s">
        <v>455</v>
      </c>
      <c r="M527" s="1522" t="s">
        <v>456</v>
      </c>
    </row>
    <row r="528" spans="1:13">
      <c r="A528" t="s">
        <v>458</v>
      </c>
      <c r="B528" s="953">
        <v>30</v>
      </c>
      <c r="C528" s="898" t="s">
        <v>459</v>
      </c>
      <c r="D528" s="899">
        <v>1</v>
      </c>
      <c r="F528" s="925" t="s">
        <v>2243</v>
      </c>
      <c r="G528" s="240" t="str">
        <f>IF(AND(Demographic="Persons with Developmental Disabilities",C528="Yes"),DS_Min_Units_PDD_1,IF(AND(Demographic="Persons with a Disabling Condition",C529="Yes"),DS_Min_Units_PDC_1,IF(AND(County="Monroe",C530="Yes"),DS_Min_Units_Keys_1,IF(AND(County="Miami-Dade",C531="Yes",MD_N_S=F427),DS_Min_Units_No_MiamiDade_1,IF(AND(County="Miami-Dade",C532="Yes",MD_N_S=F428),DS_Min_Units_So_MiamiDade_1,IF(AND(County="Pinellas",C533="Yes"),DS_Min_Units_Pinellas_1,IF(AND(OR(County="Broward",County="Duval",County="Hillsborough",County="Orange",County="Palm Beach"),C534="Yes"),DS_Min_Units_6Large_1,IF(AND(Non_Competitive_HC_Request_Amount&gt;0,C535="Yes"),DS_Min_Units_Bonds_1,IF(AND(Development_Category="New Construction",C536="Yes"),DS_Min_Units_NC_1,IF(AND(OR(Development_Category="Rehabilitation",Development_Category="Acquisition and Rehabilitation"),C537="Yes"),DS_Min_Units_AR_1,IF(AND(County_Size="Small",C538="Yes"),DS_Min_Units_General_Small_1,IF(AND(County_Size="Medium",C539="Yes"),DS_Min_Units_General_Medium_1,IF(AND(County_Size="Large",C540="Yes"),DS_Min_Units_General_Large_1,IF(C541="Yes",DS_Min_Units_Default_1,"TBD"))))))))))))))</f>
        <v>TBD</v>
      </c>
      <c r="H528" s="2181">
        <f>IF(AND(Demographic="Persons with Developmental Disabilities",L528="Yes"),DS_Min_Units_PDD_2,IF(AND(Demographic="Persons with a Disabling Condition",L529="Yes"),DS_Min_Units_PDC_2,IF(AND(County="Monroe",L530="Yes"),DS_Min_Units_Keys_2,IF(AND(County="Miami-Dade",L531="Yes",MD_N_S=F427),DS_Min_Units_No_MiamiDade_2,IF(AND(County="Miami-Dade",L532="Yes",MD_N_S=F428),DS_Min_Units_So_MiamiDade_2,IF(AND(County="Pinellas",L533="Yes"),DS_Min_Units_Pinellas_2,IF(AND(OR(County="Broward",County="Duval",County="Hillsborough",County="Orange",County="Palm Beach"),L534="Yes"),DS_Min_Units_6Large_2,IF(AND(Non_Competitive_HC_Request_Amount&gt;0,L535="Yes"),DS_Min_Units_Bonds_2,IF(AND(Development_Category="New Construction",L536="Yes"),DS_Min_Units_NC_2,IF(AND(OR(Development_Category="Rehabilitation",Development_Category="Acquisition and Rehabilitation"),L537="Yes"),DS_Min_Units_AR_2,IF(AND(County_Size="Small",L538="Yes"),DS_Min_Units_General_Small_2,IF(AND(County_Size="Medium",L539="Yes"),DS_Min_Units_General_Medium_2,IF(AND(County_Size="Large",L540="Yes"),DS_Min_Units_General_Large_2,IF(L541="Yes",DS_Min_Units_Default_2,"TBD"))))))))))))))</f>
        <v>50</v>
      </c>
      <c r="K528" s="2183">
        <v>30</v>
      </c>
      <c r="L528" s="1287" t="s">
        <v>459</v>
      </c>
      <c r="M528" s="2181">
        <v>1</v>
      </c>
    </row>
    <row r="529" spans="1:13">
      <c r="A529" t="s">
        <v>460</v>
      </c>
      <c r="B529" s="953">
        <v>30</v>
      </c>
      <c r="C529" s="898" t="s">
        <v>459</v>
      </c>
      <c r="D529" s="899">
        <v>2</v>
      </c>
      <c r="E529" s="925"/>
      <c r="F529" s="1653" t="s">
        <v>2245</v>
      </c>
      <c r="G529" s="1655" t="str">
        <f>IF(AND(Demographic="Persons with Developmental Disabilities",C542="Yes"),DS_MaxUnits_PDD_1,IF(AND(Demographic="Persons with a Disabling Condition",C543="Yes"),DS_MaxUnits_PDC_1,IF(AND(Development_Category="New Construction",Demographic="Elderly ALF",C544="Yes"),DS_MaxUnits_NC_ALF_1,IF(AND(Development_Category&lt;&gt;"New Construction",Demographic="Elderly ALF",C545="Yes"),DS_MaxUnits_NotNC_ALF_1,IF(AND(Development_Category="New Construction",Demographic="Family",OR(N(MMRB_Request_Amount)&gt;0,N(Non_Competitive_HC_Request_Amount)&gt;0),C546="Yes"),DS_MaxUnits_NC_F_MMRB_1,IF(AND(OR(Development_Category="Rehabilitation",Development_Category="Acquisition and Rehabilitation"),Demographic="Elderly Non-ALF",OR(occupancy_status="Existing Units are currently occupied",occupancy_status="Existing Units are at least 75% occupied currently"),C547="Yes"),DS_MaxUnits_E_OccRehab_1,IF(AND(Development_Category="New Construction",Demographic="Elderly Non-ALF",C548="Yes"),DS_MaxUnits_E_NonOccRehab_1,IF(AND(AND(OR(Development_Category="Rehabilitation",Development_Category="Acquisition and Rehabilitation"),Development_SubCategory="Preservation (w/ or w/o Acquisition)"),OR(Demographic="Family",Demographic="Elderly Non-ALF",Demographic="Persons with a Disability"),C549="Yes"),DS_MaxUnits_Pres_1,IF(AND(Development_Category="New Construction",Demographic="Elderly Non-ALF",OR(County="Broward",County="Miami-Dade"),C550="Yes"),DS_MaxUnits_NC_E_BMD_1,IF(AND(Development_Category="New Construction",Demographic="Elderly Non-ALF",AND(County&lt;&gt;"Broward",County&lt;&gt;"Miami-Dade"),C551="Yes"),DS_MaxUnits_NC_E_NonBMD_1,IF(AND(Demographic="Family",C552="Yes"),DS_MaxUnits_Fam_1,IF(AND(Development_Category="New Construction",C553="Yes"),DS_MaxUnits_NC_1,IF(AND(OR(Development_Category="Rehabilitation",Development_Category="Acquisition and Rehabilitation"),C554="Yes"),DS_MaxUnits_AR_1,IF(AND(County_Size="Small",C555="Yes"),DS_MaxUnits_General_Small_1,IF(AND(County_Size="Medium",C556="Yes"),DS_MaxUnits_General_Medium_1,IF(AND(County_Size="Large",C557="Yes"),DS_MaxUnits_General_Large_1,IF(C558="Yes",DS_MaxUnits_Default_1,IF(County="&lt;select one&gt;","TBD","No Limit"))))))))))))))))))</f>
        <v>TBD</v>
      </c>
      <c r="H529" s="2186" t="str" cm="1">
        <f t="array" ref="H529">IF(AND(Demographic="Persons with Developmental Disabilities",L542="Yes"),DS_MaxUnits_PDD_2,IF(AND(Demographic="Persons with a Disabling Condition",L543="Yes"),DS_MaxUnits_PDC_2,IF(AND(Development_Category="New Construction",Demographic="Elderly ALF",L544="Yes"),DS_MaxUnits_NC_ALF_2,IF(AND(Development_Category&lt;&gt;"New Construction",Demographic="Elderly ALF",L545="Yes"),DS_MaxUnits_NotNC_ALF_2,IF(AND(Development_Category="New Construction",Demographic="Family",OR(N(MMRB_Request_Amount)&gt;0,N(Non_Competitive_HC_Request_Amount)&gt;0),L546="Yes"),DS_MaxUnits_NC_F_MMRB_2,IF(AND(OR(Development_Category="Rehabilitation",Development_Category="Acquisition and Rehabilitation"),Demographic="Elderly Non-ALF",OR(occupancy_status="Existing Units are currently occupied",occupancy_status="Existing Units are at least 75% occupied currently"),L547="Yes"),DS_MaxUnits_E_OccRehab_2,IF(AND(Development_Category="New Construction",Demographic="Elderly Non-ALF",L548="Yes"),DS_MaxUnits_E_NonOccRehab_2,IF(AND(AND(OR(Development_Category="Rehabilitation",Development_Category="Acquisition and Rehabilitation"),Development_SubCategory="Preservation (w/ or w/o Acquisition)"),OR(Demographic="Family",Demographic="Elderly Non-ALF",Demographic="Persons with a Disability"),L549="Yes"),DS_MaxUnits_Pres_2,IF(AND(Development_Category="New Construction",Demographic="Elderly Non-ALF",OR(County="Broward",County="Miami-Dade"),L550="Yes"),DS_MaxUnits_NC_E_BMD_2,IF(AND(Development_Category="New Construction",Demographic="Elderly Non-ALF",AND(County&lt;&gt;"Broward",County&lt;&gt;"Miami-Dade"),L551="Yes"),DS_MaxUnits_NC_E_NonBMD_2,IF(AND(Demographic="Family",L552="Yes"),DS_MaxUnits_Fam_2,IF(AND(Development_Category="New Construction",L553="Yes"),DS_MaxUnits_NC_2,IF(AND(OR(Development_Category="Rehabilitation",Development_Category="Acquisition and Rehabilitation"),L554="Yes"),DS_MaxUnits_AR_2,IF(AND(County_Size="Small",L555="Yes"),DS_MaxUnits_General_Small_2,IF(AND(County_Size="Medium",L556="Yes"),DS_MaxUnits_General_Medium_2,IF(AND(County_Size="Large",L557="Yes"),DS_MaxUnits_General_Large_2,IF(L558="Yes",DS_MaxUnits_Default_2,IF(County="&lt;select one&gt;","TBD","No Limit"))))))))))))))))))</f>
        <v>No Limit</v>
      </c>
      <c r="K529" s="2183">
        <v>30</v>
      </c>
      <c r="L529" s="1287" t="s">
        <v>459</v>
      </c>
      <c r="M529" s="2181">
        <v>2</v>
      </c>
    </row>
    <row r="530" spans="1:13">
      <c r="A530" t="s">
        <v>461</v>
      </c>
      <c r="B530" s="248">
        <v>20</v>
      </c>
      <c r="C530" s="531" t="s">
        <v>459</v>
      </c>
      <c r="D530" s="899">
        <v>2</v>
      </c>
      <c r="E530" s="925"/>
      <c r="F530" s="1654" t="s">
        <v>2244</v>
      </c>
      <c r="G530" s="1656" t="str">
        <f>IF(LDA_Notice&lt;&gt;"LDA",G529,IF(G529="No Limit",250,MIN(250,N(G529))))</f>
        <v>TBD</v>
      </c>
      <c r="H530" s="2181" t="str">
        <f>IF(LDA_Notice&lt;&gt;"LDA",H529,IF(H529="No Limit",250,MIN(250,N(H529))))</f>
        <v>No Limit</v>
      </c>
      <c r="K530" s="248">
        <v>20</v>
      </c>
      <c r="L530" s="531" t="s">
        <v>459</v>
      </c>
      <c r="M530" s="2181">
        <v>2</v>
      </c>
    </row>
    <row r="531" spans="1:13">
      <c r="A531" t="s">
        <v>462</v>
      </c>
      <c r="B531" s="248">
        <v>75</v>
      </c>
      <c r="C531" s="909" t="s">
        <v>459</v>
      </c>
      <c r="D531" s="899">
        <v>3</v>
      </c>
      <c r="F531" t="s">
        <v>386</v>
      </c>
      <c r="G531" t="s">
        <v>2246</v>
      </c>
      <c r="K531" s="248">
        <v>75</v>
      </c>
      <c r="L531" s="909" t="s">
        <v>459</v>
      </c>
      <c r="M531" s="2181">
        <v>3</v>
      </c>
    </row>
    <row r="532" spans="1:13">
      <c r="A532" t="s">
        <v>463</v>
      </c>
      <c r="B532" s="953">
        <v>110</v>
      </c>
      <c r="C532" s="1379" t="str">
        <f>C531</f>
        <v>No</v>
      </c>
      <c r="D532" s="899">
        <v>4</v>
      </c>
      <c r="F532" t="s">
        <v>387</v>
      </c>
      <c r="K532" s="2183">
        <v>110</v>
      </c>
      <c r="L532" s="1379" t="str">
        <f>L531</f>
        <v>No</v>
      </c>
      <c r="M532" s="2181">
        <v>4</v>
      </c>
    </row>
    <row r="533" spans="1:13">
      <c r="A533" t="s">
        <v>464</v>
      </c>
      <c r="B533" s="953">
        <v>50</v>
      </c>
      <c r="C533" s="909" t="s">
        <v>459</v>
      </c>
      <c r="D533" s="899">
        <v>5</v>
      </c>
      <c r="F533" s="2201" t="s">
        <v>2569</v>
      </c>
      <c r="G533" s="2210">
        <f>IF(Minimum_SetAside_per_Sec_42="&lt;select one&gt;",0,IF(OR(Minimum_SetAside_per_Sec_42=DS_IRS_2050,Minimum_SetAside_per_Sec_42=DS_IRS_4060),total_HC_units_NonAIT,total_HC_units_AIT))</f>
        <v>0</v>
      </c>
      <c r="K533" s="2183">
        <v>50</v>
      </c>
      <c r="L533" s="909" t="s">
        <v>459</v>
      </c>
      <c r="M533" s="2181">
        <v>5</v>
      </c>
    </row>
    <row r="534" spans="1:13">
      <c r="A534" t="s">
        <v>465</v>
      </c>
      <c r="B534" s="953">
        <v>75</v>
      </c>
      <c r="C534" s="909" t="s">
        <v>459</v>
      </c>
      <c r="D534" s="899">
        <v>6</v>
      </c>
      <c r="F534" s="2340" t="s">
        <v>2674</v>
      </c>
      <c r="G534" s="2345" t="s">
        <v>2671</v>
      </c>
      <c r="H534" s="2656" t="s">
        <v>2673</v>
      </c>
      <c r="I534" s="244" t="s">
        <v>2671</v>
      </c>
      <c r="K534" s="2183">
        <v>75</v>
      </c>
      <c r="L534" s="909" t="s">
        <v>459</v>
      </c>
      <c r="M534" s="2181">
        <v>6</v>
      </c>
    </row>
    <row r="535" spans="1:13">
      <c r="A535" t="s">
        <v>2505</v>
      </c>
      <c r="B535" s="2051">
        <v>50</v>
      </c>
      <c r="C535" s="909" t="s">
        <v>459</v>
      </c>
      <c r="D535" s="2042">
        <v>7</v>
      </c>
      <c r="F535" s="2340" t="s">
        <v>2675</v>
      </c>
      <c r="G535" s="2344" t="s">
        <v>2671</v>
      </c>
      <c r="H535" s="2656"/>
      <c r="I535" s="244" t="s">
        <v>2672</v>
      </c>
      <c r="K535" s="2183">
        <v>50</v>
      </c>
      <c r="L535" s="909" t="s">
        <v>459</v>
      </c>
      <c r="M535" s="2181">
        <v>7</v>
      </c>
    </row>
    <row r="536" spans="1:13">
      <c r="A536" t="s">
        <v>2029</v>
      </c>
      <c r="B536" s="953">
        <f>MAX(50,N(Affordable_Units_of_Occupied)+IF(Link_Classification=Data1!$A$15,1,0))</f>
        <v>50</v>
      </c>
      <c r="C536" s="1287" t="s">
        <v>459</v>
      </c>
      <c r="D536" s="2042">
        <v>8</v>
      </c>
      <c r="K536" s="2183">
        <f>MAX(50,N(Affordable_Units_of_Occupied)+IF(Link_Classification&lt;&gt;Data1!$A$15,1,0))</f>
        <v>50</v>
      </c>
      <c r="L536" s="1287" t="s">
        <v>301</v>
      </c>
      <c r="M536" s="2181">
        <v>8</v>
      </c>
    </row>
    <row r="537" spans="1:13" ht="16.5">
      <c r="A537" t="s">
        <v>1788</v>
      </c>
      <c r="B537" s="2103" t="s">
        <v>1790</v>
      </c>
      <c r="C537" s="898" t="s">
        <v>459</v>
      </c>
      <c r="D537" s="899">
        <v>9</v>
      </c>
      <c r="K537" s="2103" t="s">
        <v>1790</v>
      </c>
      <c r="L537" s="1287" t="s">
        <v>459</v>
      </c>
      <c r="M537" s="2181">
        <v>9</v>
      </c>
    </row>
    <row r="538" spans="1:13">
      <c r="A538" t="s">
        <v>466</v>
      </c>
      <c r="B538" s="1520">
        <v>30</v>
      </c>
      <c r="C538" s="898" t="s">
        <v>459</v>
      </c>
      <c r="D538" s="899">
        <v>10</v>
      </c>
      <c r="F538" t="s">
        <v>2774</v>
      </c>
      <c r="K538" s="2183">
        <v>30</v>
      </c>
      <c r="L538" s="1287" t="s">
        <v>459</v>
      </c>
      <c r="M538" s="2181">
        <v>10</v>
      </c>
    </row>
    <row r="539" spans="1:13">
      <c r="A539" t="s">
        <v>467</v>
      </c>
      <c r="B539" s="1520">
        <v>30</v>
      </c>
      <c r="C539" s="909" t="s">
        <v>301</v>
      </c>
      <c r="D539" s="899">
        <v>11</v>
      </c>
      <c r="F539" s="1"/>
      <c r="K539" s="2183">
        <v>30</v>
      </c>
      <c r="L539" s="909" t="s">
        <v>459</v>
      </c>
      <c r="M539" s="2181">
        <v>11</v>
      </c>
    </row>
    <row r="540" spans="1:13">
      <c r="A540" s="1314" t="s">
        <v>468</v>
      </c>
      <c r="B540" s="1520">
        <v>50</v>
      </c>
      <c r="C540" s="909" t="s">
        <v>301</v>
      </c>
      <c r="D540" s="1668">
        <v>12</v>
      </c>
      <c r="E540" s="1314"/>
      <c r="F540" s="1314"/>
      <c r="G540" s="1314"/>
      <c r="H540" s="1314"/>
      <c r="K540" s="2183">
        <v>50</v>
      </c>
      <c r="L540" s="909" t="s">
        <v>459</v>
      </c>
      <c r="M540" s="1668">
        <v>12</v>
      </c>
    </row>
    <row r="541" spans="1:13">
      <c r="A541" s="505" t="s">
        <v>2523</v>
      </c>
      <c r="B541" s="2094">
        <v>50</v>
      </c>
      <c r="C541" s="909" t="s">
        <v>459</v>
      </c>
      <c r="D541" s="402">
        <v>13</v>
      </c>
      <c r="E541" s="505"/>
      <c r="F541" s="505"/>
      <c r="G541" s="505"/>
      <c r="H541" s="505"/>
      <c r="K541" s="2183">
        <v>50</v>
      </c>
      <c r="L541" s="909" t="s">
        <v>459</v>
      </c>
      <c r="M541" s="402">
        <v>13</v>
      </c>
    </row>
    <row r="542" spans="1:13">
      <c r="A542" t="s">
        <v>469</v>
      </c>
      <c r="B542" s="953">
        <v>60</v>
      </c>
      <c r="C542" s="898" t="s">
        <v>459</v>
      </c>
      <c r="D542" s="899">
        <v>1</v>
      </c>
      <c r="K542" s="2183">
        <v>60</v>
      </c>
      <c r="L542" s="1287" t="s">
        <v>459</v>
      </c>
      <c r="M542" s="2181">
        <v>1</v>
      </c>
    </row>
    <row r="543" spans="1:13">
      <c r="A543" t="s">
        <v>470</v>
      </c>
      <c r="B543" s="953" t="s">
        <v>471</v>
      </c>
      <c r="C543" s="898" t="s">
        <v>459</v>
      </c>
      <c r="D543" s="899">
        <v>2</v>
      </c>
      <c r="F543" t="s">
        <v>21</v>
      </c>
      <c r="K543" s="2183" t="s">
        <v>471</v>
      </c>
      <c r="L543" s="1287" t="s">
        <v>459</v>
      </c>
      <c r="M543" s="2181">
        <v>2</v>
      </c>
    </row>
    <row r="544" spans="1:13">
      <c r="A544" t="s">
        <v>472</v>
      </c>
      <c r="B544" s="1520">
        <v>125</v>
      </c>
      <c r="C544" s="909" t="s">
        <v>459</v>
      </c>
      <c r="D544" s="899">
        <v>3</v>
      </c>
      <c r="E544" s="899">
        <v>5</v>
      </c>
      <c r="F544" t="s">
        <v>473</v>
      </c>
      <c r="G544" t="s">
        <v>68</v>
      </c>
      <c r="K544" s="2183">
        <v>125</v>
      </c>
      <c r="L544" s="909" t="s">
        <v>459</v>
      </c>
      <c r="M544" s="2181">
        <v>3</v>
      </c>
    </row>
    <row r="545" spans="1:13">
      <c r="A545" t="s">
        <v>474</v>
      </c>
      <c r="B545" s="1520">
        <v>125</v>
      </c>
      <c r="C545" s="909" t="s">
        <v>459</v>
      </c>
      <c r="D545" s="899">
        <v>4</v>
      </c>
      <c r="E545" s="899">
        <v>6</v>
      </c>
      <c r="F545" t="s">
        <v>475</v>
      </c>
      <c r="G545" t="s">
        <v>68</v>
      </c>
      <c r="K545" s="2183">
        <v>125</v>
      </c>
      <c r="L545" s="909" t="s">
        <v>459</v>
      </c>
      <c r="M545" s="2181">
        <v>4</v>
      </c>
    </row>
    <row r="546" spans="1:13">
      <c r="A546" t="s">
        <v>476</v>
      </c>
      <c r="B546" s="1520">
        <v>300</v>
      </c>
      <c r="C546" s="909" t="s">
        <v>459</v>
      </c>
      <c r="D546" s="899">
        <v>5</v>
      </c>
      <c r="E546" s="899">
        <v>7</v>
      </c>
      <c r="F546" t="s">
        <v>473</v>
      </c>
      <c r="G546" t="s">
        <v>62</v>
      </c>
      <c r="K546" s="2183">
        <v>300</v>
      </c>
      <c r="L546" s="909" t="s">
        <v>459</v>
      </c>
      <c r="M546" s="2181">
        <v>5</v>
      </c>
    </row>
    <row r="547" spans="1:13">
      <c r="A547" t="s">
        <v>2024</v>
      </c>
      <c r="B547" s="1520" t="s">
        <v>471</v>
      </c>
      <c r="C547" s="909" t="s">
        <v>459</v>
      </c>
      <c r="D547" s="899">
        <v>6</v>
      </c>
      <c r="E547" s="899">
        <v>9</v>
      </c>
      <c r="F547" t="s">
        <v>2023</v>
      </c>
      <c r="K547" s="2183" t="s">
        <v>471</v>
      </c>
      <c r="L547" s="909" t="s">
        <v>459</v>
      </c>
      <c r="M547" s="2181">
        <v>6</v>
      </c>
    </row>
    <row r="548" spans="1:13">
      <c r="A548" t="s">
        <v>2026</v>
      </c>
      <c r="B548" s="1520">
        <f>IF(OR(County="Miami-Dade",County="Broward"),200,160)</f>
        <v>160</v>
      </c>
      <c r="C548" s="909" t="s">
        <v>459</v>
      </c>
      <c r="D548" s="899">
        <v>7</v>
      </c>
      <c r="E548" s="899">
        <v>10</v>
      </c>
      <c r="F548" t="s">
        <v>2025</v>
      </c>
      <c r="G548" s="1" t="s">
        <v>2555</v>
      </c>
      <c r="K548" s="2183">
        <f>IF(OR(County="Miami-Dade",County="Broward"),200,160)</f>
        <v>160</v>
      </c>
      <c r="L548" s="909" t="s">
        <v>459</v>
      </c>
      <c r="M548" s="2181">
        <v>7</v>
      </c>
    </row>
    <row r="549" spans="1:13">
      <c r="A549" t="s">
        <v>477</v>
      </c>
      <c r="B549" s="953">
        <v>250</v>
      </c>
      <c r="C549" s="909" t="s">
        <v>459</v>
      </c>
      <c r="D549" s="899">
        <v>8</v>
      </c>
      <c r="E549" s="899">
        <v>8</v>
      </c>
      <c r="F549" t="s">
        <v>478</v>
      </c>
      <c r="G549" t="s">
        <v>479</v>
      </c>
      <c r="K549" s="2183">
        <v>250</v>
      </c>
      <c r="L549" s="909" t="s">
        <v>459</v>
      </c>
      <c r="M549" s="2181">
        <v>8</v>
      </c>
    </row>
    <row r="550" spans="1:13">
      <c r="A550" t="s">
        <v>480</v>
      </c>
      <c r="B550" s="1520">
        <v>200</v>
      </c>
      <c r="C550" s="909" t="s">
        <v>459</v>
      </c>
      <c r="D550" s="899">
        <v>9</v>
      </c>
      <c r="E550" s="899">
        <v>3</v>
      </c>
      <c r="F550" t="s">
        <v>473</v>
      </c>
      <c r="G550" t="s">
        <v>65</v>
      </c>
      <c r="K550" s="2183">
        <v>200</v>
      </c>
      <c r="L550" s="909" t="s">
        <v>459</v>
      </c>
      <c r="M550" s="2181">
        <v>9</v>
      </c>
    </row>
    <row r="551" spans="1:13">
      <c r="A551" t="s">
        <v>481</v>
      </c>
      <c r="B551" s="1520">
        <v>160</v>
      </c>
      <c r="C551" s="909" t="s">
        <v>459</v>
      </c>
      <c r="D551" s="899">
        <v>10</v>
      </c>
      <c r="E551" s="899">
        <v>4</v>
      </c>
      <c r="F551" t="s">
        <v>473</v>
      </c>
      <c r="G551" t="s">
        <v>65</v>
      </c>
      <c r="K551" s="2183">
        <v>160</v>
      </c>
      <c r="L551" s="909" t="s">
        <v>459</v>
      </c>
      <c r="M551" s="2181">
        <v>10</v>
      </c>
    </row>
    <row r="552" spans="1:13">
      <c r="A552" t="s">
        <v>482</v>
      </c>
      <c r="B552" s="1520" t="s">
        <v>471</v>
      </c>
      <c r="C552" s="909" t="s">
        <v>459</v>
      </c>
      <c r="D552" s="899">
        <v>11</v>
      </c>
      <c r="K552" s="2183" t="s">
        <v>471</v>
      </c>
      <c r="L552" s="909" t="s">
        <v>459</v>
      </c>
      <c r="M552" s="2181">
        <v>11</v>
      </c>
    </row>
    <row r="553" spans="1:13">
      <c r="A553" s="1329" t="s">
        <v>2028</v>
      </c>
      <c r="B553" s="2119">
        <v>100</v>
      </c>
      <c r="C553" s="898" t="s">
        <v>459</v>
      </c>
      <c r="D553" s="899">
        <v>12</v>
      </c>
      <c r="K553" s="2183" t="s">
        <v>471</v>
      </c>
      <c r="L553" s="1287" t="s">
        <v>301</v>
      </c>
      <c r="M553" s="2181">
        <v>12</v>
      </c>
    </row>
    <row r="554" spans="1:13">
      <c r="A554" t="s">
        <v>1789</v>
      </c>
      <c r="B554" s="953" t="s">
        <v>471</v>
      </c>
      <c r="C554" s="898" t="s">
        <v>459</v>
      </c>
      <c r="D554" s="899">
        <v>13</v>
      </c>
      <c r="K554" s="2183" t="s">
        <v>471</v>
      </c>
      <c r="L554" s="1287" t="s">
        <v>459</v>
      </c>
      <c r="M554" s="2181">
        <v>13</v>
      </c>
    </row>
    <row r="555" spans="1:13">
      <c r="A555" t="s">
        <v>483</v>
      </c>
      <c r="B555" s="953">
        <v>120</v>
      </c>
      <c r="C555" s="898" t="s">
        <v>459</v>
      </c>
      <c r="D555" s="899">
        <v>14</v>
      </c>
      <c r="K555" s="2183">
        <v>120</v>
      </c>
      <c r="L555" s="1287" t="s">
        <v>459</v>
      </c>
      <c r="M555" s="2181">
        <v>14</v>
      </c>
    </row>
    <row r="556" spans="1:13">
      <c r="A556" t="s">
        <v>484</v>
      </c>
      <c r="B556" s="2529" t="s">
        <v>471</v>
      </c>
      <c r="C556" s="909" t="s">
        <v>301</v>
      </c>
      <c r="D556" s="899">
        <v>15</v>
      </c>
      <c r="K556" s="2183">
        <v>250</v>
      </c>
      <c r="L556" s="909" t="s">
        <v>459</v>
      </c>
      <c r="M556" s="2181">
        <v>15</v>
      </c>
    </row>
    <row r="557" spans="1:13">
      <c r="A557" t="s">
        <v>485</v>
      </c>
      <c r="B557" s="2529" t="s">
        <v>471</v>
      </c>
      <c r="C557" s="909" t="s">
        <v>301</v>
      </c>
      <c r="D557" s="2085">
        <v>16</v>
      </c>
      <c r="K557" s="2183">
        <v>250</v>
      </c>
      <c r="L557" s="909" t="s">
        <v>459</v>
      </c>
      <c r="M557" s="2181">
        <v>16</v>
      </c>
    </row>
    <row r="558" spans="1:13">
      <c r="A558" s="2530" t="s">
        <v>2523</v>
      </c>
      <c r="B558" s="2094">
        <v>250</v>
      </c>
      <c r="C558" s="1287" t="s">
        <v>459</v>
      </c>
      <c r="D558" s="402">
        <v>17</v>
      </c>
      <c r="E558" s="505"/>
      <c r="F558" s="505"/>
      <c r="G558" s="505"/>
      <c r="H558" s="505"/>
      <c r="K558" s="2183">
        <v>250</v>
      </c>
      <c r="L558" s="1287" t="s">
        <v>459</v>
      </c>
      <c r="M558" s="402">
        <v>17</v>
      </c>
    </row>
    <row r="560" spans="1:13" ht="18" customHeight="1">
      <c r="A560" s="571" t="s">
        <v>486</v>
      </c>
      <c r="B560" s="572" t="s">
        <v>55</v>
      </c>
      <c r="C560" s="572" t="s">
        <v>56</v>
      </c>
      <c r="D560" s="572" t="s">
        <v>57</v>
      </c>
      <c r="E560" s="516" t="s">
        <v>487</v>
      </c>
      <c r="F560" s="63" t="s">
        <v>59</v>
      </c>
    </row>
    <row r="561" spans="1:15">
      <c r="A561" s="59" t="str">
        <f>"Existing Units are "&amp;IF(B$565="No","currently occupied","at least 75% occupied currently")</f>
        <v>Existing Units are currently occupied</v>
      </c>
      <c r="B561" s="57">
        <v>1</v>
      </c>
      <c r="C561" s="60">
        <f>IF(B561&lt;&gt;1,"",SUM(B$561:B561))</f>
        <v>1</v>
      </c>
      <c r="D561" s="57">
        <v>1</v>
      </c>
      <c r="F561" s="84" t="str">
        <f>IF(COUNTA($A$561:$A561)&lt;=MAX(DS_Occ_Sequence)=TRUE,LOOKUP(COUNTA($A$561:$A561),DS_Occ_Sequence,DS_Occ_DataNames),"")</f>
        <v>Existing Units are currently occupied</v>
      </c>
    </row>
    <row r="562" spans="1:15">
      <c r="A562" s="59" t="str">
        <f>"Existing Units are not "&amp;IF(B$565="No","currently occupied","at least 75% occupied currently")</f>
        <v>Existing Units are not currently occupied</v>
      </c>
      <c r="B562" s="57">
        <v>1</v>
      </c>
      <c r="C562" s="60">
        <f>IF(B562&lt;&gt;1,"",SUM(B$561:B562))</f>
        <v>2</v>
      </c>
      <c r="D562" s="57">
        <v>2</v>
      </c>
      <c r="F562" s="84" t="str">
        <f>IF(COUNTA($A$561:$A562)&lt;=MAX(DS_Occ_Sequence)=TRUE,LOOKUP(COUNTA($A$561:$A562),DS_Occ_Sequence,DS_Occ_DataNames),"")</f>
        <v>Existing Units are not currently occupied</v>
      </c>
    </row>
    <row r="563" spans="1:15">
      <c r="A563" s="59" t="s">
        <v>488</v>
      </c>
      <c r="B563" s="57">
        <v>1</v>
      </c>
      <c r="C563" s="60">
        <f>IF(B563&lt;&gt;1,"",SUM(B$561:B563))</f>
        <v>3</v>
      </c>
      <c r="D563" s="57">
        <v>3</v>
      </c>
      <c r="F563" s="84" t="str">
        <f>IF(COUNTA($A$561:$A563)&lt;=MAX(DS_Occ_Sequence)=TRUE,LOOKUP(COUNTA($A$561:$A563),DS_Occ_Sequence,DS_Occ_DataNames),"")</f>
        <v>There are no existing units</v>
      </c>
    </row>
    <row r="564" spans="1:15" ht="5.0999999999999996" customHeight="1">
      <c r="A564" s="6"/>
      <c r="B564" s="51"/>
      <c r="C564" s="899"/>
      <c r="D564" s="51"/>
    </row>
    <row r="565" spans="1:15">
      <c r="A565" s="6" t="s">
        <v>489</v>
      </c>
      <c r="B565" s="898" t="s">
        <v>459</v>
      </c>
      <c r="C565" s="899"/>
      <c r="D565" s="51"/>
    </row>
    <row r="567" spans="1:15">
      <c r="A567" s="571" t="s">
        <v>2796</v>
      </c>
      <c r="B567" s="572" t="s">
        <v>55</v>
      </c>
      <c r="C567" s="572" t="s">
        <v>56</v>
      </c>
      <c r="D567" s="572" t="s">
        <v>57</v>
      </c>
      <c r="E567" s="516" t="s">
        <v>2525</v>
      </c>
      <c r="F567" s="63" t="s">
        <v>59</v>
      </c>
    </row>
    <row r="568" spans="1:15">
      <c r="A568" s="59" t="s">
        <v>1792</v>
      </c>
      <c r="B568" s="2098">
        <v>1</v>
      </c>
      <c r="C568" s="60">
        <v>1</v>
      </c>
      <c r="D568" s="2098">
        <v>1</v>
      </c>
      <c r="F568" s="84" t="str">
        <f>IF(COUNTA($A$568:$A568)&lt;=MAX(DS_FF_Sequence)=TRUE,LOOKUP(COUNTA($A$568:$A568),DS_FF_Sequence,DS_FF_DataNames),"")</f>
        <v>40% Demographic Set-Aside Commitment</v>
      </c>
    </row>
    <row r="569" spans="1:15">
      <c r="A569" s="59" t="s">
        <v>1793</v>
      </c>
      <c r="B569" s="2098">
        <v>1</v>
      </c>
      <c r="C569" s="60">
        <v>2</v>
      </c>
      <c r="D569" s="2098">
        <v>2</v>
      </c>
      <c r="F569" s="84" t="str">
        <f>IF(COUNTA($A$568:$A569)&lt;=MAX(DS_FF_Sequence)=TRUE,LOOKUP(COUNTA($A$568:$A569),DS_FF_Sequence,DS_FF_DataNames),"")</f>
        <v>80% Demographic Set-Aside Commitment</v>
      </c>
    </row>
    <row r="571" spans="1:15" ht="18" customHeight="1">
      <c r="A571" s="571" t="s">
        <v>490</v>
      </c>
      <c r="B571" s="572" t="s">
        <v>55</v>
      </c>
      <c r="C571" s="572" t="s">
        <v>56</v>
      </c>
      <c r="D571" s="572" t="s">
        <v>57</v>
      </c>
      <c r="E571" s="516" t="s">
        <v>491</v>
      </c>
      <c r="F571" s="63" t="s">
        <v>59</v>
      </c>
    </row>
    <row r="572" spans="1:15">
      <c r="A572" s="59" t="s">
        <v>492</v>
      </c>
      <c r="B572" s="57">
        <v>1</v>
      </c>
      <c r="C572" s="60">
        <f>IF(B572&lt;&gt;1,"",SUM(B$572:B572))</f>
        <v>1</v>
      </c>
      <c r="D572" s="57">
        <v>1</v>
      </c>
      <c r="F572" s="84" t="str">
        <f>IF(COUNTA($A$572:$A572)&lt;=MAX(DS_MinIRS_Sequence)=TRUE,LOOKUP(COUNTA($A$572:$A572),DS_MinIRS_Sequence,DS_MinIRS_DataNames),"")</f>
        <v>20% of units at 50% of Area Median Income (AMI) or lower</v>
      </c>
      <c r="M572" s="268"/>
      <c r="N572" s="268"/>
      <c r="O572" s="268"/>
    </row>
    <row r="573" spans="1:15">
      <c r="A573" s="59" t="s">
        <v>493</v>
      </c>
      <c r="B573" s="57">
        <v>1</v>
      </c>
      <c r="C573" s="60">
        <f>IF(B573&lt;&gt;1,"",SUM(B$572:B573))</f>
        <v>2</v>
      </c>
      <c r="D573" s="57">
        <v>2</v>
      </c>
      <c r="F573" s="84" t="str">
        <f>IF(COUNTA($A$572:$A573)&lt;=MAX(DS_MinIRS_Sequence)=TRUE,LOOKUP(COUNTA($A$572:$A573),DS_MinIRS_Sequence,DS_MinIRS_DataNames),"")</f>
        <v>40% of units at 60% of Area Median Income (AMI) or lower</v>
      </c>
      <c r="M573" s="268"/>
      <c r="N573" s="268"/>
      <c r="O573" s="268"/>
    </row>
    <row r="574" spans="1:15">
      <c r="A574" s="59" t="s">
        <v>494</v>
      </c>
      <c r="B574" s="57">
        <v>1</v>
      </c>
      <c r="C574" s="60">
        <f>IF(B574&lt;&gt;1,"",SUM(B$572:B574))</f>
        <v>3</v>
      </c>
      <c r="D574" s="57">
        <v>3</v>
      </c>
      <c r="F574" s="84" t="str">
        <f>IF(COUNTA($A$572:$A574)&lt;=MAX(DS_MinIRS_Sequence)=TRUE,LOOKUP(COUNTA($A$572:$A574),DS_MinIRS_Sequence,DS_MinIRS_DataNames),"")</f>
        <v>Average Income Test</v>
      </c>
      <c r="M574" s="268"/>
      <c r="N574" s="268"/>
      <c r="O574" s="268"/>
    </row>
    <row r="575" spans="1:15">
      <c r="A575" s="64" t="str">
        <f>DS_Loan_Name&amp;" only (no HC)"</f>
        <v>Live Local SAIL only (no HC)</v>
      </c>
      <c r="B575" s="57">
        <v>0</v>
      </c>
      <c r="C575" s="60" t="str">
        <f>IF(B575&lt;&gt;1,"",SUM(B$572:B575))</f>
        <v/>
      </c>
      <c r="D575" s="57">
        <v>4</v>
      </c>
      <c r="F575" s="84" t="str">
        <f>IF(COUNTA($A$572:$A575)&lt;=MAX(DS_MinIRS_Sequence)=TRUE,LOOKUP(COUNTA($A$572:$A575),DS_MinIRS_Sequence,DS_MinIRS_DataNames),"")</f>
        <v/>
      </c>
      <c r="G575" t="s">
        <v>2855</v>
      </c>
      <c r="M575" s="268"/>
      <c r="N575" s="268"/>
      <c r="O575" s="268"/>
    </row>
    <row r="576" spans="1:15">
      <c r="I576" s="268"/>
      <c r="J576" s="268"/>
      <c r="K576" s="268"/>
      <c r="L576" s="268"/>
      <c r="M576" s="268"/>
      <c r="N576" s="268"/>
      <c r="O576" s="268"/>
    </row>
    <row r="577" spans="1:21" ht="18" customHeight="1">
      <c r="A577" s="571" t="s">
        <v>495</v>
      </c>
      <c r="B577" s="6"/>
      <c r="C577" s="567" t="s">
        <v>455</v>
      </c>
      <c r="D577" s="6"/>
      <c r="E577" s="516" t="s">
        <v>496</v>
      </c>
      <c r="F577" s="1329"/>
      <c r="G577" s="111" t="s">
        <v>497</v>
      </c>
      <c r="H577" s="111" t="s">
        <v>498</v>
      </c>
      <c r="I577" s="111" t="s">
        <v>499</v>
      </c>
      <c r="J577" s="111" t="s">
        <v>500</v>
      </c>
    </row>
    <row r="578" spans="1:21">
      <c r="A578" s="1426" t="s">
        <v>2728</v>
      </c>
      <c r="B578" s="1473">
        <v>0.8</v>
      </c>
      <c r="C578" s="1450" t="s">
        <v>301</v>
      </c>
      <c r="D578" s="6" t="str">
        <f>TEXT(B578,"0%")&amp;" of Total Units "&amp;IF(C578="No","is not applicable","["&amp;TEXT(ROUNDUP(Total_Units*B578,0),"0")&amp;" units] (maximum of "&amp;TEXT(1-B578,"0%")&amp;" Market Rate ["&amp;TEXT(Total_Units-ROUNDUP(Total_Units*B578,0),"0")&amp;" units])")</f>
        <v>80% of Total Units [0 units] (maximum of 20% Market Rate [0 units])</v>
      </c>
      <c r="E578" s="271"/>
      <c r="F578" s="271"/>
      <c r="G578" s="1756">
        <f>IF(OR(Minimum_SetAside_per_Sec_42=DS_IRS_2050,Minimum_SetAside_per_Sec_42=DS_IRS_4060,Minimum_SetAside_per_Sec_42=DS_FHFC_NonHC),SUM('Units, Set-Asides, Bldgs'!G$52:G$60)+IF('Units, Set-Asides, Bldgs'!P$74&lt;&gt;1,Workforce_AMI_80_NonAIT+IF('Units, Set-Asides, Bldgs'!P62=1,Workforce_AMI_90_NonAIT,0)+IF('Units, Set-Asides, Bldgs'!P63=1,Workforce_AMI_100_NonAIT,0)+IF('Units, Set-Asides, Bldgs'!P64=1,Workforce_AMI_110_NonAIT,0)+IF('Units, Set-Asides, Bldgs'!P65=1,Workforce_AMI_120_NonAIT,0),0)-IF(Minimum_SetAside_per_Sec_42=DS_IRS_2050,'Units, Set-Asides, Bldgs'!G$60,0),IF(Minimum_SetAside_per_Sec_42=DS_IRS_AIT,SUM('Units, Set-Asides, Bldgs'!G$79:G$85)+IF('Units, Set-Asides, Bldgs'!P$74&lt;&gt;1,'Units, Set-Asides, Bldgs'!G$86+IF('Units, Set-Asides, Bldgs'!P$87&gt;0,'Units, Set-Asides, Bldgs'!G$87,0)+IF('Units, Set-Asides, Bldgs'!P$88&gt;0,'Units, Set-Asides, Bldgs'!G$88,0)+IF('Units, Set-Asides, Bldgs'!P$89&gt;0,'Units, Set-Asides, Bldgs'!G$89,0)+IF('Units, Set-Asides, Bldgs'!P$90&gt;0,'Units, Set-Asides, Bldgs'!G$90,0),0),0))</f>
        <v>0</v>
      </c>
      <c r="H578" s="385" t="str">
        <f>IF(Minimum_SetAside_per_Sec_42=DS_IRS_AIT,IF(C578="Yes",IF(Data1!J578&gt;=Data1!I578,"Yes","No"),"NA"),IF(C578="Yes",IF(G578&gt;=B578,"Yes","No"),"NA"))</f>
        <v>No</v>
      </c>
      <c r="I578" s="2407">
        <f>IF(C578="Yes",ROUNDUP(B578*Total_Units,0),"NA")</f>
        <v>0</v>
      </c>
      <c r="J578" s="1754">
        <f>total_HC_units_AIT+IF('Units, Set-Asides, Bldgs'!P74&lt;&gt;1,Workforce_80_AIT_Units+IF('Units, Set-Asides, Bldgs'!P87&gt;0,Workforce_90_AIT_Units,0)+IF('Units, Set-Asides, Bldgs'!P88&gt;0,Workforce_100_AIT_Units,0)+IF('Units, Set-Asides, Bldgs'!P89&gt;0,Workforce_110_AIT_Units,0)+IF('Units, Set-Asides, Bldgs'!P90&gt;0,Workforce_120_AIT_Units,0),0)</f>
        <v>0</v>
      </c>
    </row>
    <row r="579" spans="1:21">
      <c r="A579" s="511" t="s">
        <v>2434</v>
      </c>
      <c r="B579" s="573">
        <v>75</v>
      </c>
      <c r="C579" s="898" t="s">
        <v>459</v>
      </c>
      <c r="D579" s="395" t="s">
        <v>501</v>
      </c>
      <c r="E579" s="511"/>
      <c r="F579" s="511"/>
      <c r="G579" s="1755">
        <f>IF(Minimum_SetAside_per_Sec_42=DS_IRS_2050,SUM('Units, Set-Asides, Bldgs'!F52:F59)+IF('Units, Set-Asides, Bldgs'!P$74&lt;&gt;1,'Units, Set-Asides, Bldgs'!F61+IF('Units, Set-Asides, Bldgs'!P62=1,'Units, Set-Asides, Bldgs'!F62,0)+IF('Units, Set-Asides, Bldgs'!P63=1,'Units, Set-Asides, Bldgs'!F63,0)+IF('Units, Set-Asides, Bldgs'!P64=1,'Units, Set-Asides, Bldgs'!F64,0)+IF('Units, Set-Asides, Bldgs'!P65=1,'Units, Set-Asides, Bldgs'!F65,0),0),IF(Minimum_SetAside_per_Sec_42=DS_IRS_4060,SUM('Units, Set-Asides, Bldgs'!F$52:F$60)+IF('Units, Set-Asides, Bldgs'!P$74&lt;&gt;1,'Units, Set-Asides, Bldgs'!F61+IF('Units, Set-Asides, Bldgs'!P62&gt;0,'Units, Set-Asides, Bldgs'!F62,0)+IF('Units, Set-Asides, Bldgs'!P63&gt;0,'Units, Set-Asides, Bldgs'!F63,0)+IF('Units, Set-Asides, Bldgs'!P64&gt;0,'Units, Set-Asides, Bldgs'!F64,0)+IF('Units, Set-Asides, Bldgs'!P65&gt;0,'Units, Set-Asides, Bldgs'!F65,0),0),IF(Minimum_SetAside_per_Sec_42=DS_IRS_AIT,SUM('Units, Set-Asides, Bldgs'!F$79:F$85)+IF('Units, Set-Asides, Bldgs'!P$74&lt;&gt;1,Workforce_80_AIT_Units+IF('Units, Set-Asides, Bldgs'!P87=1,Workforce_90_AIT_Units,0)+IF('Units, Set-Asides, Bldgs'!P88=1,Workforce_100_AIT_Units,0)+IF('Units, Set-Asides, Bldgs'!P89=1,Workforce_110_AIT_Units,0)+IF('Units, Set-Asides, Bldgs'!P90=1,Workforce_120_AIT_Units,0),0),IF(Minimum_SetAside_per_Sec_42=DS_FHFC_NonHC,SUM('Units, Set-Asides, Bldgs'!F$52:F$60)+IF('Units, Set-Asides, Bldgs'!P$74&lt;&gt;1,'Units, Set-Asides, Bldgs'!F61+IF('Units, Set-Asides, Bldgs'!P62=1,'Units, Set-Asides, Bldgs'!F62,0)+IF('Units, Set-Asides, Bldgs'!P63&gt;0,'Units, Set-Asides, Bldgs'!F63,0)+IF('Units, Set-Asides, Bldgs'!P64=1,'Units, Set-Asides, Bldgs'!F64,0)+IF('Units, Set-Asides, Bldgs'!P65&gt;0,'Units, Set-Asides, Bldgs'!F65,0),0),0))))</f>
        <v>0</v>
      </c>
      <c r="H579" s="570" t="str">
        <f>IF(C579="Yes",IF(Data1!G579&gt;=Data1!B579,"Yes","No"),"NA")</f>
        <v>NA</v>
      </c>
      <c r="I579" s="570"/>
      <c r="J579" s="819"/>
      <c r="U579" s="106"/>
    </row>
    <row r="580" spans="1:21">
      <c r="U580" s="106"/>
    </row>
    <row r="581" spans="1:21" ht="20.100000000000001" customHeight="1">
      <c r="A581" s="2515" t="s">
        <v>2839</v>
      </c>
      <c r="E581" s="342"/>
      <c r="F581" s="1329"/>
      <c r="G581" s="111" t="s">
        <v>497</v>
      </c>
      <c r="H581" s="111" t="s">
        <v>498</v>
      </c>
      <c r="I581" s="111" t="s">
        <v>499</v>
      </c>
      <c r="J581" s="111" t="s">
        <v>500</v>
      </c>
      <c r="U581" s="106"/>
    </row>
    <row r="582" spans="1:21" ht="14.45" customHeight="1">
      <c r="A582" s="276" t="s">
        <v>2729</v>
      </c>
      <c r="B582" s="369">
        <f>IF(Minimum_SetAside_per_Sec_42=DS_IRS_2050,20%,40%)</f>
        <v>0.4</v>
      </c>
      <c r="C582" s="276" t="str">
        <f>"of Total Units ["&amp;TEXT(ROUNDUP(Total_Units*B582,0),"0")&amp;" units] (maximum of "&amp;TEXT(1-B582,"0%")&amp;" Market Rate ["&amp;TEXT(Total_Units-ROUNDUP(Total_Units*B582,0),"0")&amp;" units])"</f>
        <v>of Total Units [0 units] (maximum of 60% Market Rate [0 units])</v>
      </c>
      <c r="D582" s="271"/>
      <c r="E582" s="271"/>
      <c r="F582" s="271"/>
      <c r="G582" s="380">
        <f>IF(Minimum_SetAside_per_Sec_42=DS_IRS_2050,SUM('Units, Set-Asides, Bldgs'!G$52:G$59),IF(Minimum_SetAside_per_Sec_42=DS_IRS_4060,SUM('Units, Set-Asides, Bldgs'!G$52:G$60),IF(Minimum_SetAside_per_Sec_42=DS_IRS_AIT,AIT_HC_SA_Percent,0)))</f>
        <v>0</v>
      </c>
      <c r="H582" s="385" t="str">
        <f>IF(Minimum_SetAside_per_Sec_42=DS_IRS_AIT,IF(Data1!J582&gt;=Data1!I582,"Yes","No"),IF(OR(Minimum_SetAside_per_Sec_42=DS_IRS_2050,Minimum_SetAside_per_Sec_42=DS_IRS_4060),IF(G582&gt;=B582,"Yes","No"),"NA"))</f>
        <v>NA</v>
      </c>
      <c r="I582" s="2407">
        <f>ROUNDUP(B582*Total_Units,0)</f>
        <v>0</v>
      </c>
      <c r="J582" s="385">
        <f>IF(OR(Minimum_SetAside_per_Sec_42="Average Income Test",AND(OR(RIGHT(Excel_RFA_Number,3)="214",RIGHT(Excel_RFA_Number,3)="215",RIGHT(Excel_RFA_Number,3)="216"),Minimum_SetAside_per_Sec_42=DS_FHFC_NonHC)),total_HC_units_AIT,0)</f>
        <v>0</v>
      </c>
      <c r="U582" s="106"/>
    </row>
    <row r="583" spans="1:21">
      <c r="A583" s="276" t="str">
        <f>"Minimum HC Set-Aside: "&amp;IF('Units, Set-Asides, Bldgs'!P74=0,"Workforce",IF('Units, Set-Asides, Bldgs'!P74=2,"Live Local",IF('Units, Set-Asides, Bldgs'!P74=3,"Live Local SAIL","NA here")))&amp;" ("&amp;IF(B585="Yes","","Not")&amp;" limited to =&lt;60% AMI)"</f>
        <v>Minimum HC Set-Aside: Live Local SAIL (Not limited to =&lt;60% AMI)</v>
      </c>
      <c r="B583" s="1538">
        <f>IF(Minimum_SetAside_per_Sec_42=DS_IRS_2050,20%,40%)+D583</f>
        <v>0.4</v>
      </c>
      <c r="C583" s="1806" t="s">
        <v>2361</v>
      </c>
      <c r="D583" s="368">
        <v>0</v>
      </c>
      <c r="E583" s="497" t="str">
        <f>"(Automated to be "&amp;TEXT(D583,"0%")&amp;" higher than minimum IRS set-aside)"</f>
        <v>(Automated to be 0% higher than minimum IRS set-aside)</v>
      </c>
      <c r="F583" s="478"/>
      <c r="G583" s="380">
        <f>IF(Minimum_SetAside_per_Sec_42=DS_IRS_2050,SUM('Units, Set-Asides, Bldgs'!G$52:G$59),IF(Minimum_SetAside_per_Sec_42=DS_IRS_4060,SUM('Units, Set-Asides, Bldgs'!G$52:G$60),IF(Minimum_SetAside_per_Sec_42="Average Income Test",total_HC_units_AIT-IF(B585="No",IF(AND(Minimum_SetAside_per_Sec_42&lt;&gt;"Average Income Test",Minimum_SetAside_per_Sec_42&lt;&gt;DS_FHFC_NonHC),0,'Units, Set-Asides, Bldgs'!G84+'Units, Set-Asides, Bldgs'!G85),0),0)))</f>
        <v>0</v>
      </c>
      <c r="H583" s="479" t="str">
        <f>IF(OR(Minimum_SetAside_per_Sec_42=DS_IRS_2050,Minimum_SetAside_per_Sec_42=DS_IRS_4060),IF(G583&gt;=B583,"Yes","No"),IF(Minimum_SetAside_per_Sec_42=DS_IRS_AIT,IF(J583&gt;=I583,"Yes","No"),"NA"))</f>
        <v>NA</v>
      </c>
      <c r="I583" s="2407">
        <f>ROUNDUP(Data1!B583*Total_Units,0)</f>
        <v>0</v>
      </c>
      <c r="J583" s="385">
        <f>IF(OR(Minimum_SetAside_per_Sec_42="Average Income Test",AND(OR(RIGHT(Excel_RFA_Number,3)="214",RIGHT(Excel_RFA_Number,3)="215",RIGHT(Excel_RFA_Number,3)="216"),Minimum_SetAside_per_Sec_42=DS_FHFC_NonHC)),total_HC_units_AIT-IF(B585="No",IF(AND(Minimum_SetAside_per_Sec_42&lt;&gt;"Average Income Test",Minimum_SetAside_per_Sec_42&lt;&gt;DS_FHFC_NonHC),0,'Units, Set-Asides, Bldgs'!G84+'Units, Set-Asides, Bldgs'!G85),0),0)</f>
        <v>0</v>
      </c>
      <c r="U583" s="106"/>
    </row>
    <row r="584" spans="1:21">
      <c r="A584" s="277" t="str">
        <f>"Maximum HC Set-Aside: "&amp;IF('Units, Set-Asides, Bldgs'!P74=0,"Workforce",IF('Units, Set-Asides, Bldgs'!P74=2,"Live Local",IF('Units, Set-Asides, Bldgs'!P74=3,"Live Local SAIL","NA here")))&amp;" ("&amp;IF(B585="Yes","","Not")&amp;" limited to =&lt;60% AMI)"</f>
        <v>Maximum HC Set-Aside: Live Local SAIL (Not limited to =&lt;60% AMI)</v>
      </c>
      <c r="B584" s="1538">
        <f>IF(Minimum_SetAside_per_Sec_42=DS_IRS_2050,30%,50%)+D584</f>
        <v>1</v>
      </c>
      <c r="C584" s="478" t="s">
        <v>2361</v>
      </c>
      <c r="D584" s="368">
        <f>IF(Minimum_SetAside_per_Sec_42=DS_IRS_2050,70%,50%)</f>
        <v>0.5</v>
      </c>
      <c r="E584" s="497" t="str">
        <f>"(Automated to be to make maximum at 100%)"</f>
        <v>(Automated to be to make maximum at 100%)</v>
      </c>
      <c r="F584" s="255"/>
      <c r="G584" s="255"/>
      <c r="H584" s="403" t="str">
        <f>IF(OR(Minimum_SetAside_per_Sec_42=DS_IRS_2050,Minimum_SetAside_per_Sec_42=DS_IRS_4060),IF(G583&lt;=B584,"Yes","No"),IF(Minimum_SetAside_per_Sec_42=DS_IRS_AIT,IF(J583&lt;=I584,"Yes","No"),"NA"))</f>
        <v>NA</v>
      </c>
      <c r="I584" s="2408">
        <f>ROUNDUP(Data1!B584*Total_Units,0)</f>
        <v>0</v>
      </c>
      <c r="J584" s="403"/>
      <c r="U584" s="106"/>
    </row>
    <row r="585" spans="1:21">
      <c r="A585" s="2144" t="str">
        <f>"Are the "&amp;IF('Units, Set-Asides, Bldgs'!P74=0,"Workforce",IF('Units, Set-Asides, Bldgs'!P74=2,"Live Local",IF('Units, Set-Asides, Bldgs'!P74=3,"Live Local SAIL","NA here")))&amp;" HC Set-Aside commitment criteria limited to HC units =&lt; 60% AMI?"</f>
        <v>Are the Live Local SAIL HC Set-Aside commitment criteria limited to HC units =&lt; 60% AMI?</v>
      </c>
      <c r="B585" s="1450" t="s">
        <v>459</v>
      </c>
      <c r="C585" s="511"/>
      <c r="D585" s="511"/>
      <c r="E585" s="511"/>
      <c r="F585" s="511"/>
      <c r="G585" s="511"/>
      <c r="H585" s="570"/>
      <c r="I585" s="570"/>
      <c r="J585" s="570"/>
      <c r="U585" s="106"/>
    </row>
    <row r="586" spans="1:21">
      <c r="A586" s="334" t="s">
        <v>502</v>
      </c>
      <c r="B586" s="1782">
        <v>0.5</v>
      </c>
      <c r="C586" s="511" t="s">
        <v>503</v>
      </c>
      <c r="D586" s="335"/>
      <c r="E586" s="335"/>
      <c r="F586" s="335"/>
      <c r="G586" s="523" t="str">
        <f>IF(Demographic&lt;&gt;"Elderly ALF","NA",IF(OR(Minimum_SetAside_per_Sec_42=DS_IRS_2050,Minimum_SetAside_per_Sec_42=DS_IRS_4060),NonAIT_HC_SA_Percent,IF(Minimum_SetAside_per_Sec_42="Average Income Test",AIT_HC_SA_Percent,0)))</f>
        <v>NA</v>
      </c>
      <c r="H586" s="387" t="str">
        <f>IF(OR(Demographic&lt;&gt;"Elderly ALF",AND(Minimum_SetAside_per_Sec_42&lt;&gt;DS_IRS_2050,Minimum_SetAside_per_Sec_42&lt;&gt;DS_IRS_4060,Minimum_SetAside_per_Sec_42&lt;&gt;"Average Income Test")),"NA",IF(OR(AND(OR(Minimum_SetAside_per_Sec_42=DS_IRS_2050,Minimum_SetAside_per_Sec_42=DS_IRS_4060),NonAIT_HC_SA_Percent&gt;=Data1!B586),AND(Minimum_SetAside_per_Sec_42="Average Income Test",AIT_HC_SA_Percent&gt;=Data1!B586)),"Yes","No"))</f>
        <v>NA</v>
      </c>
      <c r="I586" s="387"/>
      <c r="J586" s="482"/>
      <c r="U586" s="106"/>
    </row>
    <row r="587" spans="1:21">
      <c r="A587" s="2073" t="s">
        <v>504</v>
      </c>
      <c r="B587" s="368">
        <v>0.75</v>
      </c>
      <c r="C587" s="1785" t="s">
        <v>2515</v>
      </c>
      <c r="D587" s="1785"/>
      <c r="E587" s="1785"/>
      <c r="F587" s="255"/>
      <c r="G587" s="480" t="str">
        <f>IF(OR(NonProfit_Applicant&lt;&gt;"Yes",AND(Minimum_SetAside_per_Sec_42&lt;&gt;DS_IRS_2050,Minimum_SetAside_per_Sec_42&lt;&gt;DS_IRS_4060,Minimum_SetAside_per_Sec_42&lt;&gt;"Average Income Test")),"NA",IF(OR(Minimum_SetAside_per_Sec_42=DS_IRS_2050,Minimum_SetAside_per_Sec_42=DS_IRS_4060),NonAIT_HC_SA_Percent,IF(Minimum_SetAside_per_Sec_42="Average Income Test",AIT_HC_SA_Percent,0)))</f>
        <v>NA</v>
      </c>
      <c r="H587" s="522" t="str">
        <f>IF(OR(NonProfit_Applicant&lt;&gt;"Yes",AND(Minimum_SetAside_per_Sec_42&lt;&gt;DS_IRS_2050,Minimum_SetAside_per_Sec_42&lt;&gt;DS_IRS_4060,Minimum_SetAside_per_Sec_42&lt;&gt;"Average Income Test")),"NA",IF(OR(AND(OR(Minimum_SetAside_per_Sec_42=DS_IRS_2050,Minimum_SetAside_per_Sec_42=DS_IRS_4060),NonAIT_HC_SA_Percent&gt;=Data1!B587),AND(Minimum_SetAside_per_Sec_42="Average Income Test",AIT_HC_SA_Percent&gt;=Data1!B587)),"Yes","No"))</f>
        <v>NA</v>
      </c>
      <c r="I587" s="403"/>
      <c r="J587" s="481"/>
      <c r="U587" s="106"/>
    </row>
    <row r="588" spans="1:21">
      <c r="A588" s="1822" t="s">
        <v>2735</v>
      </c>
      <c r="B588" s="335"/>
      <c r="C588" s="334"/>
      <c r="D588" s="335"/>
      <c r="E588" s="335"/>
      <c r="F588" s="335"/>
      <c r="G588" s="335"/>
      <c r="H588" s="387" t="str">
        <f>IF(J588&lt;=60%,"Yes","No")</f>
        <v>Yes</v>
      </c>
      <c r="I588" s="529">
        <v>0.6</v>
      </c>
      <c r="J588" s="523">
        <f>IF(OR(Minimum_SetAside_per_Sec_42=DS_IRS_AIT,AND(RIGHT(Excel_RFA_Number,3)="214",Minimum_SetAside_per_Sec_42=DS_FHFC_NonHC)),avg_AMI_HC_Units_in_AIT_chart,0)</f>
        <v>0</v>
      </c>
      <c r="U588" s="106"/>
    </row>
    <row r="589" spans="1:21">
      <c r="A589" s="268"/>
      <c r="C589" s="6"/>
      <c r="H589" s="899"/>
      <c r="I589" s="527"/>
      <c r="J589" s="528"/>
      <c r="U589" s="106"/>
    </row>
    <row r="590" spans="1:21" ht="20.100000000000001" customHeight="1">
      <c r="A590" s="2515" t="s">
        <v>2730</v>
      </c>
      <c r="F590" s="1329"/>
      <c r="G590" s="673" t="s">
        <v>497</v>
      </c>
      <c r="H590" s="675" t="s">
        <v>498</v>
      </c>
      <c r="U590" s="106"/>
    </row>
    <row r="591" spans="1:21">
      <c r="A591" s="271" t="s">
        <v>505</v>
      </c>
      <c r="B591" s="2639" t="s">
        <v>2731</v>
      </c>
      <c r="C591" s="2639"/>
      <c r="D591" s="2639"/>
      <c r="E591" s="2514" t="s">
        <v>506</v>
      </c>
      <c r="F591" s="805"/>
      <c r="G591" s="1825"/>
      <c r="H591" s="1812"/>
      <c r="I591" s="385"/>
      <c r="J591" s="483"/>
      <c r="U591" s="106"/>
    </row>
    <row r="592" spans="1:21">
      <c r="A592" s="370" t="s">
        <v>507</v>
      </c>
      <c r="B592" s="371">
        <v>0.8</v>
      </c>
      <c r="C592" s="382" t="str">
        <f>"of Total Units ["&amp;TEXT(ROUNDUP(Total_Units*B592,0),"0")&amp;" units] (max. of "&amp;TEXT(1-B592,"0%")&amp;" Market Rate ["&amp;TEXT(Total_Units-ROUNDUP(Total_Units*B592,0),"0")&amp;" units])"&amp;IF('Units, Set-Asides, Bldgs'!P74&lt;&gt;1,", Set-asides include "&amp;IF('Units, Set-Asides, Bldgs'!P74=0,"Workforce","Live Local")&amp;" @ 80%"&amp;IF('Units, Set-Asides, Bldgs'!P65=1," and 120%","")&amp;" AMI","")</f>
        <v>of Total Units [0 units] (max. of 20% Market Rate [0 units]), Set-asides include Live Local @ 80% AMI</v>
      </c>
      <c r="D592" s="370"/>
      <c r="E592" s="370"/>
      <c r="F592" s="370"/>
      <c r="G592" s="1826">
        <f>IF(Minimum_SetAside_per_Sec_42=DS_FHFC_NonHC,total_HC_units_NonAIT+AIT_HC_SA_Percent+IF('Units, Set-Asides, Bldgs'!P74&lt;&gt;1,Workforce_AMI_80_NonAIT+IF(AND(B593&gt;=100%,'Units, Set-Asides, Bldgs'!P63=1),Workforce_AMI_100_NonAIT,0)+IF(AND(B593&gt;=120%,'Units, Set-Asides, Bldgs'!P65=1),Workforce_AMI_120_NonAIT,0),0),0)</f>
        <v>0</v>
      </c>
      <c r="H592" s="1827" t="str">
        <f>IF(G592&gt;=B592,"Yes","No")</f>
        <v>No</v>
      </c>
      <c r="I592" s="1823"/>
      <c r="J592" s="1824"/>
      <c r="U592" s="106"/>
    </row>
    <row r="593" spans="1:21">
      <c r="A593" s="335" t="s">
        <v>508</v>
      </c>
      <c r="B593" s="383">
        <f>IF('Units, Set-Asides, Bldgs'!P74&lt;&gt;1,80%,60%)</f>
        <v>0.8</v>
      </c>
      <c r="C593" s="334" t="s">
        <v>509</v>
      </c>
      <c r="D593" s="335"/>
      <c r="E593" s="335"/>
      <c r="F593" s="335"/>
      <c r="G593" s="511"/>
      <c r="H593" s="570"/>
      <c r="I593" s="387"/>
      <c r="J593" s="387"/>
      <c r="U593" s="106"/>
    </row>
    <row r="594" spans="1:21">
      <c r="B594" s="521"/>
      <c r="C594" s="6"/>
      <c r="H594" s="899"/>
      <c r="I594" s="899"/>
      <c r="J594" s="899"/>
      <c r="U594" s="106"/>
    </row>
    <row r="595" spans="1:21" ht="20.100000000000001" customHeight="1">
      <c r="A595" s="2515" t="s">
        <v>510</v>
      </c>
      <c r="B595" s="521"/>
      <c r="C595" s="6"/>
      <c r="H595" s="899"/>
      <c r="I595" s="899"/>
      <c r="J595" s="899"/>
      <c r="U595" s="106"/>
    </row>
    <row r="596" spans="1:21">
      <c r="A596" s="462" t="s">
        <v>511</v>
      </c>
      <c r="B596" s="898" t="s">
        <v>301</v>
      </c>
      <c r="C596" s="1345" t="str">
        <f>"  (indicated as "&amp;DS_Gap_Name&amp;")"</f>
        <v xml:space="preserve">  (indicated as SAIL)</v>
      </c>
      <c r="E596" s="1329"/>
      <c r="G596" s="899"/>
      <c r="H596" s="899"/>
      <c r="I596" s="899"/>
      <c r="J596" s="899"/>
      <c r="U596" s="106"/>
    </row>
    <row r="597" spans="1:21">
      <c r="A597" s="1353" t="s">
        <v>512</v>
      </c>
      <c r="B597" s="2639" t="s">
        <v>137</v>
      </c>
      <c r="C597" s="2639"/>
      <c r="D597" s="2639"/>
      <c r="E597" s="271"/>
      <c r="F597" s="271"/>
      <c r="G597" s="271"/>
      <c r="H597" s="385"/>
      <c r="I597" s="385"/>
      <c r="J597" s="385"/>
      <c r="U597" s="106"/>
    </row>
    <row r="598" spans="1:21">
      <c r="A598" s="463" t="s">
        <v>513</v>
      </c>
      <c r="B598" s="1538">
        <f>IF(Minimum_SetAside_per_Sec_42="Average Income Test",80%,IF(Minimum_SetAside_per_Sec_42=A572,50%,60%))</f>
        <v>0.6</v>
      </c>
      <c r="C598" s="898" t="s">
        <v>301</v>
      </c>
      <c r="D598" s="271"/>
      <c r="E598" s="271"/>
      <c r="F598" s="271"/>
      <c r="G598" s="1808"/>
      <c r="H598" s="1668"/>
      <c r="I598" s="385"/>
      <c r="J598" s="385"/>
    </row>
    <row r="599" spans="1:21">
      <c r="A599" s="1813" t="s">
        <v>514</v>
      </c>
      <c r="B599" s="910">
        <v>0.8</v>
      </c>
      <c r="C599" s="255" t="s">
        <v>2313</v>
      </c>
      <c r="D599" s="255"/>
      <c r="E599" s="255"/>
      <c r="F599" s="255"/>
      <c r="G599" s="2637" t="str">
        <f>"Actual in §4.A.6.(c)(2)("&amp;'Units, Set-Asides, Bldgs'!C117&amp;")"</f>
        <v>Actual in §4.A.6.(c)(2)(c)</v>
      </c>
      <c r="H599" s="2641" t="s">
        <v>2359</v>
      </c>
      <c r="I599" s="403"/>
      <c r="J599" s="403"/>
    </row>
    <row r="600" spans="1:21">
      <c r="A600" s="1813" t="s">
        <v>515</v>
      </c>
      <c r="B600" s="836" t="str">
        <f>IF(AND(C598="Yes",Minimum_SetAside_per_Sec_42="Average Income Test"),IF(SUM('Units, Set-Asides, Bldgs'!G120:G130)=0,0,SUMPRODUCT('Units, Set-Asides, Bldgs'!G120:G130,'Units, Set-Asides, Bldgs'!I120:I130)/SUM('Units, Set-Asides, Bldgs'!G120:G130)),"NA")</f>
        <v>NA</v>
      </c>
      <c r="C600" s="255"/>
      <c r="D600" s="255"/>
      <c r="E600" s="255"/>
      <c r="F600" s="255"/>
      <c r="G600" s="2638"/>
      <c r="H600" s="2680"/>
      <c r="I600" s="403"/>
      <c r="J600" s="403"/>
    </row>
    <row r="601" spans="1:21">
      <c r="A601" s="1785" t="s">
        <v>1836</v>
      </c>
      <c r="B601" s="368">
        <f>DS_HC_Min_SA_Perc</f>
        <v>0.8</v>
      </c>
      <c r="C601" s="834" t="s">
        <v>516</v>
      </c>
      <c r="D601" s="834"/>
      <c r="E601" s="255"/>
      <c r="F601" s="255"/>
      <c r="G601" s="1809">
        <f>SUM('Units, Set-Asides, Bldgs'!G120:G128)</f>
        <v>0</v>
      </c>
      <c r="H601" s="1812" t="str">
        <f>IF(AND(G601&gt;0,G601&gt;=B601),"Yes","No")</f>
        <v>No</v>
      </c>
      <c r="I601" s="403"/>
      <c r="J601" s="403"/>
    </row>
    <row r="602" spans="1:21">
      <c r="A602" s="1785" t="s">
        <v>517</v>
      </c>
      <c r="B602" s="368">
        <v>1</v>
      </c>
      <c r="C602" s="277"/>
      <c r="D602" s="255"/>
      <c r="E602" s="255"/>
      <c r="F602" s="255"/>
      <c r="G602" s="1810"/>
      <c r="H602" s="1811" t="str">
        <f>IF(AND(G602&gt;0,G601&lt;=B602),"Yes","No")</f>
        <v>No</v>
      </c>
      <c r="I602" s="403"/>
      <c r="J602" s="403"/>
    </row>
    <row r="603" spans="1:21">
      <c r="A603" s="1425" t="s">
        <v>1837</v>
      </c>
      <c r="B603" s="835">
        <f>B586</f>
        <v>0.5</v>
      </c>
      <c r="C603" s="395"/>
      <c r="D603" s="511"/>
      <c r="E603" s="511"/>
      <c r="F603" s="511"/>
      <c r="G603" s="1314"/>
      <c r="H603" s="1668"/>
      <c r="I603" s="570"/>
      <c r="J603" s="570"/>
      <c r="K603" s="268"/>
      <c r="L603" s="268"/>
      <c r="M603" s="268"/>
      <c r="N603" s="268"/>
      <c r="O603" s="268"/>
    </row>
    <row r="604" spans="1:21">
      <c r="A604" s="1451" t="s">
        <v>1838</v>
      </c>
      <c r="B604" s="1473">
        <v>0.05</v>
      </c>
      <c r="C604" s="465" t="str">
        <f>"of Total Units ["&amp;TEXT(ROUNDUP(Total_Units*B604,0),"0")&amp;" units]"</f>
        <v>of Total Units [0 units]</v>
      </c>
      <c r="D604" s="271"/>
      <c r="E604" s="271"/>
      <c r="F604" s="271" t="s">
        <v>518</v>
      </c>
      <c r="G604" s="1814">
        <f>SUMIF('Units, Set-Asides, Bldgs'!I120:I132,"&lt;="&amp;IFERROR(VLOOKUP(County,DS_CountyData,14),25%),'Units, Set-Asides, Bldgs'!F120:F132)</f>
        <v>0</v>
      </c>
      <c r="H604" s="1815" t="s">
        <v>2336</v>
      </c>
      <c r="I604" s="385"/>
      <c r="J604" s="385"/>
      <c r="K604" s="268"/>
      <c r="L604" s="268"/>
      <c r="M604" s="268"/>
      <c r="N604" s="268"/>
      <c r="O604" s="268"/>
    </row>
    <row r="605" spans="1:21">
      <c r="A605" s="1452" t="s">
        <v>519</v>
      </c>
      <c r="B605" s="368">
        <v>0.45</v>
      </c>
      <c r="C605" s="464" t="str">
        <f>"(i.e., must be below "&amp;TEXT(B605+5%,"0%")&amp;" AMI)"</f>
        <v>(i.e., must be below 50% AMI)</v>
      </c>
      <c r="D605" s="255"/>
      <c r="E605" s="255"/>
      <c r="F605" s="255"/>
      <c r="G605" s="1816">
        <f>SUMIF('Units, Set-Asides, Bldgs'!I120:I132,"&lt;="&amp;IFERROR(VLOOKUP(County,DS_CountyData,14),25%),'Units, Set-Asides, Bldgs'!G120:G132)</f>
        <v>0</v>
      </c>
      <c r="H605" s="1817" t="s">
        <v>2360</v>
      </c>
      <c r="I605" s="403"/>
      <c r="J605" s="403"/>
      <c r="K605" s="268"/>
      <c r="L605" s="268"/>
      <c r="M605" s="268"/>
      <c r="N605" s="268"/>
      <c r="O605" s="268"/>
    </row>
    <row r="606" spans="1:21">
      <c r="A606" s="1453" t="s">
        <v>1839</v>
      </c>
      <c r="B606" s="1504">
        <v>0.05</v>
      </c>
      <c r="C606" s="524" t="str">
        <f>"of Total Units ["&amp;TEXT(ROUNDUP(Total_Units*B606,0),"0")&amp;" units]"</f>
        <v>of Total Units [0 units]</v>
      </c>
      <c r="D606" s="275"/>
      <c r="E606" s="275"/>
      <c r="F606" s="275" t="s">
        <v>520</v>
      </c>
      <c r="G606" s="1818">
        <f>twenty_AMI_AIT_Units+thirty_AMI_AIT_Units</f>
        <v>0</v>
      </c>
      <c r="H606" s="1817" t="s">
        <v>2336</v>
      </c>
      <c r="I606" s="525"/>
      <c r="J606" s="525"/>
      <c r="K606" s="268"/>
      <c r="L606" s="268"/>
      <c r="M606" s="268"/>
      <c r="N606" s="268"/>
      <c r="O606" s="268"/>
    </row>
    <row r="607" spans="1:21">
      <c r="A607" s="1454" t="s">
        <v>521</v>
      </c>
      <c r="B607" s="1503">
        <v>0.45</v>
      </c>
      <c r="C607" s="526" t="str">
        <f>"(i.e., must be below "&amp;TEXT(B607+5%,"0%")&amp;" AMI)"</f>
        <v>(i.e., must be below 50% AMI)</v>
      </c>
      <c r="D607" s="335"/>
      <c r="E607" s="335"/>
      <c r="F607" s="335"/>
      <c r="G607" s="1819">
        <f>'Units, Set-Asides, Bldgs'!G79+'Units, Set-Asides, Bldgs'!G80</f>
        <v>0</v>
      </c>
      <c r="H607" s="1820" t="s">
        <v>2360</v>
      </c>
      <c r="I607" s="387"/>
      <c r="J607" s="387"/>
      <c r="K607" s="268"/>
      <c r="L607" s="268"/>
      <c r="M607" s="268"/>
      <c r="N607" s="268"/>
      <c r="O607" s="268"/>
    </row>
    <row r="608" spans="1:21">
      <c r="A608" s="1329"/>
      <c r="D608" s="24"/>
      <c r="E608" s="24"/>
      <c r="F608" s="24"/>
      <c r="G608" s="567" t="s">
        <v>522</v>
      </c>
      <c r="I608" s="2417"/>
      <c r="J608" s="2417"/>
      <c r="K608" s="268"/>
      <c r="M608" s="2417"/>
    </row>
    <row r="609" spans="1:24">
      <c r="A609" s="1455" t="s">
        <v>523</v>
      </c>
      <c r="B609" s="1505">
        <v>50</v>
      </c>
      <c r="C609" s="382" t="s">
        <v>524</v>
      </c>
      <c r="D609" s="370"/>
      <c r="E609" s="370"/>
      <c r="F609" s="2647" t="s">
        <v>525</v>
      </c>
      <c r="G609" s="2417"/>
      <c r="H609" s="2417"/>
      <c r="I609" s="2417"/>
      <c r="J609" s="2417"/>
      <c r="K609" s="2417"/>
      <c r="L609" s="2417"/>
      <c r="M609" s="2417"/>
    </row>
    <row r="610" spans="1:24">
      <c r="A610" s="1456" t="s">
        <v>526</v>
      </c>
      <c r="B610" s="1506">
        <f>IF(OR(Minimum_SetAside_per_Sec_42=DS_IRS_AIT,Minimum_SetAside_per_Sec_42=DS_FHFC_NonHC),50,15)</f>
        <v>15</v>
      </c>
      <c r="C610" s="334" t="s">
        <v>524</v>
      </c>
      <c r="D610" s="2145" t="s">
        <v>2541</v>
      </c>
      <c r="E610" s="335"/>
      <c r="F610" s="2648"/>
      <c r="G610" s="2417"/>
      <c r="H610" s="2417"/>
      <c r="I610" s="2417"/>
      <c r="J610" s="2417"/>
      <c r="K610" s="2417"/>
      <c r="L610" s="2417"/>
      <c r="M610" s="2417"/>
      <c r="O610" s="2417"/>
    </row>
    <row r="611" spans="1:24">
      <c r="A611" s="1455" t="s">
        <v>527</v>
      </c>
      <c r="B611" s="1505">
        <v>15</v>
      </c>
      <c r="C611" s="382" t="s">
        <v>524</v>
      </c>
      <c r="D611" s="370"/>
      <c r="E611" s="370"/>
      <c r="F611" s="370"/>
      <c r="G611" s="2417"/>
      <c r="H611" s="2417"/>
      <c r="I611" s="2417"/>
      <c r="J611" s="2417"/>
      <c r="K611" s="2417"/>
      <c r="L611" s="2417"/>
      <c r="M611" s="2417"/>
    </row>
    <row r="612" spans="1:24">
      <c r="A612" s="1425" t="s">
        <v>528</v>
      </c>
      <c r="B612" s="1507">
        <v>99</v>
      </c>
      <c r="C612" s="395" t="s">
        <v>524</v>
      </c>
      <c r="D612" s="511"/>
      <c r="E612" s="511"/>
      <c r="F612" s="511"/>
      <c r="G612" s="2417"/>
      <c r="H612" s="2417"/>
      <c r="I612" s="2417"/>
      <c r="J612" s="2417"/>
      <c r="K612" s="2417"/>
      <c r="L612" s="2417"/>
    </row>
    <row r="613" spans="1:24">
      <c r="A613" s="1329"/>
      <c r="D613" s="24"/>
      <c r="E613" s="24"/>
      <c r="F613" s="24"/>
      <c r="G613" s="2657" t="s">
        <v>2788</v>
      </c>
      <c r="H613" s="2631" t="s">
        <v>2797</v>
      </c>
      <c r="I613" s="2627" t="s">
        <v>2786</v>
      </c>
      <c r="J613" s="2628"/>
      <c r="K613" s="2628"/>
      <c r="L613" s="2629" t="s">
        <v>2789</v>
      </c>
      <c r="M613" s="2628" t="s">
        <v>2787</v>
      </c>
      <c r="N613" s="2628"/>
      <c r="O613" s="2736"/>
    </row>
    <row r="614" spans="1:24" ht="18" customHeight="1">
      <c r="A614" s="1427" t="s">
        <v>2785</v>
      </c>
      <c r="D614" s="24"/>
      <c r="E614" s="24"/>
      <c r="F614" s="24"/>
      <c r="G614" s="2657"/>
      <c r="H614" s="2631"/>
      <c r="I614" s="567" t="s">
        <v>2791</v>
      </c>
      <c r="J614" s="567" t="s">
        <v>2793</v>
      </c>
      <c r="K614" s="567" t="s">
        <v>2790</v>
      </c>
      <c r="L614" s="2630"/>
      <c r="M614" s="567" t="s">
        <v>2792</v>
      </c>
      <c r="N614" s="567" t="s">
        <v>2794</v>
      </c>
      <c r="O614" s="567" t="s">
        <v>2795</v>
      </c>
    </row>
    <row r="615" spans="1:24" ht="15" customHeight="1">
      <c r="A615" s="1425" t="str">
        <f>IF(Minimum_SetAside_per_Sec_42="Average Income Test","","Non-")&amp;"AIT "&amp;IF(Self_Sourced_Applicant="Yes","","Non-")&amp;"Self-Sourced ELI Min required in App (Base only)"</f>
        <v>Non-AIT Non-Self-Sourced ELI Min required in App (Base only)</v>
      </c>
      <c r="B615" s="568">
        <f>IF(LDA_Notice="LDA",DS_Min_ELI_LDA,IF(Minimum_SetAside_per_Sec_42="Average Income Test",IF(Self_Sourced_Applicant="Yes",DS_Min_ELI_AIT_SS,DS_Min_ELI_AIT_NSS),IF(Self_Sourced_Applicant="Yes",DS_Min_ELI_NonAIT_SS,DS_Min_ELI_NonAIT_NSS)))</f>
        <v>0.1</v>
      </c>
      <c r="C615" s="2637" t="s">
        <v>2337</v>
      </c>
      <c r="D615" s="2640"/>
      <c r="E615" s="2640"/>
      <c r="F615" s="2641"/>
      <c r="G615" s="1779">
        <f>MAX(IF(OR(Minimum_SetAside_per_Sec_42=DS_IRS_2050,Minimum_SetAside_per_Sec_42=DS_IRS_4060,AND(Minimum_SetAside_per_Sec_42=DS_FHFC_NonHC,B622="Non-AIT")),SUMIF('Units, Set-Asides, Bldgs'!I$52:I$60,"&lt;="&amp;VLOOKUP(County,DS_CountyData,14),'Units, Set-Asides, Bldgs'!G$52:G$60),IF(OR(Minimum_SetAside_per_Sec_42="Average Income Test",AND(Minimum_SetAside_per_Sec_42=DS_FHFC_NonHC,B622="AIT")),SUM('Units, Set-Asides, Bldgs'!G$79:G$80),0)),IF(AND('Units, Set-Asides, Bldgs'!P$117=1,Minimum_SetAside_per_Sec_42=DS_FHFC_NonHC,B622="Gap"),SUMIF('Units, Set-Asides, Bldgs'!I$120:I$128,"&lt;="&amp;VLOOKUP(County,DS_CountyData,14),'Units, Set-Asides, Bldgs'!G$120:G$128),0))</f>
        <v>0</v>
      </c>
      <c r="H615" s="2459" t="str">
        <f>IF(OR(Minimum_SetAside_per_Sec_42=DS_IRS_2050,Minimum_SetAside_per_Sec_42=DS_IRS_4060,AND(Minimum_SetAside_per_Sec_42=DS_FHFC_NonHC,B622="Non-AIT")),IF(I615&gt;=B615,"Yes","No"),IF(OR(Minimum_SetAside_per_Sec_42=DS_IRS_AIT,AND(Minimum_SetAside_per_Sec_42=DS_FHFC_NonHC,B622="AIT")),IF(N615&gt;=L615,"Yes","No"),IF(AND(Minimum_SetAside_per_Sec_42=DS_FHFC_NonHC,B622="Gap"),IF(K615&gt;=B615,"Yes","No"),"??")))</f>
        <v>??</v>
      </c>
      <c r="I615" s="1779">
        <f>IF(AND(OR(RIGHT(Excel_RFA_Number,3)="214",RIGHT(Excel_RFA_Number,3)="215",RIGHT(Excel_RFA_Number,3)="216"),AND(Minimum_SetAside_per_Sec_42=DS_FHFC_NonHC,B622="Non-AIT")),0,IF(OR(Minimum_SetAside_per_Sec_42=DS_IRS_2050,Minimum_SetAside_per_Sec_42=DS_IRS_4060,AND(Minimum_SetAside_per_Sec_42=DS_FHFC_NonHC,B622="Non-AIT")),SUMIF('Units, Set-Asides, Bldgs'!I$52:I$60,"&lt;="&amp;VLOOKUP(County,DS_CountyData,14),IF(OR(DS_ELI_UnitLimit&lt;&gt;"Yes",'Units, Set-Asides, Bldgs'!D52=""),'Units, Set-Asides, Bldgs'!G$52:G$60,'Units, Set-Asides, Bldgs'!K$52:K$60)),0))</f>
        <v>0</v>
      </c>
      <c r="J615" s="1779">
        <f>IF(OR(Minimum_SetAside_per_Sec_42="Average Income Test",AND(Minimum_SetAside_per_Sec_42=DS_FHFC_NonHC,B622="AIT")),'Units, Set-Asides, Bldgs'!G79+'Units, Set-Asides, Bldgs'!G80,0)</f>
        <v>0</v>
      </c>
      <c r="K615" s="1779">
        <f>IF(AND('Units, Set-Asides, Bldgs'!P$117=1,Minimum_SetAside_per_Sec_42=DS_FHFC_NonHC,B622="Gap"),SUMIF('Units, Set-Asides, Bldgs'!I$120:I$128,"&lt;="&amp;VLOOKUP(County,DS_CountyData,14),'Units, Set-Asides, Bldgs'!G$120:G$128),0)</f>
        <v>0</v>
      </c>
      <c r="L615" s="2439">
        <f>ROUNDUP(N(B615)*N(Total_Units),0)</f>
        <v>0</v>
      </c>
      <c r="M615" s="2437">
        <f>IF(OR(Minimum_SetAside_per_Sec_42=DS_IRS_2050,Minimum_SetAside_per_Sec_42=DS_IRS_4060,AND(Minimum_SetAside_per_Sec_42=DS_FHFC_NonHC,B622="Non-AIT")),SUMIF('Units, Set-Asides, Bldgs'!I$52:I$60,"&lt;="&amp;VLOOKUP(County,DS_CountyData,14),'Units, Set-Asides, Bldgs'!F$52:F$60),0)</f>
        <v>0</v>
      </c>
      <c r="N615" s="570">
        <f>IF(OR(Minimum_SetAside_per_Sec_42="Average Income Test",AND(Minimum_SetAside_per_Sec_42=DS_FHFC_NonHC,B622="AIT")),twenty_AMI_AIT_Units+thirty_AMI_AIT_Units,0)</f>
        <v>0</v>
      </c>
      <c r="O615" s="570">
        <f>IF(AND('Units, Set-Asides, Bldgs'!P$117=1,Minimum_SetAside_per_Sec_42=DS_FHFC_NonHC,B622="Gap"),SUMIF('Units, Set-Asides, Bldgs'!I$120:I$128,"&lt;="&amp;VLOOKUP(County,DS_CountyData,14),'Units, Set-Asides, Bldgs'!F$120:F$128),0)</f>
        <v>0</v>
      </c>
      <c r="P615" s="268"/>
    </row>
    <row r="616" spans="1:24">
      <c r="A616" s="1426" t="str">
        <f>IF(Minimum_SetAside_per_Sec_42="Average Income Test","","Non-")&amp;"AIT "&amp;IF(Self_Sourced_Applicant="Yes","","Non-")&amp;"Self-Sourced ELI Max considered in App (Base+Purchased)"</f>
        <v>Non-AIT Non-Self-Sourced ELI Max considered in App (Base+Purchased)</v>
      </c>
      <c r="B616" s="369">
        <f>IF(LDA_Notice="LDA",DS_Min_ELI_LDA,IF(Minimum_SetAside_per_Sec_42="Average Income Test",IF(Self_Sourced_Applicant="Yes",DS_Min_ELI_AIT_SS+IF(B$620&lt;&gt;"Yes",0,DS_Min_ELI_AIT_Buy_SS),DS_Min_ELI_AIT_NSS+IF(B$619&lt;&gt;"Yes",0,DS_Min_ELI_AIT_Buy_NSS)),IF(Self_Sourced_Applicant="Yes",DS_Min_ELI_NonAIT_SS+IF(B$620&lt;&gt;"Yes",0,DS_Min_ELI_NonAIT_Buy_SS),DS_Min_ELI_NonAIT_NSS+IF(Minimum_SetAside_per_Sec_42=DS_FHFC_NonHC,IF(B$621&lt;&gt;"Yes",0,DS_Min_ELI_NonAIT_Buy_NSS),IF(B$619&lt;&gt;"Yes",0,DS_Min_ELI_NonAIT_Buy_NSS)))))</f>
        <v>0.15000000000000002</v>
      </c>
      <c r="C616" s="2642"/>
      <c r="D616" s="2643"/>
      <c r="E616" s="2643"/>
      <c r="F616" s="2644"/>
      <c r="G616" s="566">
        <f>G615</f>
        <v>0</v>
      </c>
      <c r="H616" s="2460" t="str">
        <f>IF(OR(Minimum_SetAside_per_Sec_42=DS_IRS_2050,Minimum_SetAside_per_Sec_42=DS_IRS_4060,AND(Minimum_SetAside_per_Sec_42=DS_FHFC_NonHC,B622="Non-AIT")),IF(I616&gt;=B616,"Yes","No"),IF(OR(Minimum_SetAside_per_Sec_42=DS_IRS_AIT,AND(Minimum_SetAside_per_Sec_42=DS_FHFC_NonHC,B622="AIT")),IF(N616&gt;=L616,"Yes","No"),IF(AND(Minimum_SetAside_per_Sec_42=DS_FHFC_NonHC,B622="Gap"),IF(K616&gt;=B616,"Yes","No"),"??")))</f>
        <v>??</v>
      </c>
      <c r="I616" s="1779">
        <f>I615</f>
        <v>0</v>
      </c>
      <c r="J616" s="1779">
        <f>J615</f>
        <v>0</v>
      </c>
      <c r="K616" s="569">
        <f>K615</f>
        <v>0</v>
      </c>
      <c r="L616" s="1495">
        <f>ROUNDUP(N(B616)*N(Total_Units),0)</f>
        <v>0</v>
      </c>
      <c r="M616" s="2438">
        <f>M615</f>
        <v>0</v>
      </c>
      <c r="N616" s="385">
        <f>N615</f>
        <v>0</v>
      </c>
      <c r="O616" s="385">
        <f>O615</f>
        <v>0</v>
      </c>
      <c r="P616" s="268"/>
    </row>
    <row r="617" spans="1:24">
      <c r="A617" s="1796"/>
      <c r="B617" s="2428"/>
      <c r="C617" s="2416"/>
      <c r="D617" s="2416"/>
      <c r="E617" s="2416"/>
      <c r="F617" s="2599" t="str">
        <f>IF(Minimum_SetAside_per_Sec_42="Average Income Test","","Non-")&amp;"AIT "&amp;"Minimum ELI = Base "&amp;IF(IF(AND('General Information'!K67&gt;0,Self_Sourced_Applicant="Yes"),B620,B619)="Yes","+ Purchased","Only")&amp;":"</f>
        <v>Non-AIT Minimum ELI = Base + Purchased:</v>
      </c>
      <c r="G617" s="2600">
        <f>IF(IF(AND('General Information'!K67&gt;0,Self_Sourced_Applicant="Yes"),B620,B619)="Yes",B616,B615)</f>
        <v>0.15000000000000002</v>
      </c>
      <c r="H617" s="1668"/>
      <c r="I617" s="528"/>
      <c r="J617" s="566"/>
      <c r="K617" s="1668"/>
      <c r="L617" s="1668"/>
      <c r="O617" s="268"/>
    </row>
    <row r="618" spans="1:24" ht="20.100000000000001" customHeight="1">
      <c r="A618" s="2440" t="s">
        <v>2339</v>
      </c>
      <c r="B618" s="6"/>
      <c r="C618" s="6"/>
      <c r="D618" s="6"/>
      <c r="E618" s="516" t="s">
        <v>529</v>
      </c>
      <c r="F618" s="25" t="s">
        <v>530</v>
      </c>
      <c r="G618" s="1314"/>
      <c r="H618" s="2441"/>
      <c r="I618" s="2442"/>
      <c r="J618" s="2442"/>
      <c r="K618" s="2441"/>
      <c r="L618" s="2441"/>
      <c r="M618" s="2443"/>
      <c r="N618" s="2443"/>
      <c r="O618" s="2444"/>
      <c r="P618" s="2443"/>
      <c r="Q618" s="2443"/>
      <c r="R618" s="2443"/>
      <c r="S618" s="2443"/>
    </row>
    <row r="619" spans="1:24">
      <c r="A619" s="2445" t="s">
        <v>2784</v>
      </c>
      <c r="B619" s="2446" t="s">
        <v>301</v>
      </c>
      <c r="C619" s="2447"/>
      <c r="D619" s="1124"/>
      <c r="E619" s="1124"/>
      <c r="F619" s="2448"/>
      <c r="G619" s="2448"/>
      <c r="H619" s="2449"/>
      <c r="I619" s="2450"/>
      <c r="J619" s="2450"/>
      <c r="K619" s="2449"/>
      <c r="L619" s="2449"/>
      <c r="M619" s="2448"/>
      <c r="N619" s="2448"/>
      <c r="O619" s="2451"/>
      <c r="P619" s="2448"/>
      <c r="Q619" s="2448"/>
      <c r="R619" s="2448"/>
      <c r="S619" s="2448"/>
    </row>
    <row r="620" spans="1:24">
      <c r="A620" s="2422" t="s">
        <v>2838</v>
      </c>
      <c r="B620" s="2429" t="s">
        <v>459</v>
      </c>
      <c r="C620" s="2435" t="s">
        <v>2745</v>
      </c>
      <c r="D620" s="2430"/>
      <c r="E620" s="2430"/>
      <c r="F620" s="2430"/>
      <c r="G620" s="2431"/>
      <c r="H620" s="525"/>
      <c r="I620" s="2431"/>
      <c r="J620" s="2431"/>
      <c r="K620" s="525"/>
      <c r="L620" s="525"/>
      <c r="M620" s="275"/>
      <c r="N620" s="275"/>
      <c r="O620" s="2432"/>
      <c r="P620" s="275"/>
      <c r="Q620" s="275"/>
      <c r="R620" s="275"/>
      <c r="S620" s="275"/>
    </row>
    <row r="621" spans="1:24">
      <c r="A621" s="2452" t="str">
        <f>IF(B575=0,"NA since the "&amp;A575&amp;" commitment is not available.","Can the Non-SS "&amp;A575&amp;" commitment have purchased ELI units?")</f>
        <v>NA since the Live Local SAIL only (no HC) commitment is not available.</v>
      </c>
      <c r="B621" s="2453" t="s">
        <v>459</v>
      </c>
      <c r="C621" s="2454" t="str">
        <f>IF(AND(B575=0,B621="Yes"),"Without the "&amp;A575&amp;" option available, the appropriate response is not ""Yes"".","")</f>
        <v/>
      </c>
      <c r="D621" s="386"/>
      <c r="E621" s="386"/>
      <c r="F621" s="386"/>
      <c r="G621" s="2597"/>
      <c r="H621" s="386"/>
      <c r="I621" s="828"/>
      <c r="J621" s="828"/>
      <c r="K621" s="386"/>
      <c r="L621" s="386"/>
      <c r="M621" s="2443"/>
      <c r="N621" s="2443"/>
      <c r="O621" s="2444"/>
      <c r="P621" s="2443"/>
      <c r="Q621" s="2443"/>
      <c r="R621" s="2443"/>
      <c r="S621" s="2443"/>
      <c r="U621" s="2434" t="s">
        <v>2801</v>
      </c>
      <c r="W621" s="531" t="s">
        <v>2362</v>
      </c>
      <c r="X621" s="2476" t="s">
        <v>2802</v>
      </c>
    </row>
    <row r="622" spans="1:24">
      <c r="A622" s="2455" t="str">
        <f>IF(B575=0,"NA since the "&amp;A575&amp;" commitment is not available.","Which table does the Non-SS "&amp;A575&amp;" commitment require?")</f>
        <v>NA since the Live Local SAIL only (no HC) commitment is not available.</v>
      </c>
      <c r="B622" s="2456" t="s">
        <v>2805</v>
      </c>
      <c r="C622" s="2457" t="str">
        <f>IF(AND(B575=0,B621&lt;&gt;"NA"),"Without the "&amp;A575&amp;" option available, the appropriate response needs to be ""NA"".","")</f>
        <v>Without the Live Local SAIL only (no HC) option available, the appropriate response needs to be "NA".</v>
      </c>
      <c r="D622" s="402"/>
      <c r="E622" s="402"/>
      <c r="F622" s="402"/>
      <c r="G622" s="2598"/>
      <c r="H622" s="402"/>
      <c r="I622" s="2458"/>
      <c r="J622" s="2458"/>
      <c r="K622" s="402"/>
      <c r="L622" s="402"/>
      <c r="M622" s="2737" t="s">
        <v>2799</v>
      </c>
      <c r="N622" s="2738"/>
      <c r="O622" s="2738"/>
      <c r="P622" s="2738"/>
      <c r="Q622" s="2738"/>
      <c r="R622" s="2738"/>
      <c r="S622" s="2739"/>
      <c r="U622" s="2697" t="s">
        <v>2803</v>
      </c>
      <c r="V622" s="2740"/>
      <c r="W622" s="2740"/>
      <c r="X622" s="2741"/>
    </row>
    <row r="623" spans="1:24" ht="15" customHeight="1">
      <c r="I623" s="111" t="s">
        <v>531</v>
      </c>
      <c r="J623" s="111" t="s">
        <v>2798</v>
      </c>
      <c r="K623" s="111" t="s">
        <v>532</v>
      </c>
      <c r="L623" s="111" t="s">
        <v>533</v>
      </c>
      <c r="M623" s="2601">
        <v>101</v>
      </c>
      <c r="N623" s="2601">
        <v>201</v>
      </c>
      <c r="O623" s="2601">
        <v>202</v>
      </c>
      <c r="P623" s="2602">
        <v>203</v>
      </c>
      <c r="Q623" s="2602">
        <v>205</v>
      </c>
      <c r="R623" s="111">
        <v>103</v>
      </c>
      <c r="S623" s="111">
        <v>106</v>
      </c>
      <c r="U623" s="1831" t="s">
        <v>2363</v>
      </c>
      <c r="V623" s="1833" t="s">
        <v>113</v>
      </c>
      <c r="W623" s="1832" t="s">
        <v>2362</v>
      </c>
      <c r="X623" s="1834" t="s">
        <v>509</v>
      </c>
    </row>
    <row r="624" spans="1:24">
      <c r="A624" s="2477" t="s">
        <v>1956</v>
      </c>
      <c r="B624" s="368">
        <v>0.1</v>
      </c>
      <c r="C624" s="2479" t="str">
        <f>"of Total Units ["&amp;TEXT(ROUNDUP(Total_Units*B624,0),"0")&amp;" units] at County Level AMI"</f>
        <v>of Total Units [0 units] at County Level AMI</v>
      </c>
      <c r="D624" s="2479"/>
      <c r="E624" s="2479"/>
      <c r="F624" s="2480" t="s">
        <v>2070</v>
      </c>
      <c r="G624" s="255" t="s">
        <v>534</v>
      </c>
      <c r="H624" s="255"/>
      <c r="I624" s="1933">
        <f>IF(Self_Sourced_Applicant&lt;&gt;"Yes",IF(AND(Minimum_SetAside_per_Sec_42=A$575,B$622&lt;&gt;"Non-AIT"),SUMIF('Units, Set-Asides, Bldgs'!$I$120:$I$128,"&lt;="&amp;VLOOKUP(County,DS_CountyData,14),'Units, Set-Asides, Bldgs'!G$120:G$128),SUMIF('Units, Set-Asides, Bldgs'!$I$52:$I$60,"&lt;="&amp;VLOOKUP(County,DS_CountyData,14),'Units, Set-Asides, Bldgs'!G$52:G$60)),0)</f>
        <v>0</v>
      </c>
      <c r="J624" s="479" t="str">
        <f>IF(Self_Sourced_Applicant&lt;&gt;"Yes",IF(I624&gt;=DS_Min_ELI_NonAIT_NSS,"Yes","No"),"NA")</f>
        <v>No</v>
      </c>
      <c r="K624" s="479">
        <f>ROUNDUP(DS_Min_ELI_NonAIT_NSS*Total_Units,0)</f>
        <v>0</v>
      </c>
      <c r="L624" s="479">
        <f>IF(Self_Sourced_Applicant&lt;&gt;"Yes",IF(AND(Minimum_SetAside_per_Sec_42=A$575,B$622&lt;&gt;"Non-AIT"),SUMIF('Units, Set-Asides, Bldgs'!$I$120:$I$128,"&lt;="&amp;VLOOKUP(County,DS_CountyData,14),'Units, Set-Asides, Bldgs'!F$120:F$128),SUMIF('Units, Set-Asides, Bldgs'!$I$52:$I$60,"&lt;="&amp;VLOOKUP(County,DS_CountyData,14),'Units, Set-Asides, Bldgs'!F$52:F$60)),0)</f>
        <v>0</v>
      </c>
      <c r="M624" s="2603">
        <v>0</v>
      </c>
      <c r="N624" s="2603">
        <v>0.1</v>
      </c>
      <c r="O624" s="2603">
        <v>0.1</v>
      </c>
      <c r="P624" s="2603">
        <v>0.1</v>
      </c>
      <c r="Q624" s="2603">
        <v>0</v>
      </c>
      <c r="R624" s="1934"/>
      <c r="S624" s="1934"/>
      <c r="U624" s="1835">
        <f>IF(OR(DS_ELI_UnitLimit&lt;&gt;"Yes",DS_ELI_UnitLimit_Exception_Goal_Met="MEETS"),0,IF(IFERROR(VLOOKUP(County,DS_CountyData,14),0)=X624,N(twentyfive_AMI_HC)*Total_Units-N('Units, Set-Asides, Bldgs'!$F52),0))</f>
        <v>0</v>
      </c>
      <c r="V624" s="1836">
        <f>IF(AND(SUM(U$624:U624)&gt;0,U624=0,ROUNDUP(SUM('Units, Set-Asides, Bldgs'!G$52:G52)*Total_Units,0)=SUM('Units, Set-Asides, Bldgs'!F$52:F52)),SUM(U$624:U624),0)</f>
        <v>0</v>
      </c>
      <c r="W624" s="1837"/>
      <c r="X624" s="1838">
        <v>0.25</v>
      </c>
    </row>
    <row r="625" spans="1:24">
      <c r="A625" s="2478" t="str">
        <f>"Non-AIT, Non-Self-Sourced: Amount of ELI to be purchased ("&amp;IF(B$619="Yes","not ","")&amp;"optional)"</f>
        <v>Non-AIT, Non-Self-Sourced: Amount of ELI to be purchased (not optional)</v>
      </c>
      <c r="B625" s="1473">
        <v>0.05</v>
      </c>
      <c r="C625" s="2478" t="str">
        <f>"(for a total minimum of "&amp;TEXT(B624+IF(B$619="Yes",B625,0),"0%")&amp;" ELI, or "&amp;TEXT(ROUNDUP((B624+IF(B$619="Yes",B625,0))*Total_Units,0),"0")&amp;" units)"</f>
        <v>(for a total minimum of 15% ELI, or 0 units)</v>
      </c>
      <c r="D625" s="2478"/>
      <c r="E625" s="2478"/>
      <c r="F625" s="2481"/>
      <c r="G625" s="1314"/>
      <c r="H625" s="1314"/>
      <c r="I625" s="2011">
        <f>I624</f>
        <v>0</v>
      </c>
      <c r="J625" s="2461" t="str">
        <f>IF(Self_Sourced_Applicant&lt;&gt;"Yes",IF(I625&gt;=DS_Min_ELI_NonAIT_NSS+IF(OR(B619="Yes",AND(Minimum_SetAside_per_Sec_42=DS_FHFC_NonHC,B$621="Yes")),DS_Min_ELI_NonAIT_Buy_NSS,0),"Yes","No"),"NA")</f>
        <v>No</v>
      </c>
      <c r="K625" s="2461">
        <f>ROUNDUP((DS_Min_ELI_NonAIT_NSS+IF(OR(B619="Yes",AND(Minimum_SetAside_per_Sec_42=DS_FHFC_NonHC,B$621="Yes")),DS_Min_ELI_NonAIT_Buy_NSS,0))*Total_Units,0)</f>
        <v>0</v>
      </c>
      <c r="L625" s="2012">
        <f>L624</f>
        <v>0</v>
      </c>
      <c r="M625" s="2604">
        <v>0.1</v>
      </c>
      <c r="N625" s="2604">
        <v>0</v>
      </c>
      <c r="O625" s="2604">
        <v>0</v>
      </c>
      <c r="P625" s="2604">
        <v>0</v>
      </c>
      <c r="Q625" s="2604">
        <v>0.1</v>
      </c>
      <c r="R625" s="2418"/>
      <c r="S625" s="2418"/>
      <c r="U625" s="1835">
        <f>IF(OR(DS_ELI_UnitLimit&lt;&gt;"Yes",DS_ELI_UnitLimit_Exception_Goal_Met="MEETS"),0,IF(IFERROR(VLOOKUP(County,DS_CountyData,14),0)=X625,N(twentyeight_AMI_HC)*Total_Units-N('Units, Set-Asides, Bldgs'!$F53),0))</f>
        <v>0</v>
      </c>
      <c r="V625" s="1836">
        <f>IF(AND(SUM(U$624:U625)&gt;0,U625=0,ROUNDUP(SUM('Units, Set-Asides, Bldgs'!G$52:G53)*Total_Units,0)=SUM('Units, Set-Asides, Bldgs'!F$52:F53),SUM(V$624:V624)=0),SUM(U$624:U625),0)</f>
        <v>0</v>
      </c>
      <c r="W625" s="1837"/>
      <c r="X625" s="1838">
        <v>0.28000000000000003</v>
      </c>
    </row>
    <row r="626" spans="1:24" ht="24.95" customHeight="1" thickBot="1">
      <c r="A626" s="2512" t="str">
        <f>"Non-AIT, Non-SS HC Developments are "&amp;IF(OR(N(B624)&gt;0,AND(B$619="Yes",N(B625)&gt;0)),"required to proivde a minimum "&amp;TEXT(B624+IF(B$619="Yes",B625,0),"0%")&amp;" ELI commitment","not required to proivde an ELI commitment")&amp;IF(B$619="Yes",", of which "&amp;TEXT(B625,"0%")&amp;" will be purchased."," with"&amp;IF(B625=0,"out","")&amp;" the option to have an additional "&amp;TEXT(N(B625),"0%")&amp;" purchased.")&amp;IF(B$575=0,"","  Non-AIT, Non-SS Non-HC Developments are "&amp;IF(OR(N(B624)&gt;0,AND(B$621="Yes",N(B625)&gt;0)),"required to proivde a minimum "&amp;TEXT(B624+IF(B$621="Yes",B625,0),"0%")&amp;" ELI commitment","not required to proivde an ELI commitment")&amp;IF(B$621="Yes",", of which "&amp;TEXT(B625,"0%")&amp;" will be purchased."," with"&amp;IF(B625=0,"out","")&amp;" the option to have an additional "&amp;TEXT(N(B625),"0%")&amp;" purchased."))</f>
        <v>Non-AIT, Non-SS HC Developments are required to proivde a minimum 15% ELI commitment, of which 5% will be purchased.</v>
      </c>
      <c r="B626" s="2482"/>
      <c r="C626" s="2483"/>
      <c r="D626" s="2483"/>
      <c r="E626" s="2483"/>
      <c r="F626" s="2484"/>
      <c r="G626" s="2485"/>
      <c r="H626" s="2485"/>
      <c r="I626" s="2486"/>
      <c r="J626" s="2487"/>
      <c r="K626" s="2487"/>
      <c r="L626" s="2487"/>
      <c r="M626" s="2605"/>
      <c r="N626" s="2605"/>
      <c r="O626" s="2605"/>
      <c r="P626" s="2605"/>
      <c r="Q626" s="2605"/>
      <c r="R626" s="2462"/>
      <c r="S626" s="2462"/>
      <c r="U626" s="1903">
        <f>IF(OR(DS_ELI_UnitLimit&lt;&gt;"Yes",DS_ELI_UnitLimit_Exception_Goal_Met="MEETS"),0,IF(IFERROR(VLOOKUP(County,DS_CountyData,14),0)=X626,N(thirty_AMI_HC)*Total_Units-N('Units, Set-Asides, Bldgs'!$F54),0))</f>
        <v>0</v>
      </c>
      <c r="V626" s="1836">
        <f>IF(AND(SUM(U$624:U626)&gt;0,U626=0,ROUNDUP(SUM('Units, Set-Asides, Bldgs'!G$52:G53)*Total_Units,0)=SUM('Units, Set-Asides, Bldgs'!F$52:F54),SUM(V$624:V625)=0),SUM(U$624:U626),0)</f>
        <v>0</v>
      </c>
      <c r="W626" s="1837"/>
      <c r="X626" s="1838">
        <v>0.3</v>
      </c>
    </row>
    <row r="627" spans="1:24">
      <c r="A627" s="1451" t="s">
        <v>1957</v>
      </c>
      <c r="B627" s="2433">
        <v>0</v>
      </c>
      <c r="C627" s="1509" t="str">
        <f>"of Total Units ["&amp;TEXT(ROUNDUP(Total_Units*B627,0),"0")&amp;" units]"</f>
        <v>of Total Units [0 units]</v>
      </c>
      <c r="D627" s="271"/>
      <c r="E627" s="271"/>
      <c r="F627" s="271"/>
      <c r="G627" s="271" t="s">
        <v>535</v>
      </c>
      <c r="H627" s="271"/>
      <c r="I627" s="1933">
        <f>IF(Self_Sourced_Applicant="Yes",IF(AND(Minimum_SetAside_per_Sec_42=A$575,B$622&lt;&gt;"Non-AIT"),SUMIF('Units, Set-Asides, Bldgs'!$I$120:$I$128,"&lt;="&amp;VLOOKUP(County,DS_CountyData,14),'Units, Set-Asides, Bldgs'!G$120:G$128),SUMIF('Units, Set-Asides, Bldgs'!$I$52:$I$60,"&lt;="&amp;VLOOKUP(County,DS_CountyData,14),'Units, Set-Asides, Bldgs'!G$52:G$60)),0)</f>
        <v>0</v>
      </c>
      <c r="J627" s="1935" t="str">
        <f>IF(Self_Sourced_Applicant="Yes",IF(I627&gt;=DS_Min_ELI_NonAIT_SS,"Yes","No"),"NA")</f>
        <v>NA</v>
      </c>
      <c r="K627" s="1935">
        <f>ROUNDUP(DS_Min_ELI_NonAIT_SS*Total_Units,0)</f>
        <v>0</v>
      </c>
      <c r="L627" s="479">
        <f>IF(Self_Sourced_Applicant="Yes",IF(AND(Minimum_SetAside_per_Sec_42=A$575,B$622&lt;&gt;"Non-AIT"),SUMIF('Units, Set-Asides, Bldgs'!$I$120:$I$128,"&lt;="&amp;VLOOKUP(County,DS_CountyData,14),'Units, Set-Asides, Bldgs'!F$120:F$128),SUMIF('Units, Set-Asides, Bldgs'!$I$52:$I$60,"&lt;="&amp;VLOOKUP(County,DS_CountyData,14),'Units, Set-Asides, Bldgs'!F$52:F$60)),0)</f>
        <v>0</v>
      </c>
      <c r="M627" s="2606"/>
      <c r="N627" s="2606"/>
      <c r="O627" s="2606"/>
      <c r="P627" s="2606"/>
      <c r="Q627" s="2603">
        <v>0</v>
      </c>
      <c r="R627" s="1936"/>
      <c r="S627" s="1936"/>
      <c r="U627" s="1835">
        <f>IF(OR(DS_ELI_UnitLimit&lt;&gt;"Yes",DS_ELI_UnitLimit_Exception_Goal_Met="MEETS"),0,IF(IFERROR(VLOOKUP(County,DS_CountyData,14),0)=X627,N(thirtythree_AMI_HC)*Total_Units-N('Units, Set-Asides, Bldgs'!$F55),0))</f>
        <v>0</v>
      </c>
      <c r="V627" s="1836">
        <f>IF(AND(SUM(U$624:U627)&gt;0,U627=0,ROUNDUP(SUM('Units, Set-Asides, Bldgs'!G$52:G55)*Total_Units,0)=SUM('Units, Set-Asides, Bldgs'!F$52:F55),SUM(V$624:V626)=0),SUM(U$624:U627),0)</f>
        <v>0</v>
      </c>
      <c r="W627" s="1837"/>
      <c r="X627" s="1838">
        <v>0.33</v>
      </c>
    </row>
    <row r="628" spans="1:24">
      <c r="A628" s="1501" t="str">
        <f>"Non-AIT,           Self-Sourced: Amount of ELI to be purchased ("&amp;IF(B$620="Yes","not ","")&amp;"optional)"</f>
        <v>Non-AIT,           Self-Sourced: Amount of ELI to be purchased (optional)</v>
      </c>
      <c r="B628" s="1508">
        <v>0.1</v>
      </c>
      <c r="C628" s="1501" t="str">
        <f>"(for a total minimum of "&amp;TEXT(B627+IF(B$620="Yes",B628,0),"0%")&amp;" ELI, or "&amp;TEXT(ROUNDUP((B627+IF(B$620="Yes",B628,0))*Total_Units,0),"0")&amp;" units)"</f>
        <v>(for a total minimum of 0% ELI, or 0 units)</v>
      </c>
      <c r="G628" s="1314"/>
      <c r="H628" s="1314"/>
      <c r="I628" s="2011">
        <f>I627</f>
        <v>0</v>
      </c>
      <c r="J628" s="2419" t="str">
        <f>IF(Self_Sourced_Applicant="Yes",IF(I628&gt;=DS_Min_ELI_NonAIT_SS+IF(B620="Yes",DS_Min_ELI_NonAIT_Buy_SS,0),"Yes","No"),"NA")</f>
        <v>NA</v>
      </c>
      <c r="K628" s="2419">
        <f>ROUNDUP((DS_Min_ELI_NonAIT_SS+IF(B620="Yes",DS_Min_ELI_NonAIT_Buy_SS,0))*Total_Units,0)</f>
        <v>0</v>
      </c>
      <c r="L628" s="2012">
        <f>L627</f>
        <v>0</v>
      </c>
      <c r="M628" s="2607"/>
      <c r="N628" s="2607"/>
      <c r="O628" s="2607"/>
      <c r="P628" s="2607"/>
      <c r="Q628" s="2604">
        <v>0.1</v>
      </c>
      <c r="R628" s="2013"/>
      <c r="S628" s="2013"/>
      <c r="U628" s="1835">
        <f>IF(OR(DS_ELI_UnitLimit&lt;&gt;"Yes",DS_ELI_UnitLimit_Exception_Goal_Met="MEETS"),0,IF(IFERROR(VLOOKUP(County,DS_CountyData,14),0)=X628,N(thirtyfive_AMI_HC)*Total_Units-N('Units, Set-Asides, Bldgs'!$F56),0))</f>
        <v>0</v>
      </c>
      <c r="V628" s="1836">
        <f>IF(AND(SUM(U$624:U628)&gt;0,U628=0,ROUNDUP(SUM('Units, Set-Asides, Bldgs'!G$52:G56)*Total_Units,0)=SUM('Units, Set-Asides, Bldgs'!F$52:F56),SUM(V$624:V627)=0),SUM(U$624:U628),0)</f>
        <v>0</v>
      </c>
      <c r="W628" s="1837"/>
      <c r="X628" s="1838">
        <v>0.35</v>
      </c>
    </row>
    <row r="629" spans="1:24" ht="24.95" customHeight="1" thickBot="1">
      <c r="A629" s="2513" t="str">
        <f>"Non-AIT, SS Developments are "&amp;IF(OR(N(B627)&gt;0,AND(B$620="Yes",N(B628)&gt;0)),"required to proivde a minimum "&amp;TEXT(B627+IF(B$620="Yes",B628,0),"0%")&amp;" ELI commitment","not required to proivde an ELI commitment")&amp;IF(B$620="Yes",", of which "&amp;TEXT(B628,"0%")&amp;" will be purchased."," with"&amp;IF(B628=0,"out","")&amp;" the option to have an additional "&amp;TEXT(N(B628),"0%")&amp;" purchased.")</f>
        <v>Non-AIT, SS Developments are not required to proivde an ELI commitment with the option to have an additional 10% purchased.</v>
      </c>
      <c r="B629" s="2463"/>
      <c r="C629" s="2464"/>
      <c r="D629" s="2465"/>
      <c r="E629" s="2465"/>
      <c r="F629" s="2465"/>
      <c r="G629" s="2465"/>
      <c r="H629" s="2465"/>
      <c r="I629" s="2466"/>
      <c r="J629" s="2467"/>
      <c r="K629" s="2467"/>
      <c r="L629" s="2468"/>
      <c r="M629" s="2608"/>
      <c r="N629" s="2608"/>
      <c r="O629" s="2608"/>
      <c r="P629" s="2608"/>
      <c r="Q629" s="2605"/>
      <c r="R629" s="2469"/>
      <c r="S629" s="2469"/>
      <c r="U629" s="1835">
        <f>IF(OR(DS_ELI_UnitLimit&lt;&gt;"Yes",DS_ELI_UnitLimit_Exception_Goal_Met="MEETS"),0,IF(IFERROR(VLOOKUP(County,DS_CountyData,14),0)=X629,N(forty_AMI_HC)*Total_Units-N('Units, Set-Asides, Bldgs'!$F57),0))</f>
        <v>0</v>
      </c>
      <c r="V629" s="1836">
        <f>IF(AND(SUM(U$624:U629)&gt;0,U629=0,ROUNDUP(SUM('Units, Set-Asides, Bldgs'!G$52:G57)*Total_Units,0)=SUM('Units, Set-Asides, Bldgs'!F$52:F57),SUM(V$624:V628)=0),SUM(U$624:U629),0)</f>
        <v>0</v>
      </c>
      <c r="W629" s="1837"/>
      <c r="X629" s="1838">
        <v>0.4</v>
      </c>
    </row>
    <row r="630" spans="1:24">
      <c r="A630" s="2478" t="s">
        <v>1958</v>
      </c>
      <c r="B630" s="2415">
        <v>0.2</v>
      </c>
      <c r="C630" s="2489" t="str">
        <f>"of Total Units ["&amp;TEXT(ROUNDUP(Total_Units*B630,0),"0")&amp;" units] at 30% AMI"</f>
        <v>of Total Units [0 units] at 30% AMI</v>
      </c>
      <c r="D630" s="2489"/>
      <c r="E630" s="2489"/>
      <c r="F630" s="2481"/>
      <c r="G630" s="271" t="s">
        <v>534</v>
      </c>
      <c r="H630" s="271"/>
      <c r="I630" s="1933">
        <f>IF(Self_Sourced_Applicant&lt;&gt;"Yes",SUM('Units, Set-Asides, Bldgs'!$G$79:$G$80),0)</f>
        <v>0</v>
      </c>
      <c r="J630" s="479" t="str">
        <f>IF(Self_Sourced_Applicant&lt;&gt;"Yes",IF(I630&gt;=DS_Min_ELI_AIT_NSS,"Yes","No"),"NA")</f>
        <v>No</v>
      </c>
      <c r="K630" s="479">
        <f>ROUNDUP(DS_Min_ELI_AIT_NSS*Total_Units,0)</f>
        <v>0</v>
      </c>
      <c r="L630" s="479">
        <f>IF(Self_Sourced_Applicant&lt;&gt;"Yes",SUM('Units, Set-Asides, Bldgs'!$G$79:$G$80),0)</f>
        <v>0</v>
      </c>
      <c r="M630" s="2603">
        <v>0.05</v>
      </c>
      <c r="N630" s="2603">
        <v>0.15</v>
      </c>
      <c r="O630" s="2603">
        <v>0.15</v>
      </c>
      <c r="P630" s="2603">
        <v>0.15</v>
      </c>
      <c r="Q630" s="2603">
        <v>0.05</v>
      </c>
      <c r="R630" s="1934"/>
      <c r="S630" s="1934"/>
      <c r="U630" s="1839"/>
      <c r="V630" s="1836">
        <f>IF(AND(SUM(U$624:U630)&gt;0,U630=0,ROUNDUP(SUM('Units, Set-Asides, Bldgs'!G$52:G58)*Total_Units,0)=SUM('Units, Set-Asides, Bldgs'!F$52:F58),SUM(V$624:V629)=0),SUM(U$624:U630),0)</f>
        <v>0</v>
      </c>
      <c r="W630" s="1840">
        <f>IF(AND(SUM('Units, Set-Asides, Bldgs'!G59:G60)=0,N(fortyfive_AMI_HC)&gt;0),MAX(Data1!U624:U629),0)</f>
        <v>0</v>
      </c>
      <c r="X630" s="1838">
        <v>0.45</v>
      </c>
    </row>
    <row r="631" spans="1:24">
      <c r="A631" s="2488" t="str">
        <f>"          AIT, Non-Self-Sourced: Amount of ELI to be purchased ("&amp;IF(B$619="Yes","not ","")&amp;"optional)"</f>
        <v xml:space="preserve">          AIT, Non-Self-Sourced: Amount of ELI to be purchased (not optional)</v>
      </c>
      <c r="B631" s="1504">
        <v>0</v>
      </c>
      <c r="C631" s="2488" t="str">
        <f>"(for a total minimum of "&amp;TEXT(B630+IF(B$619="Yes",B631,0),"0%")&amp;" ELI, or "&amp;TEXT(ROUNDUP((B630+IF(B$619="Yes",B631,0))*Total_Units,0),"0")&amp;" units)"</f>
        <v>(for a total minimum of 20% ELI, or 0 units)</v>
      </c>
      <c r="D631" s="2488"/>
      <c r="E631" s="2488"/>
      <c r="F631" s="2490"/>
      <c r="G631" s="1314"/>
      <c r="H631" s="1314"/>
      <c r="I631" s="2011">
        <f>IF(Self_Sourced_Applicant&lt;&gt;"Yes",SUM('Units, Set-Asides, Bldgs'!$G$79:$G$80),0)</f>
        <v>0</v>
      </c>
      <c r="J631" s="2012" t="str">
        <f>IF(Self_Sourced_Applicant&lt;&gt;"Yes",IF(I631&gt;=DS_Min_ELI_AIT_NSS+IF(OR(B619="Yes",AND(Minimum_SetAside_per_Sec_42=DS_FHFC_NonHC,B$621="Yes")),DS_Min_ELI_AIT_Buy_NSS,0),"Yes","No"),"NA")</f>
        <v>No</v>
      </c>
      <c r="K631" s="2012">
        <f>ROUNDUP((DS_Min_ELI_AIT_NSS+IF(OR(B619="Yes",AND(Minimum_SetAside_per_Sec_42=DS_FHFC_NonHC,B$621="Yes")),DS_Min_ELI_AIT_Buy_NSS,0))*Total_Units,0)</f>
        <v>0</v>
      </c>
      <c r="L631" s="2012">
        <f>L630</f>
        <v>0</v>
      </c>
      <c r="M631" s="2604">
        <v>0.1</v>
      </c>
      <c r="N631" s="2604">
        <v>0</v>
      </c>
      <c r="O631" s="2604">
        <v>0</v>
      </c>
      <c r="P631" s="2604">
        <v>0</v>
      </c>
      <c r="Q631" s="2604">
        <v>0.1</v>
      </c>
      <c r="R631" s="2418"/>
      <c r="S631" s="2418"/>
      <c r="U631" s="1839"/>
      <c r="V631" s="1836">
        <f>IF(AND(SUM(U$624:U631)&gt;0,U631=0,ROUNDUP(SUM('Units, Set-Asides, Bldgs'!G$52:G59)*Total_Units,0)=SUM('Units, Set-Asides, Bldgs'!F$52:F59),SUM(V$624:V630)=0),SUM(U$624:U631),0)</f>
        <v>0</v>
      </c>
      <c r="W631" s="1840">
        <f>IF(Minimum_SetAside_per_Sec_42=DS_IRS_2050,MAX(Data1!U624:U629),0)</f>
        <v>0</v>
      </c>
      <c r="X631" s="1838">
        <v>0.5</v>
      </c>
    </row>
    <row r="632" spans="1:24" ht="24.95" customHeight="1" thickBot="1">
      <c r="A632" s="2512" t="str">
        <f>"AIT, Non-SS HC Developments are "&amp;IF(OR(N(B630)&gt;0,AND(B$619="Yes",N(B631)&gt;0)),"required to proivde a minimum "&amp;TEXT(B630+IF(B$619="Yes",B631,0),"0%")&amp;" ELI commitment","not required to proivde an ELI commitment")&amp;IF(B$619="Yes",", of which "&amp;TEXT(B631,"0%")&amp;" will be purchased."," with"&amp;IF(B631=0,"out","")&amp;" the option to have an additional "&amp;TEXT(N(B631),"0%")&amp;" purchased.")&amp;IF(B$575=0,"","  AIT, Non-SS Non-HC Developments are "&amp;IF(OR(N(B630)&gt;0,AND(B$621="Yes",N(B631)&gt;0)),"required to proivde a minimum "&amp;TEXT(B630+IF(B$621="Yes",B631,0),"0%")&amp;" ELI commitment","not required to proivde an ELI commitment")&amp;IF(B$621="Yes",", of which "&amp;TEXT(B631,"0%")&amp;" will be purchased."," with"&amp;IF(B631=0,"out","")&amp;" the option to have an additional "&amp;TEXT(N(B631),"0%")&amp;" purchased."))</f>
        <v>AIT, Non-SS HC Developments are required to proivde a minimum 20% ELI commitment, of which 0% will be purchased.</v>
      </c>
      <c r="B632" s="2482"/>
      <c r="C632" s="2483"/>
      <c r="D632" s="2483"/>
      <c r="E632" s="2483"/>
      <c r="F632" s="2485"/>
      <c r="G632" s="2485"/>
      <c r="H632" s="2485"/>
      <c r="I632" s="2486"/>
      <c r="J632" s="2487"/>
      <c r="K632" s="2487"/>
      <c r="L632" s="2487"/>
      <c r="M632" s="2605"/>
      <c r="N632" s="2605"/>
      <c r="O632" s="2605"/>
      <c r="P632" s="2605"/>
      <c r="Q632" s="2605"/>
      <c r="R632" s="2462"/>
      <c r="S632" s="2462"/>
      <c r="U632" s="1839"/>
      <c r="V632" s="1836">
        <f>IF(AND(SUM(U$624:U632)&gt;0,U632=0,ROUNDUP(SUM('Units, Set-Asides, Bldgs'!G$52:G60)*Total_Units,0)=SUM('Units, Set-Asides, Bldgs'!F$52:F60),SUM(V$624:V631)=0),SUM(U$624:U632),0)</f>
        <v>0</v>
      </c>
      <c r="W632" s="1840">
        <f>IF(Minimum_SetAside_per_Sec_42=DS_IRS_4060,MAX(Data1!U624:U629),0)</f>
        <v>0</v>
      </c>
      <c r="X632" s="1838">
        <v>0.6</v>
      </c>
    </row>
    <row r="633" spans="1:24">
      <c r="A633" s="1451" t="s">
        <v>1959</v>
      </c>
      <c r="B633" s="1473">
        <v>0</v>
      </c>
      <c r="C633" s="1509" t="str">
        <f>"of Total Units ["&amp;TEXT(ROUNDUP(Total_Units*B633,0),"0")&amp;" units]"</f>
        <v>of Total Units [0 units]</v>
      </c>
      <c r="D633" s="271"/>
      <c r="E633" s="271"/>
      <c r="F633" s="271"/>
      <c r="G633" s="271" t="s">
        <v>536</v>
      </c>
      <c r="H633" s="271"/>
      <c r="I633" s="1933">
        <f>IF(Self_Sourced_Applicant="Yes",SUM('Units, Set-Asides, Bldgs'!$G$79:$G$80),0)</f>
        <v>0</v>
      </c>
      <c r="J633" s="479" t="str">
        <f>IF(Self_Sourced_Applicant="Yes",IF(I630&gt;=DS_Min_ELI_AIT_NSS,"Yes","No"),"NA")</f>
        <v>NA</v>
      </c>
      <c r="K633" s="479">
        <f>ROUNDUP(DS_Min_ELI_AIT_SS*Total_Units,0)</f>
        <v>0</v>
      </c>
      <c r="L633" s="479">
        <f>IF(Self_Sourced_Applicant="Yes",SUM('Units, Set-Asides, Bldgs'!$G$79:$G$80),0)</f>
        <v>0</v>
      </c>
      <c r="M633" s="2606"/>
      <c r="N633" s="2606"/>
      <c r="O633" s="2606"/>
      <c r="P633" s="2606"/>
      <c r="Q633" s="2603">
        <v>0</v>
      </c>
      <c r="R633" s="1936"/>
      <c r="S633" s="1936"/>
      <c r="U633" s="1839"/>
      <c r="V633" s="1836">
        <f>IF(AND(SUM(U$624:U633)&gt;0,U633=0,ROUNDUP(SUM('Units, Set-Asides, Bldgs'!G$52:G61)*Total_Units,0)=SUM('Units, Set-Asides, Bldgs'!F$52:F61),SUM(V$624:V632)=0),SUM(U$624:U633),0)</f>
        <v>0</v>
      </c>
      <c r="W633" s="1837"/>
      <c r="X633" s="1841">
        <v>0.8</v>
      </c>
    </row>
    <row r="634" spans="1:24">
      <c r="A634" s="1453" t="str">
        <f>"          AIT,           Self-Sourced: Amount of ELI to be purchased ("&amp;IF(B$620="Yes","not ","")&amp;"optional)"</f>
        <v xml:space="preserve">          AIT,           Self-Sourced: Amount of ELI to be purchased (optional)</v>
      </c>
      <c r="B634" s="1504">
        <f>10%*1</f>
        <v>0.1</v>
      </c>
      <c r="C634" s="1501" t="str">
        <f>"(for a total minimum of "&amp;TEXT(B633+IF(B$620="Yes",B634,0),"0%")&amp;" ELI, or "&amp;TEXT(ROUNDUP((B633+IF(B$620="Yes",B634,0))*Total_Units,0),"0")&amp;" units)"</f>
        <v>(for a total minimum of 0% ELI, or 0 units)</v>
      </c>
      <c r="D634" s="1344"/>
      <c r="E634" s="1344"/>
      <c r="F634" s="275"/>
      <c r="G634" s="1314"/>
      <c r="H634" s="1314"/>
      <c r="I634" s="2011">
        <f>IF(Self_Sourced_Applicant="Yes",SUM('Units, Set-Asides, Bldgs'!$G$79:$G$80),0)</f>
        <v>0</v>
      </c>
      <c r="J634" s="2012" t="str">
        <f>IF(Self_Sourced_Applicant="Yes",IF(I631&gt;=DS_Min_ELI_AIT_NSS+IF(OR(B619="Yes",AND(Minimum_SetAside_per_Sec_42=DS_FHFC_NonHC,B$621="Yes")),DS_Min_ELI_AIT_Buy_NSS,0),"Yes","No"),"NA")</f>
        <v>NA</v>
      </c>
      <c r="K634" s="2012">
        <f>ROUNDUP((DS_Min_ELI_AIT_SS+IF(B620="Yes",DS_Min_ELI_AIT_Buy_SS,0))*Total_Units,0)</f>
        <v>0</v>
      </c>
      <c r="L634" s="2012">
        <f>L633</f>
        <v>0</v>
      </c>
      <c r="M634" s="2607"/>
      <c r="N634" s="2607"/>
      <c r="O634" s="2607"/>
      <c r="P634" s="2607"/>
      <c r="Q634" s="2604">
        <v>0.1</v>
      </c>
      <c r="R634" s="2013"/>
      <c r="S634" s="2013"/>
      <c r="U634" s="1839"/>
      <c r="V634" s="1836">
        <f>IF(AND(SUM(U$624:U634)&gt;0,U634=0,ROUNDUP(SUM('Units, Set-Asides, Bldgs'!G$52:G62)*Total_Units,0)=SUM('Units, Set-Asides, Bldgs'!F$52:F62),SUM(V$624:V633)=0),SUM(U$624:U634),0)</f>
        <v>0</v>
      </c>
      <c r="W634" s="1837"/>
      <c r="X634" s="1841">
        <v>0.9</v>
      </c>
    </row>
    <row r="635" spans="1:24" ht="24.95" customHeight="1" thickBot="1">
      <c r="A635" s="2513" t="str">
        <f>"AIT, SS Developments are "&amp;IF(OR(N(B633)&gt;0,AND(B$620="Yes",N(B634)&gt;0)),"required to proivde a minimum "&amp;TEXT(B633+IF(B$620="Yes",B634,0),"0%")&amp;" ELI commitment","not required to proivde an ELI commitment")&amp;IF(B$620="Yes",", of which "&amp;TEXT(B634,"0%")&amp;" will be purchased."," with"&amp;IF(B634=0,"out","")&amp;" the option to have an additional "&amp;TEXT(N(B634),"0%")&amp;" purchased.")</f>
        <v>AIT, SS Developments are not required to proivde an ELI commitment with the option to have an additional 10% purchased.</v>
      </c>
      <c r="B635" s="2463"/>
      <c r="C635" s="2464"/>
      <c r="D635" s="2470"/>
      <c r="E635" s="2470"/>
      <c r="F635" s="2465"/>
      <c r="G635" s="2465"/>
      <c r="H635" s="2465"/>
      <c r="I635" s="2466"/>
      <c r="J635" s="2468"/>
      <c r="K635" s="2468"/>
      <c r="L635" s="2468"/>
      <c r="M635" s="2608"/>
      <c r="N635" s="2608"/>
      <c r="O635" s="2608"/>
      <c r="P635" s="2608"/>
      <c r="Q635" s="2605"/>
      <c r="R635" s="2469"/>
      <c r="S635" s="2469"/>
      <c r="U635" s="1839"/>
      <c r="V635" s="1836">
        <f>IF(AND(SUM(U$624:U635)&gt;0,U635=0,ROUNDUP(SUM('Units, Set-Asides, Bldgs'!G$52:G63)*Total_Units,0)=SUM('Units, Set-Asides, Bldgs'!F$52:F63),SUM(V$624:V634)=0),SUM(U$624:U635),0)</f>
        <v>0</v>
      </c>
      <c r="W635" s="1837"/>
      <c r="X635" s="1841">
        <v>1</v>
      </c>
    </row>
    <row r="636" spans="1:24">
      <c r="A636" s="2473" t="s">
        <v>537</v>
      </c>
      <c r="B636" s="2415">
        <v>0.05</v>
      </c>
      <c r="C636" s="2475" t="s">
        <v>538</v>
      </c>
      <c r="D636" s="2471"/>
      <c r="E636" s="2471"/>
      <c r="F636" s="2471"/>
      <c r="G636" s="2683" t="s">
        <v>539</v>
      </c>
      <c r="H636" s="2684" t="s">
        <v>459</v>
      </c>
      <c r="I636" s="1933">
        <f>SUM('Units, Set-Asides, Bldgs'!$G$52:$G$58)</f>
        <v>0</v>
      </c>
      <c r="J636" s="479"/>
      <c r="K636" s="479"/>
      <c r="L636" s="479"/>
      <c r="M636" s="2606"/>
      <c r="N636" s="2606"/>
      <c r="O636" s="2606"/>
      <c r="P636" s="2606"/>
      <c r="Q636" s="2603">
        <v>0.05</v>
      </c>
      <c r="R636" s="1936"/>
      <c r="S636" s="1936"/>
      <c r="U636" s="1839"/>
      <c r="V636" s="1836">
        <f>IF(AND(SUM(U$624:U636)&gt;0,U636=0,ROUNDUP(SUM('Units, Set-Asides, Bldgs'!G$52:G64)*Total_Units,0)=SUM('Units, Set-Asides, Bldgs'!F$52:F64),SUM(V$624:V635)=0),SUM(U$624:U636),0)</f>
        <v>0</v>
      </c>
      <c r="W636" s="1837"/>
      <c r="X636" s="1841">
        <v>1.1000000000000001</v>
      </c>
    </row>
    <row r="637" spans="1:24">
      <c r="A637" s="2474" t="s">
        <v>540</v>
      </c>
      <c r="B637" s="1504">
        <v>0.05</v>
      </c>
      <c r="C637" s="2474" t="s">
        <v>541</v>
      </c>
      <c r="D637" s="2436"/>
      <c r="E637" s="2436"/>
      <c r="F637" s="2472"/>
      <c r="G637" s="2683"/>
      <c r="H637" s="2684"/>
      <c r="I637" s="2011">
        <f>SUM('Units, Set-Asides, Bldgs'!$G$79:$G$81)</f>
        <v>0</v>
      </c>
      <c r="J637" s="2012"/>
      <c r="K637" s="2012"/>
      <c r="L637" s="2012"/>
      <c r="M637" s="2607"/>
      <c r="N637" s="2607"/>
      <c r="O637" s="2607"/>
      <c r="P637" s="2607"/>
      <c r="Q637" s="2604">
        <v>0.05</v>
      </c>
      <c r="R637" s="2013"/>
      <c r="S637" s="2013"/>
      <c r="U637" s="1839"/>
      <c r="V637" s="1836">
        <f>IF(AND(SUM(U$624:U637)&gt;0,U637=0,ROUNDUP(SUM('Units, Set-Asides, Bldgs'!G$52:G65)*Total_Units,0)=SUM('Units, Set-Asides, Bldgs'!F$52:F65),SUM(V$624:V636)=0),SUM(U$624:U637),0)</f>
        <v>0</v>
      </c>
      <c r="W637" s="1837"/>
      <c r="X637" s="1841">
        <v>1.2</v>
      </c>
    </row>
    <row r="638" spans="1:24" ht="24.95" customHeight="1">
      <c r="A638" s="2426"/>
      <c r="B638" s="2427"/>
      <c r="C638" s="504"/>
      <c r="D638" s="334"/>
      <c r="E638" s="334"/>
      <c r="F638" s="335"/>
      <c r="G638" s="2423"/>
      <c r="H638" s="2424"/>
      <c r="I638" s="2420"/>
      <c r="J638" s="2421"/>
      <c r="K638" s="2421"/>
      <c r="L638" s="2421"/>
      <c r="M638" s="2609"/>
      <c r="N638" s="2609"/>
      <c r="O638" s="2609"/>
      <c r="P638" s="2609"/>
      <c r="Q638" s="2610"/>
      <c r="R638" s="2425"/>
      <c r="S638" s="2425"/>
      <c r="U638" s="1842"/>
      <c r="V638" s="1843">
        <f>IF(AND(SUM(U$624:U638)&gt;0,U638=0,ROUNDUP(SUM('Units, Set-Asides, Bldgs'!G$52:G66)*Total_Units,0)=SUM('Units, Set-Asides, Bldgs'!F$52:F66),SUM(V$624:V637)=0),SUM(U$624:U638),0)</f>
        <v>0</v>
      </c>
      <c r="W638" s="1844"/>
      <c r="X638" s="1828" t="s">
        <v>2364</v>
      </c>
    </row>
    <row r="639" spans="1:24">
      <c r="A639" s="1352" t="s">
        <v>2020</v>
      </c>
      <c r="B639" s="1473">
        <v>0.3</v>
      </c>
      <c r="C639" s="271" t="str">
        <f>"of Total Units ["&amp;TEXT(ROUNDUP(Total_Units*B639,0),"0")&amp;" units] at designated AMI"</f>
        <v>of Total Units [0 units] at designated AMI</v>
      </c>
      <c r="D639" s="1352"/>
      <c r="E639" s="1352"/>
      <c r="F639" s="1353"/>
      <c r="G639" s="1354"/>
      <c r="H639" s="1355"/>
      <c r="I639" s="789"/>
      <c r="J639" s="1334"/>
      <c r="K639" s="1334"/>
      <c r="L639" s="1334"/>
      <c r="M639" s="2611"/>
      <c r="N639" s="2611"/>
      <c r="O639" s="2611"/>
      <c r="P639" s="2611"/>
      <c r="Q639" s="2612"/>
      <c r="R639" s="1523"/>
      <c r="S639" s="1523"/>
    </row>
    <row r="640" spans="1:24">
      <c r="A640" s="1352"/>
      <c r="B640" s="1777"/>
      <c r="C640" s="1314"/>
      <c r="D640" s="1462"/>
      <c r="E640" s="1462"/>
      <c r="F640" s="1775"/>
      <c r="G640" s="1776"/>
      <c r="H640" s="1777"/>
      <c r="I640" s="789"/>
      <c r="J640" s="2010"/>
      <c r="K640" s="2010"/>
      <c r="L640" s="2010"/>
      <c r="M640" s="2611"/>
      <c r="N640" s="2611"/>
      <c r="O640" s="2611"/>
      <c r="P640" s="2611"/>
      <c r="Q640" s="2612"/>
      <c r="R640" s="1523"/>
      <c r="S640" s="1523"/>
    </row>
    <row r="641" spans="1:24">
      <c r="A641" s="1678" t="s">
        <v>2328</v>
      </c>
      <c r="B641" s="1287" t="s">
        <v>459</v>
      </c>
      <c r="C641" s="1314"/>
      <c r="D641" s="1462"/>
      <c r="E641" s="1462"/>
      <c r="F641" s="1775"/>
      <c r="G641" s="1776"/>
      <c r="H641" s="1777"/>
      <c r="I641" s="789"/>
      <c r="J641" s="1763"/>
      <c r="K641" s="1763"/>
      <c r="L641" s="1763"/>
      <c r="M641" s="2611"/>
      <c r="N641" s="2611"/>
      <c r="O641" s="2611"/>
      <c r="P641" s="2611"/>
      <c r="Q641" s="2612"/>
      <c r="R641" s="1523"/>
      <c r="S641" s="1523"/>
    </row>
    <row r="642" spans="1:24">
      <c r="A642" s="1780" t="s">
        <v>2329</v>
      </c>
      <c r="B642" s="1506">
        <v>15</v>
      </c>
      <c r="C642" s="1314" t="s">
        <v>283</v>
      </c>
      <c r="D642" s="1462"/>
      <c r="E642" s="1462"/>
      <c r="F642" s="1775"/>
      <c r="G642" s="1776"/>
      <c r="H642" s="1777"/>
      <c r="I642" s="789"/>
      <c r="J642" s="1763"/>
      <c r="K642" s="1763"/>
      <c r="L642" s="1763"/>
      <c r="M642" s="2611"/>
      <c r="N642" s="2611"/>
      <c r="O642" s="2611"/>
      <c r="P642" s="2611"/>
      <c r="Q642" s="2612"/>
      <c r="R642" s="1523"/>
      <c r="S642" s="1523"/>
    </row>
    <row r="643" spans="1:24">
      <c r="A643" s="1902" t="s">
        <v>2396</v>
      </c>
      <c r="B643" s="1287" t="s">
        <v>459</v>
      </c>
      <c r="C643" s="1314"/>
      <c r="D643" s="1462"/>
      <c r="E643" s="1462"/>
      <c r="F643" s="1775"/>
      <c r="G643" s="1776"/>
      <c r="H643" s="1777"/>
      <c r="I643" s="789"/>
      <c r="J643" s="1888"/>
      <c r="K643" s="1888"/>
      <c r="L643" s="1888"/>
      <c r="M643" s="2611"/>
      <c r="N643" s="2611"/>
      <c r="O643" s="2611"/>
      <c r="P643" s="2611"/>
      <c r="Q643" s="2612"/>
      <c r="R643" s="1523"/>
      <c r="S643" s="1523"/>
      <c r="T643" s="1329"/>
      <c r="U643" s="1892"/>
      <c r="V643" s="1893"/>
      <c r="W643" s="1892"/>
      <c r="X643" s="1668"/>
    </row>
    <row r="644" spans="1:24">
      <c r="A644" s="1678" t="s">
        <v>2397</v>
      </c>
      <c r="B644" s="2636" t="s">
        <v>952</v>
      </c>
      <c r="C644" s="2636"/>
      <c r="D644" s="2636"/>
      <c r="E644" s="2636"/>
      <c r="F644" s="1901" t="str">
        <f>IF(AND(DS_ELI_UnitLimit="Yes",DS_ELI_UnitLimit_Exception="Yes",DS_ELI_UnitLimit_Exception_Goal=A804,Youth_Aging_Out_Goal="Yes"),"MEETS","Does NOT meet")</f>
        <v>Does NOT meet</v>
      </c>
      <c r="G644" s="1776"/>
      <c r="H644" s="1777"/>
      <c r="I644" s="789"/>
      <c r="J644" s="1888"/>
      <c r="K644" s="1888"/>
      <c r="L644" s="1888"/>
      <c r="M644" s="2611"/>
      <c r="N644" s="2611"/>
      <c r="O644" s="2611"/>
      <c r="P644" s="2611"/>
      <c r="Q644" s="2612"/>
      <c r="R644" s="1523"/>
      <c r="S644" s="1523"/>
      <c r="T644" s="1329"/>
      <c r="U644" s="1892"/>
      <c r="V644" s="1893"/>
      <c r="W644" s="1892"/>
      <c r="X644" s="1668"/>
    </row>
    <row r="645" spans="1:24" ht="30">
      <c r="A645" s="1778"/>
      <c r="L645" s="925" t="s">
        <v>542</v>
      </c>
      <c r="M645" s="2613" t="s">
        <v>301</v>
      </c>
      <c r="N645" s="2614" t="s">
        <v>543</v>
      </c>
      <c r="O645" s="2614" t="s">
        <v>543</v>
      </c>
      <c r="P645" s="2614" t="s">
        <v>543</v>
      </c>
      <c r="Q645" s="2614" t="s">
        <v>544</v>
      </c>
      <c r="R645" s="930"/>
      <c r="S645" s="484"/>
    </row>
    <row r="646" spans="1:24" ht="18" customHeight="1">
      <c r="A646" s="571" t="s">
        <v>545</v>
      </c>
      <c r="B646" s="6"/>
      <c r="C646" s="6"/>
      <c r="D646" s="6"/>
      <c r="E646" s="6"/>
    </row>
    <row r="647" spans="1:24" ht="15.75">
      <c r="A647" s="1781" t="str">
        <f>"Section 4.A.6."&amp;'Units, Set-Asides, Bldgs'!A$34&amp;"."&amp;'Units, Set-Asides, Bldgs'!B$47&amp;"("&amp;'Units, Set-Asides, Bldgs'!C$49&amp;") Set-Aside Table (Non-AIT)"</f>
        <v>Section 4.A.6.c.(3)(a) Set-Aside Table (Non-AIT)</v>
      </c>
      <c r="B647" s="1783"/>
      <c r="C647" s="1783"/>
      <c r="D647" s="1783"/>
      <c r="E647" s="1783"/>
      <c r="F647" s="1783"/>
      <c r="G647" s="1783"/>
      <c r="H647" s="1783"/>
      <c r="I647" s="1783"/>
      <c r="J647" s="1783"/>
      <c r="K647" s="1783"/>
      <c r="L647" s="1783"/>
      <c r="M647" s="1783"/>
      <c r="N647" s="1783"/>
      <c r="O647" s="1783"/>
    </row>
    <row r="648" spans="1:24">
      <c r="A648" t="s">
        <v>2330</v>
      </c>
      <c r="B648" s="84" t="str">
        <f>IF(OR(Minimum_SetAside_per_Sec_42=DS_IRS_AIT,AND(Total_Units=0,total_units_in_NonAIT_setaside_chart=0)),"","All of the units have "&amp;IF(Total_Units=total_units_in_NonAIT_setaside_chart,"","NOT ")&amp;"been entered in the "&amp;IF(Minimum_SetAside_per_Sec_42=A575,DS_Loan_Name,"IRS Minimum HC")&amp;" Set-Aside Chart"&amp;IF(SUM('Units, Set-Asides, Bldgs'!F61:F65)&gt;0,", including "&amp;IF(N('Units, Set-Asides, Bldgs'!F61)&gt;0,TEXT('Units, Set-Asides, Bldgs'!F61,"0")&amp;" '"&amp;'Units, Set-Asides, Bldgs'!J61&amp;"'","")&amp;IF(AND(N('Units, Set-Asides, Bldgs'!F61)&gt;0,SUM('Units, Set-Asides, Bldgs'!F62:F66)&gt;0),IF(COUNTIF('Units, Set-Asides, Bldgs'!F62:F66,"&gt;0")=1," and ",", "),"")&amp;IF(N('Units, Set-Asides, Bldgs'!F62)&gt;0,TEXT(N('Units, Set-Asides, Bldgs'!F62),"0")&amp;" '"&amp;'Units, Set-Asides, Bldgs'!J62&amp;"'","")&amp;IF(AND('Units, Set-Asides, Bldgs'!F62&gt;0,SUM('Units, Set-Asides, Bldgs'!F63:F66)&gt;0),IF(COUNTIF('Units, Set-Asides, Bldgs'!F63:F66,"&gt;0")=1," and ",", "),"")&amp;IF(N('Units, Set-Asides, Bldgs'!F63)&gt;0,TEXT(N('Units, Set-Asides, Bldgs'!F63),"0")&amp;" '"&amp;'Units, Set-Asides, Bldgs'!J63&amp;"'","")&amp;IF(AND(N('Units, Set-Asides, Bldgs'!F63)&gt;0,SUM('Units, Set-Asides, Bldgs'!F64:F66)&gt;0),IF(COUNTIF('Units, Set-Asides, Bldgs'!F64:F66,"&gt;0")=1," and ",", "),"")&amp;IF(N('Units, Set-Asides, Bldgs'!F64)&gt;0,TEXT(N('Units, Set-Asides, Bldgs'!F64),"0")&amp;" '"&amp;'Units, Set-Asides, Bldgs'!J64&amp;"'","")&amp;IF(AND(N('Units, Set-Asides, Bldgs'!F64)&gt;0,SUM('Units, Set-Asides, Bldgs'!F65:F66)&gt;0),IF(COUNTIF('Units, Set-Asides, Bldgs'!F65:F66,"&gt;0")=1," and ",", "),"")&amp;IF(N('Units, Set-Asides, Bldgs'!F65)&gt;0,TEXT(N('Units, Set-Asides, Bldgs'!F65),"0")&amp;" '"&amp;'Units, Set-Asides, Bldgs'!J65&amp;"'","")&amp;IF(AND(N('Units, Set-Asides, Bldgs'!F65)&gt;0,N('Units, Set-Asides, Bldgs'!F66)&gt;0),IF(COUNTIF('Units, Set-Asides, Bldgs'!F66,"&gt;0")=1," and ",", "),"")&amp;IF('Units, Set-Asides, Bldgs'!F66&gt;0,TEXT(N('Units, Set-Asides, Bldgs'!F66),"0")&amp;" "&amp;'Units, Set-Asides, Bldgs'!J66,"")&amp;".","."))</f>
        <v/>
      </c>
      <c r="C648" s="84"/>
      <c r="D648" s="84"/>
      <c r="E648" s="84"/>
      <c r="F648" s="84"/>
      <c r="G648" s="84"/>
      <c r="H648" s="84"/>
      <c r="I648" s="84"/>
      <c r="J648" s="84"/>
      <c r="K648" s="84"/>
      <c r="L648" s="84"/>
      <c r="M648" s="84"/>
      <c r="N648" s="84"/>
      <c r="O648" s="84"/>
    </row>
    <row r="649" spans="1:24">
      <c r="A649" s="6" t="str">
        <f>"   Minimum IRS/"&amp;DS_Loan_Name&amp;" Set-Aside"</f>
        <v xml:space="preserve">   Minimum IRS/Live Local SAIL Set-Aside</v>
      </c>
      <c r="B649" s="64" t="str">
        <f>IF(OR(Minimum_SetAside_per_Sec_42=DS_IRS_AIT,AND(Total_Units=0,total_units_in_NonAIT_setaside_chart=0)),"",IF(Minimum_SetAside_per_Sec_42=DS_IRS_2050," With a HC commitment of "&amp;TEXT(NonAIT_HC_SA_Percent,"0%")&amp;", the minimum IRS Set-Aside commitment of 20% is"&amp;IF(NonAIT_HC_SA_Percent&gt;=20%,""," NOT")&amp;" met.",IF(Minimum_SetAside_per_Sec_42=DS_IRS_4060," With a HC commitment of "&amp;TEXT(NonAIT_HC_SA_Percent,"0%")&amp;", the minimum IRS Set-Aside commitment of 40% is"&amp;IF(NonAIT_HC_SA_Percent&gt;=40%,""," NOT")&amp;" met.",IF(Minimum_SetAside_per_Sec_42=DS_FHFC_NonHC," The minimum "&amp;DS_FHFC_NonHC&amp;" of "&amp;TEXT(Data1!B$592,"0%")&amp;" is"&amp;IF(NonAIT_HC_SA_Percent+IF('Units, Set-Asides, Bldgs'!P74&lt;&gt;1,Workforce_AMI_80_NonAIT+IF('Units, Set-Asides, Bldgs'!P63&gt;0,Workforce_AMI_100_NonAIT,0)+IF('Units, Set-Asides, Bldgs'!P65&gt;0,Workforce_AMI_120_NonAIT,0),0)&gt;=Data1!B$592,""," NOT")&amp;" met with a commitment of "&amp;TEXT(NonAIT_HC_SA_Percent+IF('Units, Set-Asides, Bldgs'!P74&lt;&gt;1,Workforce_AMI_80_NonAIT+IF('Units, Set-Asides, Bldgs'!P63&gt;0,Workforce_AMI_100_NonAIT,0)+IF('Units, Set-Asides, Bldgs'!P65&gt;0,Workforce_AMI_120_NonAIT,0),0),"0%")&amp;".",IF(Minimum_SetAside_per_Sec_42="Average Income Test"," This set-aside table is not applicable.","")))))</f>
        <v/>
      </c>
      <c r="C649" s="84"/>
      <c r="D649" s="84"/>
      <c r="E649" s="84"/>
      <c r="F649" s="84"/>
      <c r="G649" s="84"/>
      <c r="H649" s="84"/>
      <c r="I649" s="84"/>
      <c r="J649" s="84"/>
      <c r="K649" s="84"/>
      <c r="L649" s="84"/>
      <c r="M649" s="84"/>
      <c r="N649" s="84"/>
      <c r="O649" s="84"/>
    </row>
    <row r="650" spans="1:24">
      <c r="A650" s="6" t="s">
        <v>2331</v>
      </c>
      <c r="B650" s="64" t="str">
        <f>IF(2&lt;3,"",IF(OR(NonProfit_Applicant&lt;&gt;"Yes",AND(Total_Units=0,total_units_in_NonAIT_setaside_chart=0)),"",IF(Minimum_SetAside_per_Sec_42=DS_FHFC_NonHC,""," The minimum IRS Safe-Harbor Set-Aside commitment for Non-Profit Applicants of "&amp;TEXT(Data1!B587,"0%")&amp;" may "&amp;IF(AND(SUM('Units, Set-Asides, Bldgs'!G52:H61)&gt;=Data1!B587,OR(AND(Minimum_SetAside_per_Sec_42=A572,SUM('Units, Set-Asides, Bldgs'!G52:G59)&gt;=ROUNDUP(20%*Total_Units,0)),SUM('Units, Set-Asides, Bldgs'!G52:G60)&gt;=ROUNDUP(40%*Total_Units,0)))," be met.","not be met, but would be dependent upon tenant incomes."))))</f>
        <v/>
      </c>
      <c r="C650" s="84"/>
      <c r="D650" s="84"/>
      <c r="E650" s="84"/>
      <c r="F650" s="84"/>
      <c r="G650" s="84"/>
      <c r="H650" s="84"/>
      <c r="I650" s="84"/>
      <c r="J650" s="84"/>
      <c r="K650" s="84"/>
      <c r="L650" s="84"/>
      <c r="M650" s="84"/>
      <c r="N650" s="84"/>
      <c r="O650" s="84"/>
    </row>
    <row r="651" spans="1:24">
      <c r="A651" s="1345" t="str">
        <f>"   Minimum &amp; Maximum HC Set-Aside for "&amp;IF('Units, Set-Asides, Bldgs'!P74=0,"Workforce",IF('Units, Set-Asides, Bldgs'!P74=2,"Live Local",IF('Units, Set-Asides, Bldgs'!P74=3,"Live Local SAIL","NA here")))</f>
        <v xml:space="preserve">   Minimum &amp; Maximum HC Set-Aside for Live Local SAIL</v>
      </c>
      <c r="B651" s="64" t="str">
        <f>IF(OR(Minimum_SetAside_per_Sec_42="Average Income Test",Minimum_SetAside_per_Sec_42=DS_FHFC_NonHC,OR(Total_Units=0,total_units_in_NonAIT_setaside_chart=0)),"",IF('Units, Set-Asides, Bldgs'!P74=1,""," For "&amp;IF('Units, Set-Asides, Bldgs'!P74=0,"Workforce","Live Local")&amp;" Developments, the minimum FHFC HC commitment of "&amp;TEXT(Data1!B583,"0%")&amp;" is "&amp;IF(SUM('Units, Set-Asides, Bldgs'!G52:G59)+IF(Minimum_SetAside_per_Sec_42&lt;&gt;DS_IRS_2050,'Units, Set-Asides, Bldgs'!G60,0)&gt;=Data1!B583,"","NOT ")&amp;"met"&amp;IF(SUM('Units, Set-Asides, Bldgs'!G52:G59)+IF(Minimum_SetAside_per_Sec_42&lt;&gt;DS_IRS_2050,'Units, Set-Asides, Bldgs'!G60,0)&gt;=Data1!B583=TRUE,IF(SUM('Units, Set-Asides, Bldgs'!G52:G59)+IF(Minimum_SetAside_per_Sec_42&lt;&gt;DS_IRS_2050,'Units, Set-Asides, Bldgs'!G60,0)&lt;=Data1!B584=TRUE," and ",", but "),IF(SUM('Units, Set-Asides, Bldgs'!G52:G59)+IF(Minimum_SetAside_per_Sec_42&lt;&gt;DS_IRS_2050,'Units, Set-Asides, Bldgs'!G60,0)&lt;=Data1!B584,", but "," and "))&amp;"the maximum HC commitment of "&amp;TEXT(Data1!B584,"0%")&amp;" is "&amp;IF(SUM('Units, Set-Asides, Bldgs'!G52:G59)+IF(Minimum_SetAside_per_Sec_42&lt;&gt;DS_IRS_2050,'Units, Set-Asides, Bldgs'!G60,0)&lt;=Data1!B584,"","NOT ")&amp;"met."))</f>
        <v/>
      </c>
      <c r="C651" s="84"/>
      <c r="D651" s="84"/>
      <c r="E651" s="84"/>
      <c r="F651" s="84"/>
      <c r="G651" s="84"/>
      <c r="H651" s="84"/>
      <c r="I651" s="84"/>
      <c r="J651" s="84"/>
      <c r="K651" s="84"/>
      <c r="L651" s="84"/>
      <c r="M651" s="84"/>
      <c r="N651" s="84"/>
      <c r="O651" s="84"/>
    </row>
    <row r="652" spans="1:24">
      <c r="A652" s="6" t="s">
        <v>2332</v>
      </c>
      <c r="B652" s="64" t="str">
        <f>IF(OR(Minimum_SetAside_per_Sec_42=DS_IRS_AIT,AND(Total_Units=0,total_units_in_NonAIT_setaside_chart=0)),"",IF(Minimum_SetAside_per_Sec_42=DS_FHFC_NonHC,"",IF(Demographic="Elderly ALF"," The minimum FHFC HC commitment for Elderly ALF Developments of "&amp;TEXT(Data1!B586,"0%")&amp;" is "&amp;IF(SUM('Units, Set-Asides, Bldgs'!G52:G59)+IF(Minimum_SetAside_per_Sec_42=DS_IRS_4060,'Units, Set-Asides, Bldgs'!G60,0)&gt;=Data1!B586,"","NOT ")&amp;"met.","")))</f>
        <v/>
      </c>
      <c r="C652" s="84"/>
      <c r="D652" s="84"/>
      <c r="E652" s="84"/>
      <c r="F652" s="84"/>
      <c r="G652" s="84"/>
      <c r="H652" s="84"/>
      <c r="I652" s="84"/>
      <c r="J652" s="84"/>
      <c r="K652" s="84"/>
      <c r="L652" s="84"/>
      <c r="M652" s="84"/>
      <c r="N652" s="84"/>
      <c r="O652" s="84"/>
    </row>
    <row r="653" spans="1:24">
      <c r="A653" s="1345" t="s">
        <v>2736</v>
      </c>
      <c r="B653" s="64" t="str">
        <f>IF(OR(Minimum_SetAside_per_Sec_42=DS_IRS_AIT,AND(Total_Units=0,total_units_in_NonAIT_setaside_chart=0)),"",IF(AND(C$578="Yes",C$579="Yes",OR(Demographic="Family",Demographic="Elderly Non-ALF"),OR(NonProfit_Applicant="No",NonProfit_Applicant="&lt;select one&gt;"),AND(total_HC_units_NonAIT&gt;=Data1!B$579,'Units, Set-Asides, Bldgs'!P49&lt;&gt;0))," The Development qualifies for the minimum FHFC RFA overall set-aside commitment of at least "&amp;TEXT(Data1!B$579,"0")&amp;" Set-Aside Units for a for profit Applicant with a Demographic Commitment of "&amp;Demographic&amp;".",IF(C$578="Yes"," The minimum FHFC RFA overall set-aside commitment of "&amp;TEXT(Data1!B$578,"0%")&amp;" is"&amp;IF(NonAIT_HC_SA_Percent+IF(OR('Units,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Bldgs'!P65=1,Workforce_AMI_120_NonAIT,0))&gt;=Data1!B$578," met",IF(AND('Units, Set-Asides, Bldgs'!N118=1,SUMIF('Units, Set-Asides, Bldgs'!I$120:I$132,"&lt;="&amp;IF(DS_Gap_AMI_Auto_YN="Yes",DS_Gap_AMI_Auto,DS_Gap_AMI_Max),'Units, Set-Asides, Bldgs'!G$120:G$132)&gt;=Data1!B$578),"n't"," NOT")&amp;" met"&amp;IF(C$579&lt;&gt;"Yes","",IF(AND(C$579="Yes",OR(Demographic="Family",Demographic="Elderly Non-ALF"),OR(NonProfit_Applicant="No",NonProfit_Applicant="&lt;select one&gt;"),AND(total_HC_units_NonAIT&gt;=Data1!B$579,'Units, Set-Asides, Bldgs'!P49&lt;&gt;0)),"."," and it does NOT qualify for minimum FHFC RFA overall set-aside commitment of at least "&amp;TEXT(Data1!B$579,"0")&amp;" Set-Aside Units for a for profit Applicant with a Demographic Commitment of Family or Elderly Non-ALF")))&amp;" with the "&amp;IF(Minimum_SetAside_per_Sec_42=DS_FHFC_NonHC,Data1!B591&amp;" Loan ",IF(RIGHT(Excel_RFA_Number,3)="213","Overall ","HC "))&amp;TEXT(NonAIT_HC_SA_Percent+IF(OR('Units,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Bldgs'!P65=1,Workforce_AMI_120_NonAIT,0)),"0%")&amp;" set-aside commitment.")&amp;IF(NonAIT_HC_SA_Percent+IF(OR('Units,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Bldgs'!P65=1,Workforce_AMI_120_NonAIT,0))&lt;IF(Minimum_SetAside_per_Sec_42=DS_FHFC_NonHC,Data1!B$592,Data1!B$578),IF('Units, Set-Asides, Bldgs'!N118=0,"",IF(SUMIF('Units, Set-Asides, Bldgs'!I$120:I$132,"&lt;="&amp;IF(DS_Gap_AMI_Auto_YN="Yes",DS_Gap_AMI_Auto,DS_Gap_AMI_Max),'Units, Set-Asides, Bldgs'!G$120:G$132)&gt;=Data1!B$578," However,"," In addition,")&amp;" the "&amp;DS_Gap_Name&amp;" Set-Aside table shows the minimum FHFC RFA overall set-aside commitment is"&amp;IF(SUMIF('Units, Set-Asides, Bldgs'!I$120:I$132,"&lt;="&amp;IF(DS_Gap_AMI_Auto_YN="Yes",DS_Gap_AMI_Auto,DS_Gap_AMI_Max),'Units, Set-Asides, Bldgs'!G$120:G$132)&gt;=Data1!B$578,""," NOT")&amp;" met with a "&amp;DS_Gap_Name&amp;" commitment of "&amp;TEXT(SUMIF('Units, Set-Asides, Bldgs'!I$120:I$132,"&lt;="&amp;IF(DS_Gap_AMI_Auto_YN="Yes",DS_Gap_AMI_Auto,DS_Gap_AMI_Max),'Units, Set-Asides, Bldgs'!G$120:G$132),"0%")&amp;"."),"")))</f>
        <v/>
      </c>
      <c r="C653" s="84"/>
      <c r="D653" s="84"/>
      <c r="E653" s="84"/>
      <c r="F653" s="84"/>
      <c r="G653" s="84"/>
      <c r="H653" s="84"/>
      <c r="I653" s="84"/>
      <c r="J653" s="84"/>
      <c r="K653" s="84"/>
      <c r="L653" s="84"/>
      <c r="M653" s="84"/>
      <c r="N653" s="84"/>
      <c r="O653" s="84"/>
    </row>
    <row r="654" spans="1:24">
      <c r="A654" s="1345" t="s">
        <v>2800</v>
      </c>
      <c r="B654" s="728" t="str">
        <f>IF(OR(Minimum_SetAside_per_Sec_42=DS_IRS_AIT,AND(Total_Units=0,total_units_in_NonAIT_setaside_chart=0)),"",IF(IF(Self_Sourced_Applicant="Yes",DS_Min_ELI_NonAIT_SS+IF(B$620="Yes",DS_Min_ELI_NonAIT_Buy_SS,0),DS_Min_ELI_NonAIT_NSS+IF(Minimum_SetAside_per_Sec_42=DS_FHFC_NonHC,IF(B$621&lt;&gt;"Yes",0,DS_Min_ELI_NonAIT_Buy_NSS),IF(B$619&lt;&gt;"Yes",0,DS_Min_ELI_NonAIT_Buy_NSS)))&gt;0," The minimum FHFC ELI commitment of "&amp;TEXT(IF(LDA_Notice="LDA",DS_Min_ELI_LDA,IF(Self_Sourced_Applicant="Yes",DS_Min_ELI_NonAIT_SS+IF(B$620="Yes",DS_Min_ELI_NonAIT_Buy_SS,0),DS_Min_ELI_NonAIT_NSS+IF(Minimum_SetAside_per_Sec_42=DS_FHFC_NonHC,IF(B$621&lt;&gt;"Yes",0,DS_Min_ELI_NonAIT_Buy_NSS),IF(B$619&lt;&gt;"Yes",0,DS_Min_ELI_NonAIT_Buy_NSS)))),"0%")&amp;IF(OR(DS_ELI_UnitLimit&lt;&gt;"Yes",DS_ELI_UnitLimit_Exception_Goal_Met="MEETS"),"",", with a required ELI unit limit of "&amp;TEXT(DS_ELI_UnitLimit_Units,"0")&amp;" units,")&amp;" is "&amp;IF(OR(I615&gt;=DS_Minimum_ELI,IF(OR(DS_ELI_UnitLimit&lt;&gt;"Yes",DS_ELI_UnitLimit_Exception_Goal_Met="MEETS"),FALSE,M615&gt;=DS_ELI_UnitLimit_Units)),"","NOT ")&amp;"met with an ELI commitment of "&amp;IF(OR(OR(DS_ELI_UnitLimit&lt;&gt;"Yes",DS_ELI_UnitLimit_Exception_Goal_Met="MEETS"),AND(DS_ELI_UnitLimit="Yes",M615&lt;DS_ELI_UnitLimit_Units),I615&gt;=DS_Minimum_ELI),TEXT(I615,"0%")&amp;IF(OR(DS_ELI_UnitLimit&lt;&gt;"Yes",DS_ELI_UnitLimit_Exception_Goal_Met="MEETS"),"."," ("&amp;TEXT(M615,"0")&amp;" units)."),TEXT(M615,"0")&amp;" units ("&amp;TEXT(I615,"0.00%")&amp;")."),""))</f>
        <v/>
      </c>
      <c r="C654" s="84"/>
      <c r="D654" s="84"/>
      <c r="E654" s="84"/>
      <c r="F654" s="84"/>
      <c r="G654" s="84"/>
      <c r="H654" s="84"/>
      <c r="I654" s="84"/>
      <c r="J654" s="84"/>
      <c r="K654" s="84"/>
      <c r="L654" s="84"/>
      <c r="M654" s="84"/>
      <c r="N654" s="84"/>
      <c r="O654" s="84"/>
    </row>
    <row r="655" spans="1:24">
      <c r="A655" s="1524" t="s">
        <v>2334</v>
      </c>
      <c r="B655" s="790" t="str">
        <f>IF(OR(Minimum_SetAside_per_Sec_42=DS_IRS_AIT,AND(Total_Units=0,total_units_in_NonAIT_setaside_chart=0)),"",IF(IF(AND(Self_Sourced_Applicant="Yes",$H$636="Yes"),$B$636,0)&gt;0," The minimum FHFC commitment for units below 50% AMI of "&amp;TEXT(IF(AND(Self_Sourced_Applicant="Yes",$H$636="Yes"),$B$636,0),"0%")&amp;" is "&amp;IF(SUM('Units, Set-Asides, Bldgs'!$G$52:$G$58)&gt;=$B$636,"","NOT ")&amp;"met with a commitment of "&amp;TEXT(SUM('Units, Set-Asides, Bldgs'!$G$52:$G$58),"0%")&amp;".",""))</f>
        <v/>
      </c>
      <c r="C655" s="318"/>
      <c r="D655" s="318"/>
      <c r="E655" s="318"/>
      <c r="F655" s="318"/>
      <c r="G655" s="318"/>
      <c r="H655" s="318"/>
      <c r="I655" s="318"/>
      <c r="J655" s="318"/>
      <c r="K655" s="318"/>
      <c r="L655" s="318"/>
      <c r="M655" s="318"/>
      <c r="N655" s="318"/>
      <c r="O655" s="318"/>
    </row>
    <row r="656" spans="1:24" ht="15.75">
      <c r="A656" s="1781" t="str">
        <f>"Section 4.A.6."&amp;'Units, Set-Asides, Bldgs'!A$34&amp;"."&amp;'Units, Set-Asides, Bldgs'!B$47&amp;"("&amp;'Units, Set-Asides, Bldgs'!C$76&amp;") Set-Aside Table (AIT)"</f>
        <v>Section 4.A.6.c.(3)(b) Set-Aside Table (AIT)</v>
      </c>
      <c r="B656" s="470"/>
      <c r="C656" s="470"/>
      <c r="D656" s="470"/>
      <c r="E656" s="470"/>
      <c r="F656" s="470"/>
      <c r="G656" s="470"/>
      <c r="H656" s="470"/>
      <c r="I656" s="470"/>
      <c r="J656" s="470"/>
      <c r="K656" s="470"/>
      <c r="L656" s="470"/>
      <c r="M656" s="470"/>
      <c r="N656" s="470"/>
      <c r="O656" s="470"/>
    </row>
    <row r="657" spans="1:15">
      <c r="A657" s="1329" t="s">
        <v>2330</v>
      </c>
      <c r="B657" s="84" t="str">
        <f>IF(OR(AND(RIGHT(Excel_RFA_Number,3)="214",Minimum_SetAside_per_Sec_42&lt;&gt;DS_FHFC_NonHC,Minimum_SetAside_per_Sec_42&lt;&gt;"Average Income Test"),AND(RIGHT(Excel_RFA_Number,3)&lt;&gt;"214",RIGHT(Excel_RFA_Number,3)&lt;&gt;"216",Minimum_SetAside_per_Sec_42&lt;&gt;"Average Income Test"),AND(RIGHT(Excel_RFA_Number,3)="216",Minimum_SetAside_per_Sec_42&lt;&gt;DS_FHFC_NonHC,Minimum_SetAside_per_Sec_42&lt;&gt;"Average Income Test"),AND(Total_Units=0,Total_AIT_Chart_Units=0)),"","All of the units have "&amp;IF(AND(Total_Units&gt;0,Total_Units=Total_AIT_Chart_Units),"","NOT ")&amp;"been entered in the "&amp;IF(RIGHT(Excel_RFA_Number,3)="216","Live Local Only (No HC)","AIT")&amp;" Set-Aside Chart"&amp;IF(N(Workforce_80_AIT_Units)+N(Workforce_90_AIT_Units)+N(Workforce_100_AIT_Units)+N(Workforce_110_AIT_Units)+N(Workforce_120_AIT_Units)+N(Market_AIT_Units)&gt;0,", including "&amp;IF(N(Workforce_80_AIT_Units)&gt;0,TEXT(N(Workforce_80_AIT_Units),"0")&amp;" "&amp;'Units, Set-Asides, Bldgs'!J86,"")&amp;IF(N(Workforce_80_AIT_Units)&gt;0,IF(COUNTIF('Units, Set-Asides, Bldgs'!F$87:F$91,"&gt;0")=1," and ",IF(COUNTIF('Units, Set-Asides, Bldgs'!F$87:F$91,"&gt;0")&gt;1,", ","")),"")&amp;IF(N(Workforce_90_AIT_Units)&gt;0,TEXT(N(Workforce_90_AIT_Units),"0")&amp;" "&amp;'Units, Set-Asides, Bldgs'!J87,"")&amp;IF(N(Workforce_90_AIT_Units)&gt;0,IF(COUNTIF('Units, Set-Asides, Bldgs'!F$88:F$91,"&gt;0")=1," and ",IF(COUNTIF('Units, Set-Asides, Bldgs'!F$88:F$91,"&gt;0")&gt;1,", ","")),"")&amp;IF(N(Workforce_100_AIT_Units)&gt;0,TEXT(N(Workforce_100_AIT_Units),"0")&amp;" "&amp;'Units, Set-Asides, Bldgs'!J88,"")&amp;IF(N(Workforce_100_AIT_Units)&gt;0,IF(COUNTIF('Units, Set-Asides, Bldgs'!F$89:F$91,"&gt;0")=1," and ",IF(COUNTIF('Units, Set-Asides, Bldgs'!F$89:F$91,"&gt;0")&gt;1,", ","")),"")&amp;IF(N(Workforce_110_AIT_Units)&gt;0,TEXT(N(Workforce_110_AIT_Units),"0")&amp;" "&amp;'Units, Set-Asides, Bldgs'!J89,"")&amp;IF(N(Workforce_110_AIT_Units)&gt;0,IF(COUNTIF('Units, Set-Asides, Bldgs'!F$90:F$91,"&gt;0")=1," and ",IF(COUNTIF('Units, Set-Asides, Bldgs'!F$90:F$91,"&gt;0")&gt;1,", ","")),"")&amp;IF(N(Workforce_120_AIT_Units)&gt;0,TEXT(N(Workforce_120_AIT_Units),"0")&amp;" "&amp;'Units, Set-Asides, Bldgs'!J90,"")&amp;IF(AND(N(Workforce_120_AIT_Units)&gt;0,N(Market_AIT_Units)&gt;0)," and ","")&amp;IF(N(Market_AIT_Units)&gt;0,TEXT(Market_AIT_Units,"0")&amp;" "&amp;'Units, Set-Asides, Bldgs'!J91,"")&amp;".","."))</f>
        <v/>
      </c>
      <c r="C657" s="84"/>
      <c r="D657" s="84"/>
      <c r="E657" s="84"/>
      <c r="F657" s="84"/>
      <c r="G657" s="84"/>
      <c r="H657" s="84"/>
      <c r="I657" s="84"/>
      <c r="J657" s="84"/>
      <c r="K657" s="84"/>
      <c r="L657" s="84"/>
      <c r="M657" s="84"/>
      <c r="N657" s="84"/>
      <c r="O657" s="84"/>
    </row>
    <row r="658" spans="1:15">
      <c r="A658" s="1345" t="str">
        <f>"   Minimum IRS/"&amp;DS_Loan_Name&amp;" Set-Aside"</f>
        <v xml:space="preserve">   Minimum IRS/Live Local SAIL Set-Aside</v>
      </c>
      <c r="B658" s="64" t="str">
        <f>IF(OR(AND(RIGHT(Excel_RFA_Number,3)="214",Minimum_SetAside_per_Sec_42&lt;&gt;DS_FHFC_NonHC,Minimum_SetAside_per_Sec_42&lt;&gt;"Average Income Test"),AND(RIGHT(Excel_RFA_Number,3)="215",Minimum_SetAside_per_Sec_42&lt;&gt;DS_FHFC_NonHC,Minimum_SetAside_per_Sec_42&lt;&gt;"Average Income Test"),AND(RIGHT(Excel_RFA_Number,3)="216",Minimum_SetAside_per_Sec_42&lt;&gt;DS_FHFC_NonHC,Minimum_SetAside_per_Sec_42&lt;&gt;"Average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Test"),AND(Total_Units=0,Total_AIT_Chart_Units=0)),"",IF(Minimum_SetAside_per_Sec_42="Average Income Test"," With a commitment of "&amp;TEXT(total_HC_units_AIT,"0")&amp;" qualifying units, the minimum IRS commitment of 40% ("&amp;TEXT(ROUNDUP(40%*N(Total_Units),0),"0")&amp;" units) is"&amp;IF(AIT_HC_SA_Percent&gt;=40%,""," NOT")&amp;" met.","")&amp;" The average AMI of the qualifying units must be 60% or less which is "&amp;IF(avg_AMI_HC_Units_in_AIT_chart&lt;=60%,"","NOT ")&amp;"met with an average of "&amp;TEXT(avg_AMI_HC_Units_in_AIT_chart,"0.000%")&amp;".")</f>
        <v/>
      </c>
      <c r="C658" s="84"/>
      <c r="D658" s="84"/>
      <c r="E658" s="84"/>
      <c r="F658" s="84"/>
      <c r="G658" s="84"/>
      <c r="H658" s="84"/>
      <c r="I658" s="84"/>
      <c r="J658" s="84"/>
      <c r="K658" s="84"/>
      <c r="L658" s="84"/>
      <c r="M658" s="84"/>
      <c r="N658" s="84"/>
      <c r="O658" s="84"/>
    </row>
    <row r="659" spans="1:15">
      <c r="A659" s="1345" t="s">
        <v>2331</v>
      </c>
      <c r="B659" s="64" t="str">
        <f>IF(2&lt;3,"",IF(OR(NonProfit_Applicant&lt;&gt;"Yes",AND(Total_Units=0,Total_AIT_Chart_Units=0)),""," The minimum IRS Safe-Harbor Set-Aside commitment for Non-Profit Applicants of "&amp;TEXT(Data1!B587,"0%")&amp;" ("&amp;TEXT(ROUNDUP(Data1!B587*Total_Units,0),"0")&amp;" units) may "&amp;IF(AND(AIT_HC_SA_Percent&gt;=Data1!B587,total_HC_units_AIT&gt;=ROUNDUP(40%*Total_Units,0))," be met.","not be met, but would be dependent upon tenant incomes.")))</f>
        <v/>
      </c>
      <c r="C659" s="84"/>
      <c r="D659" s="84"/>
      <c r="E659" s="84"/>
      <c r="F659" s="84"/>
      <c r="G659" s="84"/>
      <c r="H659" s="84"/>
      <c r="I659" s="84"/>
      <c r="J659" s="84"/>
      <c r="K659" s="84"/>
      <c r="L659" s="84"/>
      <c r="M659" s="84"/>
      <c r="N659" s="84"/>
      <c r="O659" s="84"/>
    </row>
    <row r="660" spans="1:15">
      <c r="A660" s="1345" t="str">
        <f>"   Minimum &amp; Maximum Set-Asides for HC (if applicable)"&amp;IF('Units, Set-Asides, Bldgs'!P74=0," and Workforce",IF('Units, Set-Asides, Bldgs'!P74=2,"and Live Local",IF('Units, Set-Asides, Bldgs'!P74=3," and Live Local SAIL"," NA here")))</f>
        <v xml:space="preserve">   Minimum &amp; Maximum Set-Asides for HC (if applicable) and Live Local SAIL</v>
      </c>
      <c r="B660" s="64" t="str">
        <f>IF(OR(AND(RIGHT(Excel_RFA_Number,3)="214",Minimum_SetAside_per_Sec_42&lt;&gt;DS_FHFC_NonHC,Minimum_SetAside_per_Sec_42&lt;&gt;"Average Income Test"),RIGHT(Excel_RFA_Number,3)="215",AND(RIGHT(Excel_RFA_Number,3)="216",Minimum_SetAside_per_Sec_42&lt;&gt;DS_FHFC_NonHC,Minimum_SetAside_per_Sec_42&lt;&gt;"Average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Test"),AND(Total_Units=0,Total_AIT_Chart_Units=0)),"",IF('Units, Set-Asides, Bldgs'!P74=1,"",IF(AND('Units, Set-Asides, Bldgs'!P74=2,IFERROR(FIND("Applicant",DS_Comment_LL_HC_SA_b),0)&gt;0),""," For "&amp;IF('Units, Set-Asides, Bldgs'!P74=0,"Workforce",IF(OR('Units, Set-Asides, Bldgs'!P74=2,AND('Units, Set-Asides, Bldgs'!P74=3,OR(RIGHT(Excel_RFA_Number,3)="214",RIGHT(Excel_RFA_Number,3)="215")),Minimum_SetAside_per_Sec_42=DS_FHFC_NonHC),"Live Local","Housing Credit"))&amp;" Developments, the minimum set-aside commitment "&amp;IF(B585="Yes","of HC units =&lt; 60% AMI ","")&amp;"of "&amp;TEXT(Data1!B583,"0%")&amp;" ("&amp;TEXT(ROUNDUP(Data1!B583*N(Total_Units),0),"0")&amp;" units) and the maximum set-aside commitment of "&amp;TEXT(Data1!B584,"0%")&amp;" ("&amp;TEXT(ROUNDUP(Data1!B584*N(Total_Units),0),"0")&amp;" units) is "&amp;IF(AND(J583&gt;=I583,J583&lt;=I584),"","NOT ")&amp;"met with a commitment of "&amp;TEXT(J583,"0")&amp;" units.")))</f>
        <v/>
      </c>
      <c r="C660" s="84"/>
      <c r="D660" s="84"/>
      <c r="E660" s="84"/>
      <c r="F660" s="84"/>
      <c r="G660" s="84"/>
      <c r="H660" s="84"/>
      <c r="I660" s="84"/>
      <c r="J660" s="84"/>
      <c r="K660" s="84"/>
      <c r="L660" s="84"/>
      <c r="M660" s="84"/>
      <c r="N660" s="84"/>
      <c r="O660" s="84"/>
    </row>
    <row r="661" spans="1:15">
      <c r="A661" s="1345" t="s">
        <v>2332</v>
      </c>
      <c r="B661" s="64" t="str">
        <f>IF(OR(Minimum_SetAside_per_Sec_42&lt;&gt;DS_IRS_AIT,AND(Total_Units=0,Total_AIT_Chart_Units=0)),"",IF(Demographic="Elderly ALF"," The minimum FHFC HC commitment for Elderly ALF Developments of "&amp;TEXT(Data1!B586,"0%")&amp;" is "&amp;IF(AIT_HC_SA_Percent&gt;=Data1!B586,"","NOT ")&amp;"met.",""))</f>
        <v/>
      </c>
      <c r="C661" s="84"/>
      <c r="D661" s="84"/>
      <c r="E661" s="84"/>
      <c r="F661" s="84"/>
      <c r="G661" s="84"/>
      <c r="H661" s="84"/>
      <c r="I661" s="84"/>
      <c r="J661" s="84"/>
      <c r="K661" s="84"/>
      <c r="L661" s="84"/>
      <c r="M661" s="84"/>
      <c r="N661" s="84"/>
      <c r="O661" s="84"/>
    </row>
    <row r="662" spans="1:15">
      <c r="A662" s="1345" t="s">
        <v>2737</v>
      </c>
      <c r="B662" s="64" t="str">
        <f>IF(OR(AND(RIGHT(Excel_RFA_Number,3)="214",Minimum_SetAside_per_Sec_42&lt;&gt;DS_FHFC_NonHC,Minimum_SetAside_per_Sec_42&lt;&gt;"Average Income Test"),AND(RIGHT(Excel_RFA_Number,3)="215",Minimum_SetAside_per_Sec_42&lt;&gt;DS_FHFC_NonHC,Minimum_SetAside_per_Sec_42&lt;&gt;"Average Income Test"),AND(RIGHT(Excel_RFA_Number,3)="216",Minimum_SetAside_per_Sec_42&lt;&gt;DS_FHFC_NonHC,Minimum_SetAside_per_Sec_42&lt;&gt;"Average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Test"),AND(Total_Units=0,Total_AIT_Chart_Units=0)),"",IF(AND(C$578="Yes",C$579="Yes",OR(Demographic="Family",Demographic="Elderly Non-ALF"),OR(NonProfit_Applicant="No",NonProfit_Applicant="&lt;select one&gt;"),AND(total_HC_units_AIT&gt;=Data1!B$579,'Units, Set-Asides, Bldgs'!P76&lt;&gt;0)),"The Development qualifies for the minimum FHFC RFA overall set-aside commitment of at least "&amp;TEXT(Data1!B$579,"0")&amp;" Set-Aside Units for a for profit Applicant with a Demographic Commitment of "&amp;Demographic&amp;".",IF(C$578="Yes"," The minimum FHFC RFA overall set-aside commitment of "&amp;TEXT(DS_HC_Min_SA_Perc,"0%")&amp;" ("&amp;TEXT(ROUNDUP(DS_HC_Min_SA_Perc*N(Total_Units),0),"0")&amp;" units) is"&amp;IF(total_HC_units_AIT+IF('Units, Set-Asides, Bldgs'!P74=1,0,'Units, Set-Asides, Bldgs'!G86+IF('Units, Set-Asides, Bldgs'!P87=0,0,'Units, Set-Asides, Bldgs'!G87)+IF('Units, Set-Asides, Bldgs'!P88=0,0,'Units, Set-Asides, Bldgs'!G88)+IF('Units, Set-Asides, Bldgs'!P89=0,0,'Units, Set-Asides, Bldgs'!G89)+IF('Units, Set-Asides, Bldgs'!P90=0,0,'Units, Set-Asides, Bldgs'!G90))&gt;=DS_HC_Min_SA_Perc," met",IF(AND('Units, Set-Asides, Bldgs'!N118=1,SUMIF('Units, Set-Asides, Bldgs'!I$120:I$132,"&lt;="&amp;IF(DS_Gap_AMI_Auto_YN="Yes",DS_Gap_AMI_Auto,DS_Gap_AMI_Max),'Units, Set-Asides, Bldgs'!G$120:G$132)&gt;=Data1!B$578),"n't"," NOT")&amp;" met"&amp;IF(C$579&lt;&gt;"Yes","",IF(AND(C$579="Yes",OR(Demographic="Family",Demographic="Elderly Non-ALF"),OR(NonProfit_Applicant="No",NonProfit_Applicant="&lt;select one&gt;"),AND(total_HC_units_AIT&gt;=Data1!B$579,'Units, Set-Asides, Bldgs'!P76&lt;&gt;0)),"."," and it does NOT qualify for minimum FHFC RFA overall set-aside commitment of at least "&amp;TEXT(Data1!B$579,"0")&amp;" Set-Aside Units for a for profit Applicant with a Demographic Commitment of Family or Elderly Non-ALF")))&amp;" with a "&amp;IF(OR(RIGHT(Excel_RFA_Number,3)="214",RIGHT(Excel_RFA_Number,3)="215",RIGHT(Excel_RFA_Number,3)="216"),IF(Minimum_SetAside_per_Sec_42=DS_FHFC_NonHC,"Live Local SAIL Only","LIve Local SAIL and HC"),"HC")&amp;" commitment of "&amp;TEXT(total_HC_units_AIT+IF('Units, Set-Asides, Bldgs'!P74=1,0,Workforce_80_AIT_Units+IF('Units, Set-Asides, Bldgs'!P87=0,0,Workforce_90_AIT_Units)+IF('Units, Set-Asides, Bldgs'!P88=0,0,Workforce_100_AIT_Units)+IF('Units, Set-Asides, Bldgs'!P89=0,0,Workforce_110_AIT_Units)+IF('Units, Set-Asides, Bldgs'!P90=0,0,Workforce_120_AIT_Units)),"0")&amp;" units.","")&amp;IF(AIT_HC_SA_Percent+IF('Units, Set-Asides, Bldgs'!P74=1,0,'Units, Set-Asides, Bldgs'!G86+IF('Units, Set-Asides, Bldgs'!P87=0,0,'Units, Set-Asides, Bldgs'!G87)+IF('Units, Set-Asides, Bldgs'!P88=0,0,'Units, Set-Asides, Bldgs'!G88)+IF('Units, Set-Asides, Bldgs'!P89=0,0,'Units, Set-Asides, Bldgs'!G89)+IF('Units, Set-Asides, Bldgs'!P90=0,0,'Units, Set-Asides, Bldgs'!G90))&lt;DS_HC_Min_SA_Perc,IF('Units, Set-Asides, Bldgs'!N118=0,"",IF(SUMIF('Units, Set-Asides, Bldgs'!I$120:I$132,"&lt;="&amp;IF(DS_Gap_AMI_Auto_YN="Yes",DS_Gap_AMI_Auto,DS_Gap_AMI_Max),'Units, Set-Asides, Bldgs'!G$120:G$132)&gt;=DS_HC_Min_SA_Perc," However"," In addition")&amp;", the "&amp;DS_Gap_Name&amp;" Set-Aside table shows the minimum FHFC RFA overall set-aside commitment is"&amp;IF(SUMIF('Units, Set-Asides, Bldgs'!I$120:I$132,"&lt;="&amp;IF(DS_Gap_AMI_Auto_YN="Yes",DS_Gap_AMI_Auto,DS_Gap_AMI_Max),'Units, Set-Asides, Bldgs'!G$120:G$132)&gt;=Data1!B$578,""," NOT")&amp;" met with a "&amp;DS_Gap_Name&amp;" commitment of "&amp;TEXT(SUMIF('Units, Set-Asides, Bldgs'!I$120:I$132,"&lt;="&amp;IF(DS_Gap_AMI_Auto_YN="Yes",DS_Gap_AMI_Auto,DS_Gap_AMI_Max),'Units, Set-Asides, Bldgs'!G$120:G$132),"0%")&amp;"."),"")))</f>
        <v/>
      </c>
      <c r="C662" s="84"/>
      <c r="D662" s="84"/>
      <c r="E662" s="84"/>
      <c r="F662" s="84"/>
      <c r="G662" s="84"/>
      <c r="H662" s="84"/>
      <c r="I662" s="84"/>
      <c r="J662" s="84"/>
      <c r="K662" s="84"/>
      <c r="L662" s="84"/>
      <c r="M662" s="84"/>
      <c r="N662" s="84"/>
      <c r="O662" s="84"/>
    </row>
    <row r="663" spans="1:15">
      <c r="A663" s="1345" t="s">
        <v>2333</v>
      </c>
      <c r="B663" s="64" t="str">
        <f>IF(OR(AND(RIGHT(Excel_RFA_Number,3)="214",Minimum_SetAside_per_Sec_42&lt;&gt;DS_FHFC_NonHC,Minimum_SetAside_per_Sec_42&lt;&gt;"Average Income Test"), AND(RIGHT(Excel_RFA_Number,3)="215",Minimum_SetAside_per_Sec_42&lt;&gt;DS_FHFC_NonHC,Minimum_SetAside_per_Sec_42&lt;&gt;"Average Income Test"),AND(RIGHT(Excel_RFA_Number,3)&lt;&gt;"214",RIGHT(Excel_RFA_Number,3)&lt;&gt;"215",Minimum_SetAside_per_Sec_42&lt;&gt;"Average Income Test"),AND(Total_Units=0,Total_AIT_Chart_Units=0)),"",IF(IF(Self_Sourced_Applicant="Yes",DS_Min_ELI_AIT_SS+IF(B620="Yes",DS_Min_ELI_AIT_Buy_SS,0),MAX(IF(LDA_Notice="LDA",DS_Min_ELI_LDA,0),DS_Min_ELI_AIT_NSS+IF(B619="Yes",DS_Min_ELI_AIT_Buy_NSS,0)))&gt;0," The minimum FHFC ELI commitment (at 30% AMI or less) of "&amp;TEXT(IF(LDA_Notice="LDA",DS_Min_ELI_LDA,IF(Self_Sourced_Applicant="Yes",DS_Min_ELI_AIT_SS+IF(B620="Yes",DS_Min_ELI_AIT_Buy_SS,0),DS_Min_ELI_AIT_NSS+IF(B619="Yes",DS_Min_ELI_AIT_Buy_NSS,0))),"0%")&amp;" ("&amp;TEXT(ROUNDUP(IF(LDA_Notice="LDA",DS_Min_ELI_LDA,IF(Self_Sourced_Applicant="Yes",DS_Min_ELI_AIT_SS+IF(B620="Yes",DS_Min_ELI_AIT_Buy_SS,0),DS_Min_ELI_AIT_NSS+IF(B619="Yes",DS_Min_ELI_AIT_Buy_NSS,0)))*Total_Units,0),"0")&amp;" units) is "&amp;IF(OR(ROUND(IF(LDA_Notice="LDA",DS_Min_ELI_LDA,IF(Self_Sourced_Applicant="Yes",DS_Min_ELI_AIT_SS+IF(B620="Yes",DS_Min_ELI_AIT_Buy_SS,0),DS_Min_ELI_AIT_NSS+IF(B619="Yes",DS_Min_ELI_AIT_Buy_NSS,0)))*Total_Units,0)&lt;= twenty_AMI_AIT_Units+thirty_AMI_AIT_Units,IF(OR(DS_ELI_UnitLimit&lt;&gt;"Yes",DS_ELI_UnitLimit_Exception_Goal_Met="MEETS"),FALSE,N615&gt;=DS_ELI_UnitLimit_Units)),"","NOT ")&amp;"met with an ELI commitment of "&amp;TEXT(twenty_AMI_AIT_Units+thirty_AMI_AIT_Units,"0")&amp;" units.",""))</f>
        <v/>
      </c>
      <c r="C663" s="84"/>
      <c r="D663" s="84"/>
      <c r="E663" s="84"/>
      <c r="F663" s="84"/>
      <c r="G663" s="84"/>
      <c r="H663" s="84"/>
      <c r="I663" s="84"/>
      <c r="J663" s="84"/>
      <c r="K663" s="84"/>
      <c r="L663" s="84"/>
      <c r="M663" s="84"/>
      <c r="N663" s="84"/>
      <c r="O663" s="84"/>
    </row>
    <row r="664" spans="1:15">
      <c r="A664" s="1967" t="s">
        <v>2445</v>
      </c>
      <c r="B664" s="64" t="str">
        <f>IF(OR(AND(RIGHT(Excel_RFA_Number,3)="214",Minimum_SetAside_per_Sec_42&lt;&gt;DS_FHFC_NonHC,Minimum_SetAside_per_Sec_42&lt;&gt;DS_IRS_AIT),AND(RIGHT(Excel_RFA_Number,3)&lt;&gt;"214",Minimum_SetAside_per_Sec_42&lt;&gt;DS_IRS_AIT),RIGHT(Excel_RFA_Number,3)&lt;&gt;"213",Total_Units=0,Total_AIT_Chart_Units=0,SUM(Funding!O38:O44)=0),"",IF(AND(total_HC_units_AIT&gt;ROUNDUP(Total_Units*50%,0),(eighty_AMI_AIT_Units+Workforce_80_AIT_Units)/Total_Units&gt;=40%)," The Applicant provided the minimum 80% AMI units of 40% ("&amp;TEXT(ROUNDUP(40%*Total_Units,0),"0")&amp;" units) with a commitment of "&amp;TEXT(eighty_AMI_AIT_Units+Workforce_80_AIT_Units,"0")&amp;" units, when the HC set-aside commitment exceeds 50% of the total units ("&amp;TEXT(ROUNDUP(50%*Total_Units,0),"0")&amp;" units).",IF(AND(total_HC_units_AIT&gt;ROUNDUP(Total_Units*50%,0),(eighty_AMI_AIT_Units+Workforce_80_AIT_Units)/Total_Units&lt;40%)," The minimum commitment of 80% AMI units of 40% ("&amp;TEXT(ROUNDUP(40%*Total_Units,0),"0")&amp;" units) with a commitment of "&amp;TEXT(eighty_AMI_AIT_Units+Workforce_80_AIT_Units,"0")&amp;" units, has NOT been met when the HC unit set-aside commitment exceeds 50% of the total units ("&amp;TEXT(ROUNDUP(50%*Total_Units,0),"0")&amp;" units).","")))</f>
        <v/>
      </c>
      <c r="C664" s="84"/>
      <c r="D664" s="84"/>
      <c r="E664" s="84"/>
      <c r="F664" s="84"/>
      <c r="G664" s="84"/>
      <c r="H664" s="84"/>
      <c r="I664" s="84"/>
      <c r="J664" s="84"/>
      <c r="K664" s="84"/>
      <c r="L664" s="84"/>
      <c r="M664" s="84"/>
      <c r="N664" s="84"/>
      <c r="O664" s="84"/>
    </row>
    <row r="665" spans="1:15">
      <c r="A665" s="396" t="s">
        <v>2334</v>
      </c>
      <c r="B665" s="394" t="str">
        <f>IF(OR(Minimum_SetAside_per_Sec_42&lt;&gt;DS_IRS_AIT,AND(Total_Units=0,Total_AIT_Chart_Units=0)),"",IF(IF(AND(Self_Sourced_Applicant="Yes",$H$636="Yes"),$B$637,0)&gt;0," The minimum FHFC commitment for units below 50% AMI of "&amp;TEXT(IF(AND(Self_Sourced_Applicant="Yes",$H$636="Yes"),$B$637,0),"0%")&amp;" is "&amp;IF(SUM('Units, Set-Asides, Bldgs'!$G$79:$G$81)&gt;=$B$637,"","NOT ")&amp;"met with a commitment of "&amp;TEXT(SUM('Units, Set-Asides, Bldgs'!$G$79:$G$81),"0%")&amp;".",""))</f>
        <v/>
      </c>
      <c r="C665" s="318"/>
      <c r="D665" s="318"/>
      <c r="E665" s="318"/>
      <c r="F665" s="318"/>
      <c r="G665" s="318"/>
      <c r="H665" s="318"/>
      <c r="I665" s="318"/>
      <c r="J665" s="318"/>
      <c r="K665" s="318"/>
      <c r="L665" s="318"/>
      <c r="M665" s="318"/>
      <c r="N665" s="318"/>
      <c r="O665" s="318"/>
    </row>
    <row r="666" spans="1:15" ht="15.75">
      <c r="A666" s="1781" t="str">
        <f>"Section 4.A.6."&amp;'Units, Set-Asides, Bldgs'!A$34&amp;"."&amp;'Units, Set-Asides, Bldgs'!B$47&amp;"("&amp;'Units, Set-Asides, Bldgs'!C$117&amp;") Set-Aside Table (Gap)"</f>
        <v>Section 4.A.6.c.(3)(c) Set-Aside Table (Gap)</v>
      </c>
      <c r="B666" s="470"/>
      <c r="C666" s="470"/>
      <c r="D666" s="470"/>
      <c r="E666" s="470"/>
      <c r="F666" s="470"/>
      <c r="G666" s="470"/>
      <c r="H666" s="470"/>
      <c r="I666" s="470"/>
      <c r="J666" s="470"/>
      <c r="K666" s="470"/>
      <c r="L666" s="470"/>
      <c r="M666" s="470"/>
      <c r="N666" s="470"/>
      <c r="O666" s="470"/>
    </row>
    <row r="667" spans="1:15">
      <c r="A667" t="s">
        <v>2330</v>
      </c>
      <c r="B667" s="84" t="str">
        <f>IF(AND(Total_Units=0,Total_Gap_Chart_Units=0),"",IF(DS_Gap_YN="No","This RFA is set-up to not have Gap funding.","All of the units have "&amp;IF(Total_Units=Total_Gap_Chart_Units,"","NOT ")&amp;"been entered in the "&amp;DS_Gap_Name&amp;" Set-Aside Chart."))</f>
        <v/>
      </c>
      <c r="C667" s="84"/>
      <c r="D667" s="84"/>
      <c r="E667" s="84"/>
      <c r="F667" s="84"/>
      <c r="G667" s="84"/>
      <c r="H667" s="84"/>
      <c r="I667" s="84"/>
      <c r="J667" s="84"/>
      <c r="K667" s="84"/>
      <c r="L667" s="84"/>
      <c r="M667" s="84"/>
      <c r="N667" s="84"/>
      <c r="O667" s="84"/>
    </row>
    <row r="668" spans="1:15">
      <c r="A668" s="1345" t="str">
        <f>"   Minimum "&amp;DS_Gap_Name&amp;" Set-Asides"</f>
        <v xml:space="preserve">   Minimum SAIL Set-Asides</v>
      </c>
      <c r="B668" s="64" t="str">
        <f>IF(AND(Total_Units=0,Total_Gap_Chart_Units=0),""," The minimum "&amp;DS_Gap_Name&amp;" Set-Aside commitment of "&amp;TEXT(IF(Demographic="Elderly ALF",DS_Gap_Min_SA_ALF,DS_Gap_Min_SA_Perc),"0%")&amp;" is"&amp;IF(SUMIF('Units, Set-Asides, Bldgs'!I120:I132,"&lt;="&amp;IF(DS_Gap_AMI_Auto_YN="Yes",DS_Gap_AMI_Auto,DS_Gap_AMI_Max),'Units, Set-Asides, Bldgs'!G120:G132)&gt;=IF(Demographic="Elderly ALF",DS_Gap_Min_SA_ALF,DS_Gap_Min_SA_Perc),""," NOT")&amp;" met with a Set-Aside commitment of "&amp;TEXT(SUMIF('Units, Set-Asides, Bldgs'!I120:I132,"&lt;="&amp;IF(DS_Gap_AMI_Auto_YN="Yes",DS_Gap_AMI_Auto,DS_Gap_AMI_Max),'Units, Set-Asides, Bldgs'!G120:G132),"0%")&amp;".")&amp;IF(Minimum_SetAside_per_Sec_42="Average Income Test",IF(AND(Total_Units=0,Total_Gap_Chart_Units=0,DS_Gap_Name&lt;&gt;"SAIL"),"",IF(DS_Gap_AMI_Auto_YN="Yes"," The maximum average AMI of the qualified SAIL Set-Aside units "&amp;IF(DS_Gap_AMI_AutoAvg_AIT=0,"is not applicable.","of "&amp;TEXT(DS_Gap_AMI_AutoAvg_AIT,"0.000%")&amp;" is"&amp;IF(AND(DS_Gap_AMI_AutoAvg_AIT&lt;=60%,DS_Gap_AMI_AutoAvg_AIT&lt;&gt;0%),""," NOT")&amp;" met."),"")),"")</f>
        <v/>
      </c>
      <c r="C668" s="84"/>
      <c r="D668" s="84"/>
      <c r="E668" s="84"/>
      <c r="F668" s="84"/>
      <c r="G668" s="84"/>
      <c r="H668" s="84"/>
      <c r="I668" s="84"/>
      <c r="J668" s="84"/>
      <c r="K668" s="84"/>
      <c r="L668" s="84"/>
      <c r="M668" s="84"/>
      <c r="N668" s="84"/>
      <c r="O668" s="84"/>
    </row>
    <row r="669" spans="1:15">
      <c r="A669" s="1345" t="str">
        <f>"   Maximum "&amp;DS_Gap_Name&amp;" Set-Asides"</f>
        <v xml:space="preserve">   Maximum SAIL Set-Asides</v>
      </c>
      <c r="B669" s="64" t="str">
        <f>IF(AND(Total_Units=0,Total_Gap_Chart_Units=0),"",IF(DS_Gap_YN="No"," This RFA is set-up to not have Gap funding."," The maximum "&amp;DS_Gap_Name&amp;" commitment of "&amp;TEXT(DS_Gap_Max_SA_Perc,"0%")&amp;" is "&amp;IF(SUMIF('Units, Set-Asides, Bldgs'!I120:I132,"&lt;="&amp;IF(DS_Gap_AMI_Auto_YN="Yes",DS_Gap_AMI_Auto,DS_Gap_AMI_Max),'Units, Set-Asides, Bldgs'!G120:G132)=0,"not applicable.",IF(SUMIF('Units, Set-Asides, Bldgs'!I120:I132,"&lt;="&amp;IF(DS_Gap_AMI_Auto_YN="Yes",DS_Gap_AMI_Auto,DS_Gap_AMI_Max),'Units, Set-Asides, Bldgs'!G120:G132)&lt;=DS_Gap_Max_SA_Perc,"","NOT ")&amp;"met.")))</f>
        <v/>
      </c>
      <c r="C669" s="84"/>
      <c r="D669" s="84"/>
      <c r="E669" s="84"/>
      <c r="F669" s="84"/>
      <c r="G669" s="84"/>
      <c r="H669" s="84"/>
      <c r="I669" s="84"/>
      <c r="J669" s="84"/>
      <c r="K669" s="84"/>
      <c r="L669" s="84"/>
      <c r="M669" s="84"/>
      <c r="N669" s="84"/>
      <c r="O669" s="84"/>
    </row>
    <row r="670" spans="1:15">
      <c r="A670" s="6" t="s">
        <v>2335</v>
      </c>
      <c r="B670" s="64"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Bldgs'!I120:I132,"&lt;="&amp;IF(DS_Gap_AMI_Auto_YN="Yes",DS_Gap_AMI_Auto,DS_Gap_AMI_Max),'Units, Set-Asides, Bldgs'!G120:G132)&gt;=DS_Gap_Min_SA_ALF,""," NOT")&amp;" met."))</f>
        <v/>
      </c>
      <c r="C670" s="84"/>
      <c r="D670" s="84"/>
      <c r="E670" s="84"/>
      <c r="F670" s="84"/>
      <c r="G670" s="84"/>
      <c r="H670" s="84"/>
      <c r="I670" s="84"/>
      <c r="J670" s="84"/>
      <c r="K670" s="84"/>
      <c r="L670" s="84"/>
      <c r="M670" s="84"/>
      <c r="N670" s="84"/>
      <c r="O670" s="84"/>
    </row>
    <row r="671" spans="1:15">
      <c r="A671" s="1345" t="str">
        <f>"   Minimum "&amp;DS_Gap_Name&amp;" ELI Set-Asides"</f>
        <v xml:space="preserve">   Minimum SAIL ELI Set-Asides</v>
      </c>
      <c r="B671" s="64" t="str">
        <f>IF(AND(Total_Units=0,Total_Gap_Chart_Units=0),"",IF(DS_Gap_YN="No"," This RFA is set-up to not have Gap funding."," The "&amp;TEXT(IF(LDA_Notice="LDA",DS_Min_ELI_LDA,IF('General Information'!G67="Yes",IF(Minimum_SetAside_per_Sec_42="Average Income Test",Data1!B633+IF(Data1!B620="Yes",Data1!B634,0),Data1!B627+IF(Data1!B620="Yes",Data1!B628,0)),IF(Minimum_SetAside_per_Sec_42="Average Income Test",Data1!B630+IF(Data1!B619="Yes",Data1!B631,0),Data1!B624+IF(Data1!B619="Yes",Data1!B625,0)))),"0%")&amp;" minimum "&amp;DS_Gap_Name&amp;" ELI commitment (at "&amp;TEXT(IF(Minimum_SetAside_per_Sec_42="Average Income Test",30%,IFERROR(VLOOKUP(County,DS_CountyData,14),25%)),"0%")&amp;" AMI or less)"&amp;IF(DS_ELI_UnitLimit&lt;&gt;"Yes"," ",", with a required ELI unit limit of "&amp;TEXT(DS_ELI_UnitLimit_Units,"0")&amp;" units, ")&amp;IF('General Information'!K67=0,"","for a "&amp;IF('General Information'!G67="Yes","","Non-")&amp;"Self-Sourced Development ")&amp;"is "&amp;IF(OR(IF(Minimum_SetAside_per_Sec_42="Average Income Test",SUM('Units, Set-Asides, Bldgs'!G79:G80),SUMIF('Units, Set-Asides, Bldgs'!I120:I132,"&lt;="&amp;IFERROR(VLOOKUP(County,DS_CountyData,14),25%),'Units, Set-Asides, Bldgs'!G120:G132))&gt;=IF(LDA_Notice="LDA",DS_Min_ELI_LDA,IF('General Information'!G67="Yes",IF(Minimum_SetAside_per_Sec_42="Average Income Test",Data1!B633+IF(Data1!B620="Yes",Data1!B634,0),Data1!B627+IF(Data1!B620="Yes",Data1!B628,0)),IF(Minimum_SetAside_per_Sec_42="Average Income Test",Data1!B630+IF(Data1!B619="Yes",Data1!B631,0),Data1!B624+IF(Data1!B619="Yes",Data1!B625,0)))),IF(DS_ELI_UnitLimit&lt;&gt;"Yes",FALSE,IF(Minimum_SetAside_per_Sec_42="Average Income Test",SUM('Units, Set-Asides, Bldgs'!F79:F80),SUMIF('Units, Set-Asides, Bldgs'!I120:I132,"&lt;="&amp;IFERROR(VLOOKUP(County,DS_CountyData,14),25%),'Units, Set-Asides, Bldgs'!F120:F132))&gt;=DS_ELI_UnitLimit_Units)),"","NOT ")&amp;"met with an ELI commitment of "&amp;IF(OR(DS_ELI_UnitLimit&lt;&gt;"Yes",AND(DS_ELI_UnitLimit="Yes",IF(Minimum_SetAside_per_Sec_42="Average Income Test",G606,G604)&lt;DS_ELI_UnitLimit_Units),IF(Minimum_SetAside_per_Sec_42="Average Income Test",G607,G605)&gt;=DS_Minimum_ELI),TEXT(IF(Minimum_SetAside_per_Sec_42="Average Income Test",SUM('Units, Set-Asides, Bldgs'!G79:G80),SUMIF('Units, Set-Asides, Bldgs'!I120:I132,"&lt;="&amp;IFERROR(VLOOKUP(County,DS_CountyData,14),25%),'Units, Set-Asides, Bldgs'!G120:G132)),"0%")&amp;IF(DS_ELI_UnitLimit&lt;&gt;"Yes","."," ("&amp;TEXT(IF(Minimum_SetAside_per_Sec_42="Average Income Test",G606,G604),"0")&amp;" units)."),TEXT(IF(Minimum_SetAside_per_Sec_42="Average Income Test",G606,G604),"0")&amp;" units ("&amp;TEXT(IF(Minimum_SetAside_per_Sec_42="Average Income Test",G607,G605),"0%")&amp;").")))</f>
        <v/>
      </c>
      <c r="C671" s="84"/>
      <c r="D671" s="84"/>
      <c r="E671" s="84"/>
      <c r="F671" s="84"/>
      <c r="G671" s="84"/>
      <c r="H671" s="84"/>
      <c r="I671" s="84"/>
      <c r="J671" s="84"/>
      <c r="K671" s="84"/>
      <c r="L671" s="84"/>
      <c r="M671" s="84"/>
      <c r="N671" s="84"/>
      <c r="O671" s="84"/>
    </row>
    <row r="672" spans="1:15">
      <c r="A672" s="396" t="s">
        <v>2334</v>
      </c>
      <c r="B672" s="394" t="str">
        <f>IF(AND(Total_Units=0,Total_Gap_Chart_Units=0),"",IF(DS_Gap_YN="No"," This RFA is set-up to not have Gap funding.",IF(OR('General Information'!K67=0,'General Information'!G67&lt;&gt;"Yes",$H$636="No"),""," The "&amp;TEXT(IF(Minimum_SetAside_per_Sec_42="Average Income Test",Data1!B606,Data1!B604),"0%")&amp;" minimum Self-Sourced commitment requirement for units below 50% AMI is "&amp;IF(SUM('Units, Set-Asides, Bldgs'!$G$120:$G$126)&gt;=$B$636,"","NOT ")&amp;"met with a commitment of "&amp;TEXT(SUM('Units, Set-Asides, Bldgs'!$G$120:$G$126),"0%")&amp;".")))</f>
        <v/>
      </c>
      <c r="C672" s="318"/>
      <c r="D672" s="318"/>
      <c r="E672" s="318"/>
      <c r="F672" s="318"/>
      <c r="G672" s="318"/>
      <c r="H672" s="318"/>
      <c r="I672" s="318"/>
      <c r="J672" s="318"/>
      <c r="K672" s="318"/>
      <c r="L672" s="318"/>
      <c r="M672" s="318"/>
      <c r="N672" s="318"/>
      <c r="O672" s="318"/>
    </row>
    <row r="674" spans="1:48" ht="18" customHeight="1">
      <c r="A674" s="571" t="s">
        <v>546</v>
      </c>
      <c r="B674" s="6"/>
      <c r="C674" s="6"/>
      <c r="D674" s="6"/>
      <c r="E674" s="516" t="s">
        <v>547</v>
      </c>
      <c r="G674" s="5" t="s">
        <v>548</v>
      </c>
      <c r="V674" s="111" t="s">
        <v>498</v>
      </c>
      <c r="W674" s="5" t="s">
        <v>549</v>
      </c>
      <c r="AF674" s="5" t="s">
        <v>2746</v>
      </c>
    </row>
    <row r="675" spans="1:48">
      <c r="A675" s="276" t="s">
        <v>2741</v>
      </c>
      <c r="B675" s="910">
        <v>0.4</v>
      </c>
      <c r="C675" s="276" t="s">
        <v>550</v>
      </c>
      <c r="D675" s="276"/>
      <c r="E675" s="276"/>
      <c r="F675" s="1004">
        <f>SUM('Units, Set-Asides, Bldgs'!H143:H144)</f>
        <v>0</v>
      </c>
      <c r="G675" s="59" t="str">
        <f>IF(OR(AND(F675=0,'Units, Set-Asides, Bldgs'!H160=0),ROUNDUP(Total_Units*Data1!$B675,0)&lt;='Units, Set-Asides, Bldgs'!$H$143+'Units, Set-Asides, Bldgs'!$H$144),"","The minimum 0 and 1 bedroom units is "&amp;TEXT(Data1!$B675,"0%")&amp;" of the "&amp;TEXT(Total_Units,"0")&amp;" total units (or "&amp;TEXT(ROUNDUP(Total_Units*Data1!$B675,0),"0")&amp;" units) and the combined "&amp;TEXT('Units, Set-Asides, Bldgs'!$H$143+'Units, Set-Asides, Bldgs'!$H$144,"0")&amp;" units entered is "&amp;IF(ROUNDUP(Total_Units*Data1!$B675,0)&gt;'Units, Set-Asides, Bldgs'!$H$143+'Units, Set-Asides, Bldgs'!$H$144,"NOT ","")&amp;"meeting the requirement.")</f>
        <v/>
      </c>
      <c r="H675" s="374"/>
      <c r="I675" s="374"/>
      <c r="J675" s="374"/>
      <c r="K675" s="374"/>
      <c r="L675" s="374"/>
      <c r="M675" s="374"/>
      <c r="N675" s="374"/>
      <c r="O675" s="374"/>
      <c r="P675" s="374"/>
      <c r="Q675" s="374"/>
      <c r="R675" s="374"/>
      <c r="S675" s="374"/>
      <c r="T675" s="374"/>
      <c r="U675" s="374"/>
      <c r="V675" s="385" t="str">
        <f>IF(AND(OR(Demographic="Elderly Non-ALF",Demographic="Elderly (Elderly Transformative Preservation)"),OR(Development_Category="Rehabilitation",Development_Category="Acquisition and Rehabilitation")),IF(SUM('Units, Set-Asides, Bldgs'!H$143:H$144)&gt;=ROUNDUP(Total_Units*B675,0),"Yes","No"),"NA")</f>
        <v>NA</v>
      </c>
      <c r="W675" s="59" t="s">
        <v>551</v>
      </c>
      <c r="X675" s="59"/>
      <c r="Y675" s="59"/>
      <c r="Z675" s="59"/>
      <c r="AA675" s="59"/>
      <c r="AB675" s="59"/>
      <c r="AC675" s="59"/>
      <c r="AD675" s="59"/>
      <c r="AE675" s="59"/>
      <c r="AF675" s="404" t="str">
        <f>IF(V675="No",W675&amp;" ","")&amp;IF(V676="No",W676&amp;" ","")&amp;IF(V$693="No",W$693,"")</f>
        <v/>
      </c>
      <c r="AG675" s="404"/>
      <c r="AH675" s="404"/>
      <c r="AI675" s="404"/>
      <c r="AJ675" s="404"/>
      <c r="AK675" s="404"/>
      <c r="AL675" s="404"/>
      <c r="AM675" s="404"/>
      <c r="AN675" s="404"/>
      <c r="AO675" s="404"/>
      <c r="AP675" s="404"/>
      <c r="AQ675" s="404"/>
      <c r="AR675" s="404"/>
      <c r="AS675" s="404"/>
      <c r="AT675" s="404"/>
      <c r="AU675" s="404"/>
      <c r="AV675" s="404"/>
    </row>
    <row r="676" spans="1:48">
      <c r="A676" s="395" t="s">
        <v>2742</v>
      </c>
      <c r="B676" s="294">
        <v>0.2</v>
      </c>
      <c r="C676" s="395" t="s">
        <v>550</v>
      </c>
      <c r="D676" s="395"/>
      <c r="E676" s="395"/>
      <c r="F676" s="1005">
        <f>SUM('Units, Set-Asides, Bldgs'!H148:H159)</f>
        <v>0</v>
      </c>
      <c r="G676" s="392" t="str">
        <f>IF(OR(F676=0,ROUNDUP(Total_Units*Data1!$B676,0)&gt;=SUM('Units, Set-Asides, Bldgs'!$H$148:$H$159)),"","The maximum number of units in excess of 2 bedrooms is "&amp;TEXT(Data1!$B676,"0%")&amp;" of the "&amp;TEXT(Total_Units,"0")&amp;" total units (or "&amp;TEXT(ROUNDUP(Total_Units*Data1!$B676,0),"0")&amp;" units) and the combined "&amp;TEXT(SUM('Units, Set-Asides, Bldgs'!$H$148:$H$159),"0")&amp;" entered is "&amp;IF(ROUNDUP(Total_Units*Data1!$B676,0)&lt;SUM('Units, Set-Asides, Bldgs'!$H$148:$H$159),"NOT ","")&amp;"meeting the requirement.")</f>
        <v/>
      </c>
      <c r="H676" s="375"/>
      <c r="I676" s="375"/>
      <c r="J676" s="375"/>
      <c r="K676" s="375"/>
      <c r="L676" s="375"/>
      <c r="M676" s="375"/>
      <c r="N676" s="375"/>
      <c r="O676" s="375"/>
      <c r="P676" s="375"/>
      <c r="Q676" s="375"/>
      <c r="R676" s="375"/>
      <c r="S676" s="375"/>
      <c r="T676" s="375"/>
      <c r="U676" s="375"/>
      <c r="V676" s="387" t="str">
        <f>IF(AND(OR(Demographic="Elderly Non-ALF",Demographic="Elderly (Elderly Transformative Preservation)"),OR(Development_Category="Rehabilitation",Development_Category="Acquisition and Rehabilitation")),IF(SUM('Units, Set-Asides, Bldgs'!H$148:H$159)&lt;=ROUNDUP(Total_Units*B676,0),"Yes","No"),"NA")</f>
        <v>NA</v>
      </c>
      <c r="W676" s="392" t="s">
        <v>552</v>
      </c>
      <c r="X676" s="392"/>
      <c r="Y676" s="392"/>
      <c r="Z676" s="392"/>
      <c r="AA676" s="392"/>
      <c r="AB676" s="392"/>
      <c r="AC676" s="392"/>
      <c r="AD676" s="392"/>
      <c r="AE676" s="392"/>
      <c r="AF676" s="1037"/>
      <c r="AG676" s="1037"/>
      <c r="AH676" s="1037"/>
      <c r="AI676" s="1037"/>
      <c r="AJ676" s="1037"/>
      <c r="AK676" s="1037"/>
      <c r="AL676" s="1037"/>
      <c r="AM676" s="1037"/>
      <c r="AN676" s="1037"/>
      <c r="AO676" s="1037"/>
      <c r="AP676" s="1037"/>
      <c r="AQ676" s="1037"/>
      <c r="AR676" s="1037"/>
      <c r="AS676" s="1037"/>
      <c r="AT676" s="1037"/>
      <c r="AU676" s="1037"/>
      <c r="AV676" s="1037"/>
    </row>
    <row r="677" spans="1:48">
      <c r="A677" s="276" t="s">
        <v>2743</v>
      </c>
      <c r="B677" s="372">
        <v>0.5</v>
      </c>
      <c r="C677" s="276" t="s">
        <v>553</v>
      </c>
      <c r="D677" s="276"/>
      <c r="E677" s="276"/>
      <c r="F677" s="1004">
        <f>SUM('Units, Set-Asides, Bldgs'!H143:H144)</f>
        <v>0</v>
      </c>
      <c r="G677" s="59" t="str">
        <f>IF(OR(AND(F677=0,'Units, Set-Asides, Bldgs'!H160=0),ROUNDUP(Total_Units*Data1!$B677,0)&lt;='Units, Set-Asides, Bldgs'!$H$143+'Units, Set-Asides, Bldgs'!$H$144),"","The minimum 0 and 1 bedroom units is "&amp;TEXT(Data1!$B677,"0%")&amp;" of the "&amp;TEXT(Total_Units,"0")&amp;" total units (or "&amp;TEXT(ROUNDUP(Total_Units*Data1!$B677,0),"0")&amp;" units) and the combined "&amp;TEXT('Units, Set-Asides, Bldgs'!$H$143+'Units, Set-Asides, Bldgs'!$H$144,"0")&amp;" units entered is "&amp;IF(ROUNDUP(Total_Units*Data1!$B677,0)&gt;'Units, Set-Asides, Bldgs'!$H$143+'Units, Set-Asides, Bldgs'!$H$144,"NOT ","")&amp;"meeting the requirement.")</f>
        <v/>
      </c>
      <c r="H677" s="374"/>
      <c r="I677" s="374"/>
      <c r="J677" s="374"/>
      <c r="K677" s="374"/>
      <c r="L677" s="374"/>
      <c r="M677" s="374"/>
      <c r="N677" s="374"/>
      <c r="O677" s="374"/>
      <c r="P677" s="374"/>
      <c r="Q677" s="374"/>
      <c r="R677" s="374"/>
      <c r="S677" s="374"/>
      <c r="T677" s="374"/>
      <c r="U677" s="374"/>
      <c r="V677" s="385" t="str">
        <f>IF(AND(OR(Demographic="Elderly Non-ALF",Demographic="Elderly (Elderly Transformative Preservation)"),Development_Category="New Construction"),IF(SUM('Units, Set-Asides, Bldgs'!H$143:H$144)&gt;=ROUNDUP(Total_Units*B677,0),"Yes","No"),"NA")</f>
        <v>NA</v>
      </c>
      <c r="W677" s="59" t="s">
        <v>551</v>
      </c>
      <c r="X677" s="59"/>
      <c r="Y677" s="59"/>
      <c r="Z677" s="59"/>
      <c r="AA677" s="59"/>
      <c r="AB677" s="59"/>
      <c r="AC677" s="59"/>
      <c r="AD677" s="59"/>
      <c r="AE677" s="59"/>
      <c r="AF677" s="405" t="str">
        <f>IF(V677="No",W677&amp;" ","")&amp;IF(V678="No",W678&amp;" ","")&amp;IF(V$693="No",W$693,"")</f>
        <v/>
      </c>
      <c r="AG677" s="405"/>
      <c r="AH677" s="405"/>
      <c r="AI677" s="405"/>
      <c r="AJ677" s="405"/>
      <c r="AK677" s="405"/>
      <c r="AL677" s="405"/>
      <c r="AM677" s="405"/>
      <c r="AN677" s="405"/>
      <c r="AO677" s="405"/>
      <c r="AP677" s="405"/>
      <c r="AQ677" s="405"/>
      <c r="AR677" s="405"/>
      <c r="AS677" s="405"/>
      <c r="AT677" s="405"/>
      <c r="AU677" s="405"/>
      <c r="AV677" s="405"/>
    </row>
    <row r="678" spans="1:48">
      <c r="A678" s="396" t="s">
        <v>2744</v>
      </c>
      <c r="B678" s="294">
        <v>0.15</v>
      </c>
      <c r="C678" s="396" t="s">
        <v>553</v>
      </c>
      <c r="D678" s="396"/>
      <c r="E678" s="396"/>
      <c r="F678" s="1006">
        <f>SUM('Units, Set-Asides, Bldgs'!H148:H159)</f>
        <v>0</v>
      </c>
      <c r="G678" s="393" t="str">
        <f>IF(OR(F678=0,ROUNDUP(Total_Units*Data1!$B678,0)&gt;=SUM('Units, Set-Asides, Bldgs'!$H$148:$H$159)),"","The maximum number of units in excess of 2 bedrooms is "&amp;TEXT(Data1!$B678,"0%")&amp;" of the "&amp;TEXT(Total_Units,"0")&amp;" total units (or "&amp;TEXT(ROUNDUP(Total_Units*Data1!$B678,0),"0")&amp;" units) and the combined "&amp;TEXT(SUM('Units, Set-Asides, Bldgs'!$H$148:$H$159),"0")&amp;" entered is "&amp;IF(ROUNDUP(Total_Units*Data1!$B678,0)&lt;SUM('Units, Set-Asides, Bldgs'!$H$148:$H$159),"NOT ","")&amp;"meeting the requirement.")</f>
        <v/>
      </c>
      <c r="H678" s="376"/>
      <c r="I678" s="376"/>
      <c r="J678" s="376"/>
      <c r="K678" s="376"/>
      <c r="L678" s="376"/>
      <c r="M678" s="376"/>
      <c r="N678" s="376"/>
      <c r="O678" s="376"/>
      <c r="P678" s="376"/>
      <c r="Q678" s="376"/>
      <c r="R678" s="376"/>
      <c r="S678" s="376"/>
      <c r="T678" s="376"/>
      <c r="U678" s="376"/>
      <c r="V678" s="401" t="str">
        <f>IF(AND(OR(Demographic="Elderly Non-ALF",Demographic="Elderly (Elderly Transformative Preservation)"),Development_Category="New Construction"),IF(SUM('Units, Set-Asides, Bldgs'!H$148:H$159)&lt;=ROUNDUP(Total_Units*B678,0),"Yes","No"),"NA")</f>
        <v>NA</v>
      </c>
      <c r="W678" s="393" t="s">
        <v>552</v>
      </c>
      <c r="X678" s="393"/>
      <c r="Y678" s="393"/>
      <c r="Z678" s="393"/>
      <c r="AA678" s="393"/>
      <c r="AB678" s="393"/>
      <c r="AC678" s="393"/>
      <c r="AD678" s="393"/>
      <c r="AE678" s="393"/>
      <c r="AF678" s="1037"/>
      <c r="AG678" s="1037"/>
      <c r="AH678" s="1037"/>
      <c r="AI678" s="1037"/>
      <c r="AJ678" s="1037"/>
      <c r="AK678" s="1037"/>
      <c r="AL678" s="1037"/>
      <c r="AM678" s="1037"/>
      <c r="AN678" s="1037"/>
      <c r="AO678" s="1037"/>
      <c r="AP678" s="1037"/>
      <c r="AQ678" s="1037"/>
      <c r="AR678" s="1037"/>
      <c r="AS678" s="1037"/>
      <c r="AT678" s="1037"/>
      <c r="AU678" s="1037"/>
      <c r="AV678" s="1037"/>
    </row>
    <row r="679" spans="1:48">
      <c r="A679" s="397" t="s">
        <v>554</v>
      </c>
      <c r="B679" s="295">
        <v>0.9</v>
      </c>
      <c r="C679" s="397"/>
      <c r="D679" s="397"/>
      <c r="E679" s="397"/>
      <c r="F679" s="1007">
        <f>SUM('Units, Set-Asides, Bldgs'!H143:H144)</f>
        <v>0</v>
      </c>
      <c r="G679" s="394" t="str">
        <f>IF(OR(AND(F679=0,'Units, Set-Asides, Bldgs'!H160=0),ROUNDUP(Total_Units*Data1!$B679,0)&lt;='Units, Set-Asides, Bldgs'!$H$143+'Units, Set-Asides, Bldgs'!$H$144),"","The minimum 0 and 1 bedroom units is "&amp;TEXT(Data1!$B679,"0%")&amp;" of the "&amp;TEXT(Total_Units,"0")&amp;" total units (or "&amp;TEXT(ROUNDUP(Total_Units*Data1!$B679,0),"0")&amp;" units) and the combined "&amp;TEXT('Units, Set-Asides, Bldgs'!$H$143+'Units, Set-Asides, Bldgs'!$H$144,"0")&amp;" units entered is "&amp;IF(ROUNDUP(Total_Units*Data1!$B679,0)&gt;'Units, Set-Asides, Bldgs'!$H$143+'Units, Set-Asides, Bldgs'!$H$144,"NOT ","")&amp;"meeting the requirement.")</f>
        <v/>
      </c>
      <c r="H679" s="318"/>
      <c r="I679" s="318"/>
      <c r="J679" s="318"/>
      <c r="K679" s="318"/>
      <c r="L679" s="318"/>
      <c r="M679" s="318"/>
      <c r="N679" s="318"/>
      <c r="O679" s="318"/>
      <c r="P679" s="318"/>
      <c r="Q679" s="318"/>
      <c r="R679" s="318"/>
      <c r="S679" s="318"/>
      <c r="T679" s="318"/>
      <c r="U679" s="318"/>
      <c r="V679" s="402" t="str">
        <f>IF(AND(Demographic="Elderly ALF",Development_Category&lt;&gt;"&lt;select one&gt;"),IF(SUM('Units, Set-Asides, Bldgs'!H$143:H$144)&gt;=ROUNDUP(Total_Units*B679,0),"Yes","No"),"NA")</f>
        <v>NA</v>
      </c>
      <c r="W679" s="394" t="s">
        <v>551</v>
      </c>
      <c r="X679" s="394"/>
      <c r="Y679" s="394"/>
      <c r="Z679" s="394"/>
      <c r="AA679" s="394"/>
      <c r="AB679" s="394"/>
      <c r="AC679" s="394"/>
      <c r="AD679" s="394"/>
      <c r="AE679" s="394"/>
      <c r="AF679" s="406" t="str">
        <f>IF(V679="No",W679&amp;" ","")&amp;IF(V$693="No",W$693,"")</f>
        <v/>
      </c>
      <c r="AG679" s="406"/>
      <c r="AH679" s="406"/>
      <c r="AI679" s="406"/>
      <c r="AJ679" s="406"/>
      <c r="AK679" s="406"/>
      <c r="AL679" s="406"/>
      <c r="AM679" s="406"/>
      <c r="AN679" s="406"/>
      <c r="AO679" s="406"/>
      <c r="AP679" s="406"/>
      <c r="AQ679" s="406"/>
      <c r="AR679" s="406"/>
      <c r="AS679" s="406"/>
      <c r="AT679" s="406"/>
      <c r="AU679" s="406"/>
      <c r="AV679" s="406"/>
    </row>
    <row r="680" spans="1:48">
      <c r="A680" s="397" t="s">
        <v>2338</v>
      </c>
      <c r="B680" s="295">
        <v>0.25</v>
      </c>
      <c r="C680" s="397" t="s">
        <v>553</v>
      </c>
      <c r="D680" s="397"/>
      <c r="E680" s="397"/>
      <c r="F680" s="1008">
        <f>Zero_Bed_One_Bath_Total_Units</f>
        <v>0</v>
      </c>
      <c r="G680" s="394" t="str">
        <f>IF(OR(F680=0,ROUNDUP(Total_Units*Data1!$B680,0)&gt;='Units, Set-Asides, Bldgs'!$H$143),"","The maximum 0-bedroom units is "&amp;TEXT(Data1!$B680,"0%")&amp;" of the "&amp;TEXT(Total_Units,"0")&amp;" total units (or "&amp;TEXT(ROUNDUP(Total_Units*Data1!$B680,0),"0")&amp;" units) and the "&amp;TEXT('Units, Set-Asides, Bldgs'!$H$143,"0")&amp;" units entered is "&amp;IF(ROUNDUP(Total_Units*Data1!$B680,0)&lt;'Units, Set-Asides, Bldgs'!$H$143,"NOT ","")&amp;"meeting the requirement.")</f>
        <v/>
      </c>
      <c r="H680" s="318"/>
      <c r="I680" s="318"/>
      <c r="J680" s="318"/>
      <c r="K680" s="318"/>
      <c r="L680" s="318"/>
      <c r="M680" s="318"/>
      <c r="N680" s="318"/>
      <c r="O680" s="318"/>
      <c r="P680" s="318"/>
      <c r="Q680" s="318"/>
      <c r="R680" s="318"/>
      <c r="S680" s="318"/>
      <c r="T680" s="318"/>
      <c r="U680" s="318"/>
      <c r="V680" s="402" t="str">
        <f>IF(AND(OR(Demographic="Family",Demographic="Workforce"),Development_Category="New Construction"),IF('Units, Set-Asides, Bldgs'!H$143&lt;=ROUNDUP(Total_Units*B680,0),"Yes","No"),"NA")</f>
        <v>NA</v>
      </c>
      <c r="W680" s="394" t="s">
        <v>555</v>
      </c>
      <c r="X680" s="394"/>
      <c r="Y680" s="394"/>
      <c r="Z680" s="394"/>
      <c r="AA680" s="394"/>
      <c r="AB680" s="394"/>
      <c r="AC680" s="394"/>
      <c r="AD680" s="394"/>
      <c r="AE680" s="394"/>
      <c r="AF680" s="407" t="str">
        <f>IF(V680="No",W680&amp;" ","")&amp;IF(V$693="No",W$693,"")</f>
        <v/>
      </c>
      <c r="AG680" s="407"/>
      <c r="AH680" s="407"/>
      <c r="AI680" s="407"/>
      <c r="AJ680" s="407"/>
      <c r="AK680" s="407"/>
      <c r="AL680" s="407"/>
      <c r="AM680" s="407"/>
      <c r="AN680" s="407"/>
      <c r="AO680" s="407"/>
      <c r="AP680" s="407"/>
      <c r="AQ680" s="407"/>
      <c r="AR680" s="407"/>
      <c r="AS680" s="407"/>
      <c r="AT680" s="407"/>
      <c r="AU680" s="407"/>
      <c r="AV680" s="407"/>
    </row>
    <row r="681" spans="1:48">
      <c r="A681" s="398" t="s">
        <v>556</v>
      </c>
      <c r="B681" s="372">
        <v>0.5</v>
      </c>
      <c r="C681" s="398"/>
      <c r="D681" s="398"/>
      <c r="E681" s="398"/>
      <c r="F681" s="1009">
        <f>Zero_Bed_One_Bath_Total_Units</f>
        <v>0</v>
      </c>
      <c r="G681" s="59" t="str">
        <f>IF(OR(F681=0,ROUNDUP(Total_Units*Data1!$B681,0)&gt;='Units, Set-Asides, Bldgs'!$H$143),"This area intentionally left blank.","The maximum 0-bedroom units is "&amp;TEXT(Data1!$B681,"0%")&amp;" of the "&amp;TEXT(Total_Units,"0")&amp;" total units (or "&amp;TEXT(ROUNDUP(Total_Units*Data1!$B681,0),"0")&amp;" units) and the "&amp;TEXT('Units, Set-Asides, Bldgs'!$H$143,"0")&amp;" units entered is "&amp;IF(ROUNDUP(Total_Units*Data1!$B681,0)&lt;'Units, Set-Asides, Bldgs'!$H$143,"NOT ","")&amp;"meeting the requirement.")</f>
        <v>This area intentionally left blank.</v>
      </c>
      <c r="H681" s="374"/>
      <c r="I681" s="374"/>
      <c r="J681" s="374"/>
      <c r="K681" s="374"/>
      <c r="L681" s="374"/>
      <c r="M681" s="374"/>
      <c r="N681" s="374"/>
      <c r="O681" s="374"/>
      <c r="P681" s="374"/>
      <c r="Q681" s="374"/>
      <c r="R681" s="374"/>
      <c r="S681" s="374"/>
      <c r="T681" s="374"/>
      <c r="U681" s="374"/>
      <c r="V681" s="385" t="str">
        <f>IF(Demographic="Homeless",IF('Units, Set-Asides, Bldgs'!H$143&lt;=ROUNDUP(Total_Units*B681,0),"Yes","No"),"NA")</f>
        <v>Yes</v>
      </c>
      <c r="W681" s="59" t="s">
        <v>555</v>
      </c>
      <c r="X681" s="59"/>
      <c r="Y681" s="59"/>
      <c r="Z681" s="59"/>
      <c r="AA681" s="59"/>
      <c r="AB681" s="59"/>
      <c r="AC681" s="59"/>
      <c r="AD681" s="59"/>
      <c r="AE681" s="59"/>
      <c r="AF681" s="405" t="str">
        <f>IF(V681="No",W681&amp;" ","")&amp;IF(V682="No",W682&amp;" ","")&amp;IF(V683="No",W683&amp;" ","")&amp;IF(V684="No",W684&amp;" ","")&amp;IF(V$693="No",W$693,"")</f>
        <v/>
      </c>
      <c r="AG681" s="405"/>
      <c r="AH681" s="405"/>
      <c r="AI681" s="405"/>
      <c r="AJ681" s="405"/>
      <c r="AK681" s="405"/>
      <c r="AL681" s="405"/>
      <c r="AM681" s="405"/>
      <c r="AN681" s="405"/>
      <c r="AO681" s="405"/>
      <c r="AP681" s="405"/>
      <c r="AQ681" s="405"/>
      <c r="AR681" s="405"/>
      <c r="AS681" s="405"/>
      <c r="AT681" s="405"/>
      <c r="AU681" s="405"/>
      <c r="AV681" s="405"/>
    </row>
    <row r="682" spans="1:48">
      <c r="A682" s="277" t="s">
        <v>557</v>
      </c>
      <c r="B682" s="368">
        <v>0.15</v>
      </c>
      <c r="C682" s="277"/>
      <c r="D682" s="277"/>
      <c r="E682" s="277"/>
      <c r="F682" s="1010">
        <f>One_Bed_One_Bath_Total_Units</f>
        <v>0</v>
      </c>
      <c r="G682" s="61" t="str">
        <f>IF(OR(AND(F682=0,'Units, Set-Asides, Bldgs'!H160=0),ROUNDUP(Total_Units*Data1!$B682,0)&lt;='Units, Set-Asides, Bldgs'!$H$144),"","The minimum 1 bedroom units is "&amp;TEXT(Data1!$B682,"0%")&amp;" of the "&amp;TEXT(Total_Units,"0")&amp;" total units (or "&amp;TEXT(ROUNDUP(Total_Units*Data1!$B682,0),"0")&amp;" units) and the "&amp;TEXT('Units, Set-Asides, Bldgs'!$H$144,"0")&amp;" units entered is "&amp;IF(ROUNDUP(Total_Units*Data1!$B682,0)&gt;'Units, Set-Asides, Bldgs'!$H$144,"NOT ","")&amp;"meeting the requirement.")</f>
        <v/>
      </c>
      <c r="H682" s="377"/>
      <c r="I682" s="377"/>
      <c r="J682" s="377"/>
      <c r="K682" s="377"/>
      <c r="L682" s="377"/>
      <c r="M682" s="377"/>
      <c r="N682" s="377"/>
      <c r="O682" s="377"/>
      <c r="P682" s="377"/>
      <c r="Q682" s="377"/>
      <c r="R682" s="377"/>
      <c r="S682" s="377"/>
      <c r="T682" s="377"/>
      <c r="U682" s="377"/>
      <c r="V682" s="403" t="str">
        <f>IF(Demographic="Homeless",IF('Units, Set-Asides, Bldgs'!H$144&gt;=ROUNDUP(Total_Units*B682,0),"Yes","No"),"NA")</f>
        <v>Yes</v>
      </c>
      <c r="W682" s="61" t="s">
        <v>558</v>
      </c>
      <c r="X682" s="61"/>
      <c r="Y682" s="61"/>
      <c r="Z682" s="61"/>
      <c r="AA682" s="61"/>
      <c r="AB682" s="61"/>
      <c r="AC682" s="61"/>
      <c r="AD682" s="61"/>
      <c r="AE682" s="61"/>
      <c r="AF682" s="1037"/>
      <c r="AG682" s="1037"/>
      <c r="AH682" s="1037"/>
      <c r="AI682" s="1037"/>
      <c r="AJ682" s="1037"/>
      <c r="AK682" s="1037"/>
      <c r="AL682" s="1037"/>
      <c r="AM682" s="1037"/>
      <c r="AN682" s="1037"/>
      <c r="AO682" s="1037"/>
      <c r="AP682" s="1037"/>
      <c r="AQ682" s="1037"/>
      <c r="AR682" s="1037"/>
      <c r="AS682" s="1037"/>
      <c r="AT682" s="1037"/>
      <c r="AU682" s="1037"/>
      <c r="AV682" s="1037"/>
    </row>
    <row r="683" spans="1:48" ht="18" customHeight="1">
      <c r="A683" s="277" t="s">
        <v>559</v>
      </c>
      <c r="B683" s="368">
        <v>0.4</v>
      </c>
      <c r="C683" s="277"/>
      <c r="D683" s="277"/>
      <c r="E683" s="277"/>
      <c r="F683" s="1011">
        <f>SUM('Units, Set-Asides, Bldgs'!H148:H152)</f>
        <v>0</v>
      </c>
      <c r="G683" s="61" t="str">
        <f>IF(OR(F683=0,ROUNDUP(Total_Units*Data1!$B683,0)&gt;=SUM('Units, Set-Asides, Bldgs'!$H$148:$H$152)),"This area intentionally left blank.","The maximum 3-bedroom units is "&amp;TEXT(Data1!$B683,"0%")&amp;" of the "&amp;TEXT(Total_Units,"0")&amp;" total units (or "&amp;TEXT(ROUNDUP(Total_Units*Data1!$B683,0),"0")&amp;" units) and the "&amp;TEXT(SUM('Units, Set-Asides, Bldgs'!$H$148:$H$152),"0")&amp;" units entered is "&amp;IF(ROUNDUP(Total_Units*Data1!$B683,0)&lt;SUM('Units, Set-Asides, Bldgs'!$H$148:$H$152),"NOT ","")&amp;"meeting the requirement.")</f>
        <v>This area intentionally left blank.</v>
      </c>
      <c r="H683" s="377"/>
      <c r="I683" s="377"/>
      <c r="J683" s="377"/>
      <c r="K683" s="377"/>
      <c r="L683" s="377"/>
      <c r="M683" s="377"/>
      <c r="N683" s="377"/>
      <c r="O683" s="377"/>
      <c r="P683" s="377"/>
      <c r="Q683" s="377"/>
      <c r="R683" s="377"/>
      <c r="S683" s="377"/>
      <c r="T683" s="377"/>
      <c r="U683" s="377"/>
      <c r="V683" s="403" t="str">
        <f>IF(Demographic="Homeless",IF(SUM('Units, Set-Asides, Bldgs'!H$148:H$152)&lt;=ROUNDUP(Total_Units*B683,0),"Yes","No"),"NA")</f>
        <v>Yes</v>
      </c>
      <c r="W683" s="61" t="s">
        <v>560</v>
      </c>
      <c r="X683" s="61"/>
      <c r="Y683" s="61"/>
      <c r="Z683" s="61"/>
      <c r="AA683" s="61"/>
      <c r="AB683" s="61"/>
      <c r="AC683" s="61"/>
      <c r="AD683" s="61"/>
      <c r="AE683" s="61"/>
      <c r="AF683" s="1037"/>
      <c r="AG683" s="1037"/>
      <c r="AH683" s="1037"/>
      <c r="AI683" s="1037"/>
      <c r="AJ683" s="1037"/>
      <c r="AK683" s="1037"/>
      <c r="AL683" s="1037"/>
      <c r="AM683" s="1037"/>
      <c r="AN683" s="1037"/>
      <c r="AO683" s="1037"/>
      <c r="AP683" s="1037"/>
      <c r="AQ683" s="1037"/>
      <c r="AR683" s="1037"/>
      <c r="AS683" s="1037"/>
      <c r="AT683" s="1037"/>
      <c r="AU683" s="1037"/>
      <c r="AV683" s="1037"/>
    </row>
    <row r="684" spans="1:48">
      <c r="A684" s="1063" t="s">
        <v>561</v>
      </c>
      <c r="B684" s="373">
        <v>3</v>
      </c>
      <c r="C684" s="399" t="s">
        <v>1805</v>
      </c>
      <c r="D684" s="400"/>
      <c r="E684" s="400"/>
      <c r="F684" s="798">
        <f>SUM('Units, Set-Asides, Bldgs'!H153:H159)+IF(Data1!B684=2,SUM('Units, Set-Asides, Bldgs'!H148:H152),0)</f>
        <v>0</v>
      </c>
      <c r="G684" s="393" t="str">
        <f>IF(OR(F684=0,CHOOSE(B684,0,SUM('Units, Set-Asides, Bldgs'!H148:H159),SUM('Units, Set-Asides, Bldgs'!H153:H159))=0),"","The maximum number of bedrooms for any unit in a "&amp;Demographic&amp;" development is "&amp;CHOOSE(B684,"INVALID LIMIT","TWO (2)","THREE (3)")&amp;"."&amp;IF(CHOOSE(B684,0,SUM('Units, Set-Asides, Bldgs'!H148:H159),SUM('Units, Set-Asides, Bldgs'!H153:H159))&gt;0," There are entries in the table that are NOT meeting the requirement.",""))</f>
        <v/>
      </c>
      <c r="H684" s="376"/>
      <c r="I684" s="376"/>
      <c r="J684" s="376"/>
      <c r="K684" s="376"/>
      <c r="L684" s="376"/>
      <c r="M684" s="376"/>
      <c r="N684" s="376"/>
      <c r="O684" s="376"/>
      <c r="P684" s="376"/>
      <c r="Q684" s="376"/>
      <c r="R684" s="376"/>
      <c r="S684" s="376"/>
      <c r="T684" s="376"/>
      <c r="U684" s="376"/>
      <c r="V684" s="401" t="str">
        <f>IF(Demographic="Homeless",IF(IF(B684=2,SUM('Units, Set-Asides, Bldgs'!H$148:H$159),SUM('Units, Set-Asides, Bldgs'!H$153:H$159))=0,"Yes","No"),"NA")</f>
        <v>Yes</v>
      </c>
      <c r="W684" s="393" t="str">
        <f>"No units are allowed to have more than "&amp;TEXT(B684,"0")&amp;" bedrooms."</f>
        <v>No units are allowed to have more than 3 bedrooms.</v>
      </c>
      <c r="X684" s="393"/>
      <c r="Y684" s="393"/>
      <c r="Z684" s="393"/>
      <c r="AA684" s="393"/>
      <c r="AB684" s="393"/>
      <c r="AC684" s="393"/>
      <c r="AD684" s="393"/>
      <c r="AE684" s="393"/>
      <c r="AF684" s="1037"/>
      <c r="AG684" s="1037"/>
      <c r="AH684" s="1037"/>
      <c r="AI684" s="1037"/>
      <c r="AJ684" s="1037"/>
      <c r="AK684" s="1037"/>
      <c r="AL684" s="1037"/>
      <c r="AM684" s="1037"/>
      <c r="AN684" s="1037"/>
      <c r="AO684" s="1037"/>
      <c r="AP684" s="1037"/>
      <c r="AQ684" s="1037"/>
      <c r="AR684" s="1037"/>
      <c r="AS684" s="1037"/>
      <c r="AT684" s="1037"/>
      <c r="AU684" s="1037"/>
      <c r="AV684" s="1037"/>
    </row>
    <row r="685" spans="1:48">
      <c r="A685" s="398" t="s">
        <v>562</v>
      </c>
      <c r="B685" s="372">
        <v>0.5</v>
      </c>
      <c r="C685" s="398"/>
      <c r="D685" s="398"/>
      <c r="E685" s="1124" t="s">
        <v>226</v>
      </c>
      <c r="F685" s="1009">
        <f>Zero_Bed_One_Bath_Total_Units</f>
        <v>0</v>
      </c>
      <c r="G685" s="59" t="str">
        <f>IF(OR(F685=0,ROUNDUP(Total_Units*Data1!$B685,0)&gt;='Units, Set-Asides, Bldgs'!$H$143,AND(Development_Category&lt;&gt;"&lt;select one&gt;",Development_Category&lt;&gt;"New Construction")),"","The maximum 0-bedroom units is "&amp;TEXT(Data1!$B685,"0%")&amp;" of the "&amp;TEXT(Total_Units,"0")&amp;" total units (or "&amp;TEXT(ROUNDUP(Total_Units*Data1!$B685,0),"0")&amp;" units) and the "&amp;TEXT('Units, Set-Asides, Bldgs'!$H$143,"0")&amp;" units entered is "&amp;IF(ROUNDUP(Total_Units*Data1!$B685,0)&lt;'Units, Set-Asides, Bldgs'!$H$143,"NOT ","")&amp;"meeting the requirement.")</f>
        <v/>
      </c>
      <c r="H685" s="374"/>
      <c r="I685" s="374"/>
      <c r="J685" s="374"/>
      <c r="K685" s="374"/>
      <c r="L685" s="374"/>
      <c r="M685" s="374"/>
      <c r="N685" s="374"/>
      <c r="O685" s="374"/>
      <c r="P685" s="374"/>
      <c r="Q685" s="374"/>
      <c r="R685" s="374"/>
      <c r="S685" s="374"/>
      <c r="T685" s="374"/>
      <c r="U685" s="374"/>
      <c r="V685" s="385" t="str">
        <f>IF(Demographic="Farmworker/Commercial Fish Worker",IF('Units, Set-Asides, Bldgs'!H$143&lt;=ROUNDUP(Total_Units*B685,0),"Yes","No"),"NA")</f>
        <v>NA</v>
      </c>
      <c r="W685" s="59" t="s">
        <v>555</v>
      </c>
      <c r="X685" s="59"/>
      <c r="Y685" s="59"/>
      <c r="Z685" s="59"/>
      <c r="AA685" s="59"/>
      <c r="AB685" s="59"/>
      <c r="AC685" s="59"/>
      <c r="AD685" s="59"/>
      <c r="AE685" s="59"/>
      <c r="AF685" s="405" t="str">
        <f>IF(V685="No",W685&amp;" ","")&amp;IF(V686="No",W686&amp;" ","")&amp;IF(V$693="No",W$693,"")</f>
        <v/>
      </c>
      <c r="AG685" s="405"/>
      <c r="AH685" s="405"/>
      <c r="AI685" s="405"/>
      <c r="AJ685" s="405"/>
      <c r="AK685" s="405"/>
      <c r="AL685" s="405"/>
      <c r="AM685" s="405"/>
      <c r="AN685" s="405"/>
      <c r="AO685" s="405"/>
      <c r="AP685" s="405"/>
      <c r="AQ685" s="405"/>
      <c r="AR685" s="405"/>
      <c r="AS685" s="405"/>
      <c r="AT685" s="405"/>
      <c r="AU685" s="405"/>
      <c r="AV685" s="405"/>
    </row>
    <row r="686" spans="1:48">
      <c r="A686" s="1063" t="s">
        <v>563</v>
      </c>
      <c r="B686" s="373">
        <v>2</v>
      </c>
      <c r="C686" s="399" t="s">
        <v>1805</v>
      </c>
      <c r="D686" s="400"/>
      <c r="E686" s="1125" t="s">
        <v>226</v>
      </c>
      <c r="F686" s="798">
        <f>SUM('Units, Set-Asides, Bldgs'!H153:H159)+IF(Data1!B686=2,SUM('Units, Set-Asides, Bldgs'!H148:H152),0)</f>
        <v>0</v>
      </c>
      <c r="G686" s="393" t="str">
        <f>IF(OR(F686=0,CHOOSE(B686,0,SUM('Units, Set-Asides, Bldgs'!H148:H159),SUM('Units, Set-Asides, Bldgs'!H153:H159))=0,AND(Development_Category&lt;&gt;"&lt;select one&gt;",Development_Category&lt;&gt;"New Construction")),"","The maximum number of bedrooms for any unit in a "&amp;Demographic&amp;" development is "&amp;CHOOSE(B686,"INVALID LIMIT","TWO (2)","THREE (3)")&amp;"."&amp;IF(CHOOSE(B686,0,SUM('Units, Set-Asides, Bldgs'!H148:H159),SUM('Units, Set-Asides, Bldgs'!H153:H159))&gt;0," There are entries in the table that are NOT meeting the requirement.",""))</f>
        <v/>
      </c>
      <c r="H686" s="376"/>
      <c r="I686" s="376"/>
      <c r="J686" s="376"/>
      <c r="K686" s="376"/>
      <c r="L686" s="376"/>
      <c r="M686" s="376"/>
      <c r="N686" s="376"/>
      <c r="O686" s="376"/>
      <c r="P686" s="376"/>
      <c r="Q686" s="376"/>
      <c r="R686" s="376"/>
      <c r="S686" s="376"/>
      <c r="T686" s="376"/>
      <c r="U686" s="376"/>
      <c r="V686" s="401" t="str">
        <f>IF(Demographic="Farmworker/Commercial Fish Worker",IF(IF(B686=2,SUM('Units, Set-Asides, Bldgs'!H$148:H$159),SUM('Units, Set-Asides, Bldgs'!H$153:H$159))=0,"Yes","No"),"NA")</f>
        <v>NA</v>
      </c>
      <c r="W686" s="393" t="str">
        <f>"No units are allowed to have more than "&amp;TEXT(B686,"0")&amp;" bedrooms."</f>
        <v>No units are allowed to have more than 2 bedrooms.</v>
      </c>
      <c r="X686" s="393"/>
      <c r="Y686" s="393"/>
      <c r="Z686" s="393"/>
      <c r="AA686" s="393"/>
      <c r="AB686" s="393"/>
      <c r="AC686" s="393"/>
      <c r="AD686" s="393"/>
      <c r="AE686" s="393"/>
      <c r="AF686" s="1037"/>
      <c r="AG686" s="1037"/>
      <c r="AH686" s="1037"/>
      <c r="AI686" s="1037"/>
      <c r="AJ686" s="1037"/>
      <c r="AK686" s="1037"/>
      <c r="AL686" s="1037"/>
      <c r="AM686" s="1037"/>
      <c r="AN686" s="1037"/>
      <c r="AO686" s="1037"/>
      <c r="AP686" s="1037"/>
      <c r="AQ686" s="1037"/>
      <c r="AR686" s="1037"/>
      <c r="AS686" s="1037"/>
      <c r="AT686" s="1037"/>
      <c r="AU686" s="1037"/>
      <c r="AV686" s="1037"/>
    </row>
    <row r="687" spans="1:48">
      <c r="A687" s="398" t="s">
        <v>564</v>
      </c>
      <c r="B687" s="372">
        <v>0.5</v>
      </c>
      <c r="C687" s="398"/>
      <c r="D687" s="398"/>
      <c r="E687" s="398"/>
      <c r="F687" s="1009">
        <f>Zero_Bed_One_Bath_Total_Units</f>
        <v>0</v>
      </c>
      <c r="G687" s="59" t="str">
        <f>IF(OR(F687=0,ROUNDUP(Total_Units*Data1!$B687,0)&gt;='Units, Set-Asides, Bldgs'!$H$143),"","The maximum 0-bedroom units is "&amp;TEXT(Data1!$B687,"0%")&amp;" of the "&amp;TEXT(Total_Units,"0")&amp;" total units (or "&amp;TEXT(ROUNDUP(Total_Units*Data1!$B687,0),"0")&amp;" units) and the "&amp;TEXT('Units, Set-Asides, Bldgs'!$H$143,"0")&amp;" units entered is "&amp;IF(ROUNDUP(Total_Units*Data1!$B687,0)&lt;'Units, Set-Asides, Bldgs'!$H$143,"NOT ","")&amp;"meeting the requirement.")</f>
        <v/>
      </c>
      <c r="H687" s="374"/>
      <c r="I687" s="374"/>
      <c r="J687" s="374"/>
      <c r="K687" s="374"/>
      <c r="L687" s="374"/>
      <c r="M687" s="374"/>
      <c r="N687" s="374"/>
      <c r="O687" s="374"/>
      <c r="P687" s="374"/>
      <c r="Q687" s="374"/>
      <c r="R687" s="374"/>
      <c r="S687" s="374"/>
      <c r="T687" s="374"/>
      <c r="U687" s="374"/>
      <c r="V687" s="385" t="str">
        <f>IF(OR(Demographic="Persons with a Disabling Condition",Demographic="Persons with Developmental Disabilities"),IF('Units, Set-Asides, Bldgs'!H$143&lt;=ROUNDUP(Total_Units*B687,0),"Yes","No"),"NA")</f>
        <v>NA</v>
      </c>
      <c r="W687" s="59" t="s">
        <v>555</v>
      </c>
      <c r="X687" s="59"/>
      <c r="Y687" s="59"/>
      <c r="Z687" s="59"/>
      <c r="AA687" s="59"/>
      <c r="AB687" s="59"/>
      <c r="AC687" s="59"/>
      <c r="AD687" s="59"/>
      <c r="AE687" s="59"/>
      <c r="AF687" s="405" t="str">
        <f>IF(V687="No",W687&amp;" ","")&amp;IF(V688="No",W688&amp;" ","")&amp;IF(V689="No",W689&amp;" ","")&amp;IF(V$693="No",W$693,"")</f>
        <v/>
      </c>
      <c r="AG687" s="405"/>
      <c r="AH687" s="405"/>
      <c r="AI687" s="405"/>
      <c r="AJ687" s="405"/>
      <c r="AK687" s="405"/>
      <c r="AL687" s="405"/>
      <c r="AM687" s="405"/>
      <c r="AN687" s="405"/>
      <c r="AO687" s="405"/>
      <c r="AP687" s="405"/>
      <c r="AQ687" s="405"/>
      <c r="AR687" s="405"/>
      <c r="AS687" s="405"/>
      <c r="AT687" s="405"/>
      <c r="AU687" s="405"/>
      <c r="AV687" s="405"/>
    </row>
    <row r="688" spans="1:48">
      <c r="A688" s="277" t="s">
        <v>565</v>
      </c>
      <c r="B688" s="368">
        <v>0.5</v>
      </c>
      <c r="C688" s="277"/>
      <c r="D688" s="277"/>
      <c r="E688" s="277"/>
      <c r="F688" s="1010">
        <f>One_Bed_One_Bath_Total_Units</f>
        <v>0</v>
      </c>
      <c r="G688" s="61" t="str">
        <f>IF(OR(AND(F688=0,'Units, Set-Asides, Bldgs'!H160=0),ROUNDUP(Total_Units*Data1!$B688,0)&lt;='Units, Set-Asides, Bldgs'!$H$144),"","The minimum 1 bedroom units is "&amp;TEXT(Data1!$B688,"0%")&amp;" of the "&amp;TEXT(Total_Units,"0")&amp;" total units (or "&amp;TEXT(ROUNDUP(Total_Units*Data1!$B688,0),"0")&amp;" units) and the "&amp;TEXT('Units, Set-Asides, Bldgs'!$H$144,"0")&amp;" units entered is "&amp;IF(ROUNDUP(Total_Units*Data1!$B688,0)&gt;'Units, Set-Asides, Bldgs'!$H$144,"NOT ","")&amp;"meeting the requirement.")</f>
        <v/>
      </c>
      <c r="H688" s="377"/>
      <c r="I688" s="377"/>
      <c r="J688" s="377"/>
      <c r="K688" s="377"/>
      <c r="L688" s="377"/>
      <c r="M688" s="377"/>
      <c r="N688" s="377"/>
      <c r="O688" s="377"/>
      <c r="P688" s="377"/>
      <c r="Q688" s="377"/>
      <c r="R688" s="377"/>
      <c r="S688" s="377"/>
      <c r="T688" s="377"/>
      <c r="U688" s="377"/>
      <c r="V688" s="403" t="str">
        <f>IF(OR(Demographic="Persons with a Disabling Condition",Demographic="Persons with Developmental Disabilities"),IF('Units, Set-Asides, Bldgs'!H$144&gt;=ROUNDUP(Total_Units*B688,0),"Yes","No"),"NA")</f>
        <v>NA</v>
      </c>
      <c r="W688" s="61" t="s">
        <v>558</v>
      </c>
      <c r="X688" s="61"/>
      <c r="Y688" s="61"/>
      <c r="Z688" s="61"/>
      <c r="AA688" s="61"/>
      <c r="AB688" s="61"/>
      <c r="AC688" s="61"/>
      <c r="AD688" s="61"/>
      <c r="AE688" s="61"/>
      <c r="AF688" s="1037"/>
      <c r="AG688" s="1037"/>
      <c r="AH688" s="1037"/>
      <c r="AI688" s="1037"/>
      <c r="AJ688" s="1037"/>
      <c r="AK688" s="1037"/>
      <c r="AL688" s="1037"/>
      <c r="AM688" s="1037"/>
      <c r="AN688" s="1037"/>
      <c r="AO688" s="1037"/>
      <c r="AP688" s="1037"/>
      <c r="AQ688" s="1037"/>
      <c r="AR688" s="1037"/>
      <c r="AS688" s="1037"/>
      <c r="AT688" s="1037"/>
      <c r="AU688" s="1037"/>
      <c r="AV688" s="1037"/>
    </row>
    <row r="689" spans="1:48">
      <c r="A689" s="1063" t="s">
        <v>566</v>
      </c>
      <c r="B689" s="373">
        <v>2</v>
      </c>
      <c r="C689" s="399" t="s">
        <v>1805</v>
      </c>
      <c r="D689" s="400"/>
      <c r="E689" s="400"/>
      <c r="F689" s="798">
        <f>SUM('Units, Set-Asides, Bldgs'!H153:H159)+IF(Data1!B689=2,SUM('Units, Set-Asides, Bldgs'!H148:H152),0)</f>
        <v>0</v>
      </c>
      <c r="G689" s="393" t="str">
        <f>IF(OR(F689=0,CHOOSE(B689,0,SUM('Units, Set-Asides, Bldgs'!H148:H159),SUM('Units, Set-Asides, Bldgs'!H153:H159))=0),"","The maximum number of bedrooms for any unit in a "&amp;Demographic&amp;" development is "&amp;CHOOSE(B689,"INVALID LIMIT","TWO (2)","THREE (3)")&amp;"."&amp;IF(CHOOSE(B689,0,SUM('Units, Set-Asides, Bldgs'!H148:H159),SUM('Units, Set-Asides, Bldgs'!H153:H159))&gt;0," There are entries in the table that are NOT meeting the requirement.",""))</f>
        <v/>
      </c>
      <c r="H689" s="376"/>
      <c r="I689" s="376"/>
      <c r="J689" s="376"/>
      <c r="K689" s="376"/>
      <c r="L689" s="376"/>
      <c r="M689" s="376"/>
      <c r="N689" s="376"/>
      <c r="O689" s="376"/>
      <c r="P689" s="376"/>
      <c r="Q689" s="376"/>
      <c r="R689" s="376"/>
      <c r="S689" s="376"/>
      <c r="T689" s="376"/>
      <c r="U689" s="376"/>
      <c r="V689" s="401" t="str">
        <f>IF(OR(Demographic="Persons with a Disabling Condition",Demographic="Persons with Developmental Disabilities"),IF(IF(B689=2,SUM('Units, Set-Asides, Bldgs'!H$148:H$159),SUM('Units, Set-Asides, Bldgs'!H$153:H$159))=0,"Yes","No"),"NA")</f>
        <v>NA</v>
      </c>
      <c r="W689" s="393" t="str">
        <f>"No units are allowed to have more than "&amp;TEXT(B689,"0")&amp;" bedrooms."</f>
        <v>No units are allowed to have more than 2 bedrooms.</v>
      </c>
      <c r="X689" s="393"/>
      <c r="Y689" s="393"/>
      <c r="Z689" s="393"/>
      <c r="AA689" s="393"/>
      <c r="AB689" s="393"/>
      <c r="AC689" s="393"/>
      <c r="AD689" s="393"/>
      <c r="AE689" s="393"/>
      <c r="AF689" s="1037"/>
      <c r="AG689" s="1037"/>
      <c r="AH689" s="1037"/>
      <c r="AI689" s="1037"/>
      <c r="AJ689" s="1037"/>
      <c r="AK689" s="1037"/>
      <c r="AL689" s="1037"/>
      <c r="AM689" s="1037"/>
      <c r="AN689" s="1037"/>
      <c r="AO689" s="1037"/>
      <c r="AP689" s="1037"/>
      <c r="AQ689" s="1037"/>
      <c r="AR689" s="1037"/>
      <c r="AS689" s="1037"/>
      <c r="AT689" s="1037"/>
      <c r="AU689" s="1037"/>
      <c r="AV689" s="1037"/>
    </row>
    <row r="690" spans="1:48">
      <c r="A690" s="398" t="s">
        <v>567</v>
      </c>
      <c r="B690" s="372">
        <v>0.3</v>
      </c>
      <c r="C690" s="398"/>
      <c r="D690" s="398"/>
      <c r="E690" s="398"/>
      <c r="F690" s="1012">
        <f>SUM('Units, Set-Asides, Bldgs'!H143:H144)</f>
        <v>0</v>
      </c>
      <c r="G690" s="59" t="str">
        <f>IF(OR(AND(F690=0,'Units, Set-Asides, Bldgs'!H160=0),ROUNDUP(Total_Units*Data1!$B690,0)&lt;='Units, Set-Asides, Bldgs'!$H$143+'Units, Set-Asides, Bldgs'!$H$144),"This area intentionally left blank.","The minimum 0 and 1 bedroom units is "&amp;TEXT(Data1!$B690,"0%")&amp;" of the "&amp;TEXT(Total_Units,"0")&amp;" total units (or "&amp;TEXT(ROUNDUP(Total_Units*Data1!$B690,0),"0")&amp;" units) and the combined "&amp;TEXT('Units, Set-Asides, Bldgs'!$H$143+'Units, Set-Asides, Bldgs'!$H$144,"0")&amp;" units entered is "&amp;IF(ROUNDUP(Total_Units*Data1!$B690,0)&gt;'Units, Set-Asides, Bldgs'!$H$143+'Units, Set-Asides, Bldgs'!$H$144,"NOT ","")&amp;"meeting the requirement.")</f>
        <v>This area intentionally left blank.</v>
      </c>
      <c r="H690" s="374"/>
      <c r="I690" s="374"/>
      <c r="J690" s="374"/>
      <c r="K690" s="374"/>
      <c r="L690" s="374"/>
      <c r="M690" s="374"/>
      <c r="N690" s="374"/>
      <c r="O690" s="374"/>
      <c r="P690" s="374"/>
      <c r="Q690" s="374"/>
      <c r="R690" s="374"/>
      <c r="S690" s="374"/>
      <c r="T690" s="374"/>
      <c r="U690" s="374"/>
      <c r="V690" s="385" t="str">
        <f>IF(Demographic="Persons with Special Needs",IF(SUM('Units, Set-Asides, Bldgs'!H$143:H$144)&gt;=ROUNDUP(Total_Units*B690,0),"Yes","No"),"NA")</f>
        <v>NA</v>
      </c>
      <c r="W690" s="59" t="s">
        <v>551</v>
      </c>
      <c r="X690" s="59"/>
      <c r="Y690" s="59"/>
      <c r="Z690" s="59"/>
      <c r="AA690" s="59"/>
      <c r="AB690" s="59"/>
      <c r="AC690" s="59"/>
      <c r="AD690" s="59"/>
      <c r="AE690" s="59"/>
      <c r="AF690" s="405" t="str">
        <f>IF(V690="No",W690&amp;" ","")&amp;IF(V691="No",W691&amp;" ","")&amp;IF(V692="No",W692&amp;" ","")&amp;IF(V$693="No",W$693,"")</f>
        <v/>
      </c>
      <c r="AG690" s="405"/>
      <c r="AH690" s="405"/>
      <c r="AI690" s="405"/>
      <c r="AJ690" s="405"/>
      <c r="AK690" s="405"/>
      <c r="AL690" s="405"/>
      <c r="AM690" s="405"/>
      <c r="AN690" s="405"/>
      <c r="AO690" s="405"/>
      <c r="AP690" s="405"/>
      <c r="AQ690" s="405"/>
      <c r="AR690" s="405"/>
      <c r="AS690" s="405"/>
      <c r="AT690" s="405"/>
      <c r="AU690" s="405"/>
      <c r="AV690" s="405"/>
    </row>
    <row r="691" spans="1:48">
      <c r="A691" s="277" t="s">
        <v>568</v>
      </c>
      <c r="B691" s="368">
        <v>0.25</v>
      </c>
      <c r="C691" s="277"/>
      <c r="D691" s="277"/>
      <c r="E691" s="277"/>
      <c r="F691" s="1011">
        <f>SUM('Units, Set-Asides, Bldgs'!H148:H152)</f>
        <v>0</v>
      </c>
      <c r="G691" s="61" t="str">
        <f>IF(OR(F691=0,ROUNDUP(Total_Units*Data1!$B691,0)&gt;=SUM('Units, Set-Asides, Bldgs'!$H$148:$H$152)),"This area intentionally left blank.","The maximum number of 3-bedroom units is "&amp;TEXT(Data1!$B691,"0%")&amp;" of the "&amp;TEXT(Total_Units,"0")&amp;" total units (or "&amp;TEXT(ROUNDUP(Total_Units*Data1!$B691,0),"0")&amp;" units) and the "&amp;TEXT(SUM('Units, Set-Asides, Bldgs'!$H$148:$H$152),"0")&amp;" units entered is "&amp;IF(ROUNDUP(Total_Units*Data1!$B691,0)&lt;SUM('Units, Set-Asides, Bldgs'!$H$148:$H$152),"NOT ","")&amp;"meeting the requirement.")</f>
        <v>This area intentionally left blank.</v>
      </c>
      <c r="H691" s="377"/>
      <c r="I691" s="377"/>
      <c r="J691" s="377"/>
      <c r="K691" s="377"/>
      <c r="L691" s="377"/>
      <c r="M691" s="377"/>
      <c r="N691" s="377"/>
      <c r="O691" s="377"/>
      <c r="P691" s="377"/>
      <c r="Q691" s="377"/>
      <c r="R691" s="377"/>
      <c r="S691" s="377"/>
      <c r="T691" s="377"/>
      <c r="U691" s="377"/>
      <c r="V691" s="403" t="str">
        <f>IF(Demographic="Persons with Special Needs",IF(SUM('Units, Set-Asides, Bldgs'!H$148:H$152)&lt;=ROUNDUP(Total_Units*B691,0),"Yes","No"),"NA")</f>
        <v>NA</v>
      </c>
      <c r="W691" s="61" t="s">
        <v>560</v>
      </c>
      <c r="X691" s="61"/>
      <c r="Y691" s="61"/>
      <c r="Z691" s="61"/>
      <c r="AA691" s="61"/>
      <c r="AB691" s="61"/>
      <c r="AC691" s="61"/>
      <c r="AD691" s="61"/>
      <c r="AE691" s="61"/>
      <c r="AF691" s="1037"/>
      <c r="AG691" s="1037"/>
      <c r="AH691" s="1037"/>
      <c r="AI691" s="1037"/>
      <c r="AJ691" s="1037"/>
      <c r="AK691" s="1037"/>
      <c r="AL691" s="1037"/>
      <c r="AM691" s="1037"/>
      <c r="AN691" s="1037"/>
      <c r="AO691" s="1037"/>
      <c r="AP691" s="1037"/>
      <c r="AQ691" s="1037"/>
      <c r="AR691" s="1037"/>
      <c r="AS691" s="1037"/>
      <c r="AT691" s="1037"/>
      <c r="AU691" s="1037"/>
      <c r="AV691" s="1037"/>
    </row>
    <row r="692" spans="1:48">
      <c r="A692" s="1063" t="s">
        <v>569</v>
      </c>
      <c r="B692" s="373">
        <v>3</v>
      </c>
      <c r="C692" s="399"/>
      <c r="D692" s="400"/>
      <c r="E692" s="400"/>
      <c r="F692" s="798">
        <f>SUM('Units, Set-Asides, Bldgs'!H153:H159)+IF(Data1!B692=2,SUM('Units, Set-Asides, Bldgs'!H148:H152),0)</f>
        <v>0</v>
      </c>
      <c r="G692" s="393" t="str">
        <f>IF(OR(F692=0,CHOOSE(B692,0,SUM('Units, Set-Asides, Bldgs'!H148:H159),SUM('Units, Set-Asides, Bldgs'!H153:H159))=0),"","The maximum number of bedrooms for any unit in a "&amp;Demographic&amp;" development is "&amp;CHOOSE(B692,"INVALID LIMIT","TWO (2)","THREE (3)")&amp;"."&amp;IF(CHOOSE(B692,0,SUM('Units, Set-Asides, Bldgs'!H148:H159),SUM('Units, Set-Asides, Bldgs'!H153:H159))&gt;0," There are entries in the table that are NOT meeting the requirement.",""))</f>
        <v/>
      </c>
      <c r="H692" s="376"/>
      <c r="I692" s="376"/>
      <c r="J692" s="376"/>
      <c r="K692" s="376"/>
      <c r="L692" s="376"/>
      <c r="M692" s="376"/>
      <c r="N692" s="376"/>
      <c r="O692" s="376"/>
      <c r="P692" s="376"/>
      <c r="Q692" s="376"/>
      <c r="R692" s="376"/>
      <c r="S692" s="376"/>
      <c r="T692" s="376"/>
      <c r="U692" s="376"/>
      <c r="V692" s="401" t="str">
        <f>IF(Demographic="Persons with Special Needs",IF(IF(B692=2,SUM('Units, Set-Asides, Bldgs'!H$148:H$159),SUM('Units, Set-Asides, Bldgs'!H$153:H$159))=0,"Yes","No"),"NA")</f>
        <v>NA</v>
      </c>
      <c r="W692" s="393" t="str">
        <f>"No units are allowed to have more than "&amp;TEXT(B692,"0")&amp;" bedrooms."</f>
        <v>No units are allowed to have more than 3 bedrooms.</v>
      </c>
      <c r="X692" s="393"/>
      <c r="Y692" s="393"/>
      <c r="Z692" s="393"/>
      <c r="AA692" s="393"/>
      <c r="AB692" s="393"/>
      <c r="AC692" s="393"/>
      <c r="AD692" s="393"/>
      <c r="AE692" s="393"/>
      <c r="AF692" s="1037"/>
      <c r="AG692" s="1037"/>
      <c r="AH692" s="1037"/>
      <c r="AI692" s="1037"/>
      <c r="AJ692" s="1037"/>
      <c r="AK692" s="1037"/>
      <c r="AL692" s="1037"/>
      <c r="AM692" s="1037"/>
      <c r="AN692" s="1037"/>
      <c r="AO692" s="1037"/>
      <c r="AP692" s="1037"/>
      <c r="AQ692" s="1037"/>
      <c r="AR692" s="1037"/>
      <c r="AS692" s="1037"/>
      <c r="AT692" s="1037"/>
      <c r="AU692" s="1037"/>
      <c r="AV692" s="1037"/>
    </row>
    <row r="693" spans="1:48">
      <c r="A693" s="6" t="s">
        <v>1667</v>
      </c>
      <c r="C693" s="94"/>
      <c r="D693" s="6"/>
      <c r="E693" s="6"/>
      <c r="F693" s="6"/>
      <c r="G693" s="6"/>
      <c r="V693" s="899" t="str">
        <f>IF('Units, Set-Asides, Bldgs'!H$160&lt;&gt;Total_Units,"No","Yes")</f>
        <v>Yes</v>
      </c>
      <c r="W693" s="64" t="s">
        <v>570</v>
      </c>
      <c r="X693" s="64"/>
      <c r="Y693" s="64"/>
      <c r="Z693" s="64"/>
      <c r="AA693" s="64"/>
      <c r="AB693" s="64"/>
      <c r="AC693" s="64"/>
      <c r="AD693" s="64"/>
      <c r="AE693" s="64"/>
      <c r="AF693" s="1037"/>
      <c r="AG693" s="1037"/>
      <c r="AH693" s="1037"/>
      <c r="AI693" s="1037"/>
      <c r="AJ693" s="1037"/>
      <c r="AK693" s="1037"/>
      <c r="AL693" s="1037"/>
      <c r="AM693" s="1037"/>
      <c r="AN693" s="1037"/>
      <c r="AO693" s="1037"/>
      <c r="AP693" s="1037"/>
      <c r="AQ693" s="1037"/>
      <c r="AR693" s="1037"/>
      <c r="AS693" s="1037"/>
      <c r="AT693" s="1037"/>
      <c r="AU693" s="1037"/>
      <c r="AV693" s="1037"/>
    </row>
    <row r="694" spans="1:48">
      <c r="A694" s="6" t="s">
        <v>1666</v>
      </c>
      <c r="B694" s="106" t="str" cm="1">
        <f t="array" ref="B694">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694" s="94"/>
      <c r="D694" s="6"/>
      <c r="E694" s="6"/>
      <c r="F694" s="6"/>
      <c r="G694" s="6"/>
      <c r="V694" s="899"/>
    </row>
    <row r="696" spans="1:48" ht="18" customHeight="1">
      <c r="A696" s="571" t="s">
        <v>571</v>
      </c>
      <c r="B696" s="572" t="s">
        <v>55</v>
      </c>
      <c r="C696" s="572" t="s">
        <v>56</v>
      </c>
      <c r="D696" s="572" t="s">
        <v>57</v>
      </c>
      <c r="E696" s="516" t="str">
        <f>"4.A.8.d.("&amp;'Construction Features'!B14&amp;")"</f>
        <v>4.A.8.d.(2)</v>
      </c>
      <c r="F696" s="63" t="s">
        <v>59</v>
      </c>
    </row>
    <row r="697" spans="1:48">
      <c r="A697" s="59" t="s">
        <v>2747</v>
      </c>
      <c r="B697" s="57">
        <v>1</v>
      </c>
      <c r="C697" s="60">
        <f>IF(B697&lt;&gt;1,"",SUM(B$697:B697))</f>
        <v>1</v>
      </c>
      <c r="D697" s="57">
        <v>1</v>
      </c>
      <c r="F697" s="84" t="str">
        <f>IF(COUNTA($A$697:$A697)&lt;=MAX(DS_Green_Sequence)=TRUE,LOOKUP(COUNTA($A$697:$A697),DS_Green_Sequence,DS_Green_DataNames),"")</f>
        <v>Leadership in Energy and Environmental Design (LEED)</v>
      </c>
    </row>
    <row r="698" spans="1:48">
      <c r="A698" s="59" t="s">
        <v>572</v>
      </c>
      <c r="B698" s="57">
        <v>1</v>
      </c>
      <c r="C698" s="60">
        <f>IF(B698&lt;&gt;1,"",SUM(B$697:B698))</f>
        <v>2</v>
      </c>
      <c r="D698" s="57">
        <v>2</v>
      </c>
      <c r="F698" s="84" t="str">
        <f>IF(COUNTA($A$697:$A698)&lt;=MAX(DS_Green_Sequence)=TRUE,LOOKUP(COUNTA($A$697:$A698),DS_Green_Sequence,DS_Green_DataNames),"")</f>
        <v>Florida Green Building Coalition (FGBC)</v>
      </c>
    </row>
    <row r="699" spans="1:48">
      <c r="A699" s="59" t="s">
        <v>573</v>
      </c>
      <c r="B699" s="57">
        <v>1</v>
      </c>
      <c r="C699" s="60">
        <f>IF(B699&lt;&gt;1,"",SUM(B$697:B699))</f>
        <v>3</v>
      </c>
      <c r="D699" s="57">
        <v>3</v>
      </c>
      <c r="F699" s="84" t="str">
        <f>IF(COUNTA($A$697:$A699)&lt;=MAX(DS_Green_Sequence)=TRUE,LOOKUP(COUNTA($A$697:$A699),DS_Green_Sequence,DS_Green_DataNames),"")</f>
        <v>Enterprise Green Communities</v>
      </c>
    </row>
    <row r="700" spans="1:48">
      <c r="A700" s="59" t="s">
        <v>574</v>
      </c>
      <c r="B700" s="57">
        <v>1</v>
      </c>
      <c r="C700" s="60">
        <f>IF(B700&lt;&gt;1,"",SUM(B$697:B700))</f>
        <v>4</v>
      </c>
      <c r="D700" s="57">
        <v>4</v>
      </c>
      <c r="F700" s="84" t="str">
        <f>IF(COUNTA($A$697:$A700)&lt;=MAX(DS_Green_Sequence)=TRUE,LOOKUP(COUNTA($A$697:$A700),DS_Green_Sequence,DS_Green_DataNames),"")</f>
        <v>ICC 700 National Green building Standard (NGBS)</v>
      </c>
    </row>
    <row r="702" spans="1:48" ht="18" customHeight="1">
      <c r="A702" s="571" t="s">
        <v>575</v>
      </c>
      <c r="E702" s="516" t="str">
        <f>"4.A.8.d.("&amp;'Construction Features'!B16&amp;")"</f>
        <v>4.A.8.d.()</v>
      </c>
    </row>
    <row r="703" spans="1:48">
      <c r="A703" s="421" t="s">
        <v>576</v>
      </c>
    </row>
    <row r="704" spans="1:48">
      <c r="A704" s="637" t="s">
        <v>577</v>
      </c>
      <c r="B704" s="638" t="b">
        <v>0</v>
      </c>
    </row>
    <row r="705" spans="1:2">
      <c r="A705" s="639" t="s">
        <v>578</v>
      </c>
      <c r="B705" s="640" t="b">
        <v>0</v>
      </c>
    </row>
    <row r="706" spans="1:2">
      <c r="A706" s="639" t="s">
        <v>579</v>
      </c>
      <c r="B706" s="640" t="b">
        <v>0</v>
      </c>
    </row>
    <row r="707" spans="1:2">
      <c r="A707" s="639" t="s">
        <v>580</v>
      </c>
      <c r="B707" s="640" t="b">
        <v>0</v>
      </c>
    </row>
    <row r="708" spans="1:2">
      <c r="A708" s="639" t="s">
        <v>2725</v>
      </c>
      <c r="B708" s="640" t="b">
        <v>0</v>
      </c>
    </row>
    <row r="709" spans="1:2">
      <c r="A709" s="639" t="s">
        <v>2726</v>
      </c>
      <c r="B709" s="640" t="b">
        <v>0</v>
      </c>
    </row>
    <row r="710" spans="1:2">
      <c r="A710" s="639" t="s">
        <v>581</v>
      </c>
      <c r="B710" s="640" t="b">
        <v>0</v>
      </c>
    </row>
    <row r="711" spans="1:2">
      <c r="A711" s="639" t="s">
        <v>582</v>
      </c>
      <c r="B711" s="640" t="b">
        <v>0</v>
      </c>
    </row>
    <row r="712" spans="1:2">
      <c r="A712" s="639" t="s">
        <v>583</v>
      </c>
      <c r="B712" s="640" t="b">
        <v>0</v>
      </c>
    </row>
    <row r="713" spans="1:2">
      <c r="A713" s="639" t="s">
        <v>584</v>
      </c>
      <c r="B713" s="640" t="b">
        <v>0</v>
      </c>
    </row>
    <row r="714" spans="1:2">
      <c r="A714" t="s">
        <v>585</v>
      </c>
      <c r="B714" s="628"/>
    </row>
    <row r="715" spans="1:2">
      <c r="A715" t="s">
        <v>585</v>
      </c>
      <c r="B715" s="628"/>
    </row>
    <row r="716" spans="1:2">
      <c r="A716" t="s">
        <v>585</v>
      </c>
      <c r="B716" s="628"/>
    </row>
    <row r="717" spans="1:2">
      <c r="A717" t="s">
        <v>585</v>
      </c>
      <c r="B717" s="628"/>
    </row>
    <row r="718" spans="1:2">
      <c r="A718" s="637" t="s">
        <v>586</v>
      </c>
      <c r="B718" s="638" t="b">
        <v>0</v>
      </c>
    </row>
    <row r="719" spans="1:2">
      <c r="A719" s="641" t="s">
        <v>587</v>
      </c>
      <c r="B719" s="642" t="b">
        <v>0</v>
      </c>
    </row>
    <row r="721" spans="1:6" ht="18" customHeight="1">
      <c r="A721" s="571" t="s">
        <v>2474</v>
      </c>
      <c r="E721" s="516" t="s">
        <v>588</v>
      </c>
    </row>
    <row r="722" spans="1:6">
      <c r="A722" s="637" t="s">
        <v>589</v>
      </c>
      <c r="B722" s="698" t="b">
        <v>0</v>
      </c>
    </row>
    <row r="723" spans="1:6">
      <c r="A723" s="641" t="s">
        <v>590</v>
      </c>
      <c r="B723" s="700" t="b">
        <v>0</v>
      </c>
    </row>
    <row r="725" spans="1:6" ht="18" customHeight="1">
      <c r="A725" s="571" t="s">
        <v>591</v>
      </c>
      <c r="E725" s="516" t="s">
        <v>588</v>
      </c>
    </row>
    <row r="726" spans="1:6">
      <c r="A726" s="421" t="s">
        <v>592</v>
      </c>
      <c r="B726" s="628"/>
      <c r="F726" t="s">
        <v>593</v>
      </c>
    </row>
    <row r="727" spans="1:6">
      <c r="A727" s="637" t="s">
        <v>594</v>
      </c>
      <c r="B727" s="698" t="b">
        <v>0</v>
      </c>
    </row>
    <row r="728" spans="1:6">
      <c r="A728" s="1883" t="s">
        <v>2395</v>
      </c>
      <c r="B728" s="699" t="b">
        <v>0</v>
      </c>
    </row>
    <row r="729" spans="1:6">
      <c r="A729" s="639" t="s">
        <v>595</v>
      </c>
      <c r="B729" s="699" t="b">
        <v>0</v>
      </c>
    </row>
    <row r="730" spans="1:6">
      <c r="A730" s="639" t="s">
        <v>2748</v>
      </c>
      <c r="B730" s="699" t="b">
        <v>0</v>
      </c>
    </row>
    <row r="731" spans="1:6">
      <c r="A731" s="641" t="s">
        <v>2676</v>
      </c>
      <c r="B731" s="700" t="b">
        <v>0</v>
      </c>
    </row>
    <row r="732" spans="1:6">
      <c r="A732" s="636" t="s">
        <v>596</v>
      </c>
      <c r="B732" s="628"/>
      <c r="F732" t="s">
        <v>597</v>
      </c>
    </row>
    <row r="733" spans="1:6">
      <c r="A733" s="1890" t="str">
        <f>"("&amp;TEXT('Resident Programs'!B$15,"0")&amp;") 1. Financial Management for Elderly Residents"</f>
        <v>(3) 1. Financial Management for Elderly Residents</v>
      </c>
      <c r="B733" s="698" t="b">
        <v>0</v>
      </c>
    </row>
    <row r="734" spans="1:6">
      <c r="A734" s="1889" t="str">
        <f>"("&amp;TEXT('Resident Programs'!B$15,"0")&amp;") 2. Computer Training"</f>
        <v>(3) 2. Computer Training</v>
      </c>
      <c r="B734" s="699" t="b">
        <v>0</v>
      </c>
    </row>
    <row r="735" spans="1:6">
      <c r="A735" s="1889" t="str">
        <f>"("&amp;TEXT('Resident Programs'!B$15,"0")&amp;") 3. Daily Activities"</f>
        <v>(3) 3. Daily Activities</v>
      </c>
      <c r="B735" s="699" t="b">
        <v>0</v>
      </c>
    </row>
    <row r="736" spans="1:6">
      <c r="A736" s="1889" t="str">
        <f>"("&amp;TEXT('Resident Programs'!B$15,"0")&amp;") 4. Housekeeping"</f>
        <v>(3) 4. Housekeeping</v>
      </c>
      <c r="B736" s="699" t="b">
        <v>0</v>
      </c>
    </row>
    <row r="737" spans="1:20">
      <c r="A737" s="1891" t="str">
        <f>"("&amp;TEXT('Resident Programs'!B$15,"0")&amp;") 5. Check-In Program"</f>
        <v>(3) 5. Check-In Program</v>
      </c>
      <c r="B737" s="700" t="b">
        <v>0</v>
      </c>
    </row>
    <row r="739" spans="1:20" ht="18" customHeight="1">
      <c r="A739" s="571" t="s">
        <v>598</v>
      </c>
      <c r="E739" s="516" t="str">
        <f>"4.A.10.a."</f>
        <v>4.A.10.a.</v>
      </c>
    </row>
    <row r="740" spans="1:20">
      <c r="A740" s="276" t="s">
        <v>599</v>
      </c>
      <c r="B740" s="271"/>
      <c r="C740" s="271"/>
      <c r="D740" s="271"/>
      <c r="E740" s="271"/>
      <c r="F740" s="964">
        <v>0</v>
      </c>
      <c r="G740" t="s">
        <v>2176</v>
      </c>
    </row>
    <row r="741" spans="1:20">
      <c r="A741" s="334" t="s">
        <v>2175</v>
      </c>
      <c r="B741" s="335"/>
      <c r="C741" s="335"/>
      <c r="D741" s="335"/>
      <c r="E741" s="335"/>
      <c r="F741" s="964">
        <v>24000000</v>
      </c>
      <c r="G741" t="s">
        <v>600</v>
      </c>
    </row>
    <row r="743" spans="1:20">
      <c r="A743" s="571" t="s">
        <v>1748</v>
      </c>
      <c r="E743" s="516" t="str">
        <f>"4.A.10.a.("&amp;Funding!B279&amp;")("&amp;Funding!C314&amp;")"</f>
        <v>4.A.10.a.(3)(c)</v>
      </c>
      <c r="F743" s="1081" t="s">
        <v>697</v>
      </c>
    </row>
    <row r="744" spans="1:20">
      <c r="A744" s="271" t="str">
        <f>E$743&amp;"("&amp;Funding!D318&amp;") - Subsequent Phase"</f>
        <v>4.A.10.a.(3)(c)(i) - Subsequent Phase</v>
      </c>
      <c r="B744" s="385" t="str">
        <f>IF(AND(Multiphase_subsequent="Yes",App_number_first_phase&lt;&gt;""),"Yes","No")</f>
        <v>No</v>
      </c>
      <c r="F744" s="2017" t="s">
        <v>1821</v>
      </c>
      <c r="N744" t="s">
        <v>1757</v>
      </c>
      <c r="O744" s="1092" t="s">
        <v>1755</v>
      </c>
    </row>
    <row r="745" spans="1:20">
      <c r="A745" s="271" t="str">
        <f>E$743&amp;"("&amp;Funding!D323&amp;") - SADDA"</f>
        <v>4.A.10.a.(3)(c)(ii) - SADDA</v>
      </c>
      <c r="B745" s="403" t="str">
        <f>IF(AND(County&lt;&gt;"&lt;select one&gt;",Small_Area_DDA="Yes",OR(SADDA_ZCTA_1&lt;&gt;"",SADDA_ZCTA_2&lt;&gt;"",SADDA_ZCTA_3&lt;&gt;""),OR(IFERROR(FIND("is in the",Comment_SADDA_ZCTA_1),0)&gt;0,IFERROR(FIND("is in the",Comment_SADDA_ZCTA_2),0)&gt;0,IFERROR(FIND("is in the",Comment_SADDA_ZCTA_3),0)&gt;0)),"Yes","No")</f>
        <v>No</v>
      </c>
      <c r="D745" s="2650" t="s">
        <v>1750</v>
      </c>
      <c r="E745" s="2651"/>
      <c r="F745" s="2497">
        <v>2024</v>
      </c>
      <c r="O745" s="15" t="s">
        <v>2483</v>
      </c>
    </row>
    <row r="746" spans="1:20">
      <c r="A746" s="271" t="str">
        <f>E$743&amp;"("&amp;Funding!D331&amp;") - Non-Metro DDA"</f>
        <v>4.A.10.a.(3)(c)(iii) - Non-Metro DDA</v>
      </c>
      <c r="B746" s="403" t="str">
        <f>IF(AND(DDA_nonmetro="Yes",DDA_nonmetro_name=County),"Yes","No")</f>
        <v>No</v>
      </c>
      <c r="D746" s="2652"/>
      <c r="E746" s="2653"/>
      <c r="F746" s="2497">
        <v>2023</v>
      </c>
      <c r="O746" s="6" t="s">
        <v>2484</v>
      </c>
    </row>
    <row r="747" spans="1:20">
      <c r="A747" s="271" t="str">
        <f>E$743&amp;"("&amp;Funding!D336&amp;") - QCT"</f>
        <v>4.A.10.a.(3)(c)(iv) - QCT</v>
      </c>
      <c r="B747" s="403" t="str">
        <f>IF(AND(QCT="Yes",QCT_number&lt;&gt;"",OR(AND(QCT_metro_or_nonmetro="Metro",IFERROR(FIND("is in the "&amp;County,Comment_QCT_number_metro),0)&gt;0),AND(QCT_metro_or_nonmetro="Non-Metro",IFERROR(FIND("is in the "&amp;County,Comment_QCT_number_nonmetro),0)&gt;0))),"Yes","No")</f>
        <v>No</v>
      </c>
      <c r="D747" s="2634" t="str">
        <f>IF(OR(Multiphase_subsequent_qualified="Yes",Small_Area_DDA_qualified="Yes",DDA_nonmetro_qualified="Yes",QCT_qualified="Yes"),"Yes","No")</f>
        <v>No</v>
      </c>
      <c r="E747" s="2635"/>
      <c r="F747" s="1080"/>
      <c r="N747" s="955"/>
      <c r="O747" s="1015" t="s">
        <v>1760</v>
      </c>
      <c r="P747" s="955"/>
      <c r="Q747" s="955"/>
      <c r="R747" s="955"/>
      <c r="S747" s="955"/>
      <c r="T747" s="955"/>
    </row>
    <row r="748" spans="1:20">
      <c r="N748" t="s">
        <v>1758</v>
      </c>
      <c r="O748" s="1092" t="s">
        <v>1756</v>
      </c>
    </row>
    <row r="749" spans="1:20" ht="18" customHeight="1">
      <c r="A749" s="571" t="s">
        <v>1738</v>
      </c>
      <c r="E749" s="516" t="str">
        <f>"4.A.10.a.("&amp;Funding!B279&amp;")("&amp;Funding!C314&amp;")"</f>
        <v>4.A.10.a.(3)(c)</v>
      </c>
      <c r="O749" s="6" t="s">
        <v>2485</v>
      </c>
    </row>
    <row r="750" spans="1:20">
      <c r="A750" s="271" t="str">
        <f>E$749&amp;"("&amp;Funding!D345&amp;") - Geographic AofO"</f>
        <v>4.A.10.a.(3)(c)( ) - Geographic AofO</v>
      </c>
      <c r="B750" s="385" t="str">
        <f>IF(AND(Earned_HUD_Boost&lt;&gt;"Yes",Geo_Area_of_Opp_boost="Yes",OR(AND(GAO_Number1&lt;&gt;"",IFERROR(FIND("is a GAO",Comment_GAO_Number1),0)&gt;0),AND(GAO_Number2&lt;&gt;"",IFERROR(FIND("is a GAO",Comment_GAO_Number2),0)&gt;0),AND(GAO_Number3&lt;&gt;"",IFERROR(FIND("is a GAO",Comment_GAO_Number3),0)&gt;0))),"Yes","No")</f>
        <v>No</v>
      </c>
      <c r="C750" s="1474">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D750" s="2389" t="s">
        <v>2719</v>
      </c>
      <c r="F750" t="str">
        <f>IF(AND(Geo_Area_of_Opp_boost_qualified="No",Geo_Area_of_Opp_boost_qualified_comment=""),"No data entered yet.",Geo_Area_of_Opp_boost_qualified_comment)</f>
        <v>No data entered yet.</v>
      </c>
      <c r="O750" s="6" t="s">
        <v>2486</v>
      </c>
    </row>
    <row r="751" spans="1:20">
      <c r="A751" s="255" t="str">
        <f>E$749&amp;"("&amp;Funding!D354&amp;") - Urban Center/MetroRail AofO"</f>
        <v>4.A.10.a.(3)(c)( ) - Urban Center/MetroRail AofO</v>
      </c>
      <c r="B751" s="385" t="str">
        <f>IF(AND(Earned_HUD_Boost&lt;&gt;"Yes",OR(Urban_Center_Area_of_Opp_boost="Yes",MetroRail_Area_of_Opp_boost="Yes")),"Yes","No")</f>
        <v>No</v>
      </c>
      <c r="C751" s="1329"/>
      <c r="D751" s="2650" t="s">
        <v>2236</v>
      </c>
      <c r="E751" s="2651"/>
      <c r="F751"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has no responses. MetroRail Designation has no responses.</v>
      </c>
      <c r="O751" s="6" t="s">
        <v>2487</v>
      </c>
    </row>
    <row r="752" spans="1:20">
      <c r="A752" s="255" t="str">
        <f>E$749&amp;"("&amp;Funding!D363&amp;") - Local Gov't AofO"</f>
        <v>4.A.10.a.(3)(c)( ) - Local Gov't AofO</v>
      </c>
      <c r="B752" s="403" t="str">
        <f>IF(AND(AND(Earned_HUD_Boost&lt;&gt;"Yes"),OR(LGAO_Designation="Yes",LGAO_Documentation="Yes"),AND(LGC_Loan_Face+LGC_Grant_Face&gt;0,LGC_Loan_Face+LGC_Grant_Face&gt;=IFERROR(VLOOKUP(County,DS_CountyData,4),1000000000)),OR(LG_Name1&lt;&gt;"",LG_Name2&lt;&gt;"",LG_Name3&lt;&gt;"",LG_Name4&lt;&gt;"",LG_Name5="")),"Yes","No")</f>
        <v>No</v>
      </c>
      <c r="C752" s="1329"/>
      <c r="D752" s="2652"/>
      <c r="E752" s="2653"/>
      <c r="F752" t="str">
        <f>IF(AND(LGAO_Number_qualified="No",LGAO_Number_qualified_Comment=""),"No data entered yet.",LGAO_Number_qualified_Comment)</f>
        <v>No data entered yet.</v>
      </c>
      <c r="O752" s="6" t="s">
        <v>2488</v>
      </c>
    </row>
    <row r="753" spans="1:20">
      <c r="A753" s="255" t="str">
        <f>E$749&amp;"("&amp;Funding!D366&amp;") - PHA AofO"</f>
        <v>4.A.10.a.(3)(c)( ) - PHA AofO</v>
      </c>
      <c r="B753" s="403" t="str">
        <f>IF(AND(Earned_HUD_Boost&lt;&gt;"Yes",IF(AND(Funding!L477&gt;0,PHA_land_lease="Yes",IF(Funding!L483&gt;0,PHA_Name&lt;&gt;"",TRUE)),TRUE,IF(AND(Funding!L480&gt;0,PHA_as_Principal="Yes",IF(Funding!L483&gt;0,PHA_Name&lt;&gt;"",TRUE)),TRUE,FALSE))),"Yes","No")</f>
        <v>No</v>
      </c>
      <c r="C753" s="1329"/>
      <c r="D753" s="2634" t="str">
        <f>IF(AND(Earned_HUD_Boost="No",OR(Geo_Area_of_Opp_boost_qualified="Yes",Urban_Center_Area_of_Opp_boost_qualified="Yes",LGAO_Number_qualified="Yes",PHA_Area_of_Opp_boost_qualified="Yes",Demographic_Area_of_Opp_boost_qualified="Yes")),"Yes","No")</f>
        <v>Yes</v>
      </c>
      <c r="E753" s="2635"/>
      <c r="F753" t="str">
        <f>IF(AND(PHA_Area_of_Opp_boost_qualified="No",PHA_Area_of_Opp_boost_qualified_comment=""),"No data entered yet.",PHA_Area_of_Opp_boost_qualified_comment)</f>
        <v>No data entered yet.</v>
      </c>
      <c r="O753" s="6" t="s">
        <v>2489</v>
      </c>
    </row>
    <row r="754" spans="1:20">
      <c r="A754" s="255" t="str">
        <f>E$749&amp;"("&amp;Funding!D369&amp;") - Demographic AofO"</f>
        <v>4.A.10.a.(3)(c)(v) - Demographic AofO</v>
      </c>
      <c r="B754" s="403" t="str">
        <f>IF(AND(Earned_HUD_Boost&lt;&gt;"Yes",Demographic_Area_of_Opp_boost="Yes"),"Yes","No")</f>
        <v>Yes</v>
      </c>
      <c r="C754" s="1329"/>
      <c r="F754" t="str">
        <f>IF(OR(Demographic=Data1!A25,Demographic=Data1!A26,Demographic=Data1!A27,Demographic=Data1!A28),"Qualified Demographic entered.",IF(Demographic="&lt;select one&gt;","No Demographic selected.","Wrong Demographic to qualify."))</f>
        <v>Qualified Demographic entered.</v>
      </c>
      <c r="N754" s="955"/>
      <c r="O754" s="1093" t="s">
        <v>1755</v>
      </c>
      <c r="P754" s="955"/>
      <c r="Q754" s="955"/>
      <c r="R754" s="955"/>
      <c r="S754" s="955"/>
      <c r="T754" s="955"/>
    </row>
    <row r="755" spans="1:20">
      <c r="N755" t="s">
        <v>1759</v>
      </c>
      <c r="O755" s="1092" t="s">
        <v>1756</v>
      </c>
    </row>
    <row r="756" spans="1:20" ht="18" customHeight="1">
      <c r="A756" s="571" t="s">
        <v>601</v>
      </c>
      <c r="E756" s="516" t="str">
        <f>"4.A.10.b."</f>
        <v>4.A.10.b.</v>
      </c>
      <c r="O756" s="6" t="s">
        <v>1761</v>
      </c>
    </row>
    <row r="757" spans="1:20" ht="18" customHeight="1">
      <c r="A757" s="2102" t="s">
        <v>2524</v>
      </c>
      <c r="B757" s="271" t="b">
        <v>0</v>
      </c>
      <c r="E757" s="516"/>
      <c r="O757" s="2100"/>
    </row>
    <row r="758" spans="1:20">
      <c r="A758" s="271" t="s">
        <v>264</v>
      </c>
      <c r="B758" s="643" t="b">
        <v>0</v>
      </c>
      <c r="O758" s="6" t="s">
        <v>1762</v>
      </c>
    </row>
    <row r="759" spans="1:20">
      <c r="A759" s="335" t="s">
        <v>602</v>
      </c>
      <c r="B759" s="644" t="b">
        <v>0</v>
      </c>
      <c r="O759" s="6" t="s">
        <v>1763</v>
      </c>
    </row>
    <row r="760" spans="1:20">
      <c r="O760" s="6" t="s">
        <v>1764</v>
      </c>
    </row>
    <row r="761" spans="1:20" ht="18" customHeight="1">
      <c r="A761" s="571" t="s">
        <v>603</v>
      </c>
      <c r="B761" s="6"/>
      <c r="C761" s="6"/>
      <c r="D761" s="6"/>
      <c r="E761" s="516" t="str">
        <f>"4.A.10."&amp;Funding!A429&amp;"."</f>
        <v>4.A.10.d.</v>
      </c>
      <c r="F761" s="63" t="s">
        <v>59</v>
      </c>
      <c r="O761" s="6" t="s">
        <v>1765</v>
      </c>
    </row>
    <row r="762" spans="1:20">
      <c r="A762" s="276" t="s">
        <v>604</v>
      </c>
      <c r="B762" s="2645">
        <v>0.03</v>
      </c>
      <c r="C762" s="2645"/>
      <c r="D762" s="2645"/>
      <c r="F762" s="84" t="s">
        <v>137</v>
      </c>
      <c r="G762" t="s">
        <v>605</v>
      </c>
      <c r="O762" s="1092" t="s">
        <v>1755</v>
      </c>
    </row>
    <row r="763" spans="1:20">
      <c r="A763" s="2619" t="s">
        <v>606</v>
      </c>
      <c r="B763" s="2687" t="s">
        <v>137</v>
      </c>
      <c r="C763" s="2687"/>
      <c r="D763" s="2687"/>
      <c r="E763" s="565">
        <f>IF(DS_Qualifying_FAFP_Basis="SAIL",1,IF(DS_Qualifying_FAFP_Basis="SAIL/Grant",2,IF(DS_Qualifying_FAFP_Basis="Grant",4,IF(DS_Qualifying_FAFP_Basis="HOME-ARP",4,IF(DS_Qualifying_FAFP_Basis="SAIL/HOME-ARP",5,6)))))</f>
        <v>1</v>
      </c>
      <c r="F763" s="84" t="s">
        <v>608</v>
      </c>
      <c r="G763" s="1669" t="str">
        <f>"The ""Base"" Award process has not been programmed into the Grant Request amount section. See note in cell F"&amp;ROW(F767)&amp;"."</f>
        <v>The "Base" Award process has not been programmed into the Grant Request amount section. See note in cell F767.</v>
      </c>
    </row>
    <row r="764" spans="1:20">
      <c r="B764" s="510"/>
      <c r="C764" s="510"/>
      <c r="D764" s="510"/>
      <c r="E764" s="565"/>
      <c r="F764" s="84" t="s">
        <v>132</v>
      </c>
      <c r="G764" s="509"/>
    </row>
    <row r="765" spans="1:20">
      <c r="B765" s="510"/>
      <c r="C765" s="510"/>
      <c r="D765" s="510"/>
      <c r="F765" s="84" t="s">
        <v>609</v>
      </c>
      <c r="G765" s="509"/>
    </row>
    <row r="766" spans="1:20">
      <c r="B766" s="510"/>
      <c r="C766" s="510"/>
      <c r="D766" s="510"/>
      <c r="F766" s="84" t="s">
        <v>607</v>
      </c>
      <c r="G766" s="509"/>
    </row>
    <row r="767" spans="1:20">
      <c r="B767" s="510"/>
      <c r="C767" s="510"/>
      <c r="D767" s="510"/>
      <c r="F767" s="84" t="s">
        <v>610</v>
      </c>
      <c r="G767" s="509"/>
    </row>
    <row r="769" spans="1:13" ht="18" customHeight="1">
      <c r="A769" s="571" t="s">
        <v>611</v>
      </c>
      <c r="B769" s="6"/>
      <c r="C769" s="6"/>
      <c r="D769" s="6"/>
      <c r="E769" s="516" t="str">
        <f>"4.A.10."&amp;Funding!A445&amp;"."</f>
        <v>4.A.10..</v>
      </c>
    </row>
    <row r="770" spans="1:13">
      <c r="A770" t="s">
        <v>612</v>
      </c>
      <c r="B770" s="965"/>
      <c r="F770" s="964">
        <v>40000</v>
      </c>
    </row>
    <row r="772" spans="1:13" ht="18" customHeight="1">
      <c r="A772" s="1427" t="s">
        <v>613</v>
      </c>
      <c r="B772" s="6"/>
      <c r="C772" s="6"/>
      <c r="D772" s="6"/>
      <c r="E772" s="516" t="s">
        <v>614</v>
      </c>
    </row>
    <row r="773" spans="1:13">
      <c r="A773" s="1457" t="s">
        <v>615</v>
      </c>
      <c r="B773" s="2649" t="s">
        <v>301</v>
      </c>
      <c r="C773" s="2649"/>
      <c r="D773" s="1215" t="s">
        <v>1859</v>
      </c>
      <c r="E773" s="271"/>
      <c r="F773" s="271"/>
      <c r="G773" s="63" t="s">
        <v>59</v>
      </c>
      <c r="H773" s="1329" t="s">
        <v>2255</v>
      </c>
      <c r="J773" s="1209" t="s">
        <v>2251</v>
      </c>
      <c r="K773" s="1210" t="s">
        <v>2252</v>
      </c>
      <c r="L773" s="1211" t="s">
        <v>352</v>
      </c>
    </row>
    <row r="774" spans="1:13">
      <c r="A774" s="1326" t="s">
        <v>2749</v>
      </c>
      <c r="B774" s="2646" t="s">
        <v>1869</v>
      </c>
      <c r="C774" s="2646"/>
      <c r="D774" s="834" t="s">
        <v>1874</v>
      </c>
      <c r="E774" s="255"/>
      <c r="F774" s="255"/>
      <c r="G774" s="84" t="s">
        <v>2667</v>
      </c>
      <c r="H774" s="1329" t="s">
        <v>2254</v>
      </c>
      <c r="J774" s="1667">
        <f>'Local Gov''t Contributions'!O3</f>
        <v>1</v>
      </c>
      <c r="K774" s="1668" t="str">
        <f>'Local Gov''t Contributions'!O24</f>
        <v>No</v>
      </c>
      <c r="L774" s="1651" t="str">
        <f>IF(County="Miami-Dade","Yes","No")</f>
        <v>No</v>
      </c>
    </row>
    <row r="775" spans="1:13">
      <c r="A775" s="1326" t="s">
        <v>1860</v>
      </c>
      <c r="B775" s="2646" t="s">
        <v>459</v>
      </c>
      <c r="C775" s="2646"/>
      <c r="D775" s="834" t="s">
        <v>2253</v>
      </c>
      <c r="E775" s="255"/>
      <c r="F775" s="255"/>
      <c r="G775" s="84" t="s">
        <v>2668</v>
      </c>
      <c r="H775" s="1329" t="s">
        <v>2255</v>
      </c>
      <c r="J775" s="2674" t="str">
        <f>IF(AND(J774=1,K774="No"),"Shows a. (auto stmt), b. (has LGC?), c. (Attachment), LG Funding table, LG Contributors table, 5pt stmt; Hides d. LGAO?, all LGAO designations.",IF(AND(J774=1,K774="Yes"),"Shows a. (auto stmt), b. (has LGC?), c. (Attachment), LG Funding table, LG Contributors table, 5pt stmt, d. LGAO?, LGAO Designation ¶; Hides remaining LGAO items.",IF(AND(J774=0,K774="No"),"Nothing is displayed.",IF(AND(J774=0,K774="Yes"),"Shows LG Funding table, LG Contributors table, All LGAO items except ?; Hides a. (auto stmt), b. (has LGC?), c. (Attachment), 5pt stmt, d. LGAO?",""))))</f>
        <v>Shows a. (auto stmt), b. (has LGC?), c. (Attachment), LG Funding table, LG Contributors table, 5pt stmt; Hides d. LGAO?, all LGAO designations.</v>
      </c>
      <c r="K775" s="2675"/>
      <c r="L775" s="2676"/>
    </row>
    <row r="776" spans="1:13">
      <c r="A776" s="1326" t="s">
        <v>2750</v>
      </c>
      <c r="B776" s="2646" t="s">
        <v>2069</v>
      </c>
      <c r="C776" s="2646"/>
      <c r="D776" s="834" t="s">
        <v>1870</v>
      </c>
      <c r="E776" s="255"/>
      <c r="F776" s="255"/>
      <c r="G776" s="1329"/>
      <c r="H776" s="1329" t="s">
        <v>2262</v>
      </c>
      <c r="J776" s="2674"/>
      <c r="K776" s="2675"/>
      <c r="L776" s="2676"/>
    </row>
    <row r="777" spans="1:13">
      <c r="A777" s="1326" t="s">
        <v>1876</v>
      </c>
      <c r="B777" s="2646" t="s">
        <v>301</v>
      </c>
      <c r="C777" s="2646"/>
      <c r="D777" s="834" t="s">
        <v>1873</v>
      </c>
      <c r="E777" s="255"/>
      <c r="F777" s="255"/>
      <c r="G777" s="1329"/>
      <c r="H777" s="1329" t="s">
        <v>2256</v>
      </c>
      <c r="J777" s="2674"/>
      <c r="K777" s="2675"/>
      <c r="L777" s="2676"/>
    </row>
    <row r="778" spans="1:13">
      <c r="A778" s="1326" t="s">
        <v>2751</v>
      </c>
      <c r="B778" s="2646" t="s">
        <v>301</v>
      </c>
      <c r="C778" s="2646"/>
      <c r="D778" s="834" t="s">
        <v>1872</v>
      </c>
      <c r="E778" s="255"/>
      <c r="F778" s="255"/>
      <c r="H778" s="1329" t="s">
        <v>2260</v>
      </c>
      <c r="J778" s="2674"/>
      <c r="K778" s="2675"/>
      <c r="L778" s="2676"/>
    </row>
    <row r="779" spans="1:13">
      <c r="A779" s="1459" t="s">
        <v>1861</v>
      </c>
      <c r="B779" s="2667" t="s">
        <v>301</v>
      </c>
      <c r="C779" s="2667"/>
      <c r="D779" s="399" t="s">
        <v>1871</v>
      </c>
      <c r="E779" s="466"/>
      <c r="F779" s="466"/>
      <c r="H779" t="s">
        <v>2261</v>
      </c>
      <c r="J779" s="2677"/>
      <c r="K779" s="2678"/>
      <c r="L779" s="2679"/>
    </row>
    <row r="780" spans="1:13">
      <c r="A780" s="6" t="s">
        <v>1734</v>
      </c>
      <c r="B780" s="2666">
        <f>IF(Data1!$B$773="No",0,IF(AND(IF(Data1!$B$775="Yes",County&lt;&gt;"Miami-Dade",TRUE ),OR(Development_Category="Rehabilitation",Development_Category="Acquisition and Rehabilitation")),5,IF(AND(Data1!$B$775="Yes",County="Miami-Dade"),IF(IF(Data1!$B$776="Face",LGC_Total_Face,LGC_Total_ValueOfContribution)&gt;=N(LGC_Points_Min_Amt),5,0),MIN(5,ROUND(5*IF(N(LGC_Points_Min_Amt)=0,0,IF(Data1!$B$774="Face",LGC_Total_Face,LGC_Total_ValueOfContribution)/LGC_Points_Min_Amt),2)))))</f>
        <v>0</v>
      </c>
      <c r="C780" s="2666"/>
      <c r="D780" s="6"/>
      <c r="F780" s="1208"/>
      <c r="L780" s="567" t="s">
        <v>1729</v>
      </c>
      <c r="M780" s="567" t="s">
        <v>1863</v>
      </c>
    </row>
    <row r="781" spans="1:13">
      <c r="A781" s="6" t="s">
        <v>1735</v>
      </c>
      <c r="B781" s="2665" t="str">
        <f>IFERROR(VLOOKUP(County,DS_CountyData,3),"TBD")</f>
        <v>NA</v>
      </c>
      <c r="C781" s="2665"/>
      <c r="D781" s="6"/>
      <c r="F781" s="1216"/>
      <c r="J781" s="1652" t="s">
        <v>2257</v>
      </c>
      <c r="L781" s="1650" t="s">
        <v>2275</v>
      </c>
      <c r="M781" s="1650" t="s">
        <v>2277</v>
      </c>
    </row>
    <row r="782" spans="1:13">
      <c r="A782" s="6" t="s">
        <v>1736</v>
      </c>
      <c r="B782" s="2665" t="str">
        <f>IFERROR(VLOOKUP(County,DS_CountyData,4),"TBD")</f>
        <v>NA</v>
      </c>
      <c r="C782" s="2665"/>
      <c r="D782" s="6"/>
      <c r="F782" s="1216"/>
      <c r="J782" s="1652" t="s">
        <v>2264</v>
      </c>
      <c r="L782" s="1650" t="s">
        <v>2275</v>
      </c>
      <c r="M782" s="1650" t="s">
        <v>2277</v>
      </c>
    </row>
    <row r="783" spans="1:13">
      <c r="A783" s="6"/>
      <c r="B783" s="471"/>
      <c r="C783" s="471"/>
      <c r="D783" s="6"/>
      <c r="F783" s="1216"/>
      <c r="J783" s="1652" t="s">
        <v>2265</v>
      </c>
      <c r="L783" s="1650" t="s">
        <v>2275</v>
      </c>
      <c r="M783" s="1650" t="s">
        <v>2277</v>
      </c>
    </row>
    <row r="784" spans="1:13" ht="18" customHeight="1">
      <c r="A784" s="571" t="s">
        <v>616</v>
      </c>
      <c r="E784" s="516" t="s">
        <v>617</v>
      </c>
      <c r="F784" s="1216"/>
      <c r="J784" s="1652" t="s">
        <v>2263</v>
      </c>
      <c r="L784" s="1331" t="s">
        <v>2269</v>
      </c>
      <c r="M784" s="1650" t="s">
        <v>2276</v>
      </c>
    </row>
    <row r="785" spans="1:13">
      <c r="A785" s="6" t="s">
        <v>618</v>
      </c>
      <c r="B785" s="635" t="b">
        <v>0</v>
      </c>
      <c r="F785" s="1216"/>
      <c r="J785" s="1652" t="s">
        <v>2258</v>
      </c>
      <c r="L785" s="1331" t="s">
        <v>2269</v>
      </c>
      <c r="M785" s="1650" t="s">
        <v>2276</v>
      </c>
    </row>
    <row r="786" spans="1:13">
      <c r="A786" s="6" t="s">
        <v>2752</v>
      </c>
      <c r="B786" s="635" t="b">
        <v>0</v>
      </c>
      <c r="F786" s="1216"/>
      <c r="J786" s="1610" t="s">
        <v>2268</v>
      </c>
      <c r="L786" s="1331" t="s">
        <v>2275</v>
      </c>
      <c r="M786" s="1650" t="s">
        <v>2277</v>
      </c>
    </row>
    <row r="787" spans="1:13">
      <c r="A787" s="6" t="s">
        <v>619</v>
      </c>
      <c r="B787" s="635" t="b">
        <v>0</v>
      </c>
      <c r="F787" s="1216"/>
      <c r="J787" s="1652" t="s">
        <v>2266</v>
      </c>
      <c r="L787" s="1331" t="s">
        <v>2275</v>
      </c>
      <c r="M787" s="1650" t="s">
        <v>2277</v>
      </c>
    </row>
    <row r="788" spans="1:13">
      <c r="F788" s="1216"/>
      <c r="G788" s="1216"/>
      <c r="H788" s="1216"/>
      <c r="J788" s="1652" t="s">
        <v>2259</v>
      </c>
      <c r="L788" s="1331" t="s">
        <v>2270</v>
      </c>
      <c r="M788" s="1650" t="s">
        <v>2279</v>
      </c>
    </row>
    <row r="789" spans="1:13">
      <c r="A789" s="1884" t="s">
        <v>2389</v>
      </c>
      <c r="E789" s="516" t="s">
        <v>2390</v>
      </c>
      <c r="F789" s="1216"/>
      <c r="G789" s="1216"/>
      <c r="H789" s="1216"/>
      <c r="J789" s="1652" t="s">
        <v>2272</v>
      </c>
      <c r="L789" s="1331" t="s">
        <v>2273</v>
      </c>
      <c r="M789" s="1650" t="s">
        <v>2280</v>
      </c>
    </row>
    <row r="790" spans="1:13">
      <c r="A790" s="1857" t="s">
        <v>2387</v>
      </c>
      <c r="B790" s="635" t="b">
        <v>0</v>
      </c>
      <c r="F790" s="1216"/>
      <c r="G790" s="1216"/>
      <c r="H790" s="1216"/>
      <c r="J790" s="1652" t="s">
        <v>2271</v>
      </c>
      <c r="L790" s="1331" t="s">
        <v>2274</v>
      </c>
      <c r="M790" s="1650" t="s">
        <v>2278</v>
      </c>
    </row>
    <row r="791" spans="1:13">
      <c r="A791" t="s">
        <v>2386</v>
      </c>
      <c r="B791" s="635" t="b">
        <v>0</v>
      </c>
      <c r="F791" s="1216"/>
      <c r="G791" s="1216"/>
      <c r="H791" s="1216"/>
      <c r="J791" s="1652" t="s">
        <v>2267</v>
      </c>
      <c r="L791" s="1650" t="s">
        <v>2273</v>
      </c>
      <c r="M791" s="1650" t="s">
        <v>2280</v>
      </c>
    </row>
    <row r="792" spans="1:13">
      <c r="A792" t="s">
        <v>2392</v>
      </c>
      <c r="B792" s="635" t="b">
        <v>0</v>
      </c>
      <c r="F792" s="1216"/>
      <c r="G792" s="1216"/>
      <c r="H792" s="1216"/>
      <c r="J792" s="1857"/>
      <c r="L792" s="1331"/>
      <c r="M792" s="1854"/>
    </row>
    <row r="793" spans="1:13">
      <c r="F793" s="1216"/>
      <c r="G793" s="1216"/>
      <c r="H793" s="1216"/>
      <c r="J793" s="1857"/>
      <c r="L793" s="1331"/>
      <c r="M793" s="1854"/>
    </row>
    <row r="794" spans="1:13">
      <c r="A794" s="571" t="s">
        <v>2033</v>
      </c>
      <c r="B794" s="572" t="s">
        <v>55</v>
      </c>
      <c r="C794" s="572" t="s">
        <v>56</v>
      </c>
      <c r="D794" s="572" t="s">
        <v>57</v>
      </c>
      <c r="E794" s="516" t="s">
        <v>2005</v>
      </c>
      <c r="F794" s="63" t="s">
        <v>59</v>
      </c>
    </row>
    <row r="795" spans="1:13">
      <c r="A795" s="1000" t="s">
        <v>2010</v>
      </c>
      <c r="B795" s="1340">
        <v>0</v>
      </c>
      <c r="C795" s="60" t="str">
        <f>IF(B795&lt;&gt;1,"",SUM(B$795:B795))</f>
        <v/>
      </c>
      <c r="D795" s="1340">
        <v>1</v>
      </c>
      <c r="E795" s="385" t="s">
        <v>2017</v>
      </c>
      <c r="F795" s="84" t="str">
        <f>IF(COUNTA($A$795:$A795)&lt;=MAX(DS_Goals_Sequence)=TRUE,LOOKUP(COUNTA($A$795:$A795),DS_Goals_Sequence,DS_Goals_DataNames),"")</f>
        <v>Youth Aging Out of Foster Care Goal</v>
      </c>
    </row>
    <row r="796" spans="1:13">
      <c r="A796" s="377" t="s">
        <v>2009</v>
      </c>
      <c r="B796" s="1340">
        <v>0</v>
      </c>
      <c r="C796" s="60" t="str">
        <f>IF(B796&lt;&gt;1,"",SUM(B$795:B796))</f>
        <v/>
      </c>
      <c r="D796" s="1340">
        <v>2</v>
      </c>
      <c r="E796" s="403" t="s">
        <v>2017</v>
      </c>
      <c r="F796" s="84" t="str">
        <f>IF(COUNTA($A$795:$A796)&lt;=MAX(DS_Goals_Sequence)=TRUE,LOOKUP(COUNTA($A$795:$A796),DS_Goals_Sequence,DS_Goals_DataNames),"")</f>
        <v>Mixed Use Development Goal</v>
      </c>
    </row>
    <row r="797" spans="1:13">
      <c r="A797" s="377" t="s">
        <v>2011</v>
      </c>
      <c r="B797" s="1340">
        <v>0</v>
      </c>
      <c r="C797" s="60" t="str">
        <f>IF(B797&lt;&gt;1,"",SUM(B$795:B797))</f>
        <v/>
      </c>
      <c r="D797" s="1340">
        <v>3</v>
      </c>
      <c r="E797" s="403" t="s">
        <v>2017</v>
      </c>
      <c r="F797" s="84" t="str">
        <f>IF(COUNTA($A$795:$A797)&lt;=MAX(DS_Goals_Sequence)=TRUE,LOOKUP(COUNTA($A$795:$A797),DS_Goals_Sequence,DS_Goals_DataNames),"")</f>
        <v>Urban Infill Goal</v>
      </c>
    </row>
    <row r="798" spans="1:13">
      <c r="A798" s="377" t="s">
        <v>2012</v>
      </c>
      <c r="B798" s="1340">
        <v>0</v>
      </c>
      <c r="C798" s="60" t="str">
        <f>IF(B798&lt;&gt;1,"",SUM(B$795:B798))</f>
        <v/>
      </c>
      <c r="D798" s="1340">
        <v>4</v>
      </c>
      <c r="E798" s="403" t="s">
        <v>2018</v>
      </c>
      <c r="F798" s="84" t="str">
        <f>IF(COUNTA($A$795:$A798)&lt;=MAX(DS_Goals_Sequence)=TRUE,LOOKUP(COUNTA($A$795:$A798),DS_Goals_Sequence,DS_Goals_DataNames),"")</f>
        <v>Publicly Owned Land Goal</v>
      </c>
    </row>
    <row r="799" spans="1:13">
      <c r="A799" s="377" t="s">
        <v>2014</v>
      </c>
      <c r="B799" s="1340">
        <v>0</v>
      </c>
      <c r="C799" s="60" t="str">
        <f>IF(B799&lt;&gt;1,"",SUM(B$795:B799))</f>
        <v/>
      </c>
      <c r="D799" s="1340">
        <v>5</v>
      </c>
      <c r="E799" s="403" t="s">
        <v>2018</v>
      </c>
      <c r="F799" s="84" t="str">
        <f>IF(COUNTA($A$795:$A799)&lt;=MAX(DS_Goals_Sequence)=TRUE,LOOKUP(COUNTA($A$795:$A799),DS_Goals_Sequence,DS_Goals_DataNames),"")</f>
        <v/>
      </c>
    </row>
    <row r="800" spans="1:13">
      <c r="A800" s="377" t="s">
        <v>2013</v>
      </c>
      <c r="B800" s="1340">
        <v>0</v>
      </c>
      <c r="C800" s="60" t="str">
        <f>IF(B800&lt;&gt;1,"",SUM(B$795:B800))</f>
        <v/>
      </c>
      <c r="D800" s="1340">
        <v>7</v>
      </c>
      <c r="E800" s="403" t="s">
        <v>2018</v>
      </c>
      <c r="F800" s="84"/>
    </row>
    <row r="801" spans="1:10">
      <c r="A801" s="377" t="s">
        <v>2015</v>
      </c>
      <c r="B801" s="1340">
        <v>0</v>
      </c>
      <c r="C801" s="60" t="str">
        <f>IF(B801&lt;&gt;1,"",SUM(B$795:B801))</f>
        <v/>
      </c>
      <c r="D801" s="1340">
        <v>8</v>
      </c>
      <c r="E801" s="403" t="s">
        <v>2019</v>
      </c>
      <c r="F801" s="84"/>
    </row>
    <row r="802" spans="1:10">
      <c r="A802" s="377" t="s">
        <v>2753</v>
      </c>
      <c r="B802" s="1340">
        <v>0</v>
      </c>
      <c r="C802" s="60" t="str">
        <f>IF(B802&lt;&gt;1,"",SUM(B$795:B802))</f>
        <v/>
      </c>
      <c r="D802" s="1340">
        <v>9</v>
      </c>
      <c r="E802" s="403" t="s">
        <v>2019</v>
      </c>
      <c r="F802" s="84"/>
    </row>
    <row r="803" spans="1:10">
      <c r="A803" s="377" t="s">
        <v>2016</v>
      </c>
      <c r="B803" s="1340">
        <v>0</v>
      </c>
      <c r="C803" s="60" t="str">
        <f>IF(B803&lt;&gt;1,"",SUM(B$795:B803))</f>
        <v/>
      </c>
      <c r="D803" s="1340">
        <v>10</v>
      </c>
      <c r="E803" s="403" t="s">
        <v>2019</v>
      </c>
      <c r="F803" s="84"/>
    </row>
    <row r="804" spans="1:10">
      <c r="A804" s="377" t="s">
        <v>952</v>
      </c>
      <c r="B804" s="1340">
        <v>1</v>
      </c>
      <c r="C804" s="60">
        <f>IF(B804&lt;&gt;1,"",SUM(B$795:B804))</f>
        <v>1</v>
      </c>
      <c r="D804" s="1340">
        <v>11</v>
      </c>
      <c r="E804" s="403" t="s">
        <v>2398</v>
      </c>
      <c r="F804" s="84"/>
    </row>
    <row r="805" spans="1:10">
      <c r="A805" s="377" t="s">
        <v>2374</v>
      </c>
      <c r="B805" s="1887">
        <v>1</v>
      </c>
      <c r="C805" s="60">
        <f>IF(B805&lt;&gt;1,"",SUM(B$795:B805))</f>
        <v>2</v>
      </c>
      <c r="D805" s="1887">
        <v>12</v>
      </c>
      <c r="E805" s="403" t="s">
        <v>2398</v>
      </c>
      <c r="F805" s="84"/>
    </row>
    <row r="806" spans="1:10">
      <c r="A806" s="377" t="s">
        <v>2754</v>
      </c>
      <c r="B806" s="1887">
        <v>1</v>
      </c>
      <c r="C806" s="60">
        <f>IF(B806&lt;&gt;1,"",SUM(B$795:B806))</f>
        <v>3</v>
      </c>
      <c r="D806" s="1887">
        <v>13</v>
      </c>
      <c r="E806" s="403" t="s">
        <v>2398</v>
      </c>
      <c r="F806" s="84"/>
    </row>
    <row r="807" spans="1:10">
      <c r="A807" s="377" t="s">
        <v>2371</v>
      </c>
      <c r="B807" s="1340">
        <v>1</v>
      </c>
      <c r="C807" s="60">
        <f>IF(B807&lt;&gt;1,"",SUM(B$795:B807))</f>
        <v>4</v>
      </c>
      <c r="D807" s="1340">
        <v>14</v>
      </c>
      <c r="E807" s="403" t="s">
        <v>2398</v>
      </c>
      <c r="F807" s="84" t="str">
        <f>IF(COUNTA($A$795:$A807)&lt;=MAX(DS_Goals_Sequence)=TRUE,LOOKUP(COUNTA($A$795:$A807),DS_Goals_Sequence,DS_Goals_DataNames),"")</f>
        <v/>
      </c>
    </row>
    <row r="809" spans="1:10">
      <c r="A809" s="571" t="s">
        <v>2034</v>
      </c>
    </row>
    <row r="810" spans="1:10">
      <c r="A810" s="1347" t="s">
        <v>2035</v>
      </c>
      <c r="B810" s="1968" t="b">
        <v>0</v>
      </c>
      <c r="D810" s="94" t="str">
        <f>"("&amp;Goals!D10&amp;")"</f>
        <v>(Type Goal 1 Descriptive Wording in this Cell)</v>
      </c>
    </row>
    <row r="811" spans="1:10">
      <c r="A811" s="1347" t="s">
        <v>2036</v>
      </c>
      <c r="B811" s="1968" t="b">
        <v>0</v>
      </c>
      <c r="D811" s="94" t="str">
        <f>"("&amp;Goals!D11&amp;")"</f>
        <v>(Type Goal 2 Descriptive Wording in this Cell)</v>
      </c>
    </row>
    <row r="812" spans="1:10">
      <c r="A812" s="1347" t="s">
        <v>2037</v>
      </c>
      <c r="B812" s="1968" t="b">
        <v>0</v>
      </c>
      <c r="D812" s="94" t="str">
        <f>"("&amp;Goals!D12&amp;")"</f>
        <v>(Type Goal 3 Descriptive Wording in this Cell)</v>
      </c>
    </row>
    <row r="813" spans="1:10">
      <c r="A813" s="1857" t="s">
        <v>2372</v>
      </c>
      <c r="B813" s="635" t="b">
        <v>0</v>
      </c>
      <c r="D813" s="94" t="str">
        <f>"("&amp;Goals!D13&amp;")"</f>
        <v>(Type Goal 4 Descriptive Wording in this Cell)</v>
      </c>
    </row>
    <row r="814" spans="1:10">
      <c r="A814" s="1037" t="s">
        <v>2373</v>
      </c>
      <c r="B814" s="1969"/>
      <c r="C814" s="628"/>
      <c r="D814" s="1886" t="str">
        <f>"("&amp;Goals!D14&amp;")"</f>
        <v>()</v>
      </c>
      <c r="E814" s="628"/>
    </row>
    <row r="816" spans="1:10" ht="18" customHeight="1">
      <c r="A816" s="571" t="s">
        <v>620</v>
      </c>
      <c r="B816" s="6"/>
      <c r="C816" s="6"/>
      <c r="D816" s="6"/>
      <c r="E816" s="629" t="s">
        <v>621</v>
      </c>
      <c r="F816" s="111" t="s">
        <v>622</v>
      </c>
      <c r="G816" s="111" t="s">
        <v>623</v>
      </c>
      <c r="H816" s="111" t="s">
        <v>624</v>
      </c>
      <c r="J816" s="25" t="s">
        <v>625</v>
      </c>
    </row>
    <row r="817" spans="1:10">
      <c r="A817" t="s">
        <v>626</v>
      </c>
      <c r="E817" s="909" t="s">
        <v>301</v>
      </c>
      <c r="F817" s="898" t="s">
        <v>459</v>
      </c>
      <c r="G817" s="240">
        <f ca="1">COUNTIF('General Information'!$K$10:$K$300,"=1")-COUNTIFS('General Information'!$K$10:$K$300,"=1",'General Information'!$L$10:$L$300,"=1")</f>
        <v>38</v>
      </c>
      <c r="H817" s="240">
        <f ca="1">(COUNTIF('General Information'!$K$10:$K$300,"=2")+IF('General Information'!$K$228&lt;&gt;0,1,0)+IF('General Information'!$K$235&lt;&gt;0,1,0)+IF('General Information'!$K$267&lt;&gt;0,1,0)+IF('General Information'!$K$274&lt;&gt;0,1,0)+IF('General Information'!$K$280&lt;&gt;0,1,0)+IF('General Information'!$K$287&lt;&gt;0,1,0))-(COUNTIFS('General Information'!$K$10:$K$300,"=2",'General Information'!$L$10:$L$300,"=2")+IF(AND('General Information'!$K$228&lt;&gt;0,$H$141&lt;&gt;""),1,0)+IF(AND('General Information'!$K$235&lt;&gt;0,'General Information'!$H$235&lt;&gt;""),1,0)+IF(AND('General Information'!$K$267&lt;&gt;0,'General Information'!$H$267&lt;&gt;""),1,0)+IF(AND('General Information'!$K$274&lt;&gt;0,'General Information'!$H$274&lt;&gt;""),1,0)+IF(AND('General Information'!$K$280&lt;&gt;0,'General Information'!$H$280&lt;&gt;""),1,0)+IF(AND('General Information'!$K$287&lt;&gt;0,'General Information'!$H$287&lt;&gt;""),1,0))</f>
        <v>26</v>
      </c>
      <c r="J817" s="780" t="s">
        <v>627</v>
      </c>
    </row>
    <row r="818" spans="1:10">
      <c r="A818" t="s">
        <v>628</v>
      </c>
      <c r="E818" s="909" t="s">
        <v>301</v>
      </c>
      <c r="F818" s="909" t="s">
        <v>459</v>
      </c>
      <c r="G818" s="240">
        <f>COUNTIF('Proposed Development Info'!$L$3:$L$157,"=1")+IF('Proposed Development Info'!$L$96=1,1,0)+IF('Proposed Development Info'!$L$97=1,1,0)-(COUNTIFS('Proposed Development Info'!$L$3:$L$157,"=1",'Proposed Development Info'!$M$3:$M$157,"=1")+IF(AND('Proposed Development Info'!$L$96=1,'Proposed Development Info'!$F$96&lt;&gt;"",'Proposed Development Info'!$G$96&lt;&gt;""),1,0)+IF(AND('Proposed Development Info'!$L$97=1,'Proposed Development Info'!$F$97&lt;&gt;"",'Proposed Development Info'!$G$97&lt;&gt;""),1,0))</f>
        <v>3</v>
      </c>
      <c r="H818" s="240">
        <f>COUNTIF('Proposed Development Info'!$L$3:$L$157,"=2")+IF('Proposed Development Info'!$L$96=2,1,0)+IF('Proposed Development Info'!$L$97=2,1,0)-(COUNTIFS('Proposed Development Info'!$L$3:$L$157,"=2",'Proposed Development Info'!$M$3:$M$157,"=2")+IF(AND('Proposed Development Info'!$L$96=2,'Proposed Development Info'!$F$96&lt;&gt;"",'Proposed Development Info'!$G$96&lt;&gt;""),1,0)+IF(AND('Proposed Development Info'!$L$97=2,'Proposed Development Info'!$F$97&lt;&gt;"",'Proposed Development Info'!$G$97&lt;&gt;""),1,0))</f>
        <v>6</v>
      </c>
    </row>
    <row r="819" spans="1:10">
      <c r="A819" t="s">
        <v>629</v>
      </c>
      <c r="E819" s="909" t="s">
        <v>301</v>
      </c>
      <c r="F819" s="909" t="s">
        <v>459</v>
      </c>
      <c r="G819" s="240">
        <f>COUNTIF('Development Location'!$M$3:$M$36,"=1")-COUNTIFS('Development Location'!$M$3:$M$36,"=1",'Development Location'!$N$3:$N$36,"=1")</f>
        <v>6</v>
      </c>
      <c r="H819" s="240">
        <f>COUNTIF('Development Location'!$M$3:$M$36,"=2")-COUNTIFS('Development Location'!$M$3:$M$36,"=2",'Development Location'!$N$3:$N$36,"=2")</f>
        <v>1</v>
      </c>
    </row>
    <row r="820" spans="1:10">
      <c r="A820" t="s">
        <v>630</v>
      </c>
      <c r="E820" s="909" t="s">
        <v>301</v>
      </c>
      <c r="F820" s="909" t="s">
        <v>301</v>
      </c>
      <c r="G820" s="2032">
        <f>IF('Proximity, Mand.Dist., RECAP'!$N12=0,0,COUNTIF('Proximity, Mand.Dist., RECAP'!$L$7:$L$87,"=1")-COUNTIFS('Proximity, Mand.Dist., RECAP'!$L$7:$L$87,"=1",'Proximity, Mand.Dist., RECAP'!$M$7:$M$87,"=1"))</f>
        <v>0</v>
      </c>
      <c r="H820" s="240">
        <f>IF('Proximity, Mand.Dist., RECAP'!$N12=0,0,COUNTIF('Proximity, Mand.Dist., RECAP'!$L$7:$L$87,"=2")-COUNTIFS('Proximity, Mand.Dist., RECAP'!$L$7:$L$87,"=2",'Proximity, Mand.Dist., RECAP'!$M$7:$M$87,"=2"))</f>
        <v>0</v>
      </c>
    </row>
    <row r="821" spans="1:10">
      <c r="A821" t="s">
        <v>631</v>
      </c>
      <c r="E821" s="909" t="s">
        <v>301</v>
      </c>
      <c r="F821" s="909" t="s">
        <v>459</v>
      </c>
      <c r="G821" s="240">
        <f>COUNTIF('Units, Set-Asides, Bldgs'!$N$3:$N$200,"=1")-COUNTIFS('Units, Set-Asides, Bldgs'!$N$3:$N$200,"=1",'Units, Set-Asides, Bldgs'!$O$3:$O$200,"=1")</f>
        <v>5</v>
      </c>
      <c r="H821" s="240">
        <f>COUNTIF('Units, Set-Asides, Bldgs'!$N$3:$N$200,"=2")-COUNTIFS('Units, Set-Asides, Bldgs'!$N$3:$N$200,"=2",'Units, Set-Asides, Bldgs'!$O$3:$O$200,"=2")</f>
        <v>0</v>
      </c>
    </row>
    <row r="822" spans="1:10">
      <c r="A822" t="s">
        <v>632</v>
      </c>
      <c r="E822" s="909" t="s">
        <v>301</v>
      </c>
      <c r="F822" s="909" t="s">
        <v>459</v>
      </c>
      <c r="G822" s="696"/>
      <c r="H822" s="696"/>
    </row>
    <row r="823" spans="1:10">
      <c r="A823" t="s">
        <v>633</v>
      </c>
      <c r="E823" s="909" t="s">
        <v>301</v>
      </c>
      <c r="F823" s="909" t="s">
        <v>459</v>
      </c>
      <c r="G823" s="2032">
        <f>IF('Construction Features'!$N33=0,0,COUNTIF('Construction Features'!$L$15:$L$32,"=1")-COUNTIFS('Construction Features'!$L$15:$L$32,"=1",'Construction Features'!$M$15:$M$32,"=1"))</f>
        <v>1</v>
      </c>
      <c r="H823" s="240">
        <f>IF('Construction Features'!$N33=0,0,COUNTIF('Construction Features'!$L$15:$L$32,"=2")-COUNTIFS('Construction Features'!$L$15:$L$32,"=2",'Construction Features'!$M$15:$M$32,"=2"))</f>
        <v>0</v>
      </c>
    </row>
    <row r="824" spans="1:10">
      <c r="A824" t="s">
        <v>634</v>
      </c>
      <c r="E824" s="909" t="s">
        <v>301</v>
      </c>
      <c r="F824" s="909" t="s">
        <v>459</v>
      </c>
      <c r="G824" s="2032">
        <f>IF(Services!$M9=0,0,COUNTIF(Services!$K$7:$K$40,"=1")-COUNTIFS(Services!$K$7:$K$40,"=1",Services!$L$7:$L$40,"=1"))</f>
        <v>13</v>
      </c>
      <c r="H824" s="240">
        <f>IF(Services!$M9=0,0,COUNTIF(Services!$K$7:$K$40,"=2")-COUNTIFS(Services!$K$7:$K$40,"=2",Services!$L$7:$L$40,"=2"))</f>
        <v>1</v>
      </c>
    </row>
    <row r="825" spans="1:10">
      <c r="A825" t="s">
        <v>635</v>
      </c>
      <c r="B825" s="1329"/>
      <c r="E825" s="909" t="s">
        <v>301</v>
      </c>
      <c r="F825" s="909" t="s">
        <v>301</v>
      </c>
      <c r="G825" s="2032">
        <f>IF('Resident Programs'!$M14=0,0,COUNTIF('Resident Programs'!$K$5:$K$20,"=1")-COUNTIFS('Resident Programs'!$K$5:$K$20,"=1",'Resident Programs'!$L$5:$L$20,"=1"))</f>
        <v>0</v>
      </c>
      <c r="H825" s="240">
        <f>IF('Resident Programs'!$M14=0,0,COUNTIF('Resident Programs'!$K$5:$K$20,"=2")-COUNTIFS('Resident Programs'!$K$5:$K$20,"=2",'Resident Programs'!$L$5:$L$20,"=2"))</f>
        <v>0</v>
      </c>
    </row>
    <row r="826" spans="1:10">
      <c r="A826" t="s">
        <v>636</v>
      </c>
      <c r="B826" s="1329"/>
      <c r="E826" s="909" t="s">
        <v>301</v>
      </c>
      <c r="F826" s="909" t="s">
        <v>459</v>
      </c>
      <c r="G826" s="240">
        <f ca="1">COUNTIF(Funding!$L$3:$L$488,"=1")-COUNTIFS(Funding!$L$3:$L$488,"=1",Funding!$M$3:$M$488,"=1")</f>
        <v>8</v>
      </c>
      <c r="H826" s="240">
        <f ca="1">(COUNTIF(Funding!$L$3:$L$488,"=2"))-(COUNTIFS(Funding!$L$3:$L$488,"=2",Funding!$M$3:$M$488,"=2"))</f>
        <v>10</v>
      </c>
    </row>
    <row r="827" spans="1:10">
      <c r="A827" t="s">
        <v>637</v>
      </c>
      <c r="B827" s="1329"/>
      <c r="D827" s="1421" t="s">
        <v>459</v>
      </c>
      <c r="E827" s="909" t="s">
        <v>459</v>
      </c>
      <c r="F827" s="909" t="s">
        <v>459</v>
      </c>
      <c r="G827" s="696"/>
      <c r="H827" s="696"/>
      <c r="I827" s="1419" t="s">
        <v>638</v>
      </c>
    </row>
    <row r="828" spans="1:10">
      <c r="A828" t="s">
        <v>2755</v>
      </c>
      <c r="B828" s="1329"/>
      <c r="D828" s="1421" t="s">
        <v>459</v>
      </c>
      <c r="E828" s="1242" t="s">
        <v>459</v>
      </c>
      <c r="F828" s="909" t="s">
        <v>459</v>
      </c>
      <c r="G828" s="696"/>
      <c r="H828" s="696"/>
      <c r="I828" s="1423" t="str">
        <f>IF(E828="No","Manualy lock ODR Ineligible and Total Fields","Manualy unlock ODR Ineligible and Total Fields")</f>
        <v>Manualy lock ODR Ineligible and Total Fields</v>
      </c>
    </row>
    <row r="829" spans="1:10">
      <c r="A829" t="s">
        <v>640</v>
      </c>
      <c r="B829" s="1329"/>
      <c r="E829" s="909" t="s">
        <v>301</v>
      </c>
      <c r="F829" s="909" t="s">
        <v>301</v>
      </c>
      <c r="G829" s="696"/>
      <c r="H829" s="696"/>
    </row>
    <row r="830" spans="1:10">
      <c r="A830" t="s">
        <v>2394</v>
      </c>
      <c r="E830" s="909" t="s">
        <v>301</v>
      </c>
      <c r="F830" s="909" t="s">
        <v>301</v>
      </c>
      <c r="G830" s="696"/>
      <c r="H830" s="696"/>
    </row>
    <row r="831" spans="1:10">
      <c r="A831" t="s">
        <v>639</v>
      </c>
      <c r="E831" s="898" t="s">
        <v>301</v>
      </c>
      <c r="F831" s="909" t="s">
        <v>459</v>
      </c>
      <c r="G831" s="2032">
        <f>IF(URA!$N27=0,0,COUNTIF(URA!$L$3:$L$25,"=1")-COUNTIFS(URA!$L$3:$L$25,"=1",URA!$M$3:$M$25,"=1"))</f>
        <v>11</v>
      </c>
      <c r="H831" s="240">
        <f>IF(URA!$N27=0,0,COUNTIF(URA!$L$3:$L$25,"=2")-COUNTIFS(URA!$L$3:$L$25,"=2",URA!$M$3:$M$25,"=2"))</f>
        <v>0</v>
      </c>
    </row>
    <row r="832" spans="1:10">
      <c r="A832" t="s">
        <v>642</v>
      </c>
      <c r="E832" s="877"/>
      <c r="F832" s="909" t="s">
        <v>459</v>
      </c>
      <c r="G832" s="696"/>
      <c r="H832" s="696"/>
    </row>
    <row r="833" spans="1:8">
      <c r="A833" t="s">
        <v>641</v>
      </c>
      <c r="E833" s="877"/>
      <c r="F833" s="909" t="s">
        <v>301</v>
      </c>
      <c r="G833" s="696"/>
      <c r="H833" s="696"/>
    </row>
    <row r="834" spans="1:8">
      <c r="A834" t="s">
        <v>643</v>
      </c>
      <c r="E834" s="909" t="s">
        <v>301</v>
      </c>
      <c r="F834" s="909" t="s">
        <v>459</v>
      </c>
      <c r="G834" s="696"/>
      <c r="H834" s="696"/>
    </row>
    <row r="835" spans="1:8">
      <c r="A835" t="s">
        <v>644</v>
      </c>
      <c r="E835" s="878"/>
      <c r="F835" s="909" t="s">
        <v>459</v>
      </c>
      <c r="G835" s="696"/>
      <c r="H835" s="696"/>
    </row>
    <row r="836" spans="1:8" ht="5.0999999999999996" customHeight="1"/>
    <row r="837" spans="1:8">
      <c r="G837" s="697">
        <f ca="1">SUM(G817:G834)</f>
        <v>85</v>
      </c>
      <c r="H837" s="697">
        <f ca="1">SUM(H817:H834)</f>
        <v>44</v>
      </c>
    </row>
    <row r="839" spans="1:8" ht="18" customHeight="1">
      <c r="A839" s="571" t="s">
        <v>645</v>
      </c>
      <c r="B839" s="6"/>
      <c r="C839" s="6"/>
      <c r="D839" s="6"/>
      <c r="E839" s="6"/>
      <c r="F839" s="460" t="s">
        <v>59</v>
      </c>
    </row>
    <row r="840" spans="1:8">
      <c r="A840" s="268" t="str">
        <f>"for Cell "&amp;CHOOSE(VALUE(COLUMN(DS_Gap_AMI_Max)),"A","B","C","D","E","F","G","H","I","J","K","L","M","N","O","P","Q","R","S","T","U","V","W","X","Y","Z")&amp;ROW(DS_Gap_AMI_Max)&amp;" (Gap Loan: Max. AMI - Manually selected) [DS_Gap_AMI_Max]"</f>
        <v>for Cell B599 (Gap Loan: Max. AMI - Manually selected) [DS_Gap_AMI_Max]</v>
      </c>
      <c r="F840" s="459">
        <v>0.2</v>
      </c>
    </row>
    <row r="841" spans="1:8">
      <c r="F841" s="459">
        <v>0.22</v>
      </c>
    </row>
    <row r="842" spans="1:8">
      <c r="F842" s="459">
        <v>0.25</v>
      </c>
    </row>
    <row r="843" spans="1:8">
      <c r="F843" s="459">
        <v>0.28000000000000003</v>
      </c>
    </row>
    <row r="844" spans="1:8">
      <c r="F844" s="459">
        <v>0.3</v>
      </c>
    </row>
    <row r="845" spans="1:8">
      <c r="F845" s="459">
        <v>0.33</v>
      </c>
    </row>
    <row r="846" spans="1:8">
      <c r="F846" s="459">
        <v>0.35</v>
      </c>
    </row>
    <row r="847" spans="1:8">
      <c r="F847" s="459">
        <v>0.4</v>
      </c>
    </row>
    <row r="848" spans="1:8">
      <c r="F848" s="459">
        <v>0.45</v>
      </c>
    </row>
    <row r="849" spans="1:19">
      <c r="F849" s="459">
        <v>0.5</v>
      </c>
    </row>
    <row r="850" spans="1:19">
      <c r="F850" s="459">
        <v>0.6</v>
      </c>
    </row>
    <row r="851" spans="1:19">
      <c r="F851" s="459">
        <v>0.7</v>
      </c>
    </row>
    <row r="852" spans="1:19">
      <c r="F852" s="459">
        <v>0.8</v>
      </c>
    </row>
    <row r="853" spans="1:19">
      <c r="F853" s="459">
        <v>1.2</v>
      </c>
    </row>
    <row r="860" spans="1:19" ht="18" customHeight="1">
      <c r="A860" s="571" t="s">
        <v>646</v>
      </c>
      <c r="B860" s="572" t="s">
        <v>55</v>
      </c>
      <c r="C860" s="572" t="s">
        <v>56</v>
      </c>
      <c r="D860" s="572" t="s">
        <v>57</v>
      </c>
      <c r="E860" s="574" t="s">
        <v>647</v>
      </c>
      <c r="F860" s="63" t="s">
        <v>59</v>
      </c>
      <c r="I860" s="1"/>
      <c r="J860" s="1"/>
      <c r="K860" s="1"/>
      <c r="L860" s="1"/>
      <c r="M860" s="1"/>
      <c r="N860" s="1"/>
      <c r="O860" s="1"/>
      <c r="P860" s="1"/>
      <c r="Q860" s="1"/>
      <c r="R860" s="1"/>
      <c r="S860" s="1"/>
    </row>
    <row r="861" spans="1:19">
      <c r="A861" s="59" t="s">
        <v>648</v>
      </c>
      <c r="B861" s="57">
        <v>1</v>
      </c>
      <c r="C861" s="60">
        <f>IF(B861&lt;&gt;1,"",SUM(B$861:B861))</f>
        <v>1</v>
      </c>
      <c r="D861" s="57">
        <v>1</v>
      </c>
      <c r="F861" s="84" t="str">
        <f>IF(COUNTA($A$861:$A861)&lt;=MAX(DS_Serv_Sequence)=TRUE,LOOKUP(COUNTA($A$861:$A861),DS_Serv_Sequence,DS_Serv_DataNames),"")</f>
        <v>AmeriNat Community Services</v>
      </c>
      <c r="I861" s="1"/>
      <c r="J861" s="1"/>
      <c r="K861" s="1"/>
      <c r="L861" s="1"/>
      <c r="M861" s="1"/>
      <c r="N861" s="1"/>
      <c r="O861" s="1"/>
      <c r="P861" s="1"/>
      <c r="Q861" s="1"/>
      <c r="R861" s="1"/>
      <c r="S861" s="1"/>
    </row>
    <row r="862" spans="1:19">
      <c r="A862" s="59" t="s">
        <v>649</v>
      </c>
      <c r="B862" s="57">
        <v>1</v>
      </c>
      <c r="C862" s="60">
        <f>IF(B862&lt;&gt;1,"",SUM(B$861:B862))</f>
        <v>2</v>
      </c>
      <c r="D862" s="57">
        <v>2</v>
      </c>
      <c r="F862" s="84" t="str">
        <f>IF(COUNTA($A$861:$A862)&lt;=MAX(DS_Serv_Sequence)=TRUE,LOOKUP(COUNTA($A$861:$A862),DS_Serv_Sequence,DS_Serv_DataNames),"")</f>
        <v>First Housing Development Corporation</v>
      </c>
      <c r="I862" s="1"/>
      <c r="J862" s="1"/>
      <c r="K862" s="1"/>
      <c r="L862" s="1"/>
      <c r="M862" s="1"/>
      <c r="N862" s="1"/>
      <c r="O862" s="1"/>
      <c r="P862" s="1"/>
      <c r="Q862" s="1"/>
      <c r="R862" s="1"/>
      <c r="S862" s="1"/>
    </row>
    <row r="863" spans="1:19">
      <c r="A863" s="59" t="s">
        <v>650</v>
      </c>
      <c r="B863" s="57">
        <v>1</v>
      </c>
      <c r="C863" s="60">
        <f>IF(B863&lt;&gt;1,"",SUM(B$861:B863))</f>
        <v>3</v>
      </c>
      <c r="D863" s="57">
        <v>3</v>
      </c>
      <c r="F863" s="84" t="str">
        <f>IF(COUNTA($A$861:$A863)&lt;=MAX(DS_Serv_Sequence)=TRUE,LOOKUP(COUNTA($A$861:$A863),DS_Serv_Sequence,DS_Serv_DataNames),"")</f>
        <v>Seltzer Management Company</v>
      </c>
    </row>
    <row r="864" spans="1:19">
      <c r="A864" s="59" t="s">
        <v>651</v>
      </c>
      <c r="B864" s="57">
        <v>1</v>
      </c>
      <c r="C864" s="60">
        <f>IF(B864&lt;&gt;1,"",SUM(B$861:B864))</f>
        <v>4</v>
      </c>
      <c r="D864" s="57">
        <v>4</v>
      </c>
      <c r="F864" s="84" t="str">
        <f>IF(COUNTA($A$861:$A864)&lt;=MAX(DS_Serv_Sequence)=TRUE,LOOKUP(COUNTA($A$861:$A864),DS_Serv_Sequence,DS_Serv_DataNames),"")</f>
        <v>Unknown</v>
      </c>
    </row>
    <row r="874" spans="1:1">
      <c r="A874" t="s">
        <v>652</v>
      </c>
    </row>
    <row r="875" spans="1:1">
      <c r="A875" s="25" t="s">
        <v>653</v>
      </c>
    </row>
    <row r="876" spans="1:1">
      <c r="A876" t="s">
        <v>2756</v>
      </c>
    </row>
    <row r="877" spans="1:1">
      <c r="A877" t="s">
        <v>654</v>
      </c>
    </row>
    <row r="879" spans="1:1">
      <c r="A879" s="25" t="s">
        <v>655</v>
      </c>
    </row>
    <row r="880" spans="1:1">
      <c r="A880" t="s">
        <v>2757</v>
      </c>
    </row>
    <row r="881" spans="1:1">
      <c r="A881" t="s">
        <v>656</v>
      </c>
    </row>
    <row r="1114" spans="1:5">
      <c r="A1114" s="2"/>
      <c r="B1114" s="2"/>
      <c r="C1114" s="2"/>
      <c r="D1114" s="2"/>
      <c r="E1114" s="2"/>
    </row>
    <row r="1115" spans="1:5">
      <c r="A1115" s="2"/>
      <c r="B1115" s="2"/>
      <c r="C1115" s="2"/>
      <c r="D1115" s="2"/>
      <c r="E1115" s="2"/>
    </row>
    <row r="1116" spans="1:5">
      <c r="A1116" s="2"/>
      <c r="B1116" s="2"/>
      <c r="C1116" s="2"/>
      <c r="D1116" s="2"/>
      <c r="E1116" s="2"/>
    </row>
    <row r="1117" spans="1:5">
      <c r="A1117" s="2"/>
      <c r="B1117" s="2"/>
      <c r="C1117" s="2"/>
      <c r="D1117" s="2"/>
      <c r="E1117" s="2"/>
    </row>
    <row r="1118" spans="1:5">
      <c r="A1118" s="2"/>
      <c r="B1118" s="2"/>
      <c r="C1118" s="2"/>
      <c r="D1118" s="2"/>
      <c r="E1118" s="2"/>
    </row>
    <row r="1119" spans="1:5">
      <c r="A1119" s="2"/>
      <c r="B1119" s="2"/>
      <c r="C1119" s="2"/>
      <c r="D1119" s="2"/>
      <c r="E1119" s="2"/>
    </row>
    <row r="1120" spans="1:5">
      <c r="A1120" s="2"/>
      <c r="B1120" s="2"/>
      <c r="C1120" s="2"/>
      <c r="D1120" s="2"/>
      <c r="E1120" s="2"/>
    </row>
    <row r="1121" spans="1:5">
      <c r="A1121" s="2"/>
      <c r="B1121" s="2"/>
      <c r="C1121" s="2"/>
      <c r="D1121" s="2"/>
      <c r="E1121" s="2"/>
    </row>
    <row r="1122" spans="1:5">
      <c r="A1122" s="2"/>
      <c r="B1122" s="2"/>
      <c r="C1122" s="2"/>
      <c r="D1122" s="2"/>
      <c r="E1122" s="2"/>
    </row>
    <row r="1123" spans="1:5">
      <c r="A1123" s="2"/>
      <c r="B1123" s="2"/>
      <c r="C1123" s="2"/>
      <c r="D1123" s="2"/>
      <c r="E1123" s="2"/>
    </row>
    <row r="1124" spans="1:5">
      <c r="A1124" s="2"/>
      <c r="B1124" s="2"/>
      <c r="C1124" s="2"/>
      <c r="D1124" s="2"/>
      <c r="E1124" s="2"/>
    </row>
    <row r="1125" spans="1:5">
      <c r="A1125" s="2"/>
      <c r="B1125" s="2"/>
      <c r="C1125" s="2"/>
      <c r="D1125" s="2"/>
      <c r="E1125" s="2"/>
    </row>
    <row r="1126" spans="1:5">
      <c r="A1126" s="2"/>
      <c r="B1126" s="2"/>
      <c r="C1126" s="2"/>
      <c r="D1126" s="2"/>
      <c r="E1126" s="2"/>
    </row>
    <row r="1127" spans="1:5">
      <c r="A1127" s="2"/>
      <c r="B1127" s="2"/>
      <c r="C1127" s="2"/>
      <c r="D1127" s="2"/>
      <c r="E1127" s="2"/>
    </row>
    <row r="1128" spans="1:5">
      <c r="A1128" s="2"/>
      <c r="B1128" s="2"/>
      <c r="C1128" s="2"/>
      <c r="D1128" s="2"/>
      <c r="E1128" s="2"/>
    </row>
  </sheetData>
  <sheetProtection algorithmName="SHA-512" hashValue="GWysGp8rBVbWA4zFwPHPR/0E6qnTDdgvpl8Q09UgHr/1m2C/0Dj29Z0yyhCadgarotcwVZ5/0tc/O4kiLORQ+Q==" saltValue="EiBJNJERDYQKZKNMBTGe9w==" spinCount="100000" sheet="1" objects="1" scenarios="1" formatRows="0" selectLockedCells="1"/>
  <sortState xmlns:xlrd2="http://schemas.microsoft.com/office/spreadsheetml/2017/richdata2" ref="A290:D296">
    <sortCondition ref="D290:D296"/>
  </sortState>
  <mergeCells count="182">
    <mergeCell ref="E25:E27"/>
    <mergeCell ref="AB352:AE352"/>
    <mergeCell ref="G214:O215"/>
    <mergeCell ref="G229:L230"/>
    <mergeCell ref="O340:P340"/>
    <mergeCell ref="B231:C231"/>
    <mergeCell ref="B215:C215"/>
    <mergeCell ref="B249:C249"/>
    <mergeCell ref="B232:C232"/>
    <mergeCell ref="F106:F108"/>
    <mergeCell ref="H106:H108"/>
    <mergeCell ref="B218:C218"/>
    <mergeCell ref="I106:I108"/>
    <mergeCell ref="C109:I109"/>
    <mergeCell ref="B272:C272"/>
    <mergeCell ref="B239:C239"/>
    <mergeCell ref="B240:C240"/>
    <mergeCell ref="B241:C241"/>
    <mergeCell ref="B206:C206"/>
    <mergeCell ref="B224:E224"/>
    <mergeCell ref="B276:C276"/>
    <mergeCell ref="B269:C269"/>
    <mergeCell ref="B248:C248"/>
    <mergeCell ref="B250:C250"/>
    <mergeCell ref="B246:C246"/>
    <mergeCell ref="B242:C242"/>
    <mergeCell ref="B244:C244"/>
    <mergeCell ref="B247:C247"/>
    <mergeCell ref="B273:C273"/>
    <mergeCell ref="B274:C274"/>
    <mergeCell ref="B268:C268"/>
    <mergeCell ref="B256:E256"/>
    <mergeCell ref="B271:C271"/>
    <mergeCell ref="B251:C251"/>
    <mergeCell ref="B252:C252"/>
    <mergeCell ref="B253:C253"/>
    <mergeCell ref="B254:C254"/>
    <mergeCell ref="B261:C261"/>
    <mergeCell ref="B258:C258"/>
    <mergeCell ref="B245:C245"/>
    <mergeCell ref="E271:F275"/>
    <mergeCell ref="B264:C264"/>
    <mergeCell ref="B263:C263"/>
    <mergeCell ref="B267:C267"/>
    <mergeCell ref="B255:E255"/>
    <mergeCell ref="B266:E266"/>
    <mergeCell ref="B243:C243"/>
    <mergeCell ref="B257:E257"/>
    <mergeCell ref="B226:C226"/>
    <mergeCell ref="B234:C234"/>
    <mergeCell ref="E47:E57"/>
    <mergeCell ref="B235:C235"/>
    <mergeCell ref="B236:C236"/>
    <mergeCell ref="B237:C237"/>
    <mergeCell ref="B238:C238"/>
    <mergeCell ref="B225:E225"/>
    <mergeCell ref="D106:D107"/>
    <mergeCell ref="E107:E108"/>
    <mergeCell ref="B204:C204"/>
    <mergeCell ref="B173:D173"/>
    <mergeCell ref="B179:D179"/>
    <mergeCell ref="B222:C222"/>
    <mergeCell ref="B219:C219"/>
    <mergeCell ref="B217:C217"/>
    <mergeCell ref="C97:E97"/>
    <mergeCell ref="A104:H104"/>
    <mergeCell ref="C105:G105"/>
    <mergeCell ref="A4:F4"/>
    <mergeCell ref="B207:C207"/>
    <mergeCell ref="B209:C209"/>
    <mergeCell ref="A316:A317"/>
    <mergeCell ref="B210:C210"/>
    <mergeCell ref="B230:C230"/>
    <mergeCell ref="B100:D101"/>
    <mergeCell ref="B95:D95"/>
    <mergeCell ref="B214:C214"/>
    <mergeCell ref="B229:C229"/>
    <mergeCell ref="B221:C221"/>
    <mergeCell ref="E293:E294"/>
    <mergeCell ref="B196:C196"/>
    <mergeCell ref="B277:C277"/>
    <mergeCell ref="B208:C208"/>
    <mergeCell ref="B280:C280"/>
    <mergeCell ref="B233:C233"/>
    <mergeCell ref="B211:C211"/>
    <mergeCell ref="B96:D96"/>
    <mergeCell ref="B7:E7"/>
    <mergeCell ref="E239:F243"/>
    <mergeCell ref="B216:C216"/>
    <mergeCell ref="B223:C223"/>
    <mergeCell ref="B220:C220"/>
    <mergeCell ref="G261:N262"/>
    <mergeCell ref="B316:C316"/>
    <mergeCell ref="B282:C282"/>
    <mergeCell ref="B281:C281"/>
    <mergeCell ref="B774:C774"/>
    <mergeCell ref="O467:W467"/>
    <mergeCell ref="O468:W468"/>
    <mergeCell ref="O469:W469"/>
    <mergeCell ref="N353:O353"/>
    <mergeCell ref="W339:X339"/>
    <mergeCell ref="K339:N339"/>
    <mergeCell ref="B262:C262"/>
    <mergeCell ref="M613:O613"/>
    <mergeCell ref="M622:S622"/>
    <mergeCell ref="U622:X622"/>
    <mergeCell ref="U347:V347"/>
    <mergeCell ref="G340:H340"/>
    <mergeCell ref="M340:N340"/>
    <mergeCell ref="Q340:R340"/>
    <mergeCell ref="I340:J340"/>
    <mergeCell ref="O347:R349"/>
    <mergeCell ref="D316:F316"/>
    <mergeCell ref="B265:C265"/>
    <mergeCell ref="X352:AA352"/>
    <mergeCell ref="P352:S352"/>
    <mergeCell ref="O464:W464"/>
    <mergeCell ref="O465:W465"/>
    <mergeCell ref="O466:W466"/>
    <mergeCell ref="K340:L340"/>
    <mergeCell ref="B270:C270"/>
    <mergeCell ref="B275:C275"/>
    <mergeCell ref="U348:V348"/>
    <mergeCell ref="S339:T339"/>
    <mergeCell ref="U339:V339"/>
    <mergeCell ref="S340:T340"/>
    <mergeCell ref="U340:V340"/>
    <mergeCell ref="I343:I344"/>
    <mergeCell ref="J343:J344"/>
    <mergeCell ref="N343:N344"/>
    <mergeCell ref="O339:R339"/>
    <mergeCell ref="G339:J339"/>
    <mergeCell ref="M343:M344"/>
    <mergeCell ref="W347:X347"/>
    <mergeCell ref="W340:X340"/>
    <mergeCell ref="B287:C287"/>
    <mergeCell ref="D448:D451"/>
    <mergeCell ref="B278:C278"/>
    <mergeCell ref="B283:C283"/>
    <mergeCell ref="B284:C284"/>
    <mergeCell ref="B285:C285"/>
    <mergeCell ref="B286:C286"/>
    <mergeCell ref="B279:C279"/>
    <mergeCell ref="T352:W352"/>
    <mergeCell ref="B781:C781"/>
    <mergeCell ref="B782:C782"/>
    <mergeCell ref="B776:C776"/>
    <mergeCell ref="B780:C780"/>
    <mergeCell ref="B778:C778"/>
    <mergeCell ref="B779:C779"/>
    <mergeCell ref="D753:E753"/>
    <mergeCell ref="B487:C487"/>
    <mergeCell ref="B486:C486"/>
    <mergeCell ref="D745:E746"/>
    <mergeCell ref="C520:D520"/>
    <mergeCell ref="C517:D517"/>
    <mergeCell ref="J775:L779"/>
    <mergeCell ref="H599:H600"/>
    <mergeCell ref="K349:L349"/>
    <mergeCell ref="G636:G637"/>
    <mergeCell ref="H636:H637"/>
    <mergeCell ref="U454:U455"/>
    <mergeCell ref="B763:D763"/>
    <mergeCell ref="B762:D762"/>
    <mergeCell ref="B777:C777"/>
    <mergeCell ref="F609:F610"/>
    <mergeCell ref="B775:C775"/>
    <mergeCell ref="B773:C773"/>
    <mergeCell ref="D751:E752"/>
    <mergeCell ref="E290:E291"/>
    <mergeCell ref="H534:H535"/>
    <mergeCell ref="G613:G614"/>
    <mergeCell ref="I613:K613"/>
    <mergeCell ref="L613:L614"/>
    <mergeCell ref="H613:H614"/>
    <mergeCell ref="C473:C475"/>
    <mergeCell ref="D747:E747"/>
    <mergeCell ref="B644:E644"/>
    <mergeCell ref="G599:G600"/>
    <mergeCell ref="B591:D591"/>
    <mergeCell ref="B597:D597"/>
    <mergeCell ref="C615:F616"/>
  </mergeCells>
  <conditionalFormatting sqref="A188:D194">
    <cfRule type="expression" dxfId="1847" priority="225">
      <formula>ROUND(COUNTA($A$188:$A188)/2,0)=COUNTA($A$188:$A188)/2</formula>
    </cfRule>
  </conditionalFormatting>
  <conditionalFormatting sqref="G354:AA420 A354:E420">
    <cfRule type="expression" dxfId="1846" priority="316">
      <formula>ROUND(COUNTA($A$354:$A354)/2,0)=COUNTA($A$354:$A354)/2</formula>
    </cfRule>
  </conditionalFormatting>
  <conditionalFormatting sqref="A565 C565:D565 A561:D564">
    <cfRule type="expression" dxfId="1845" priority="372">
      <formula>ROUND(COUNTA($A$561:$A561)/2,0)=COUNTA($A$561:$A561)/2</formula>
    </cfRule>
  </conditionalFormatting>
  <conditionalFormatting sqref="A572:D575 B579">
    <cfRule type="expression" dxfId="1844" priority="374">
      <formula>ROUND(COUNTA($A$572:$A572)/2,0)=COUNTA($A$572:$A572)/2</formula>
    </cfRule>
  </conditionalFormatting>
  <conditionalFormatting sqref="A697:D700">
    <cfRule type="expression" dxfId="1843" priority="492">
      <formula>ROUND(COUNTA($A$697:$A697)/2,0)=COUNTA($A$697:$A697)/2</formula>
    </cfRule>
  </conditionalFormatting>
  <conditionalFormatting sqref="J901:J2986">
    <cfRule type="cellIs" dxfId="1842" priority="3858" operator="notEqual">
      <formula>$A901</formula>
    </cfRule>
  </conditionalFormatting>
  <conditionalFormatting sqref="A20:A33 C20:C33">
    <cfRule type="expression" dxfId="1841" priority="146">
      <formula>ROUND(COUNTA($A$20:$A20)/2,0)=COUNTA($A$20:$A20)/2</formula>
    </cfRule>
  </conditionalFormatting>
  <conditionalFormatting sqref="A114:D115">
    <cfRule type="expression" dxfId="1840" priority="208">
      <formula>ROUND(COUNTA($A$114:$A114)/2,0)=COUNTA($A$114:$A114)/2</formula>
    </cfRule>
  </conditionalFormatting>
  <conditionalFormatting sqref="A861:D864">
    <cfRule type="expression" dxfId="1839" priority="3857">
      <formula>ROUND(COUNTA($A$861:$A861)/2,0)=COUNTA($A$861:$A861)/2</formula>
    </cfRule>
  </conditionalFormatting>
  <conditionalFormatting sqref="A118:D168 A169">
    <cfRule type="expression" dxfId="1838" priority="211">
      <formula>ROUND(COUNTA($A$118:$A118)/2,0)=COUNTA($A$118:$A118)/2</formula>
    </cfRule>
  </conditionalFormatting>
  <conditionalFormatting sqref="G684">
    <cfRule type="expression" dxfId="1837" priority="432">
      <formula>LEFT(RIGHT(G684,58),7)="INVALID"</formula>
    </cfRule>
  </conditionalFormatting>
  <conditionalFormatting sqref="G686">
    <cfRule type="expression" dxfId="1836" priority="465">
      <formula>LEFT(RIGHT(G686,58),7)="INVALID"</formula>
    </cfRule>
  </conditionalFormatting>
  <conditionalFormatting sqref="G689">
    <cfRule type="expression" dxfId="1835" priority="484">
      <formula>LEFT(RIGHT(G689,58),7)="INVALID"</formula>
    </cfRule>
  </conditionalFormatting>
  <conditionalFormatting sqref="G692:G694">
    <cfRule type="expression" dxfId="1834" priority="489">
      <formula>LEFT(RIGHT(G692,58),7)="INVALID"</formula>
    </cfRule>
  </conditionalFormatting>
  <conditionalFormatting sqref="V692:V694">
    <cfRule type="expression" dxfId="1833" priority="543">
      <formula>LEFT(RIGHT(V692,58),7)="INVALID"</formula>
    </cfRule>
  </conditionalFormatting>
  <conditionalFormatting sqref="V684">
    <cfRule type="expression" dxfId="1832" priority="540">
      <formula>LEFT(RIGHT(V684,58),7)="INVALID"</formula>
    </cfRule>
  </conditionalFormatting>
  <conditionalFormatting sqref="V686">
    <cfRule type="expression" dxfId="1831" priority="541">
      <formula>LEFT(RIGHT(V686,58),7)="INVALID"</formula>
    </cfRule>
  </conditionalFormatting>
  <conditionalFormatting sqref="V689">
    <cfRule type="expression" dxfId="1830" priority="542">
      <formula>LEFT(RIGHT(V689,58),7)="INVALID"</formula>
    </cfRule>
  </conditionalFormatting>
  <conditionalFormatting sqref="V675:W693 V694">
    <cfRule type="expression" dxfId="1829" priority="539">
      <formula>$V675="No"</formula>
    </cfRule>
  </conditionalFormatting>
  <conditionalFormatting sqref="B667:O672 B648:O655 B657:O665">
    <cfRule type="expression" dxfId="1828" priority="395">
      <formula>IFERROR(FIND(" NOT ",$B648),0)&gt;0</formula>
    </cfRule>
  </conditionalFormatting>
  <conditionalFormatting sqref="A675:A676 C675:F676">
    <cfRule type="expression" dxfId="1827" priority="398">
      <formula>AND(OR(Demographic=$A$21,Demographic=$A$23),OR(Development_Category=$A$189,Development_Category=$A$190,Development_Category=$A$193,Development_Category=$A$194))</formula>
    </cfRule>
  </conditionalFormatting>
  <conditionalFormatting sqref="A677:A678 C677:F678">
    <cfRule type="expression" dxfId="1826" priority="407">
      <formula>AND(OR(Demographic=$A$21,Demographic=$A$23),OR(Development_Category=$A$188,Development_Category=$A$191,Development_Category=$A$192))</formula>
    </cfRule>
  </conditionalFormatting>
  <conditionalFormatting sqref="A680 C680:F680">
    <cfRule type="expression" dxfId="1825" priority="412">
      <formula>AND(OR(Demographic=$A$20,Demographic=$A$29),OR(Development_Category=$A$188,Development_Category=$A$191,Development_Category=$A$192))</formula>
    </cfRule>
  </conditionalFormatting>
  <conditionalFormatting sqref="A679 C679:F679">
    <cfRule type="expression" dxfId="1824" priority="409">
      <formula>Demographic=$A$22</formula>
    </cfRule>
  </conditionalFormatting>
  <conditionalFormatting sqref="A681:A684 C681:F684">
    <cfRule type="expression" dxfId="1823" priority="418">
      <formula>Demographic=$A$25</formula>
    </cfRule>
  </conditionalFormatting>
  <conditionalFormatting sqref="A685:A686 C685:D686 F685:F686">
    <cfRule type="expression" dxfId="1822" priority="461">
      <formula>Demographic=$A$24</formula>
    </cfRule>
  </conditionalFormatting>
  <conditionalFormatting sqref="A687:A689 C687:F689">
    <cfRule type="expression" dxfId="1821" priority="468">
      <formula>OR(Demographic=$A$26,Demographic=$A$27)</formula>
    </cfRule>
  </conditionalFormatting>
  <conditionalFormatting sqref="A690:A692 C690:F692">
    <cfRule type="expression" dxfId="1820" priority="486">
      <formula>Demographic=$A$28</formula>
    </cfRule>
  </conditionalFormatting>
  <conditionalFormatting sqref="C462:C464 C466:C468 C470:C471">
    <cfRule type="expression" dxfId="1819" priority="335">
      <formula>C462&lt;&gt;""</formula>
    </cfRule>
  </conditionalFormatting>
  <conditionalFormatting sqref="B775:C775 B779:C779 B619:B622 E817:F835">
    <cfRule type="cellIs" dxfId="1818" priority="1231" operator="equal">
      <formula>"Yes"</formula>
    </cfRule>
  </conditionalFormatting>
  <conditionalFormatting sqref="K342:K346 L342 L344:L346 M342:N345 O342:O346 P342 P344:P346 Q342:R343 Q345:R345 S342:S346 T342 T344:T346 U342:U346 V342 V344:V346">
    <cfRule type="cellIs" dxfId="1817" priority="311" operator="equal">
      <formula>""</formula>
    </cfRule>
  </conditionalFormatting>
  <conditionalFormatting sqref="A204 D204:E204 A266:E266 A255:E257">
    <cfRule type="expression" dxfId="1816" priority="231">
      <formula>LEFT($B204,2)="Ne"</formula>
    </cfRule>
  </conditionalFormatting>
  <conditionalFormatting sqref="A210:C210">
    <cfRule type="expression" dxfId="1815" priority="240">
      <formula>$B$210="Yes"</formula>
    </cfRule>
    <cfRule type="expression" dxfId="1814" priority="241">
      <formula>$B$210="No"</formula>
    </cfRule>
  </conditionalFormatting>
  <conditionalFormatting sqref="A224:E225">
    <cfRule type="expression" dxfId="1813" priority="251">
      <formula>LEFT($B224,2)="Ne"</formula>
    </cfRule>
  </conditionalFormatting>
  <conditionalFormatting sqref="A265:C265 A266:E266 A275:C275 A282:C282 A286:C286 A267:C269">
    <cfRule type="expression" dxfId="1812" priority="278">
      <formula>$B265="No"</formula>
    </cfRule>
    <cfRule type="expression" dxfId="1811" priority="282">
      <formula>$B265="Yes"</formula>
    </cfRule>
  </conditionalFormatting>
  <conditionalFormatting sqref="G210:AA210 G233:AA233 G243:AL243 G265:AA265 G275:AL275 G221:G223 O218:AA218 O221:AA223 G218:M218 H221:M225 G250:AL250 G253:AL254">
    <cfRule type="expression" dxfId="1810" priority="242">
      <formula>FIND("NOT",$G210)&gt;0</formula>
    </cfRule>
  </conditionalFormatting>
  <conditionalFormatting sqref="G282:AL286">
    <cfRule type="expression" dxfId="1809" priority="297">
      <formula>FIND("NOT",$G282)&gt;0</formula>
    </cfRule>
  </conditionalFormatting>
  <conditionalFormatting sqref="A207:F210">
    <cfRule type="expression" dxfId="1808" priority="238">
      <formula>LEFT($A208,5)="Codes"</formula>
    </cfRule>
    <cfRule type="expression" dxfId="1807" priority="239">
      <formula>COUNTA($A$207:$A207)/2=ROUND(COUNTA($A$207:$A207)/2,0)</formula>
    </cfRule>
  </conditionalFormatting>
  <conditionalFormatting sqref="C528:C558">
    <cfRule type="cellIs" dxfId="1806" priority="366" operator="equal">
      <formula>"Yes"</formula>
    </cfRule>
  </conditionalFormatting>
  <conditionalFormatting sqref="B169:D169">
    <cfRule type="expression" dxfId="1805" priority="213">
      <formula>ROUND(COUNTA($A$118:$A169)/2,0)=COUNTA($A$118:$A169)/2</formula>
    </cfRule>
  </conditionalFormatting>
  <conditionalFormatting sqref="C578:C579 B596 C598 B773:C773 H636:H644">
    <cfRule type="cellIs" dxfId="1804" priority="378" operator="equal">
      <formula>"Yes"</formula>
    </cfRule>
  </conditionalFormatting>
  <conditionalFormatting sqref="F184">
    <cfRule type="cellIs" dxfId="1803" priority="223" operator="equal">
      <formula>" "</formula>
    </cfRule>
  </conditionalFormatting>
  <conditionalFormatting sqref="B780:B782">
    <cfRule type="cellIs" dxfId="1802" priority="2811" operator="equal">
      <formula>"Yes"</formula>
    </cfRule>
  </conditionalFormatting>
  <conditionalFormatting sqref="G172:G174">
    <cfRule type="expression" dxfId="1801" priority="215">
      <formula>LEFT(G172,2)="No"</formula>
    </cfRule>
  </conditionalFormatting>
  <conditionalFormatting sqref="G178">
    <cfRule type="expression" dxfId="1800" priority="220">
      <formula>LEFT(G178,2)="No"</formula>
    </cfRule>
  </conditionalFormatting>
  <conditionalFormatting sqref="G177">
    <cfRule type="expression" dxfId="1799" priority="218">
      <formula>LEFT(G177,2)="No"</formula>
    </cfRule>
  </conditionalFormatting>
  <conditionalFormatting sqref="G180">
    <cfRule type="expression" dxfId="1798" priority="221">
      <formula>LEFT(G180,2)="No"</formula>
    </cfRule>
  </conditionalFormatting>
  <conditionalFormatting sqref="G94 G96 G99 G103">
    <cfRule type="expression" dxfId="1797" priority="155">
      <formula>LEFT(G94,2)="No"</formula>
    </cfRule>
  </conditionalFormatting>
  <conditionalFormatting sqref="E463:E478">
    <cfRule type="expression" dxfId="1796" priority="337">
      <formula>TEXT(E463,"0")=SMALL(E$480:E$483,1)&amp;SMALL(E$480:E$483,2)&amp;SMALL(E$480:E$483,3)&amp;SMALL(E$480:E$483,4)</formula>
    </cfRule>
  </conditionalFormatting>
  <conditionalFormatting sqref="E463:E477">
    <cfRule type="expression" dxfId="1795" priority="336">
      <formula>TEXT(E463,"0")=SMALL(D$480:D$483,1)&amp;SMALL(D$480:D$483,2)&amp;SMALL(D$480:D$483,3)&amp;SMALL(D$480:D$483,4)</formula>
    </cfRule>
  </conditionalFormatting>
  <conditionalFormatting sqref="A494:E509">
    <cfRule type="expression" dxfId="1794" priority="343">
      <formula>ROUND(COUNTA($A$494:$A494)/2,0)=COUNTA($A$494:$A494)/2</formula>
    </cfRule>
  </conditionalFormatting>
  <conditionalFormatting sqref="A513:F525">
    <cfRule type="expression" dxfId="1793" priority="347">
      <formula>ROUND(COUNTA($A$513:$A513)/2,0)=COUNTA($A$513:$A513)/2</formula>
    </cfRule>
  </conditionalFormatting>
  <conditionalFormatting sqref="F520">
    <cfRule type="expression" dxfId="1792" priority="362">
      <formula>ROUND(COUNTA($A$515:$A520)/2,0)=COUNTA($A$515:$A520)/2</formula>
    </cfRule>
  </conditionalFormatting>
  <conditionalFormatting sqref="B206">
    <cfRule type="cellIs" dxfId="1791" priority="237" operator="equal">
      <formula>"Yes"</formula>
    </cfRule>
  </conditionalFormatting>
  <conditionalFormatting sqref="B204">
    <cfRule type="cellIs" dxfId="1790" priority="235" operator="equal">
      <formula>"Yes"</formula>
    </cfRule>
  </conditionalFormatting>
  <conditionalFormatting sqref="A270:F270 A276:F279 A271:D275 A285:F286 A284:E284 A281:F283 A280:E280">
    <cfRule type="expression" dxfId="1789" priority="288">
      <formula>DS_HC_Funding="No"</formula>
    </cfRule>
  </conditionalFormatting>
  <conditionalFormatting sqref="A204:F204">
    <cfRule type="expression" dxfId="1788" priority="233">
      <formula>COUNTA($A$262:$A266)/2=ROUND(COUNTA($A$262:$A266)/2,0)</formula>
    </cfRule>
  </conditionalFormatting>
  <conditionalFormatting sqref="A238:F243 A246:F254 A244:C245">
    <cfRule type="expression" dxfId="1787" priority="258">
      <formula>DS_HC_Funding="No"</formula>
    </cfRule>
  </conditionalFormatting>
  <conditionalFormatting sqref="E685:E686">
    <cfRule type="expression" dxfId="1786" priority="463">
      <formula>Demographic=$A$24</formula>
    </cfRule>
  </conditionalFormatting>
  <conditionalFormatting sqref="Z461:Z512">
    <cfRule type="cellIs" dxfId="1785" priority="323" stopIfTrue="1" operator="equal">
      <formula>ROUND(AA461,2)</formula>
    </cfRule>
    <cfRule type="cellIs" dxfId="1784" priority="324" stopIfTrue="1" operator="equal">
      <formula>ROUNDUP(AA461,2)</formula>
    </cfRule>
    <cfRule type="cellIs" dxfId="1783" priority="325" stopIfTrue="1" operator="equal">
      <formula>ROUNDDOWN(AA461,2)</formula>
    </cfRule>
    <cfRule type="cellIs" dxfId="1782" priority="326" stopIfTrue="1" operator="equal">
      <formula>ROUNDUP(AA461,1)</formula>
    </cfRule>
    <cfRule type="cellIs" dxfId="1781" priority="333" stopIfTrue="1" operator="greaterThan">
      <formula>AA461</formula>
    </cfRule>
    <cfRule type="cellIs" dxfId="1780" priority="334" operator="lessThan">
      <formula>AA461</formula>
    </cfRule>
  </conditionalFormatting>
  <conditionalFormatting sqref="B777:C777">
    <cfRule type="cellIs" dxfId="1779" priority="2723" operator="equal">
      <formula>"Yes"</formula>
    </cfRule>
  </conditionalFormatting>
  <conditionalFormatting sqref="B778:C778">
    <cfRule type="cellIs" dxfId="1778" priority="2810" operator="equal">
      <formula>"Yes"</formula>
    </cfRule>
  </conditionalFormatting>
  <conditionalFormatting sqref="D774 D776">
    <cfRule type="expression" dxfId="1777" priority="1005">
      <formula>$B$774&lt;&gt;$B$776</formula>
    </cfRule>
  </conditionalFormatting>
  <conditionalFormatting sqref="J354:J420">
    <cfRule type="expression" dxfId="1776" priority="317">
      <formula>ROUND(COUNTA($A$354:$A354)/2,0)=COUNTA($A$354:$A354)/2</formula>
    </cfRule>
  </conditionalFormatting>
  <conditionalFormatting sqref="A199:D201">
    <cfRule type="expression" dxfId="1775" priority="229">
      <formula>ROUND(COUNTA($A$199:$A199)/2,0)=COUNTA($A$199:$A199)/2</formula>
    </cfRule>
  </conditionalFormatting>
  <conditionalFormatting sqref="A262:F270 A271:D275 A276:F279 A281:F286 A280:E280">
    <cfRule type="expression" dxfId="1774" priority="272">
      <formula>AND(LEFT($A262,9)=LEFT($A263,9),LEFT($A262,12)&lt;&gt;LEFT($A263,12),RIGHT(LEFT($A262,11),2)=")(")</formula>
    </cfRule>
  </conditionalFormatting>
  <conditionalFormatting sqref="A262:F279 A281:F286 A280:E280">
    <cfRule type="expression" dxfId="1773" priority="275">
      <formula>COUNTA($A$262:$A262)/2=ROUND(COUNTA($A$262:$A262)/2,0)</formula>
    </cfRule>
  </conditionalFormatting>
  <conditionalFormatting sqref="A262:F270 A276:F279 A271:D275 A285:F286 A284:E284 A281:F283 A280:E280">
    <cfRule type="expression" dxfId="1772" priority="274">
      <formula>LEFT($A262,9)&lt;&gt;LEFT($A263,9)</formula>
    </cfRule>
  </conditionalFormatting>
  <conditionalFormatting sqref="A795:E807">
    <cfRule type="expression" dxfId="1771" priority="3177">
      <formula>ROUND(COUNTA($A$795:$A795)/2,0)=COUNTA($A$795:$A795)/2</formula>
    </cfRule>
  </conditionalFormatting>
  <conditionalFormatting sqref="A798:D799">
    <cfRule type="expression" dxfId="1770" priority="3331">
      <formula>ROUND(COUNTA($A$795:$A798)/2,0)=COUNTA($A$795:$A798)/2</formula>
    </cfRule>
  </conditionalFormatting>
  <conditionalFormatting sqref="A800:C800">
    <cfRule type="expression" dxfId="1769" priority="3486">
      <formula>ROUND(COUNTA($A$795:$A800)/2,0)=COUNTA($A$795:$A800)/2</formula>
    </cfRule>
  </conditionalFormatting>
  <conditionalFormatting sqref="D800">
    <cfRule type="expression" dxfId="1768" priority="3487">
      <formula>ROUND(COUNTA($A$795:$A800)/2,0)=COUNTA($A$795:$A800)/2</formula>
    </cfRule>
  </conditionalFormatting>
  <conditionalFormatting sqref="A803">
    <cfRule type="expression" dxfId="1767" priority="3489">
      <formula>ROUND(COUNTA($A$795:$A803)/2,0)=COUNTA($A$795:$A803)/2</formula>
    </cfRule>
  </conditionalFormatting>
  <conditionalFormatting sqref="A801">
    <cfRule type="expression" dxfId="1766" priority="3488">
      <formula>ROUND(COUNTA($A$795:$A801)/2,0)=COUNTA($A$795:$A801)/2</formula>
    </cfRule>
  </conditionalFormatting>
  <conditionalFormatting sqref="M354:M420">
    <cfRule type="expression" dxfId="1765" priority="318">
      <formula>ROUND(COUNTA($A$354:$A354)/2,0)=COUNTA($A$354:$A354)/2</formula>
    </cfRule>
  </conditionalFormatting>
  <conditionalFormatting sqref="A20:A33 A114:A115 A118:A169 A188:A194 A199:A201 A304:A310 A326:A337 A354:A420 A561:A563 A572:A575 A697:A700 A795:A807 A47:A90 A14:A15 A290:A297">
    <cfRule type="expression" dxfId="1764" priority="3172">
      <formula>$B14&lt;&gt;1</formula>
    </cfRule>
  </conditionalFormatting>
  <conditionalFormatting sqref="A579 A598 A528:A558">
    <cfRule type="expression" dxfId="1763" priority="365">
      <formula>$C528="No"</formula>
    </cfRule>
  </conditionalFormatting>
  <conditionalFormatting sqref="A494:A509">
    <cfRule type="expression" dxfId="1762" priority="344">
      <formula>$B494=0</formula>
    </cfRule>
  </conditionalFormatting>
  <conditionalFormatting sqref="J352 L350:L352 M354:M420">
    <cfRule type="cellIs" dxfId="1761" priority="312" operator="equal">
      <formula>"Yes"</formula>
    </cfRule>
  </conditionalFormatting>
  <conditionalFormatting sqref="G354:I420">
    <cfRule type="expression" dxfId="1760" priority="315">
      <formula>$B354=0</formula>
    </cfRule>
  </conditionalFormatting>
  <conditionalFormatting sqref="A773:A779">
    <cfRule type="expression" dxfId="1759" priority="572">
      <formula>$B773="No"</formula>
    </cfRule>
  </conditionalFormatting>
  <conditionalFormatting sqref="B196">
    <cfRule type="cellIs" dxfId="1758" priority="227" operator="equal">
      <formula>"Yes"</formula>
    </cfRule>
  </conditionalFormatting>
  <conditionalFormatting sqref="A326:D337">
    <cfRule type="expression" dxfId="1757" priority="308">
      <formula>ROUND(COUNTA($A$326:$A326)/2,0)=COUNTA($A$326:$A326)/2</formula>
    </cfRule>
  </conditionalFormatting>
  <conditionalFormatting sqref="A591:A593 B590 B593">
    <cfRule type="expression" dxfId="1756" priority="380">
      <formula>$B$572=0</formula>
    </cfRule>
  </conditionalFormatting>
  <conditionalFormatting sqref="B591:D591 B592">
    <cfRule type="expression" dxfId="1755" priority="381">
      <formula>$B$572=0</formula>
    </cfRule>
  </conditionalFormatting>
  <conditionalFormatting sqref="A583:A588 B581:B582 B588">
    <cfRule type="expression" dxfId="1754" priority="379">
      <formula>SUM($B$572:$B$574)=0</formula>
    </cfRule>
  </conditionalFormatting>
  <conditionalFormatting sqref="A652 A661 A670">
    <cfRule type="expression" dxfId="1753" priority="393">
      <formula>OR($B$22=0,AND($B$22=1,Demographic&lt;&gt;"&lt;select one&gt;",Demographic&lt;&gt;"Elderly ALF"))</formula>
    </cfRule>
  </conditionalFormatting>
  <conditionalFormatting sqref="A675:A678">
    <cfRule type="expression" dxfId="1752" priority="401">
      <formula>$B$21+$B$23=0</formula>
    </cfRule>
  </conditionalFormatting>
  <conditionalFormatting sqref="B675:B678">
    <cfRule type="expression" dxfId="1751" priority="402">
      <formula>$B$21+$B$23=0</formula>
    </cfRule>
  </conditionalFormatting>
  <conditionalFormatting sqref="A679">
    <cfRule type="expression" dxfId="1750" priority="408">
      <formula>$B$22=0</formula>
    </cfRule>
  </conditionalFormatting>
  <conditionalFormatting sqref="B679">
    <cfRule type="expression" dxfId="1749" priority="410">
      <formula>$B$22=0</formula>
    </cfRule>
  </conditionalFormatting>
  <conditionalFormatting sqref="A680">
    <cfRule type="expression" dxfId="1748" priority="411">
      <formula>$B$20+$B$29=0</formula>
    </cfRule>
  </conditionalFormatting>
  <conditionalFormatting sqref="B680">
    <cfRule type="expression" dxfId="1747" priority="415">
      <formula>$B$20+$B$29=0</formula>
    </cfRule>
  </conditionalFormatting>
  <conditionalFormatting sqref="A681:A684">
    <cfRule type="expression" dxfId="1746" priority="416">
      <formula>$B$25=0</formula>
    </cfRule>
  </conditionalFormatting>
  <conditionalFormatting sqref="B681:B684">
    <cfRule type="expression" dxfId="1745" priority="419">
      <formula>$B$25=0</formula>
    </cfRule>
  </conditionalFormatting>
  <conditionalFormatting sqref="A685:A686">
    <cfRule type="expression" dxfId="1744" priority="433">
      <formula>$B$24+SUM($B$30:$B$33)=0</formula>
    </cfRule>
  </conditionalFormatting>
  <conditionalFormatting sqref="B685:B686">
    <cfRule type="expression" dxfId="1743" priority="462">
      <formula>$B$24+SUM($B$30:$B$33)=0</formula>
    </cfRule>
  </conditionalFormatting>
  <conditionalFormatting sqref="A687:A689">
    <cfRule type="expression" dxfId="1742" priority="467">
      <formula>$B$26+$B$27=0</formula>
    </cfRule>
  </conditionalFormatting>
  <conditionalFormatting sqref="B687:B689">
    <cfRule type="expression" dxfId="1741" priority="470">
      <formula>$B$26+$B$27=0</formula>
    </cfRule>
  </conditionalFormatting>
  <conditionalFormatting sqref="A690:A692">
    <cfRule type="expression" dxfId="1740" priority="485">
      <formula>$B$28=0</formula>
    </cfRule>
  </conditionalFormatting>
  <conditionalFormatting sqref="B690:B692">
    <cfRule type="expression" dxfId="1739" priority="487">
      <formula>$B$28=0</formula>
    </cfRule>
  </conditionalFormatting>
  <conditionalFormatting sqref="H266:H273">
    <cfRule type="cellIs" dxfId="1738" priority="287" operator="notEqual">
      <formula>$I266</formula>
    </cfRule>
  </conditionalFormatting>
  <conditionalFormatting sqref="A214:C214 A218:C223 A224:E225">
    <cfRule type="expression" dxfId="1737" priority="249">
      <formula>$B214="Yes"</formula>
    </cfRule>
    <cfRule type="expression" dxfId="1736" priority="250">
      <formula>$B214="No"</formula>
    </cfRule>
  </conditionalFormatting>
  <conditionalFormatting sqref="A214:F225">
    <cfRule type="expression" dxfId="1735" priority="245">
      <formula>LEFT($A215,5)="Codes"</formula>
    </cfRule>
    <cfRule type="expression" dxfId="1734" priority="248">
      <formula>AND(COUNTA($A$214:$A214)/2=ROUND(COUNTA($A$214:$A214)/2,0),LEFT($A214,8)=LEFT($A215,8))</formula>
    </cfRule>
  </conditionalFormatting>
  <conditionalFormatting sqref="A204 D204:F204">
    <cfRule type="expression" dxfId="1733" priority="234">
      <formula>$B204="Yes"</formula>
    </cfRule>
    <cfRule type="expression" dxfId="1732" priority="3989">
      <formula>AND(LEFT($A204,9)=LEFT($A271,9),LEFT($A204,12)&lt;&gt;LEFT($A271,12),RIGHT(LEFT($A204,11),2)=")(")</formula>
    </cfRule>
    <cfRule type="expression" dxfId="1731" priority="3990">
      <formula>LEFT($A204,9)&lt;&gt;LEFT($A271,9)</formula>
    </cfRule>
  </conditionalFormatting>
  <conditionalFormatting sqref="A88:B89 A90:D90 A47:D87 C57:D90">
    <cfRule type="expression" dxfId="1730" priority="3993">
      <formula>ROUND(COUNTA($A47:$A$360)/2,0)=COUNTA($A47:$A$360)/2</formula>
    </cfRule>
  </conditionalFormatting>
  <conditionalFormatting sqref="A229:F243">
    <cfRule type="expression" dxfId="1729" priority="252">
      <formula>LEFT($A230,5)="Codes"</formula>
    </cfRule>
    <cfRule type="expression" dxfId="1728" priority="253">
      <formula>AND(COUNTA($A229:$A$230)/2=ROUND(COUNTA($A229:$A$230)/2,0),LEFT($A229,7)=LEFT($A230,7))</formula>
    </cfRule>
  </conditionalFormatting>
  <conditionalFormatting sqref="A229:C229 A233:C237 A243:C243 A250:C250 A254:C254 A255:E257">
    <cfRule type="expression" dxfId="1727" priority="254">
      <formula>$B229="Yes"</formula>
    </cfRule>
    <cfRule type="expression" dxfId="1726" priority="255">
      <formula>$B229="No"</formula>
    </cfRule>
  </conditionalFormatting>
  <conditionalFormatting sqref="F257">
    <cfRule type="expression" dxfId="1725" priority="260">
      <formula>LEFT($A258,5)="Codes"</formula>
    </cfRule>
    <cfRule type="expression" dxfId="1724" priority="261">
      <formula>AND(COUNTA($A$214:$A257)/2=ROUND(COUNTA($A$214:$A257)/2,0),LEFT($A257,8)=LEFT($A258,8))</formula>
    </cfRule>
  </conditionalFormatting>
  <conditionalFormatting sqref="F280">
    <cfRule type="expression" dxfId="1723" priority="291">
      <formula>DS_HC_Funding="No"</formula>
    </cfRule>
  </conditionalFormatting>
  <conditionalFormatting sqref="F280">
    <cfRule type="expression" dxfId="1722" priority="289">
      <formula>LEFT($A281,5)="Codes"</formula>
    </cfRule>
    <cfRule type="expression" dxfId="1721" priority="290">
      <formula>AND(COUNTA($A$230:$A280)/2=ROUND(COUNTA($A$230:$A280)/2,0),LEFT($A280,7)=LEFT($A281,7))</formula>
    </cfRule>
  </conditionalFormatting>
  <conditionalFormatting sqref="M229">
    <cfRule type="expression" dxfId="1720" priority="256">
      <formula>AND($E$295="Yes",OR(Development_Category="Rehabilitation",Development_Category="Acquisition and Rehabilitation"),Development_SubCategory="Preservation (w/ or w/o Acquisition)",M229="&lt;select one&gt;")</formula>
    </cfRule>
    <cfRule type="expression" dxfId="1719" priority="257">
      <formula>AND($E$295="Yes",OR(Development_Category="Rehabilitation",Development_Category="Acquisition and Rehabilitation"),Development_SubCategory="Preservation (w/ or w/o Acquisition)",M229&lt;&gt;"&lt;select one&gt;")</formula>
    </cfRule>
  </conditionalFormatting>
  <conditionalFormatting sqref="P219:AA220">
    <cfRule type="expression" dxfId="1718" priority="4021">
      <formula>FIND("NOT",#REF!)&gt;0</formula>
    </cfRule>
  </conditionalFormatting>
  <conditionalFormatting sqref="U251:AL252">
    <cfRule type="expression" dxfId="1717" priority="4023">
      <formula>FIND("NOT",#REF!)&gt;0</formula>
    </cfRule>
  </conditionalFormatting>
  <conditionalFormatting sqref="A261:F261">
    <cfRule type="expression" dxfId="1716" priority="138">
      <formula>LEFT($A262,5)="Codes"</formula>
    </cfRule>
    <cfRule type="expression" dxfId="1715" priority="139">
      <formula>AND(COUNTA($A$230:$A261)/2=ROUND(COUNTA($A$230:$A261)/2,0),LEFT($A261,7)=LEFT($A262,7))</formula>
    </cfRule>
  </conditionalFormatting>
  <conditionalFormatting sqref="A261:C261">
    <cfRule type="expression" dxfId="1714" priority="140">
      <formula>$B261="Yes"</formula>
    </cfRule>
    <cfRule type="expression" dxfId="1713" priority="141">
      <formula>$B261="No"</formula>
    </cfRule>
  </conditionalFormatting>
  <conditionalFormatting sqref="A257:E257">
    <cfRule type="expression" dxfId="1712" priority="4276">
      <formula>LEFT($A258,5)="Codes"</formula>
    </cfRule>
    <cfRule type="expression" dxfId="1711" priority="4277">
      <formula>AND(COUNTA($A230:$A$257)/2=ROUND(COUNTA($A230:$A$257)/2,0),LEFT($A257,7)=LEFT($A258,7))</formula>
    </cfRule>
  </conditionalFormatting>
  <conditionalFormatting sqref="B88">
    <cfRule type="expression" dxfId="1710" priority="4282">
      <formula>ROUND(COUNTA($A89:$A$360)/2,0)=COUNTA($A89:$A$360)/2</formula>
    </cfRule>
  </conditionalFormatting>
  <conditionalFormatting sqref="B641">
    <cfRule type="cellIs" dxfId="1709" priority="114" operator="equal">
      <formula>"Yes"</formula>
    </cfRule>
  </conditionalFormatting>
  <conditionalFormatting sqref="A597 A599:A607 G599:H602 G604:H607">
    <cfRule type="expression" dxfId="1708" priority="385">
      <formula>DS_Gap_YN="No"</formula>
    </cfRule>
  </conditionalFormatting>
  <conditionalFormatting sqref="B585">
    <cfRule type="cellIs" dxfId="1707" priority="111" operator="equal">
      <formula>"Yes"</formula>
    </cfRule>
  </conditionalFormatting>
  <conditionalFormatting sqref="B597:D597">
    <cfRule type="expression" dxfId="1706" priority="108">
      <formula>DS_Gap_YN="No"</formula>
    </cfRule>
  </conditionalFormatting>
  <conditionalFormatting sqref="V624:V638">
    <cfRule type="expression" dxfId="1705" priority="107">
      <formula>$W$621&lt;&gt;$V$623</formula>
    </cfRule>
  </conditionalFormatting>
  <conditionalFormatting sqref="W624:W638">
    <cfRule type="expression" dxfId="1704" priority="106">
      <formula>$W$621&lt;&gt;$W$623</formula>
    </cfRule>
  </conditionalFormatting>
  <conditionalFormatting sqref="V623">
    <cfRule type="expression" dxfId="1703" priority="105">
      <formula>$W$621&lt;&gt;$V$623</formula>
    </cfRule>
  </conditionalFormatting>
  <conditionalFormatting sqref="W623">
    <cfRule type="expression" dxfId="1702" priority="104">
      <formula>$W$621&lt;&gt;$W$623</formula>
    </cfRule>
  </conditionalFormatting>
  <conditionalFormatting sqref="L781:L783 L786:L787">
    <cfRule type="expression" dxfId="1701" priority="4365">
      <formula>$E$829="Yes"</formula>
    </cfRule>
  </conditionalFormatting>
  <conditionalFormatting sqref="B643">
    <cfRule type="cellIs" dxfId="1700" priority="98" operator="equal">
      <formula>"Yes"</formula>
    </cfRule>
  </conditionalFormatting>
  <conditionalFormatting sqref="C804">
    <cfRule type="expression" dxfId="1699" priority="97">
      <formula>ROUND(COUNTA($A$795:$A804)/2,0)=COUNTA($A$795:$A804)/2</formula>
    </cfRule>
  </conditionalFormatting>
  <conditionalFormatting sqref="E354">
    <cfRule type="expression" dxfId="1698" priority="96">
      <formula>ROUND(COUNTA($A$354:$A354)/2,0)=COUNTA($A$354:$A354)/2</formula>
    </cfRule>
  </conditionalFormatting>
  <conditionalFormatting sqref="E363">
    <cfRule type="expression" dxfId="1697" priority="95">
      <formula>ROUND(COUNTA($A$354:$A363)/2,0)=COUNTA($A$354:$A363)/2</formula>
    </cfRule>
  </conditionalFormatting>
  <conditionalFormatting sqref="E369">
    <cfRule type="expression" dxfId="1696" priority="94">
      <formula>ROUND(COUNTA($A$354:$A369)/2,0)=COUNTA($A$354:$A369)/2</formula>
    </cfRule>
  </conditionalFormatting>
  <conditionalFormatting sqref="E370">
    <cfRule type="expression" dxfId="1695" priority="93">
      <formula>ROUND(COUNTA($A$354:$A370)/2,0)=COUNTA($A$354:$A370)/2</formula>
    </cfRule>
  </conditionalFormatting>
  <conditionalFormatting sqref="E389">
    <cfRule type="expression" dxfId="1694" priority="92">
      <formula>ROUND(COUNTA($A$354:$A389)/2,0)=COUNTA($A$354:$A389)/2</formula>
    </cfRule>
  </conditionalFormatting>
  <conditionalFormatting sqref="E394">
    <cfRule type="expression" dxfId="1693" priority="91">
      <formula>ROUND(COUNTA($A$354:$A394)/2,0)=COUNTA($A$354:$A394)/2</formula>
    </cfRule>
  </conditionalFormatting>
  <conditionalFormatting sqref="E354:E420">
    <cfRule type="expression" dxfId="1692" priority="90">
      <formula>ROUND(COUNTA($A$354:$A354)/2,0)=COUNTA($A$354:$A354)/2</formula>
    </cfRule>
  </conditionalFormatting>
  <conditionalFormatting sqref="E411">
    <cfRule type="expression" dxfId="1691" priority="89">
      <formula>ROUND(COUNTA($A$354:$A411)/2,0)=COUNTA($A$354:$A411)/2</formula>
    </cfRule>
  </conditionalFormatting>
  <conditionalFormatting sqref="E408">
    <cfRule type="expression" dxfId="1690" priority="88">
      <formula>ROUND(COUNTA($A$354:$A408)/2,0)=COUNTA($A$354:$A408)/2</formula>
    </cfRule>
  </conditionalFormatting>
  <conditionalFormatting sqref="E417">
    <cfRule type="expression" dxfId="1689" priority="87">
      <formula>ROUND(COUNTA($A$354:$A417)/2,0)=COUNTA($A$354:$A417)/2</formula>
    </cfRule>
  </conditionalFormatting>
  <conditionalFormatting sqref="E358">
    <cfRule type="expression" dxfId="1688" priority="86">
      <formula>ROUND(COUNTA($A$354:$A358)/2,0)=COUNTA($A$354:$A358)/2</formula>
    </cfRule>
  </conditionalFormatting>
  <conditionalFormatting sqref="E383">
    <cfRule type="expression" dxfId="1687" priority="85">
      <formula>ROUND(COUNTA($A$354:$A383)/2,0)=COUNTA($A$354:$A383)/2</formula>
    </cfRule>
  </conditionalFormatting>
  <conditionalFormatting sqref="E395">
    <cfRule type="expression" dxfId="1686" priority="84">
      <formula>ROUND(COUNTA($A$354:$A395)/2,0)=COUNTA($A$354:$A395)/2</formula>
    </cfRule>
  </conditionalFormatting>
  <conditionalFormatting sqref="E402">
    <cfRule type="expression" dxfId="1685" priority="83">
      <formula>ROUND(COUNTA($A$354:$A402)/2,0)=COUNTA($A$354:$A402)/2</formula>
    </cfRule>
  </conditionalFormatting>
  <conditionalFormatting sqref="E406">
    <cfRule type="expression" dxfId="1684" priority="82">
      <formula>ROUND(COUNTA($A$354:$A406)/2,0)=COUNTA($A$354:$A406)/2</formula>
    </cfRule>
  </conditionalFormatting>
  <conditionalFormatting sqref="E410">
    <cfRule type="expression" dxfId="1683" priority="81">
      <formula>ROUND(COUNTA($A$354:$A410)/2,0)=COUNTA($A$354:$A410)/2</formula>
    </cfRule>
  </conditionalFormatting>
  <conditionalFormatting sqref="E412">
    <cfRule type="expression" dxfId="1682" priority="80">
      <formula>ROUND(COUNTA($A$354:$A412)/2,0)=COUNTA($A$354:$A412)/2</formula>
    </cfRule>
  </conditionalFormatting>
  <conditionalFormatting sqref="E401">
    <cfRule type="expression" dxfId="1681" priority="79">
      <formula>ROUND(COUNTA($A$354:$A401)/2,0)=COUNTA($A$354:$A401)/2</formula>
    </cfRule>
  </conditionalFormatting>
  <conditionalFormatting sqref="E368">
    <cfRule type="expression" dxfId="1680" priority="78">
      <formula>ROUND(COUNTA($A$354:$A368)/2,0)=COUNTA($A$354:$A368)/2</formula>
    </cfRule>
  </conditionalFormatting>
  <conditionalFormatting sqref="E381">
    <cfRule type="expression" dxfId="1679" priority="77">
      <formula>ROUND(COUNTA($A$354:$A381)/2,0)=COUNTA($A$354:$A381)/2</formula>
    </cfRule>
  </conditionalFormatting>
  <conditionalFormatting sqref="E405">
    <cfRule type="expression" dxfId="1678" priority="76">
      <formula>ROUND(COUNTA($A$354:$A405)/2,0)=COUNTA($A$354:$A405)/2</formula>
    </cfRule>
  </conditionalFormatting>
  <conditionalFormatting sqref="E361">
    <cfRule type="expression" dxfId="1677" priority="75">
      <formula>ROUND(COUNTA($A$354:$A361)/2,0)=COUNTA($A$354:$A361)/2</formula>
    </cfRule>
  </conditionalFormatting>
  <conditionalFormatting sqref="E362">
    <cfRule type="expression" dxfId="1676" priority="74">
      <formula>ROUND(COUNTA($A$354:$A362)/2,0)=COUNTA($A$354:$A362)/2</formula>
    </cfRule>
  </conditionalFormatting>
  <conditionalFormatting sqref="E379">
    <cfRule type="expression" dxfId="1675" priority="73">
      <formula>ROUND(COUNTA($A$354:$A379)/2,0)=COUNTA($A$354:$A379)/2</formula>
    </cfRule>
  </conditionalFormatting>
  <conditionalFormatting sqref="E387">
    <cfRule type="expression" dxfId="1674" priority="72">
      <formula>ROUND(COUNTA($A$354:$A387)/2,0)=COUNTA($A$354:$A387)/2</formula>
    </cfRule>
  </conditionalFormatting>
  <conditionalFormatting sqref="E388">
    <cfRule type="expression" dxfId="1673" priority="71">
      <formula>ROUND(COUNTA($A$354:$A388)/2,0)=COUNTA($A$354:$A388)/2</formula>
    </cfRule>
  </conditionalFormatting>
  <conditionalFormatting sqref="E393">
    <cfRule type="expression" dxfId="1672" priority="70">
      <formula>ROUND(COUNTA($A$354:$A393)/2,0)=COUNTA($A$354:$A393)/2</formula>
    </cfRule>
  </conditionalFormatting>
  <conditionalFormatting sqref="E404">
    <cfRule type="expression" dxfId="1671" priority="69">
      <formula>ROUND(COUNTA($A$354:$A404)/2,0)=COUNTA($A$354:$A404)/2</formula>
    </cfRule>
  </conditionalFormatting>
  <conditionalFormatting sqref="E409">
    <cfRule type="expression" dxfId="1670" priority="68">
      <formula>ROUND(COUNTA($A$354:$A409)/2,0)=COUNTA($A$354:$A409)/2</formula>
    </cfRule>
  </conditionalFormatting>
  <conditionalFormatting sqref="E413">
    <cfRule type="expression" dxfId="1669" priority="67">
      <formula>ROUND(COUNTA($A$354:$A413)/2,0)=COUNTA($A$354:$A413)/2</formula>
    </cfRule>
  </conditionalFormatting>
  <conditionalFormatting sqref="E359">
    <cfRule type="expression" dxfId="1668" priority="66">
      <formula>ROUND(COUNTA($A$354:$A359)/2,0)=COUNTA($A$354:$A359)/2</formula>
    </cfRule>
  </conditionalFormatting>
  <conditionalFormatting sqref="E364">
    <cfRule type="expression" dxfId="1667" priority="65">
      <formula>ROUND(COUNTA($A$354:$A364)/2,0)=COUNTA($A$354:$A364)/2</formula>
    </cfRule>
  </conditionalFormatting>
  <conditionalFormatting sqref="E380">
    <cfRule type="expression" dxfId="1666" priority="64">
      <formula>ROUND(COUNTA($A$354:$A380)/2,0)=COUNTA($A$354:$A380)/2</formula>
    </cfRule>
  </conditionalFormatting>
  <conditionalFormatting sqref="E396">
    <cfRule type="expression" dxfId="1665" priority="63">
      <formula>ROUND(COUNTA($A$354:$A396)/2,0)=COUNTA($A$354:$A396)/2</formula>
    </cfRule>
  </conditionalFormatting>
  <conditionalFormatting sqref="E403">
    <cfRule type="expression" dxfId="1664" priority="62">
      <formula>ROUND(COUNTA($A$354:$A403)/2,0)=COUNTA($A$354:$A403)/2</formula>
    </cfRule>
  </conditionalFormatting>
  <conditionalFormatting sqref="A586">
    <cfRule type="expression" dxfId="1663" priority="60">
      <formula>IFERROR(FIND($F$19:$F$33,"Elderly ALF"),0)=0</formula>
    </cfRule>
  </conditionalFormatting>
  <conditionalFormatting sqref="B586">
    <cfRule type="expression" dxfId="1662" priority="61">
      <formula>IFERROR(FIND($F$19:$F$33,"Elderly ALF"),0)=0</formula>
    </cfRule>
  </conditionalFormatting>
  <conditionalFormatting sqref="A642:A644 F644">
    <cfRule type="expression" dxfId="1661" priority="58">
      <formula>$B$641="No"</formula>
    </cfRule>
  </conditionalFormatting>
  <conditionalFormatting sqref="B642:B644">
    <cfRule type="expression" dxfId="1660" priority="59">
      <formula>$B$641="No"</formula>
    </cfRule>
  </conditionalFormatting>
  <conditionalFormatting sqref="B354:B420 B494:B509">
    <cfRule type="expression" dxfId="1659" priority="4400">
      <formula>AND(B354=0,_xlfn.ISFORMULA(B354)=FALSE)</formula>
    </cfRule>
    <cfRule type="expression" dxfId="1658" priority="4401">
      <formula>AND(B354=0,_xlfn.ISFORMULA(B354)=TRUE,OR(AND(L$350="Yes",H354="Large"),AND(L$351="Yes",H354="Medium"),AND(L$352="Yes",H354="Small")))</formula>
    </cfRule>
  </conditionalFormatting>
  <conditionalFormatting sqref="A603:B603 A544:A545">
    <cfRule type="expression" dxfId="1657" priority="35">
      <formula>IFERROR(MATCH("Elderly ALF",DS_Demo_DDMenu,0),0)=0</formula>
    </cfRule>
  </conditionalFormatting>
  <conditionalFormatting sqref="A14:D16">
    <cfRule type="expression" dxfId="1656" priority="33">
      <formula>ROUND(COUNTA($A14:$A$114)/2,0)=COUNTA($A14:$A$114)/2</formula>
    </cfRule>
  </conditionalFormatting>
  <conditionalFormatting sqref="A16">
    <cfRule type="expression" dxfId="1655" priority="34">
      <formula>$B16&lt;&gt;1</formula>
    </cfRule>
  </conditionalFormatting>
  <conditionalFormatting sqref="B704:B713 B301">
    <cfRule type="expression" dxfId="1654" priority="4700">
      <formula>NOT(ISBLANK($K$14:$K$29))</formula>
    </cfRule>
  </conditionalFormatting>
  <conditionalFormatting sqref="B718:B719">
    <cfRule type="expression" dxfId="1653" priority="4702">
      <formula>NOT(ISBLANK($K$24:$K$29))</formula>
    </cfRule>
  </conditionalFormatting>
  <conditionalFormatting sqref="L528:L558">
    <cfRule type="cellIs" dxfId="1652" priority="32" operator="equal">
      <formula>"Yes"</formula>
    </cfRule>
  </conditionalFormatting>
  <conditionalFormatting sqref="D244:F245">
    <cfRule type="expression" dxfId="1651" priority="31">
      <formula>DS_HC_Funding="No"</formula>
    </cfRule>
  </conditionalFormatting>
  <conditionalFormatting sqref="D244:F245">
    <cfRule type="expression" dxfId="1650" priority="28">
      <formula>AND(LEFT($A244,9)=LEFT($A245,9),LEFT($A244,12)&lt;&gt;LEFT($A245,12),RIGHT(LEFT($A244,11),2)=")(")</formula>
    </cfRule>
  </conditionalFormatting>
  <conditionalFormatting sqref="D244:F245">
    <cfRule type="expression" dxfId="1649" priority="30">
      <formula>COUNTA($A244:$A$262)/2=ROUND(COUNTA($A244:$A$262)/2,0)</formula>
    </cfRule>
  </conditionalFormatting>
  <conditionalFormatting sqref="D244:F245">
    <cfRule type="expression" dxfId="1648" priority="29">
      <formula>LEFT($A244,9)&lt;&gt;LEFT($A245,9)</formula>
    </cfRule>
  </conditionalFormatting>
  <conditionalFormatting sqref="A246:F256">
    <cfRule type="expression" dxfId="1647" priority="4887">
      <formula>LEFT($A247,5)="Codes"</formula>
    </cfRule>
    <cfRule type="expression" dxfId="1646" priority="4888">
      <formula>AND(COUNTA($A230:$A$246)/2=ROUND(COUNTA($A230:$A$246)/2,0),LEFT($A246,7)=LEFT($A247,7))</formula>
    </cfRule>
  </conditionalFormatting>
  <conditionalFormatting sqref="A244:C245">
    <cfRule type="expression" dxfId="1645" priority="4889">
      <formula>LEFT($A245,5)="Codes"</formula>
    </cfRule>
    <cfRule type="expression" dxfId="1644" priority="4890">
      <formula>AND(COUNTA($A230:$A$244)/2=ROUND(COUNTA($A230:$A$244)/2,0),LEFT($A244,7)=LEFT($A245,7))</formula>
    </cfRule>
  </conditionalFormatting>
  <conditionalFormatting sqref="A567:D567 A568:A569 C568:C569">
    <cfRule type="expression" dxfId="1643" priority="5125">
      <formula>COUNTIF(DS_Demo_DDMenu,$A$24)+COUNTIF(DS_Demo_DDMenu,$A$30)+COUNTIF(DS_Demo_DDMenu,$A$31)+COUNTIF(DS_Demo_DDMenu,$A$32)+COUNTIF(DS_Demo_DDMenu,$A$33)=0</formula>
    </cfRule>
  </conditionalFormatting>
  <conditionalFormatting sqref="B568:B569 D568:D569">
    <cfRule type="expression" dxfId="1642" priority="5128">
      <formula>COUNTIF(DS_Demo_DDMenu,$A$24)+COUNTIF(DS_Demo_DDMenu,$A$30)+COUNTIF(DS_Demo_DDMenu,$A$31)+COUNTIF(DS_Demo_DDMenu,$A$32)+COUNTIF(DS_Demo_DDMenu,$A$33)=0</formula>
    </cfRule>
  </conditionalFormatting>
  <conditionalFormatting sqref="B432:B445">
    <cfRule type="expression" dxfId="1641" priority="21">
      <formula>AND(B432=0,_xlfn.ISFORMULA(B432)=FALSE)</formula>
    </cfRule>
    <cfRule type="expression" dxfId="1640" priority="22">
      <formula>AND(B432=0,_xlfn.ISFORMULA(B432)=TRUE,OR(AND(L$350="Yes",H432="Large"),AND(L$351="Yes",H432="Medium"),AND(L$352="Yes",H432="Small")))</formula>
    </cfRule>
  </conditionalFormatting>
  <conditionalFormatting sqref="B432:E445">
    <cfRule type="expression" dxfId="1639" priority="17">
      <formula>ROUND(COUNTA($A$432:$A432)/2,0)=COUNTA($A$432:$A432)/2</formula>
    </cfRule>
  </conditionalFormatting>
  <conditionalFormatting sqref="B640">
    <cfRule type="cellIs" dxfId="1638" priority="13" operator="equal">
      <formula>"Yes"</formula>
    </cfRule>
  </conditionalFormatting>
  <conditionalFormatting sqref="A578">
    <cfRule type="expression" dxfId="1637" priority="12">
      <formula>$C578="No"</formula>
    </cfRule>
  </conditionalFormatting>
  <conditionalFormatting sqref="A581">
    <cfRule type="expression" dxfId="1636" priority="11">
      <formula>SUM($B$572:$B$574)=0</formula>
    </cfRule>
  </conditionalFormatting>
  <conditionalFormatting sqref="A582">
    <cfRule type="expression" dxfId="1635" priority="10">
      <formula>SUM($B$572:$B$574)=0</formula>
    </cfRule>
  </conditionalFormatting>
  <conditionalFormatting sqref="A590">
    <cfRule type="expression" dxfId="1634" priority="9">
      <formula>$B$572=0</formula>
    </cfRule>
  </conditionalFormatting>
  <conditionalFormatting sqref="A621:A622">
    <cfRule type="expression" dxfId="1633" priority="8">
      <formula>$B$575=0</formula>
    </cfRule>
  </conditionalFormatting>
  <conditionalFormatting sqref="B621:B622">
    <cfRule type="expression" dxfId="1632" priority="7">
      <formula>$B$575=0</formula>
    </cfRule>
  </conditionalFormatting>
  <conditionalFormatting sqref="G616:L617 N616:O616">
    <cfRule type="expression" dxfId="1631" priority="5184">
      <formula>$B$619="Yes"</formula>
    </cfRule>
  </conditionalFormatting>
  <conditionalFormatting sqref="G615:L615 N615:O615">
    <cfRule type="expression" dxfId="1630" priority="5185">
      <formula>$B$619="No"</formula>
    </cfRule>
  </conditionalFormatting>
  <conditionalFormatting sqref="AB354:AE420">
    <cfRule type="expression" dxfId="1629" priority="5">
      <formula>ROUND(COUNTA($A$354:$A354)/2,0)=COUNTA($A$354:$A354)/2</formula>
    </cfRule>
  </conditionalFormatting>
  <conditionalFormatting sqref="A595">
    <cfRule type="expression" dxfId="1628" priority="4">
      <formula>$B$572=0</formula>
    </cfRule>
  </conditionalFormatting>
  <dataValidations count="14">
    <dataValidation type="list" allowBlank="1" showInputMessage="1" showErrorMessage="1" sqref="B773 L350:L352 B643 C578:C579 O261 H636 C598 B596 B565 L533:L558 E834 B204 J352 B206 B775 B777:B779 C528:C531 B196 P214 B641 B585 F832:F835 B619:B621 C533:C558 L528:L531 E817:F831" xr:uid="{4E8DABAA-C8BE-4910-AE5E-6DC442FCB534}">
      <formula1>"&lt;select one&gt;, Yes, No"</formula1>
    </dataValidation>
    <dataValidation type="list" allowBlank="1" showInputMessage="1" showErrorMessage="1" sqref="B774:C776" xr:uid="{7F902045-488A-473E-AC1C-EAF1933EE6BA}">
      <formula1>"&lt;select one&gt;, Face, Δ NPV"</formula1>
    </dataValidation>
    <dataValidation type="list" allowBlank="1" showInputMessage="1" showErrorMessage="1" sqref="C97" xr:uid="{DEED4C47-0C74-4D65-9B1E-FE578AE618C4}">
      <formula1>DS_DevExpProgs_DDMenu</formula1>
    </dataValidation>
    <dataValidation type="list" allowBlank="1" showInputMessage="1" showErrorMessage="1" sqref="B763:D763" xr:uid="{E7CE9D48-09E0-424A-9265-9DC1562F5D4A}">
      <formula1>DS_QualFin_DDMenu</formula1>
    </dataValidation>
    <dataValidation type="list" allowBlank="1" showInputMessage="1" showErrorMessage="1" sqref="B599" xr:uid="{E92BA0A7-21CE-4673-9DAA-A1BDE823E3E2}">
      <formula1>DS_AMI_List</formula1>
    </dataValidation>
    <dataValidation type="list" allowBlank="1" showInputMessage="1" showErrorMessage="1" sqref="B105:B108 B93 E295" xr:uid="{3184EF24-18D1-4AFC-9254-09A1361D6A6C}">
      <formula1>"&lt;select one&gt;,Yes,No"</formula1>
    </dataValidation>
    <dataValidation type="list" allowBlank="1" showInputMessage="1" showErrorMessage="1" sqref="M354:M420" xr:uid="{799D41C9-FF55-4983-93EC-EC32B47BAA8F}">
      <formula1>"No,Yes"</formula1>
    </dataValidation>
    <dataValidation type="list" allowBlank="1" showInputMessage="1" showErrorMessage="1" sqref="M229" xr:uid="{520F2BCC-4353-4D41-A3F5-8AC8F3B14853}">
      <formula1>DS_RedevCat_DOT_DDMenu</formula1>
    </dataValidation>
    <dataValidation type="list" allowBlank="1" showInputMessage="1" showErrorMessage="1" sqref="B96:D96" xr:uid="{085EAFA7-2B21-48FF-A596-DFE58F528914}">
      <formula1>$F$98:$F$100</formula1>
    </dataValidation>
    <dataValidation type="list" allowBlank="1" showInputMessage="1" showErrorMessage="1" sqref="B644:E644" xr:uid="{A142F911-D7E9-4C3F-8EB0-88DEECFEDCAD}">
      <formula1>DS_Goals_DDMenu</formula1>
    </dataValidation>
    <dataValidation type="list" allowBlank="1" showInputMessage="1" showErrorMessage="1" sqref="E102" xr:uid="{4C75FBAD-0BB5-44DC-9363-BE560AE8B759}">
      <formula1>$F$101:$F$103</formula1>
    </dataValidation>
    <dataValidation type="list" allowBlank="1" showInputMessage="1" showErrorMessage="1" sqref="G534:G535" xr:uid="{81241978-C388-41F8-B741-A18D82280B3B}">
      <formula1>$I$534:$I$535</formula1>
    </dataValidation>
    <dataValidation type="list" allowBlank="1" showInputMessage="1" showErrorMessage="1" sqref="B622" xr:uid="{8B3CBEDF-673D-485A-A65D-75A6C65894F1}">
      <formula1>"NA,Non-AIT,AIT,Gap"</formula1>
    </dataValidation>
    <dataValidation type="list" allowBlank="1" showInputMessage="1" showErrorMessage="1" sqref="W621" xr:uid="{2B355289-F11E-4DD1-A143-C523AE4F15F5}">
      <formula1>"Next,Highest HC"</formula1>
    </dataValidation>
  </dataValidations>
  <hyperlinks>
    <hyperlink ref="F486" r:id="rId1" display="https://support.office.com/en-us/f1/topic/aa1f3067-05c9-44e4-b141-f75bb9bb89bd?showContactUsNav=False&amp;ns=EXCEL&amp;version=90" xr:uid="{3FBD1BFB-0E6C-494B-9348-5675E8BB8104}"/>
    <hyperlink ref="G276" r:id="rId2"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3"/>
  <headerFooter>
    <oddHeader>&amp;C&amp;B&amp;14&amp;K7030A0RFA 2025-103 Housing Credit and SAIL Financing for Homeless Housing Developments Located in Medium and Large Counties</oddHeader>
    <oddFooter>&amp;LRFA 2025-103&amp;R&amp;K000000'&amp;A' worksheet tab: Page &amp;P of &amp;N</oddFooter>
  </headerFooter>
  <ignoredErrors>
    <ignoredError sqref="D342 D343:D344" formula="1"/>
  </ignoredErrors>
  <legacyDrawing r:id="rId4"/>
  <extLst>
    <ext xmlns:x14="http://schemas.microsoft.com/office/spreadsheetml/2009/9/main" uri="{78C0D931-6437-407d-A8EE-F0AAD7539E65}">
      <x14:conditionalFormattings>
        <x14:conditionalFormatting xmlns:xm="http://schemas.microsoft.com/office/excel/2006/main">
          <x14:cfRule type="expression" priority="150" id="{77008937-E33A-41A4-8519-BB045A17D4A0}">
            <xm:f>'General Information'!$M$41=0</xm:f>
            <x14:dxf>
              <font>
                <color theme="7" tint="0.59996337778862885"/>
              </font>
              <fill>
                <patternFill>
                  <bgColor theme="4" tint="0.39994506668294322"/>
                </patternFill>
              </fill>
            </x14:dxf>
          </x14:cfRule>
          <xm:sqref>A36:D38</xm:sqref>
        </x14:conditionalFormatting>
        <x14:conditionalFormatting xmlns:xm="http://schemas.microsoft.com/office/excel/2006/main">
          <x14:cfRule type="expression" priority="151" id="{05E2D274-3819-430A-9C69-6BAB6CA0B88D}">
            <xm:f>'General Information'!$M$46=0</xm:f>
            <x14:dxf>
              <font>
                <color theme="7" tint="0.59996337778862885"/>
              </font>
              <fill>
                <patternFill>
                  <bgColor theme="4" tint="0.39994506668294322"/>
                </patternFill>
              </fill>
            </x14:dxf>
          </x14:cfRule>
          <xm:sqref>A39:D44</xm:sqref>
        </x14:conditionalFormatting>
        <x14:conditionalFormatting xmlns:xm="http://schemas.microsoft.com/office/excel/2006/main">
          <x14:cfRule type="expression" priority="152" id="{971DD081-3B7A-422D-8BC6-288C9F7F2B20}">
            <xm:f>'General Information'!$K$127+'General Information'!$K$137+'General Information'!$K$147=0</xm:f>
            <x14:dxf>
              <font>
                <color theme="7" tint="0.59996337778862885"/>
              </font>
              <fill>
                <patternFill>
                  <bgColor theme="4" tint="0.39994506668294322"/>
                </patternFill>
              </fill>
            </x14:dxf>
          </x14:cfRule>
          <xm:sqref>B46:D46 A46:A90 C47:C90</xm:sqref>
        </x14:conditionalFormatting>
        <x14:conditionalFormatting xmlns:xm="http://schemas.microsoft.com/office/excel/2006/main">
          <x14:cfRule type="expression" priority="154" id="{ADC1A2DB-E125-4618-86F9-834602491E2C}">
            <xm:f>'General Information'!$M$123+'General Information'!$M$133+'General Information'!$M$143=0</xm:f>
            <x14:dxf>
              <font>
                <color theme="7" tint="0.59996337778862885"/>
              </font>
              <fill>
                <patternFill>
                  <bgColor theme="4" tint="0.39994506668294322"/>
                </patternFill>
              </fill>
            </x14:dxf>
          </x14:cfRule>
          <xm:sqref>A92:A103 B92:D95 B98:D103 B97</xm:sqref>
        </x14:conditionalFormatting>
        <x14:conditionalFormatting xmlns:xm="http://schemas.microsoft.com/office/excel/2006/main">
          <x14:cfRule type="expression" priority="199" id="{15E35AF6-D255-43F7-BB82-1E7C73C33E34}">
            <xm:f>'General Information'!$K$224=0</xm:f>
            <x14:dxf>
              <font>
                <color theme="7" tint="0.59996337778862885"/>
              </font>
              <fill>
                <patternFill>
                  <bgColor theme="4" tint="0.39994506668294322"/>
                </patternFill>
              </fill>
            </x14:dxf>
          </x14:cfRule>
          <xm:sqref>A113:A115 B113:D113 C114:C115</xm:sqref>
        </x14:conditionalFormatting>
        <x14:conditionalFormatting xmlns:xm="http://schemas.microsoft.com/office/excel/2006/main">
          <x14:cfRule type="expression" priority="214" id="{680C5ED8-F539-488E-83C3-B55F12E742D0}">
            <xm:f>'General Information'!$M$185=0</xm:f>
            <x14:dxf>
              <font>
                <color theme="7" tint="0.59996337778862885"/>
              </font>
              <fill>
                <patternFill>
                  <bgColor rgb="FF8EA9DB"/>
                </patternFill>
              </fill>
            </x14:dxf>
          </x14:cfRule>
          <xm:sqref>A171:D174</xm:sqref>
        </x14:conditionalFormatting>
        <x14:conditionalFormatting xmlns:xm="http://schemas.microsoft.com/office/excel/2006/main">
          <x14:cfRule type="expression" priority="217" id="{DB28BF57-6F7A-45AD-9CB8-339BB45EE10E}">
            <xm:f>'General Information'!$M$241+'General Information'!$M$251=0</xm:f>
            <x14:dxf>
              <font>
                <color theme="7" tint="0.59996337778862885"/>
              </font>
              <fill>
                <patternFill>
                  <bgColor theme="4" tint="0.39994506668294322"/>
                </patternFill>
              </fill>
            </x14:dxf>
          </x14:cfRule>
          <xm:sqref>A176:D180</xm:sqref>
        </x14:conditionalFormatting>
        <x14:conditionalFormatting xmlns:xm="http://schemas.microsoft.com/office/excel/2006/main">
          <x14:cfRule type="expression" priority="222" id="{82C8658F-AFFF-4EE8-9F3F-25BA9652920B}">
            <xm:f>SUM('General Information'!$K$267:$K$275)+'General Information'!$M$279=0</xm:f>
            <x14:dxf>
              <font>
                <color theme="7" tint="0.59996337778862885"/>
              </font>
              <fill>
                <patternFill>
                  <bgColor theme="4" tint="0.39994506668294322"/>
                </patternFill>
              </fill>
            </x14:dxf>
          </x14:cfRule>
          <xm:sqref>A183:D185</xm:sqref>
        </x14:conditionalFormatting>
        <x14:conditionalFormatting xmlns:xm="http://schemas.microsoft.com/office/excel/2006/main">
          <x14:cfRule type="expression" priority="224" id="{B65E071F-DD22-4716-BA84-1B4954D57224}">
            <xm:f>'Proposed Development Info'!$L$12=0</xm:f>
            <x14:dxf>
              <font>
                <color theme="7" tint="0.59996337778862885"/>
              </font>
              <fill>
                <patternFill>
                  <bgColor theme="4" tint="0.39994506668294322"/>
                </patternFill>
              </fill>
            </x14:dxf>
          </x14:cfRule>
          <xm:sqref>A187:A196 B195:D195 D196 B187:D187 C188:C194</xm:sqref>
        </x14:conditionalFormatting>
        <x14:conditionalFormatting xmlns:xm="http://schemas.microsoft.com/office/excel/2006/main">
          <x14:cfRule type="expression" priority="243" id="{10B1F673-C0B8-4A1A-A6CA-6006C7A4B07F}">
            <xm:f>OR('Proposed Development Info'!$L$12=0,AND('Proposed Development Info'!$G$12&lt;&gt;"New Construction",CELL("protect",'Proposed Development Info'!$G$12)=1))</xm:f>
            <x14:dxf>
              <font>
                <color theme="7" tint="0.59996337778862885"/>
              </font>
              <fill>
                <patternFill>
                  <bgColor theme="4" tint="0.39994506668294322"/>
                </patternFill>
              </fill>
            </x14:dxf>
          </x14:cfRule>
          <xm:sqref>A211:E211</xm:sqref>
        </x14:conditionalFormatting>
        <x14:conditionalFormatting xmlns:xm="http://schemas.microsoft.com/office/excel/2006/main">
          <x14:cfRule type="expression" priority="236" id="{53AAB99C-7917-4821-B480-9A4D4EFA7DC7}">
            <xm:f>OR($B$188=0,'Proposed Development Info'!$L$12=0)</xm:f>
            <x14:dxf>
              <font>
                <color theme="7" tint="0.59996337778862885"/>
              </font>
              <fill>
                <patternFill>
                  <bgColor theme="4" tint="0.39994506668294322"/>
                </patternFill>
              </fill>
            </x14:dxf>
          </x14:cfRule>
          <xm:sqref>A205:A211 B211:D211</xm:sqref>
        </x14:conditionalFormatting>
        <x14:conditionalFormatting xmlns:xm="http://schemas.microsoft.com/office/excel/2006/main">
          <x14:cfRule type="expression" priority="149" id="{AB958683-C2A6-474E-8494-F7CC13FA127C}">
            <xm:f>'General Information'!$M$41+'General Information'!$M$46=0</xm:f>
            <x14:dxf>
              <font>
                <color theme="7" tint="0.59996337778862885"/>
              </font>
              <fill>
                <patternFill>
                  <bgColor theme="4" tint="0.39994506668294322"/>
                </patternFill>
              </fill>
            </x14:dxf>
          </x14:cfRule>
          <xm:sqref>A35:D35</xm:sqref>
        </x14:conditionalFormatting>
        <x14:conditionalFormatting xmlns:xm="http://schemas.microsoft.com/office/excel/2006/main">
          <x14:cfRule type="expression" priority="262" id="{FE37A5B5-44EB-4FED-8A7C-0C75FCA24897}">
            <xm:f>OR(AND($B$189=0,$B$190=0),'Proposed Development Info'!$L$12=0)</xm:f>
            <x14:dxf>
              <font>
                <color theme="7" tint="0.59996337778862885"/>
              </font>
              <fill>
                <patternFill>
                  <bgColor theme="4" tint="0.39994506668294322"/>
                </patternFill>
              </fill>
            </x14:dxf>
          </x14:cfRule>
          <xm:sqref>A260 B287:E287 A262:A287</xm:sqref>
        </x14:conditionalFormatting>
        <x14:conditionalFormatting xmlns:xm="http://schemas.microsoft.com/office/excel/2006/main">
          <x14:cfRule type="expression" priority="304" id="{7FACCAFB-B4EF-49DA-82CE-5EC38C260A0D}">
            <xm:f>'Proposed Development Info'!$N$76=0</xm:f>
            <x14:dxf>
              <font>
                <color theme="7" tint="0.59996337778862885"/>
              </font>
              <fill>
                <patternFill>
                  <bgColor theme="4" tint="0.39994506668294322"/>
                </patternFill>
              </fill>
            </x14:dxf>
          </x14:cfRule>
          <xm:sqref>A299:B301</xm:sqref>
        </x14:conditionalFormatting>
        <x14:conditionalFormatting xmlns:xm="http://schemas.microsoft.com/office/excel/2006/main">
          <x14:cfRule type="expression" priority="305" id="{DD88155D-F572-4EBE-BDF3-4572C452C512}">
            <xm:f>'Proposed Development Info'!$N$88=0</xm:f>
            <x14:dxf>
              <font>
                <color theme="7" tint="0.59996337778862885"/>
              </font>
              <fill>
                <patternFill>
                  <bgColor theme="4" tint="0.39994506668294322"/>
                </patternFill>
              </fill>
            </x14:dxf>
          </x14:cfRule>
          <xm:sqref>A303:A317 B303:D303 C304:C310 B311:B315 B316:C318 C319:C323 B323 D316:F317 E319:E320</xm:sqref>
        </x14:conditionalFormatting>
        <x14:conditionalFormatting xmlns:xm="http://schemas.microsoft.com/office/excel/2006/main">
          <x14:cfRule type="expression" priority="307" id="{48DE82B1-2E63-4F4C-A0D1-F16274635FC6}">
            <xm:f>'Proposed Development Info'!$L$113=0</xm:f>
            <x14:dxf>
              <font>
                <color theme="7" tint="0.59996337778862885"/>
              </font>
              <fill>
                <patternFill>
                  <bgColor theme="4" tint="0.39994506668294322"/>
                </patternFill>
              </fill>
            </x14:dxf>
          </x14:cfRule>
          <xm:sqref>A325:A337 B325:D325 C326:C337</xm:sqref>
        </x14:conditionalFormatting>
        <x14:conditionalFormatting xmlns:xm="http://schemas.microsoft.com/office/excel/2006/main">
          <x14:cfRule type="expression" priority="310" id="{E68B6CF2-FEB1-4102-A161-9210F5346CA1}">
            <xm:f>SUM('Proposed Development Info'!$L$127:$L$142)=0</xm:f>
            <x14:dxf>
              <font>
                <color theme="7" tint="0.59996337778862885"/>
              </font>
              <fill>
                <patternFill>
                  <bgColor theme="4" tint="0.39994506668294322"/>
                </patternFill>
              </fill>
            </x14:dxf>
          </x14:cfRule>
          <xm:sqref>A350 A346:F349 A345:C345 E345 A339:F344</xm:sqref>
        </x14:conditionalFormatting>
        <x14:conditionalFormatting xmlns:xm="http://schemas.microsoft.com/office/excel/2006/main">
          <x14:cfRule type="expression" priority="319" id="{3935907B-8B31-493F-8D61-CFC91386EDC9}">
            <xm:f>'Development Location'!$M$5=0</xm:f>
            <x14:dxf>
              <font>
                <color theme="7" tint="0.59996337778862885"/>
              </font>
              <fill>
                <patternFill>
                  <bgColor theme="4" tint="0.39994506668294322"/>
                </patternFill>
              </fill>
            </x14:dxf>
          </x14:cfRule>
          <xm:sqref>A422:E424</xm:sqref>
        </x14:conditionalFormatting>
        <x14:conditionalFormatting xmlns:xm="http://schemas.microsoft.com/office/excel/2006/main">
          <x14:cfRule type="expression" priority="320" id="{AF98A06B-F489-4A48-97D6-1A5BC3217CD7}">
            <xm:f>'Development Location'!$M$7=0</xm:f>
            <x14:dxf>
              <font>
                <color theme="7" tint="0.59996337778862885"/>
              </font>
              <fill>
                <patternFill>
                  <bgColor theme="4" tint="0.39994506668294322"/>
                </patternFill>
              </fill>
            </x14:dxf>
          </x14:cfRule>
          <xm:sqref>A426:E428</xm:sqref>
        </x14:conditionalFormatting>
        <x14:conditionalFormatting xmlns:xm="http://schemas.microsoft.com/office/excel/2006/main">
          <x14:cfRule type="expression" priority="321" id="{82104E0D-AA38-4463-886C-5497E0EBA36B}">
            <xm:f>'Proximity, Mand.Dist., RECAP'!$N$12=0</xm:f>
            <x14:dxf>
              <font>
                <color theme="7" tint="0.59996337778862885"/>
              </font>
              <fill>
                <patternFill>
                  <bgColor theme="4" tint="0.39994506668294322"/>
                </patternFill>
              </fill>
            </x14:dxf>
          </x14:cfRule>
          <xm:sqref>A447:A487 B447:E447 C448:E485 B450 B460:B461 B465 B469 B472:B485 B486:C487</xm:sqref>
        </x14:conditionalFormatting>
        <x14:conditionalFormatting xmlns:xm="http://schemas.microsoft.com/office/excel/2006/main">
          <x14:cfRule type="expression" priority="338" id="{D9E19E1F-05C5-4198-9093-7749ECEBF428}">
            <xm:f>OR('Local Gov''t Contributions'!$O$24="No",AND('Local Gov''t Contributions'!$O$3=0,'Local Gov''t Contributions'!$O$40=0))</xm:f>
            <x14:dxf>
              <font>
                <color theme="7" tint="0.59996337778862885"/>
              </font>
              <fill>
                <patternFill>
                  <bgColor theme="4" tint="0.39994506668294322"/>
                </patternFill>
              </fill>
            </x14:dxf>
          </x14:cfRule>
          <xm:sqref>A489:B489</xm:sqref>
        </x14:conditionalFormatting>
        <x14:conditionalFormatting xmlns:xm="http://schemas.microsoft.com/office/excel/2006/main">
          <x14:cfRule type="expression" priority="340" id="{C266F1BF-1FC6-440B-91EA-43F2F19FC5C2}">
            <xm:f>'Proximity, Mand.Dist., RECAP'!$N$35=0</xm:f>
            <x14:dxf>
              <font>
                <color theme="7" tint="0.59996337778862885"/>
              </font>
              <fill>
                <patternFill>
                  <bgColor theme="4" tint="0.39994506668294322"/>
                </patternFill>
              </fill>
            </x14:dxf>
          </x14:cfRule>
          <xm:sqref>A490:B490</xm:sqref>
        </x14:conditionalFormatting>
        <x14:conditionalFormatting xmlns:xm="http://schemas.microsoft.com/office/excel/2006/main">
          <x14:cfRule type="expression" priority="341" id="{EDFB005D-63EA-4B22-A076-3A76A7784DCE}">
            <xm:f>OR('Local Gov''t Contributions'!$O$24="No",'Local Gov''t Contributions'!$O$40=0)</xm:f>
            <x14:dxf>
              <font>
                <color theme="7" tint="0.59996337778862885"/>
              </font>
              <fill>
                <patternFill>
                  <bgColor theme="4" tint="0.39994506668294322"/>
                </patternFill>
              </fill>
            </x14:dxf>
          </x14:cfRule>
          <xm:sqref>A491:B491</xm:sqref>
        </x14:conditionalFormatting>
        <x14:conditionalFormatting xmlns:xm="http://schemas.microsoft.com/office/excel/2006/main">
          <x14:cfRule type="expression" priority="342" id="{419D152F-2846-45A5-98F6-490CF62E118D}">
            <xm:f>'Proximity, Mand.Dist., RECAP'!$N$35=0</xm:f>
            <x14:dxf>
              <font>
                <color theme="7" tint="0.59996337778862885"/>
              </font>
              <fill>
                <patternFill>
                  <bgColor theme="4" tint="0.39994506668294322"/>
                </patternFill>
              </fill>
            </x14:dxf>
          </x14:cfRule>
          <xm:sqref>A493:A509 B493:D493 C494:C509</xm:sqref>
        </x14:conditionalFormatting>
        <x14:conditionalFormatting xmlns:xm="http://schemas.microsoft.com/office/excel/2006/main">
          <x14:cfRule type="expression" priority="153" id="{CD592181-121C-4634-B8AB-8A5F15976BAA}">
            <xm:f>'General Information'!$K$127+'General Information'!$K$137+'General Information'!$K$147=0</xm:f>
            <x14:dxf>
              <font>
                <color rgb="FFFF00FF"/>
              </font>
              <fill>
                <patternFill>
                  <bgColor theme="4" tint="0.39994506668294322"/>
                </patternFill>
              </fill>
            </x14:dxf>
          </x14:cfRule>
          <xm:sqref>B47:B90 D47:D90</xm:sqref>
        </x14:conditionalFormatting>
        <x14:conditionalFormatting xmlns:xm="http://schemas.microsoft.com/office/excel/2006/main">
          <x14:cfRule type="expression" priority="181" id="{6184AB98-3FB7-4490-B0A9-AF34294296E0}">
            <xm:f>'General Information'!$M$123+'General Information'!$M$133+'General Information'!$M$143=0</xm:f>
            <x14:dxf>
              <font>
                <color rgb="FFFF00FF"/>
              </font>
              <fill>
                <patternFill>
                  <bgColor theme="4" tint="0.39994506668294322"/>
                </patternFill>
              </fill>
            </x14:dxf>
          </x14:cfRule>
          <xm:sqref>B96:D96</xm:sqref>
        </x14:conditionalFormatting>
        <x14:conditionalFormatting xmlns:xm="http://schemas.microsoft.com/office/excel/2006/main">
          <x14:cfRule type="expression" priority="209" id="{3DC685CC-099F-47B9-A55B-7185579B2D06}">
            <xm:f>'General Information'!$K$224=0</xm:f>
            <x14:dxf>
              <font>
                <color rgb="FFFF00FF"/>
              </font>
              <fill>
                <patternFill>
                  <bgColor theme="4" tint="0.39994506668294322"/>
                </patternFill>
              </fill>
            </x14:dxf>
          </x14:cfRule>
          <xm:sqref>B114:B115 D114:D115</xm:sqref>
        </x14:conditionalFormatting>
        <x14:conditionalFormatting xmlns:xm="http://schemas.microsoft.com/office/excel/2006/main">
          <x14:cfRule type="expression" priority="210" id="{4F389891-7600-4BDA-AF48-F3CD03AA3229}">
            <xm:f>'General Information'!$K$233+'General Information'!$K$272+'General Information'!$K$285=0</xm:f>
            <x14:dxf>
              <font>
                <color theme="7" tint="0.59996337778862885"/>
              </font>
              <fill>
                <patternFill>
                  <bgColor theme="4" tint="0.39994506668294322"/>
                </patternFill>
              </fill>
            </x14:dxf>
          </x14:cfRule>
          <xm:sqref>A117:D117 A118:A169 C118:C169</xm:sqref>
        </x14:conditionalFormatting>
        <x14:conditionalFormatting xmlns:xm="http://schemas.microsoft.com/office/excel/2006/main">
          <x14:cfRule type="expression" priority="212" id="{73D51FC6-7364-4D59-A72A-9E154EFB5FB4}">
            <xm:f>'General Information'!$K$233+'General Information'!$K$272+'General Information'!$K$285=0</xm:f>
            <x14:dxf>
              <font>
                <color rgb="FFFF00FF"/>
              </font>
              <fill>
                <patternFill>
                  <bgColor theme="4" tint="0.39994506668294322"/>
                </patternFill>
              </fill>
            </x14:dxf>
          </x14:cfRule>
          <xm:sqref>B118:B169 D118:D169</xm:sqref>
        </x14:conditionalFormatting>
        <x14:conditionalFormatting xmlns:xm="http://schemas.microsoft.com/office/excel/2006/main">
          <x14:cfRule type="expression" priority="226" id="{7C7C136A-0C95-4715-B54A-446F7233E11C}">
            <xm:f>'Proposed Development Info'!$L$12=0</xm:f>
            <x14:dxf>
              <font>
                <color rgb="FFFF00FF"/>
              </font>
              <fill>
                <patternFill>
                  <bgColor theme="4" tint="0.39994506668294322"/>
                </patternFill>
              </fill>
            </x14:dxf>
          </x14:cfRule>
          <xm:sqref>B188:B194 D188:D194 B196</xm:sqref>
        </x14:conditionalFormatting>
        <x14:conditionalFormatting xmlns:xm="http://schemas.microsoft.com/office/excel/2006/main">
          <x14:cfRule type="expression" priority="306" id="{3C09D26B-266D-4BE8-AC57-FD4E5115DF43}">
            <xm:f>'Proposed Development Info'!$N$88=0</xm:f>
            <x14:dxf>
              <font>
                <color rgb="FFFF00FF"/>
              </font>
              <fill>
                <patternFill>
                  <bgColor theme="4" tint="0.39994506668294322"/>
                </patternFill>
              </fill>
            </x14:dxf>
          </x14:cfRule>
          <xm:sqref>A318:A323 B319:B322 D318:D320 B304:B310 D304:D310 F318:F320</xm:sqref>
        </x14:conditionalFormatting>
        <x14:conditionalFormatting xmlns:xm="http://schemas.microsoft.com/office/excel/2006/main">
          <x14:cfRule type="expression" priority="309" id="{85AF46FE-3397-4E69-9F02-BA7E2877BEFC}">
            <xm:f>'Proposed Development Info'!$L$113=0</xm:f>
            <x14:dxf>
              <font>
                <color rgb="FFFF00FF"/>
              </font>
              <fill>
                <patternFill>
                  <bgColor theme="4" tint="0.39994506668294322"/>
                </patternFill>
              </fill>
            </x14:dxf>
          </x14:cfRule>
          <xm:sqref>B326:B337 D326:D337</xm:sqref>
        </x14:conditionalFormatting>
        <x14:conditionalFormatting xmlns:xm="http://schemas.microsoft.com/office/excel/2006/main">
          <x14:cfRule type="expression" priority="322" id="{5AA2C520-123E-4405-A167-03FD8E632FFA}">
            <xm:f>'Proximity, Mand.Dist., RECAP'!$N$12=0</xm:f>
            <x14:dxf>
              <font>
                <color rgb="FFFF00FF"/>
              </font>
              <fill>
                <patternFill>
                  <bgColor theme="4" tint="0.39994506668294322"/>
                </patternFill>
              </fill>
            </x14:dxf>
          </x14:cfRule>
          <xm:sqref>B448:B449 B451:B459 B462:B464 B466:B468 B470:B471</xm:sqref>
        </x14:conditionalFormatting>
        <x14:conditionalFormatting xmlns:xm="http://schemas.microsoft.com/office/excel/2006/main">
          <x14:cfRule type="expression" priority="345" id="{92DF54B2-2E12-423E-A763-A5F878644E44}">
            <xm:f>'Proximity, Mand.Dist., RECAP'!$N$35=0</xm:f>
            <x14:dxf>
              <font>
                <color rgb="FFFF00FF"/>
              </font>
              <fill>
                <patternFill>
                  <bgColor theme="4" tint="0.39994506668294322"/>
                </patternFill>
              </fill>
            </x14:dxf>
          </x14:cfRule>
          <xm:sqref>B494:B509 D494:D509</xm:sqref>
        </x14:conditionalFormatting>
        <x14:conditionalFormatting xmlns:xm="http://schemas.microsoft.com/office/excel/2006/main">
          <x14:cfRule type="expression" priority="346" id="{CD1D41DC-96AF-4C71-9C37-02BF912D7CFB}">
            <xm:f>'Proximity, Mand.Dist., RECAP'!$L$55=0</xm:f>
            <x14:dxf>
              <font>
                <color theme="7" tint="0.59996337778862885"/>
              </font>
              <fill>
                <patternFill>
                  <bgColor theme="4" tint="0.39994506668294322"/>
                </patternFill>
              </fill>
            </x14:dxf>
          </x14:cfRule>
          <xm:sqref>A512:B525</xm:sqref>
        </x14:conditionalFormatting>
        <x14:conditionalFormatting xmlns:xm="http://schemas.microsoft.com/office/excel/2006/main">
          <x14:cfRule type="expression" priority="367" id="{96675857-878A-42F7-A0C5-94A695CC049F}">
            <xm:f>'Units, Set-Asides, Bldgs'!$N$26=0</xm:f>
            <x14:dxf>
              <font>
                <color theme="7" tint="0.59996337778862885"/>
              </font>
              <fill>
                <patternFill>
                  <bgColor theme="4" tint="0.39994506668294322"/>
                </patternFill>
              </fill>
            </x14:dxf>
          </x14:cfRule>
          <xm:sqref>A560:A565 B560:D560 C561:C565 B564 D564:D565</xm:sqref>
        </x14:conditionalFormatting>
        <x14:conditionalFormatting xmlns:xm="http://schemas.microsoft.com/office/excel/2006/main">
          <x14:cfRule type="expression" priority="368" id="{956952F8-E4B6-4E46-9A0C-F5FA4F847C74}">
            <xm:f>'Units, Set-Asides, Bldgs'!$N$26=0</xm:f>
            <x14:dxf>
              <font>
                <color rgb="FFFF00FF"/>
              </font>
              <fill>
                <patternFill>
                  <bgColor theme="4" tint="0.39994506668294322"/>
                </patternFill>
              </fill>
            </x14:dxf>
          </x14:cfRule>
          <xm:sqref>B561:B563 B565 D561:D563</xm:sqref>
        </x14:conditionalFormatting>
        <x14:conditionalFormatting xmlns:xm="http://schemas.microsoft.com/office/excel/2006/main">
          <x14:cfRule type="expression" priority="373" id="{07E51986-A7C1-4BB1-A381-58C48A727A78}">
            <xm:f>'Units, Set-Asides, Bldgs'!$N$37=0</xm:f>
            <x14:dxf>
              <font>
                <color theme="7" tint="0.59996337778862885"/>
              </font>
              <fill>
                <patternFill>
                  <bgColor theme="4" tint="0.39994506668294322"/>
                </patternFill>
              </fill>
            </x14:dxf>
          </x14:cfRule>
          <xm:sqref>A571:A575 B571:D571 C572:C575</xm:sqref>
        </x14:conditionalFormatting>
        <x14:conditionalFormatting xmlns:xm="http://schemas.microsoft.com/office/excel/2006/main">
          <x14:cfRule type="expression" priority="375" id="{B69B0453-3452-4A8C-B585-EAE6493F4511}">
            <xm:f>'Units, Set-Asides, Bldgs'!$N$37=0</xm:f>
            <x14:dxf>
              <font>
                <color rgb="FFFF00FF"/>
              </font>
              <fill>
                <patternFill>
                  <bgColor theme="4" tint="0.39994506668294322"/>
                </patternFill>
              </fill>
            </x14:dxf>
          </x14:cfRule>
          <xm:sqref>B572:B575 D572:D575</xm:sqref>
        </x14:conditionalFormatting>
        <x14:conditionalFormatting xmlns:xm="http://schemas.microsoft.com/office/excel/2006/main">
          <x14:cfRule type="expression" priority="57" id="{21AF06AC-5434-4BDE-B292-75E26F8EB4BC}">
            <xm:f>'General Information'!$K$67=0</xm:f>
            <x14:dxf>
              <font>
                <color theme="7" tint="0.59996337778862885"/>
              </font>
              <fill>
                <patternFill>
                  <bgColor theme="4" tint="0.39994506668294322"/>
                </patternFill>
              </fill>
            </x14:dxf>
          </x14:cfRule>
          <xm:sqref>A604:A607 A620 A611:A612 A627:A629 A633:A637 G636 A655 A665 A672 B629:E629 B635:E635</xm:sqref>
        </x14:conditionalFormatting>
        <x14:conditionalFormatting xmlns:xm="http://schemas.microsoft.com/office/excel/2006/main">
          <x14:cfRule type="expression" priority="387" id="{DE3D1767-4030-4747-AAE0-B9CFDFA81B7F}">
            <xm:f>'General Information'!$K$67=0</xm:f>
            <x14:dxf>
              <font>
                <color rgb="FFFF00FF"/>
              </font>
              <fill>
                <patternFill>
                  <bgColor theme="4" tint="0.39994506668294322"/>
                </patternFill>
              </fill>
            </x14:dxf>
          </x14:cfRule>
          <xm:sqref>B604:B607 B620 B611:B612 B627:B628 B633:B634 B636:B637 H636</xm:sqref>
        </x14:conditionalFormatting>
        <x14:conditionalFormatting xmlns:xm="http://schemas.microsoft.com/office/excel/2006/main">
          <x14:cfRule type="expression" priority="113" id="{4B3F52F3-A479-4FE1-AFE5-17066A552160}">
            <xm:f>'Units, Set-Asides, Bldgs'!$P$117=0</xm:f>
            <x14:dxf>
              <font>
                <color theme="7" tint="0.59996337778862885"/>
              </font>
              <fill>
                <patternFill>
                  <bgColor theme="4" tint="0.39994506668294322"/>
                </patternFill>
              </fill>
            </x14:dxf>
          </x14:cfRule>
          <xm:sqref>A598:A607 B595 B598 B600 B603 A666:A672</xm:sqref>
        </x14:conditionalFormatting>
        <x14:conditionalFormatting xmlns:xm="http://schemas.microsoft.com/office/excel/2006/main">
          <x14:cfRule type="expression" priority="383" id="{81BAA3E9-06F8-41CE-93E3-0D66CE6FD1C1}">
            <xm:f>'Units, Set-Asides, Bldgs'!$P$117=0</xm:f>
            <x14:dxf>
              <font>
                <color rgb="FFFF00FF"/>
              </font>
              <fill>
                <patternFill>
                  <bgColor theme="4" tint="0.39994506668294322"/>
                </patternFill>
              </fill>
            </x14:dxf>
          </x14:cfRule>
          <xm:sqref>B596 B599 B601:B602 B604:B607</xm:sqref>
        </x14:conditionalFormatting>
        <x14:conditionalFormatting xmlns:xm="http://schemas.microsoft.com/office/excel/2006/main">
          <x14:cfRule type="expression" priority="390" id="{0ACAC60A-04CE-444E-951E-941C6DA7E049}">
            <xm:f>'Units, Set-Asides, Bldgs'!$P$49=0</xm:f>
            <x14:dxf>
              <font>
                <color theme="7" tint="0.59996337778862885"/>
              </font>
              <fill>
                <patternFill>
                  <bgColor theme="4" tint="0.39994506668294322"/>
                </patternFill>
              </fill>
            </x14:dxf>
          </x14:cfRule>
          <xm:sqref>A647:A655</xm:sqref>
        </x14:conditionalFormatting>
        <x14:conditionalFormatting xmlns:xm="http://schemas.microsoft.com/office/excel/2006/main">
          <x14:cfRule type="expression" priority="394" id="{98B4C5DA-AB72-4A26-905C-8CA1A53175F8}">
            <xm:f>'Units, Set-Asides, Bldgs'!$P$76=0</xm:f>
            <x14:dxf>
              <font>
                <color theme="7" tint="0.59996337778862885"/>
              </font>
              <fill>
                <patternFill>
                  <bgColor theme="4" tint="0.39994506668294322"/>
                </patternFill>
              </fill>
            </x14:dxf>
          </x14:cfRule>
          <xm:sqref>A656:A665</xm:sqref>
        </x14:conditionalFormatting>
        <x14:conditionalFormatting xmlns:xm="http://schemas.microsoft.com/office/excel/2006/main">
          <x14:cfRule type="expression" priority="391" id="{F11067F7-49D8-4764-B6A7-40CAFCD0A129}">
            <xm:f>OR('General Information'!$K$73=0,'General Information'!$D$73="No",1=1)</xm:f>
            <x14:dxf>
              <font>
                <color theme="7" tint="0.59996337778862885"/>
              </font>
              <fill>
                <patternFill>
                  <bgColor theme="4" tint="0.39994506668294322"/>
                </patternFill>
              </fill>
            </x14:dxf>
          </x14:cfRule>
          <xm:sqref>A650 A659</xm:sqref>
        </x14:conditionalFormatting>
        <x14:conditionalFormatting xmlns:xm="http://schemas.microsoft.com/office/excel/2006/main">
          <x14:cfRule type="expression" priority="392" id="{11D4AF7C-7328-4433-9EE1-12B6E40929D4}">
            <xm:f>'Units, Set-Asides, Bldgs'!$P$74=1</xm:f>
            <x14:dxf>
              <font>
                <color theme="7" tint="0.59996337778862885"/>
              </font>
              <fill>
                <patternFill>
                  <bgColor theme="4" tint="0.39994506668294322"/>
                </patternFill>
              </fill>
            </x14:dxf>
          </x14:cfRule>
          <xm:sqref>A651 A660</xm:sqref>
        </x14:conditionalFormatting>
        <x14:conditionalFormatting xmlns:xm="http://schemas.microsoft.com/office/excel/2006/main">
          <x14:cfRule type="expression" priority="490" id="{BA768C88-E6BC-4276-8BDC-DA45B0FFAA1D}">
            <xm:f>'Construction Features'!$L$15=0</xm:f>
            <x14:dxf>
              <font>
                <color theme="7" tint="0.59996337778862885"/>
              </font>
              <fill>
                <patternFill>
                  <bgColor theme="4" tint="0.39994506668294322"/>
                </patternFill>
              </fill>
            </x14:dxf>
          </x14:cfRule>
          <x14:cfRule type="expression" priority="491" id="{DB981F28-225D-4138-BB37-903EAC554203}">
            <xm:f>'Construction Features'!$N$33=0</xm:f>
            <x14:dxf>
              <font>
                <color theme="7" tint="0.59996337778862885"/>
              </font>
              <fill>
                <patternFill>
                  <bgColor theme="4" tint="0.39994506668294322"/>
                </patternFill>
              </fill>
            </x14:dxf>
          </x14:cfRule>
          <xm:sqref>A696:A700 B696:D696 C697:C700</xm:sqref>
        </x14:conditionalFormatting>
        <x14:conditionalFormatting xmlns:xm="http://schemas.microsoft.com/office/excel/2006/main">
          <x14:cfRule type="expression" priority="493" id="{C9155802-A673-4F75-A8BB-19547FCEA1E8}">
            <xm:f>'Construction Features'!$L$15=0</xm:f>
            <x14:dxf>
              <font>
                <color rgb="FFFF00FF"/>
              </font>
              <fill>
                <patternFill>
                  <bgColor theme="4" tint="0.39994506668294322"/>
                </patternFill>
              </fill>
            </x14:dxf>
          </x14:cfRule>
          <x14:cfRule type="expression" priority="494" id="{E4A5BF6C-E90F-499F-A258-3F1ED4898F17}">
            <xm:f>'Construction Features'!$N$33=0</xm:f>
            <x14:dxf>
              <font>
                <color rgb="FFFF00FF"/>
              </font>
              <fill>
                <patternFill>
                  <bgColor theme="4" tint="0.39994506668294322"/>
                </patternFill>
              </fill>
            </x14:dxf>
          </x14:cfRule>
          <xm:sqref>B697:B700 D697:D700</xm:sqref>
        </x14:conditionalFormatting>
        <x14:conditionalFormatting xmlns:xm="http://schemas.microsoft.com/office/excel/2006/main">
          <x14:cfRule type="expression" priority="23" id="{249823E0-9706-407C-BFA5-4C43479431F5}">
            <xm:f>OR('Construction Features'!$N$16=0,'Construction Features'!$N$33=0)</xm:f>
            <x14:dxf>
              <font>
                <color theme="7" tint="0.59996337778862885"/>
              </font>
              <fill>
                <patternFill>
                  <bgColor rgb="FF8EA9DB"/>
                </patternFill>
              </fill>
            </x14:dxf>
          </x14:cfRule>
          <x14:cfRule type="expression" priority="495" id="{E9DD0D12-50FA-4B8B-84A0-CD07C75CFBA9}">
            <xm:f>'Construction Features'!$N$16=0</xm:f>
            <x14:dxf>
              <font>
                <color theme="7" tint="0.59996337778862885"/>
              </font>
              <fill>
                <patternFill>
                  <bgColor theme="4" tint="0.39994506668294322"/>
                </patternFill>
              </fill>
            </x14:dxf>
          </x14:cfRule>
          <x14:cfRule type="expression" priority="496" id="{61BD3789-65A1-474B-8230-5A5791686716}">
            <xm:f>'Construction Features'!$N$33=0</xm:f>
            <x14:dxf>
              <font>
                <color theme="7" tint="0.59996337778862885"/>
              </font>
              <fill>
                <patternFill>
                  <bgColor theme="4" tint="0.39994506668294322"/>
                </patternFill>
              </fill>
            </x14:dxf>
          </x14:cfRule>
          <xm:sqref>A702:B719</xm:sqref>
        </x14:conditionalFormatting>
        <x14:conditionalFormatting xmlns:xm="http://schemas.microsoft.com/office/excel/2006/main">
          <x14:cfRule type="expression" priority="497" id="{43410F3A-EF14-491F-93AF-1BC909C58A21}">
            <xm:f>'Construction Features'!$L17=0</xm:f>
            <x14:dxf>
              <font>
                <color theme="7" tint="0.59996337778862885"/>
              </font>
              <fill>
                <patternFill>
                  <bgColor theme="4" tint="0.39994506668294322"/>
                </patternFill>
              </fill>
            </x14:dxf>
          </x14:cfRule>
          <xm:sqref>A704:B713 A718:B719</xm:sqref>
        </x14:conditionalFormatting>
        <x14:conditionalFormatting xmlns:xm="http://schemas.microsoft.com/office/excel/2006/main">
          <x14:cfRule type="expression" priority="524" id="{D2BD6140-E5BF-48C7-B82A-6D05427623EB}">
            <xm:f>'Resident Programs'!$K16=0</xm:f>
            <x14:dxf>
              <font>
                <color theme="7" tint="0.59996337778862885"/>
              </font>
              <fill>
                <patternFill>
                  <bgColor theme="4" tint="0.39994506668294322"/>
                </patternFill>
              </fill>
            </x14:dxf>
          </x14:cfRule>
          <xm:sqref>A733:B737</xm:sqref>
        </x14:conditionalFormatting>
        <x14:conditionalFormatting xmlns:xm="http://schemas.microsoft.com/office/excel/2006/main">
          <x14:cfRule type="expression" priority="521" id="{5C46CF52-6291-4FBB-8436-8EEF1130356B}">
            <xm:f>'Resident Programs'!$K5=0</xm:f>
            <x14:dxf>
              <font>
                <color theme="7" tint="0.59996337778862885"/>
              </font>
              <fill>
                <patternFill>
                  <bgColor theme="4" tint="0.39994506668294322"/>
                </patternFill>
              </fill>
            </x14:dxf>
          </x14:cfRule>
          <xm:sqref>A727:B731</xm:sqref>
        </x14:conditionalFormatting>
        <x14:conditionalFormatting xmlns:xm="http://schemas.microsoft.com/office/excel/2006/main">
          <x14:cfRule type="expression" priority="515" id="{8C1C50A4-559B-4D80-A138-075FD3EE99D5}">
            <xm:f>SUM('Resident Programs'!$K$5:$K$9)=0</xm:f>
            <x14:dxf>
              <font>
                <color theme="7" tint="0.59996337778862885"/>
              </font>
              <fill>
                <patternFill>
                  <bgColor theme="4" tint="0.39994506668294322"/>
                </patternFill>
              </fill>
            </x14:dxf>
          </x14:cfRule>
          <xm:sqref>A726:B726</xm:sqref>
        </x14:conditionalFormatting>
        <x14:conditionalFormatting xmlns:xm="http://schemas.microsoft.com/office/excel/2006/main">
          <x14:cfRule type="expression" priority="523" id="{BFD14AB3-01E7-490B-833D-DE7ADD656BCA}">
            <xm:f>SUM('Resident Programs'!$K$16:$K$20)=0</xm:f>
            <x14:dxf>
              <font>
                <color theme="7" tint="0.59996337778862885"/>
              </font>
              <fill>
                <patternFill>
                  <bgColor theme="4" tint="0.39994506668294322"/>
                </patternFill>
              </fill>
            </x14:dxf>
          </x14:cfRule>
          <xm:sqref>A732:B732</xm:sqref>
        </x14:conditionalFormatting>
        <x14:conditionalFormatting xmlns:xm="http://schemas.microsoft.com/office/excel/2006/main">
          <x14:cfRule type="expression" priority="502" id="{2183601E-AD0C-42DD-8B2A-C37709104CB1}">
            <xm:f>OR(Services!$M$5=0,Services!$M$9=0)</xm:f>
            <x14:dxf>
              <font>
                <color theme="7" tint="0.59996337778862885"/>
              </font>
              <fill>
                <patternFill>
                  <bgColor theme="4" tint="0.39994506668294322"/>
                </patternFill>
              </fill>
            </x14:dxf>
          </x14:cfRule>
          <xm:sqref>A721:B723</xm:sqref>
        </x14:conditionalFormatting>
        <x14:conditionalFormatting xmlns:xm="http://schemas.microsoft.com/office/excel/2006/main">
          <x14:cfRule type="expression" priority="529" id="{27CCC6AF-467E-4CD0-B5A9-B7B0E6AB0D04}">
            <xm:f>Funding!$N$19=0</xm:f>
            <x14:dxf>
              <font>
                <color theme="7" tint="0.59996337778862885"/>
              </font>
              <fill>
                <patternFill>
                  <bgColor theme="4" tint="0.39994506668294322"/>
                </patternFill>
              </fill>
            </x14:dxf>
          </x14:cfRule>
          <xm:sqref>A739:B741</xm:sqref>
        </x14:conditionalFormatting>
        <x14:conditionalFormatting xmlns:xm="http://schemas.microsoft.com/office/excel/2006/main">
          <x14:cfRule type="expression" priority="531" id="{A5F77D58-0095-4510-BE9A-A50E144B6D3E}">
            <xm:f>Funding!$L$298+Funding!$L$309=0</xm:f>
            <x14:dxf>
              <font>
                <color theme="7" tint="0.59996337778862885"/>
              </font>
              <fill>
                <patternFill>
                  <bgColor theme="4" tint="0.39994506668294322"/>
                </patternFill>
              </fill>
            </x14:dxf>
          </x14:cfRule>
          <xm:sqref>A743:E747</xm:sqref>
        </x14:conditionalFormatting>
        <x14:conditionalFormatting xmlns:xm="http://schemas.microsoft.com/office/excel/2006/main">
          <x14:cfRule type="expression" priority="533" id="{8E5A5D35-27E7-4C72-8288-7F169FC7FD12}">
            <xm:f>Funding!$L$346=0</xm:f>
            <x14:dxf>
              <font>
                <color theme="7" tint="0.59996337778862885"/>
              </font>
              <fill>
                <patternFill>
                  <bgColor theme="4" tint="0.39994506668294322"/>
                </patternFill>
              </fill>
            </x14:dxf>
          </x14:cfRule>
          <xm:sqref>A750:C750</xm:sqref>
        </x14:conditionalFormatting>
        <x14:conditionalFormatting xmlns:xm="http://schemas.microsoft.com/office/excel/2006/main">
          <x14:cfRule type="expression" priority="534" id="{1E63D640-6107-4F3B-9BA3-4614605DFF4A}">
            <xm:f>Funding!$L$355=0</xm:f>
            <x14:dxf>
              <font>
                <color theme="7" tint="0.59996337778862885"/>
              </font>
              <fill>
                <patternFill>
                  <bgColor theme="4" tint="0.39994506668294322"/>
                </patternFill>
              </fill>
            </x14:dxf>
          </x14:cfRule>
          <xm:sqref>A751:B751</xm:sqref>
        </x14:conditionalFormatting>
        <x14:conditionalFormatting xmlns:xm="http://schemas.microsoft.com/office/excel/2006/main">
          <x14:cfRule type="expression" priority="537" id="{6E806F78-597B-4FC8-A235-03E60321C64C}">
            <xm:f>Funding!$D$364=0</xm:f>
            <x14:dxf>
              <font>
                <color theme="7" tint="0.59996337778862885"/>
              </font>
              <fill>
                <patternFill>
                  <bgColor theme="4" tint="0.39994506668294322"/>
                </patternFill>
              </fill>
            </x14:dxf>
          </x14:cfRule>
          <xm:sqref>A752:B752</xm:sqref>
        </x14:conditionalFormatting>
        <x14:conditionalFormatting xmlns:xm="http://schemas.microsoft.com/office/excel/2006/main">
          <x14:cfRule type="expression" priority="538" id="{22788BFC-C756-451E-8DC7-392713DCE986}">
            <xm:f>Funding!$D$367=0</xm:f>
            <x14:dxf>
              <font>
                <color theme="7" tint="0.59996337778862885"/>
              </font>
              <fill>
                <patternFill>
                  <bgColor theme="4" tint="0.39994506668294322"/>
                </patternFill>
              </fill>
            </x14:dxf>
          </x14:cfRule>
          <xm:sqref>A753:B753</xm:sqref>
        </x14:conditionalFormatting>
        <x14:conditionalFormatting xmlns:xm="http://schemas.microsoft.com/office/excel/2006/main">
          <x14:cfRule type="expression" priority="544" id="{9CD9F7C9-1ED4-490D-9F53-799786E18DF8}">
            <xm:f>Funding!$D$370=0</xm:f>
            <x14:dxf>
              <font>
                <color theme="7" tint="0.59996337778862885"/>
              </font>
              <fill>
                <patternFill>
                  <bgColor theme="4" tint="0.39994506668294322"/>
                </patternFill>
              </fill>
            </x14:dxf>
          </x14:cfRule>
          <xm:sqref>A754:B754</xm:sqref>
        </x14:conditionalFormatting>
        <x14:conditionalFormatting xmlns:xm="http://schemas.microsoft.com/office/excel/2006/main">
          <x14:cfRule type="expression" priority="545" id="{804A107B-676E-4B06-963A-8A875FD7B01E}">
            <xm:f>Funding!$N$406=0</xm:f>
            <x14:dxf>
              <font>
                <color theme="7" tint="0.59996337778862885"/>
              </font>
              <fill>
                <patternFill>
                  <bgColor theme="4" tint="0.39994506668294322"/>
                </patternFill>
              </fill>
            </x14:dxf>
          </x14:cfRule>
          <xm:sqref>A756:B759</xm:sqref>
        </x14:conditionalFormatting>
        <x14:conditionalFormatting xmlns:xm="http://schemas.microsoft.com/office/excel/2006/main">
          <x14:cfRule type="expression" priority="546" id="{2028E124-7183-4899-A030-0D03DEFDE84B}">
            <xm:f>Funding!$N$429=0</xm:f>
            <x14:dxf>
              <font>
                <color theme="7" tint="0.59996337778862885"/>
              </font>
              <fill>
                <patternFill>
                  <bgColor theme="4" tint="0.39994506668294322"/>
                </patternFill>
              </fill>
            </x14:dxf>
          </x14:cfRule>
          <xm:sqref>A761:A767 B761:D761 B764:D767</xm:sqref>
        </x14:conditionalFormatting>
        <x14:conditionalFormatting xmlns:xm="http://schemas.microsoft.com/office/excel/2006/main">
          <x14:cfRule type="expression" priority="547" id="{1E31A649-6828-4E3E-9727-B6733991FBF3}">
            <xm:f>Funding!$N$429=0</xm:f>
            <x14:dxf>
              <font>
                <color rgb="FFFF00FF"/>
              </font>
              <fill>
                <patternFill>
                  <bgColor theme="4" tint="0.39994506668294322"/>
                </patternFill>
              </fill>
            </x14:dxf>
          </x14:cfRule>
          <xm:sqref>B762:D763</xm:sqref>
        </x14:conditionalFormatting>
        <x14:conditionalFormatting xmlns:xm="http://schemas.microsoft.com/office/excel/2006/main">
          <x14:cfRule type="expression" priority="556" id="{836DF982-0F8B-464F-8266-D7E28AE7947E}">
            <xm:f>Funding!$N$445=0</xm:f>
            <x14:dxf>
              <font>
                <color theme="7" tint="0.59996337778862885"/>
              </font>
              <fill>
                <patternFill>
                  <bgColor theme="4" tint="0.39994506668294322"/>
                </patternFill>
              </fill>
            </x14:dxf>
          </x14:cfRule>
          <xm:sqref>A769:A770</xm:sqref>
        </x14:conditionalFormatting>
        <x14:conditionalFormatting xmlns:xm="http://schemas.microsoft.com/office/excel/2006/main">
          <x14:cfRule type="expression" priority="530" id="{FC7BAA4C-CF10-4AC1-BD20-2B5924B8D324}">
            <xm:f>Funding!$N$19=0</xm:f>
            <x14:dxf>
              <font>
                <color rgb="FFFF00FF"/>
              </font>
              <fill>
                <patternFill>
                  <bgColor theme="4" tint="0.39994506668294322"/>
                </patternFill>
              </fill>
            </x14:dxf>
          </x14:cfRule>
          <xm:sqref>F740:F741</xm:sqref>
        </x14:conditionalFormatting>
        <x14:conditionalFormatting xmlns:xm="http://schemas.microsoft.com/office/excel/2006/main">
          <x14:cfRule type="expression" priority="565" id="{4418F0FB-D3B4-4F05-9DBC-BC0FA0CBFF25}">
            <xm:f>Funding!$N$445=0</xm:f>
            <x14:dxf>
              <font>
                <color rgb="FFFF00FF"/>
              </font>
              <fill>
                <patternFill>
                  <bgColor theme="4" tint="0.39994506668294322"/>
                </patternFill>
              </fill>
            </x14:dxf>
          </x14:cfRule>
          <xm:sqref>F770</xm:sqref>
        </x14:conditionalFormatting>
        <x14:conditionalFormatting xmlns:xm="http://schemas.microsoft.com/office/excel/2006/main">
          <x14:cfRule type="expression" priority="3014" id="{7B9D0CE9-1480-4CDA-8133-2A1374C64168}">
            <xm:f>OR('Local Gov''t Contributions'!$O$24="No",'Local Gov''t Contributions'!$O$40=0)</xm:f>
            <x14:dxf>
              <font>
                <color theme="7" tint="0.59996337778862885"/>
              </font>
              <fill>
                <patternFill>
                  <bgColor theme="4" tint="0.39994506668294322"/>
                </patternFill>
              </fill>
            </x14:dxf>
          </x14:cfRule>
          <xm:sqref>A784:B787</xm:sqref>
        </x14:conditionalFormatting>
        <x14:conditionalFormatting xmlns:xm="http://schemas.microsoft.com/office/excel/2006/main">
          <x14:cfRule type="expression" priority="147" id="{310AAC7D-9FD9-40E0-898E-A6C20BD94D35}">
            <xm:f>OR(Goals!$P$5=0,Goals!$P$10=0)</xm:f>
            <x14:dxf>
              <font>
                <color theme="7" tint="0.59996337778862885"/>
              </font>
              <fill>
                <patternFill>
                  <bgColor theme="4" tint="0.39994506668294322"/>
                </patternFill>
              </fill>
            </x14:dxf>
          </x14:cfRule>
          <xm:sqref>A794:A807 B794:D794 C795:C807</xm:sqref>
        </x14:conditionalFormatting>
        <x14:conditionalFormatting xmlns:xm="http://schemas.microsoft.com/office/excel/2006/main">
          <x14:cfRule type="expression" priority="3178" id="{F94FCD22-ED85-4CCC-A87B-A3B4D7D57A3A}">
            <xm:f>OR(Goals!$P$5=0,Goals!$P$10=0)</xm:f>
            <x14:dxf>
              <font>
                <color rgb="FFFF00FF"/>
              </font>
              <fill>
                <patternFill>
                  <bgColor theme="4" tint="0.39994506668294322"/>
                </patternFill>
              </fill>
            </x14:dxf>
          </x14:cfRule>
          <xm:sqref>B795:B807 D795:D807</xm:sqref>
        </x14:conditionalFormatting>
        <x14:conditionalFormatting xmlns:xm="http://schemas.microsoft.com/office/excel/2006/main">
          <x14:cfRule type="expression" priority="3856" id="{17AEEF81-DBD9-4CDB-8721-AAF2F463E259}">
            <xm:f>OR(Goals!$P$8=0,Goals!$P$10=0)</xm:f>
            <x14:dxf>
              <font>
                <color theme="7" tint="0.59996337778862885"/>
              </font>
              <fill>
                <patternFill>
                  <bgColor theme="4" tint="0.39994506668294322"/>
                </patternFill>
              </fill>
            </x14:dxf>
          </x14:cfRule>
          <xm:sqref>A809:F814</xm:sqref>
        </x14:conditionalFormatting>
        <x14:conditionalFormatting xmlns:xm="http://schemas.microsoft.com/office/excel/2006/main">
          <x14:cfRule type="expression" priority="570" id="{17E012E0-A17E-4358-B350-6EDE7A8CCCE0}">
            <xm:f>AND('Local Gov''t Contributions'!$O$3=0,'Local Gov''t Contributions'!$O$24="No")</xm:f>
            <x14:dxf>
              <font>
                <color theme="7" tint="0.59996337778862885"/>
              </font>
              <fill>
                <patternFill>
                  <bgColor theme="4" tint="0.39994506668294322"/>
                </patternFill>
              </fill>
            </x14:dxf>
          </x14:cfRule>
          <xm:sqref>A772:C772 A776:A779 D774:F774 D776:F779</xm:sqref>
        </x14:conditionalFormatting>
        <x14:conditionalFormatting xmlns:xm="http://schemas.microsoft.com/office/excel/2006/main">
          <x14:cfRule type="expression" priority="535" id="{7FFB380C-8081-404F-B044-8F4EEA01AC8E}">
            <xm:f>Funding!$L$298+Funding!$L$309=0</xm:f>
            <x14:dxf>
              <font>
                <color theme="7" tint="0.59996337778862885"/>
              </font>
              <fill>
                <patternFill>
                  <bgColor theme="4" tint="0.39994506668294322"/>
                </patternFill>
              </fill>
            </x14:dxf>
          </x14:cfRule>
          <xm:sqref>D751:E752</xm:sqref>
        </x14:conditionalFormatting>
        <x14:conditionalFormatting xmlns:xm="http://schemas.microsoft.com/office/excel/2006/main">
          <x14:cfRule type="expression" priority="122" id="{F2CEDBCD-5A84-49D4-9789-8E5BA11AA58A}">
            <xm:f>'Local Gov''t Contributions'!$O$3=0</xm:f>
            <x14:dxf>
              <font>
                <color theme="7" tint="0.59996337778862885"/>
              </font>
              <fill>
                <patternFill>
                  <bgColor theme="4" tint="0.39994506668294322"/>
                </patternFill>
              </fill>
            </x14:dxf>
          </x14:cfRule>
          <xm:sqref>A773 D773:F773 A775 D775:F775</xm:sqref>
        </x14:conditionalFormatting>
        <x14:conditionalFormatting xmlns:xm="http://schemas.microsoft.com/office/excel/2006/main">
          <x14:cfRule type="expression" priority="121" id="{0ECF4B2D-33F9-4DB6-AC6D-33A57C3713DD}">
            <xm:f>AND('Local Gov''t Contributions'!$O$3=0,'Local Gov''t Contributions'!$O$24="No")</xm:f>
            <x14:dxf>
              <font>
                <color theme="7" tint="0.59996337778862885"/>
              </font>
              <fill>
                <patternFill>
                  <bgColor theme="4" tint="0.39994506668294322"/>
                </patternFill>
              </fill>
            </x14:dxf>
          </x14:cfRule>
          <xm:sqref>A774</xm:sqref>
        </x14:conditionalFormatting>
        <x14:conditionalFormatting xmlns:xm="http://schemas.microsoft.com/office/excel/2006/main">
          <x14:cfRule type="expression" priority="120" id="{D933E9A1-AA51-475D-8330-927A08A74D85}">
            <xm:f>AND('Local Gov''t Contributions'!$O$3=0,'Local Gov''t Contributions'!$O$24="No")</xm:f>
            <x14:dxf>
              <font>
                <color rgb="FFFF00FF"/>
              </font>
              <fill>
                <patternFill>
                  <bgColor theme="4" tint="0.39994506668294322"/>
                </patternFill>
              </fill>
            </x14:dxf>
          </x14:cfRule>
          <xm:sqref>B774 B776:C779</xm:sqref>
        </x14:conditionalFormatting>
        <x14:conditionalFormatting xmlns:xm="http://schemas.microsoft.com/office/excel/2006/main">
          <x14:cfRule type="expression" priority="119" id="{1151F545-51E6-404F-99BF-9552D67231A5}">
            <xm:f>'Local Gov''t Contributions'!$O$3=0</xm:f>
            <x14:dxf>
              <font>
                <color rgb="FFFF00FF"/>
              </font>
              <fill>
                <patternFill>
                  <bgColor theme="4" tint="0.39994506668294322"/>
                </patternFill>
              </fill>
            </x14:dxf>
          </x14:cfRule>
          <xm:sqref>B773 B775</xm:sqref>
        </x14:conditionalFormatting>
        <x14:conditionalFormatting xmlns:xm="http://schemas.microsoft.com/office/excel/2006/main">
          <x14:cfRule type="expression" priority="112" id="{D0898136-5921-4968-B49C-2BFBF75BC4E8}">
            <xm:f>'General Information'!$K$67=0</xm:f>
            <x14:dxf>
              <font>
                <color theme="0" tint="-0.34998626667073579"/>
              </font>
            </x14:dxf>
          </x14:cfRule>
          <xm:sqref>G604:H607</xm:sqref>
        </x14:conditionalFormatting>
        <x14:conditionalFormatting xmlns:xm="http://schemas.microsoft.com/office/excel/2006/main">
          <x14:cfRule type="expression" priority="110" id="{E1BCC7D0-E184-4EE8-9977-860FF9D35429}">
            <xm:f>'Units, Set-Asides, Bldgs'!$P$117=0</xm:f>
            <x14:dxf>
              <font>
                <color theme="0" tint="-0.34998626667073579"/>
              </font>
            </x14:dxf>
          </x14:cfRule>
          <xm:sqref>G599:H602</xm:sqref>
        </x14:conditionalFormatting>
        <x14:conditionalFormatting xmlns:xm="http://schemas.microsoft.com/office/excel/2006/main">
          <x14:cfRule type="expression" priority="99" id="{94BC6351-861D-4EE0-A28D-E6FC128A0980}">
            <xm:f>'Urban Infill or Mixed-Use'!$O$10=0</xm:f>
            <x14:dxf>
              <font>
                <color theme="7" tint="0.59996337778862885"/>
              </font>
              <fill>
                <patternFill>
                  <bgColor theme="4" tint="0.39994506668294322"/>
                </patternFill>
              </fill>
            </x14:dxf>
          </x14:cfRule>
          <xm:sqref>A789:B792</xm:sqref>
        </x14:conditionalFormatting>
        <x14:conditionalFormatting xmlns:xm="http://schemas.microsoft.com/office/excel/2006/main">
          <x14:cfRule type="expression" priority="382" id="{E7C413F2-EAF8-4B5E-9345-ECD97F2AD571}">
            <xm:f>'General Information'!$K$67=0</xm:f>
            <x14:dxf>
              <font>
                <color theme="0" tint="-0.34998626667073579"/>
              </font>
              <fill>
                <patternFill patternType="none">
                  <bgColor auto="1"/>
                </patternFill>
              </fill>
            </x14:dxf>
          </x14:cfRule>
          <xm:sqref>G627:Q629 G633:I635 I636:I638 Q633:Q638</xm:sqref>
        </x14:conditionalFormatting>
        <x14:conditionalFormatting xmlns:xm="http://schemas.microsoft.com/office/excel/2006/main">
          <x14:cfRule type="expression" priority="56" id="{E156EA9F-6A90-4F9A-A78C-9FB563D64A5A}">
            <xm:f>'General Information'!$K48=0</xm:f>
            <x14:dxf>
              <font>
                <color theme="7" tint="0.59996337778862885"/>
              </font>
              <fill>
                <patternFill>
                  <bgColor theme="4" tint="0.39994506668294322"/>
                </patternFill>
              </fill>
            </x14:dxf>
          </x14:cfRule>
          <xm:sqref>A40:D44</xm:sqref>
        </x14:conditionalFormatting>
        <x14:conditionalFormatting xmlns:xm="http://schemas.microsoft.com/office/excel/2006/main">
          <x14:cfRule type="expression" priority="55" id="{559944DC-792D-4B61-886C-ED0A52C64963}">
            <xm:f>SUM('Proposed Development Info'!$L$127:$L$142)=0</xm:f>
            <x14:dxf>
              <font>
                <color theme="7" tint="0.59996337778862885"/>
              </font>
              <fill>
                <patternFill>
                  <bgColor theme="4" tint="0.39994506668294322"/>
                </patternFill>
              </fill>
            </x14:dxf>
          </x14:cfRule>
          <xm:sqref>B350:H350</xm:sqref>
        </x14:conditionalFormatting>
        <x14:conditionalFormatting xmlns:xm="http://schemas.microsoft.com/office/excel/2006/main">
          <x14:cfRule type="expression" priority="54" id="{580A594A-33C4-4433-A8B3-AE92289206F4}">
            <xm:f>OR(AND('Proximity, Mand.Dist., RECAP'!$N12=0,$F$820&lt;&gt;"Yes"),AND('Proximity, Mand.Dist., RECAP'!$N12&gt;0,$F$820="Yes"))</xm:f>
            <x14:dxf>
              <font>
                <color rgb="FFC00000"/>
              </font>
              <fill>
                <patternFill>
                  <bgColor rgb="FFFFEBFF"/>
                </patternFill>
              </fill>
            </x14:dxf>
          </x14:cfRule>
          <xm:sqref>G820:H820</xm:sqref>
        </x14:conditionalFormatting>
        <x14:conditionalFormatting xmlns:xm="http://schemas.microsoft.com/office/excel/2006/main">
          <x14:cfRule type="expression" priority="53" id="{AE583AFE-7900-4C8C-BDC4-247D8C30038B}">
            <xm:f>OR(AND('Construction Features'!$N33=0,$F$823&lt;&gt;"Yes"),AND('Construction Features'!$N33&gt;0,$F$823="Yes"))</xm:f>
            <x14:dxf>
              <font>
                <color rgb="FFC00000"/>
              </font>
              <fill>
                <patternFill>
                  <bgColor rgb="FFFFEBFF"/>
                </patternFill>
              </fill>
            </x14:dxf>
          </x14:cfRule>
          <xm:sqref>G823:H823</xm:sqref>
        </x14:conditionalFormatting>
        <x14:conditionalFormatting xmlns:xm="http://schemas.microsoft.com/office/excel/2006/main">
          <x14:cfRule type="expression" priority="52" id="{4617897F-604A-40EB-B390-3763E1BEF787}">
            <xm:f>OR(AND(Services!$M9=0,$F$824&lt;&gt;"Yes"),AND(Services!$M9&gt;0,$F$824="Yes"))</xm:f>
            <x14:dxf>
              <font>
                <color rgb="FFC00000"/>
              </font>
              <fill>
                <patternFill>
                  <bgColor rgb="FFFFEBFF"/>
                </patternFill>
              </fill>
            </x14:dxf>
          </x14:cfRule>
          <xm:sqref>G824:H824</xm:sqref>
        </x14:conditionalFormatting>
        <x14:conditionalFormatting xmlns:xm="http://schemas.microsoft.com/office/excel/2006/main">
          <x14:cfRule type="expression" priority="51" id="{28F17365-DD57-4E59-9115-C12F44809407}">
            <xm:f>OR(AND('Resident Programs'!$M14=0,$F$825&lt;&gt;"Yes"),AND('Resident Programs'!$M14&gt;0,$F$825="Yes"))</xm:f>
            <x14:dxf>
              <font>
                <color rgb="FFC00000"/>
              </font>
              <fill>
                <patternFill>
                  <bgColor rgb="FFFFEBFF"/>
                </patternFill>
              </fill>
            </x14:dxf>
          </x14:cfRule>
          <xm:sqref>G825:H825</xm:sqref>
        </x14:conditionalFormatting>
        <x14:conditionalFormatting xmlns:xm="http://schemas.microsoft.com/office/excel/2006/main">
          <x14:cfRule type="expression" priority="50" id="{98F28070-1503-461B-9535-01749E01FEB3}">
            <xm:f>OR(AND(URA!$N27=0,$F$831&lt;&gt;"Yes"),AND(URA!$N27&gt;0,$F$831="Yes"))</xm:f>
            <x14:dxf>
              <font>
                <color rgb="FFC00000"/>
              </font>
              <fill>
                <patternFill>
                  <bgColor rgb="FFFFEBFF"/>
                </patternFill>
              </fill>
            </x14:dxf>
          </x14:cfRule>
          <xm:sqref>G831:H831</xm:sqref>
        </x14:conditionalFormatting>
        <x14:conditionalFormatting xmlns:xm="http://schemas.microsoft.com/office/excel/2006/main">
          <x14:cfRule type="expression" priority="49" id="{249A395C-52AF-402F-8A18-4394164E9D76}">
            <xm:f>AND(F820="No",'Proximity, Mand.Dist., RECAP'!$N12=0)</xm:f>
            <x14:dxf>
              <font>
                <color rgb="FFC00000"/>
              </font>
              <fill>
                <patternFill>
                  <bgColor rgb="FFFFEBFF"/>
                </patternFill>
              </fill>
            </x14:dxf>
          </x14:cfRule>
          <xm:sqref>F820</xm:sqref>
        </x14:conditionalFormatting>
        <x14:conditionalFormatting xmlns:xm="http://schemas.microsoft.com/office/excel/2006/main">
          <x14:cfRule type="expression" priority="48" id="{014961E1-B6BA-4F1B-9CCE-8D51E98942DD}">
            <xm:f>AND(F823="No",'Construction Features'!$N33=0)</xm:f>
            <x14:dxf>
              <font>
                <color rgb="FFC00000"/>
              </font>
              <fill>
                <patternFill>
                  <bgColor rgb="FFFFEBFF"/>
                </patternFill>
              </fill>
            </x14:dxf>
          </x14:cfRule>
          <xm:sqref>F823</xm:sqref>
        </x14:conditionalFormatting>
        <x14:conditionalFormatting xmlns:xm="http://schemas.microsoft.com/office/excel/2006/main">
          <x14:cfRule type="expression" priority="47" id="{C4DCBAD4-17CB-4D6B-94E2-2D93B3F1F97C}">
            <xm:f>AND(F824="No",Services!$M9=0)</xm:f>
            <x14:dxf>
              <font>
                <color rgb="FFC00000"/>
              </font>
              <fill>
                <patternFill>
                  <bgColor rgb="FFFFEBFF"/>
                </patternFill>
              </fill>
            </x14:dxf>
          </x14:cfRule>
          <xm:sqref>F824</xm:sqref>
        </x14:conditionalFormatting>
        <x14:conditionalFormatting xmlns:xm="http://schemas.microsoft.com/office/excel/2006/main">
          <x14:cfRule type="expression" priority="46" id="{8A2E57A1-E398-4FB9-BD61-07B96F9DCCA7}">
            <xm:f>AND(F825="No",'Resident Programs'!$M14=0)</xm:f>
            <x14:dxf>
              <font>
                <color rgb="FFC00000"/>
              </font>
              <fill>
                <patternFill>
                  <bgColor rgb="FFFFEBFF"/>
                </patternFill>
              </fill>
            </x14:dxf>
          </x14:cfRule>
          <xm:sqref>F825</xm:sqref>
        </x14:conditionalFormatting>
        <x14:conditionalFormatting xmlns:xm="http://schemas.microsoft.com/office/excel/2006/main">
          <x14:cfRule type="expression" priority="45" id="{524EFA49-5563-4C64-BC03-9563F5741E0A}">
            <xm:f>AND(F831="No",URA!$N27=0)</xm:f>
            <x14:dxf>
              <font>
                <color rgb="FFC00000"/>
              </font>
              <fill>
                <patternFill>
                  <bgColor rgb="FFFFEBFF"/>
                </patternFill>
              </fill>
            </x14:dxf>
          </x14:cfRule>
          <xm:sqref>F831</xm:sqref>
        </x14:conditionalFormatting>
        <x14:conditionalFormatting xmlns:xm="http://schemas.microsoft.com/office/excel/2006/main">
          <x14:cfRule type="expression" priority="44" id="{81134923-2E57-48D3-9E0E-CE56477E15CC}">
            <xm:f>'General Information'!$M$123+'General Information'!$M$133+'General Information'!$M$143=0</xm:f>
            <x14:dxf>
              <font>
                <color theme="7" tint="0.59996337778862885"/>
              </font>
              <fill>
                <patternFill>
                  <bgColor theme="4" tint="0.39994506668294322"/>
                </patternFill>
              </fill>
            </x14:dxf>
          </x14:cfRule>
          <xm:sqref>B105:B108</xm:sqref>
        </x14:conditionalFormatting>
        <x14:conditionalFormatting xmlns:xm="http://schemas.microsoft.com/office/excel/2006/main">
          <x14:cfRule type="expression" priority="43" id="{29C5589E-D30A-446C-872B-C79429042051}">
            <xm:f>'General Information'!$M$178+'General Information'!$K$183=0</xm:f>
            <x14:dxf>
              <fill>
                <patternFill>
                  <bgColor rgb="FF8EA9DB"/>
                </patternFill>
              </fill>
            </x14:dxf>
          </x14:cfRule>
          <xm:sqref>A105:A109</xm:sqref>
        </x14:conditionalFormatting>
        <x14:conditionalFormatting xmlns:xm="http://schemas.microsoft.com/office/excel/2006/main">
          <x14:cfRule type="expression" priority="38" id="{6C2A0F7E-01E0-441B-8415-9B2CDC8B3925}">
            <xm:f>'Resident Programs'!$M$14=0</xm:f>
            <x14:dxf>
              <font>
                <color theme="7" tint="0.59996337778862885"/>
              </font>
              <fill>
                <patternFill>
                  <bgColor rgb="FF8EA9DB"/>
                </patternFill>
              </fill>
            </x14:dxf>
          </x14:cfRule>
          <xm:sqref>A725:B737</xm:sqref>
        </x14:conditionalFormatting>
        <x14:conditionalFormatting xmlns:xm="http://schemas.microsoft.com/office/excel/2006/main">
          <x14:cfRule type="expression" priority="4655" id="{D3DFBC99-8E52-4721-995C-5F9446A35887}">
            <xm:f>OR('Proposed Development Info'!$L$55=0,'Proposed Development Info'!$N$30=0)</xm:f>
            <x14:dxf>
              <font>
                <color theme="7" tint="0.59996337778862885"/>
              </font>
              <fill>
                <patternFill>
                  <bgColor theme="4" tint="0.39994506668294322"/>
                </patternFill>
              </fill>
            </x14:dxf>
          </x14:cfRule>
          <xm:sqref>A198:A201 B198:D198 C199:C201</xm:sqref>
        </x14:conditionalFormatting>
        <x14:conditionalFormatting xmlns:xm="http://schemas.microsoft.com/office/excel/2006/main">
          <x14:cfRule type="expression" priority="4658" id="{A6E185FF-8672-4D15-8781-C1872575EE0A}">
            <xm:f>OR('Proposed Development Info'!$L$55=0,'Proposed Development Info'!$N$30=0,'Proposed Development Info'!$N$59=0,'Proposed Development Info'!$N$63=0)</xm:f>
            <x14:dxf>
              <font>
                <color theme="7" tint="0.59996337778862885"/>
              </font>
              <fill>
                <patternFill>
                  <bgColor theme="4" tint="0.39994506668294322"/>
                </patternFill>
              </fill>
            </x14:dxf>
          </x14:cfRule>
          <xm:sqref>B289:D289 A289:A297 C290:C297</xm:sqref>
        </x14:conditionalFormatting>
        <x14:conditionalFormatting xmlns:xm="http://schemas.microsoft.com/office/excel/2006/main">
          <x14:cfRule type="expression" priority="4672" id="{ADDB1065-D298-4969-BB79-A1E20C673AC5}">
            <xm:f>OR('Proposed Development Info'!$L$55=0,'Proposed Development Info'!$N$30=0)</xm:f>
            <x14:dxf>
              <font>
                <color rgb="FFFF00FF"/>
              </font>
              <fill>
                <patternFill>
                  <bgColor theme="4" tint="0.39994506668294322"/>
                </patternFill>
              </fill>
            </x14:dxf>
          </x14:cfRule>
          <xm:sqref>B199:B201 D199:D201</xm:sqref>
        </x14:conditionalFormatting>
        <x14:conditionalFormatting xmlns:xm="http://schemas.microsoft.com/office/excel/2006/main">
          <x14:cfRule type="expression" priority="4674" id="{9121F440-B3FF-4C54-85A4-FCC7BE1D7486}">
            <xm:f>OR('Proposed Development Info'!$L$55=0,'Proposed Development Info'!$N$30=0,'Proposed Development Info'!$N$59=0,'Proposed Development Info'!$N$63=0)</xm:f>
            <x14:dxf>
              <font>
                <color rgb="FFFF00FF"/>
              </font>
              <fill>
                <patternFill>
                  <bgColor theme="4" tint="0.39994506668294322"/>
                </patternFill>
              </fill>
            </x14:dxf>
          </x14:cfRule>
          <xm:sqref>D290:D297 B290:B297</xm:sqref>
        </x14:conditionalFormatting>
        <x14:conditionalFormatting xmlns:xm="http://schemas.microsoft.com/office/excel/2006/main">
          <x14:cfRule type="expression" priority="4703" id="{FD611D74-96F0-42FC-86E5-B0AA5077BB55}">
            <xm:f>'General Information'!$K$32=0</xm:f>
            <x14:dxf>
              <font>
                <color theme="7" tint="0.59996337778862885"/>
              </font>
              <fill>
                <patternFill>
                  <bgColor theme="4" tint="0.39994506668294322"/>
                </patternFill>
              </fill>
            </x14:dxf>
          </x14:cfRule>
          <xm:sqref>A19:D19 A20:A33 C20:C33</xm:sqref>
        </x14:conditionalFormatting>
        <x14:conditionalFormatting xmlns:xm="http://schemas.microsoft.com/office/excel/2006/main">
          <x14:cfRule type="expression" priority="4706" id="{AC266CF5-C686-4FE0-8DE6-B6B1B0F89E97}">
            <xm:f>'General Information'!$K$32=0</xm:f>
            <x14:dxf>
              <font>
                <color rgb="FFFF00FF"/>
              </font>
              <fill>
                <patternFill>
                  <bgColor theme="4" tint="0.39994506668294322"/>
                </patternFill>
              </fill>
            </x14:dxf>
          </x14:cfRule>
          <xm:sqref>B20:B33 D20:D33</xm:sqref>
        </x14:conditionalFormatting>
        <x14:conditionalFormatting xmlns:xm="http://schemas.microsoft.com/office/excel/2006/main">
          <x14:cfRule type="expression" priority="4782" id="{A5ACCD40-561D-426A-8FD4-B7C8A6BCF2B1}">
            <xm:f>OR('Proposed Development Info'!$L$12=0,AND('Proposed Development Info'!$G$12&lt;&gt;"New Construction",CELL("protect",'Proposed Development Info'!$G$12)=1),'Proposed Development Info'!$L$55=0,$B$199&lt;&gt;1)</xm:f>
            <x14:dxf>
              <font>
                <color theme="7" tint="0.59996337778862885"/>
              </font>
              <fill>
                <patternFill>
                  <bgColor theme="4" tint="0.39994506668294322"/>
                </patternFill>
              </fill>
            </x14:dxf>
          </x14:cfRule>
          <xm:sqref>A213:A226 B226:E226</xm:sqref>
        </x14:conditionalFormatting>
        <x14:conditionalFormatting xmlns:xm="http://schemas.microsoft.com/office/excel/2006/main">
          <x14:cfRule type="expression" priority="4784" id="{98A41CAF-E225-4C6A-8307-A2DE4A31B0C7}">
            <xm:f>OR('Proposed Development Info'!$L$12=0,AND('Proposed Development Info'!$G$12&lt;&gt;"New Construction",CELL("protect",'Proposed Development Info'!$G$12)=1),'Proposed Development Info'!$N$30=0,'Proposed Development Info'!$L$55=0,$B$200&lt;&gt;1)</xm:f>
            <x14:dxf>
              <font>
                <color theme="7" tint="0.59996337778862885"/>
              </font>
              <fill>
                <patternFill>
                  <bgColor theme="4" tint="0.39994506668294322"/>
                </patternFill>
              </fill>
            </x14:dxf>
          </x14:cfRule>
          <xm:sqref>B258:E258 A228:A258 A261</xm:sqref>
        </x14:conditionalFormatting>
        <x14:conditionalFormatting xmlns:xm="http://schemas.microsoft.com/office/excel/2006/main">
          <x14:cfRule type="expression" priority="27" id="{DE9BE51D-D0BA-4637-BD00-2CDE91F80E83}">
            <xm:f>'General Information'!$K$18=0</xm:f>
            <x14:dxf>
              <font>
                <color theme="7" tint="0.59996337778862885"/>
              </font>
              <fill>
                <patternFill patternType="solid">
                  <fgColor auto="1"/>
                  <bgColor rgb="FF8EA9DB"/>
                </patternFill>
              </fill>
            </x14:dxf>
          </x14:cfRule>
          <xm:sqref>A13:A16 B13:D13 C14:C16</xm:sqref>
        </x14:conditionalFormatting>
        <x14:conditionalFormatting xmlns:xm="http://schemas.microsoft.com/office/excel/2006/main">
          <x14:cfRule type="expression" priority="26" id="{6C49E5F8-29DE-48EA-AAA2-2CDC435A376F}">
            <xm:f>'General Information'!$M$178+'General Information'!$K$183=0</xm:f>
            <x14:dxf>
              <font>
                <color rgb="FFFF00FF"/>
              </font>
              <fill>
                <patternFill>
                  <bgColor rgb="FF8EA9DB"/>
                </patternFill>
              </fill>
            </x14:dxf>
          </x14:cfRule>
          <xm:sqref>B105:B109</xm:sqref>
        </x14:conditionalFormatting>
        <x14:conditionalFormatting xmlns:xm="http://schemas.microsoft.com/office/excel/2006/main">
          <x14:cfRule type="expression" priority="25" id="{47C29EA4-DFCC-428C-9453-CDE740ACC845}">
            <xm:f>'General Information'!$K$18=0</xm:f>
            <x14:dxf>
              <font>
                <color rgb="FFFF00FF"/>
              </font>
              <fill>
                <patternFill>
                  <bgColor rgb="FF8EA9DB"/>
                </patternFill>
              </fill>
            </x14:dxf>
          </x14:cfRule>
          <xm:sqref>B14:B16 D14:D16</xm:sqref>
        </x14:conditionalFormatting>
        <x14:conditionalFormatting xmlns:xm="http://schemas.microsoft.com/office/excel/2006/main">
          <x14:cfRule type="expression" priority="24" id="{88ECD3BC-3AF0-40DE-A00E-E748CBA9C883}">
            <xm:f>'General Information'!$M$185=0</xm:f>
            <x14:dxf>
              <font>
                <color rgb="FFFF00FF"/>
              </font>
              <fill>
                <patternFill>
                  <bgColor rgb="FF8EA9DB"/>
                </patternFill>
              </fill>
            </x14:dxf>
          </x14:cfRule>
          <xm:sqref>E172:E174</xm:sqref>
        </x14:conditionalFormatting>
        <x14:conditionalFormatting xmlns:xm="http://schemas.microsoft.com/office/excel/2006/main">
          <x14:cfRule type="expression" priority="5060" id="{CDB7A918-AEB8-4D02-8A72-108760332D03}">
            <xm:f>SUM('Resident Programs'!$K$5:$K$9)+SUM('Resident Programs'!$K$16:$K$20)=0</xm:f>
            <x14:dxf>
              <font>
                <color theme="7" tint="0.59996337778862885"/>
              </font>
              <fill>
                <patternFill>
                  <bgColor theme="4" tint="0.39994506668294322"/>
                </patternFill>
              </fill>
            </x14:dxf>
          </x14:cfRule>
          <xm:sqref>A725:B725</xm:sqref>
        </x14:conditionalFormatting>
        <x14:conditionalFormatting xmlns:xm="http://schemas.microsoft.com/office/excel/2006/main">
          <x14:cfRule type="expression" priority="16" id="{DE7A04A9-75CB-46E6-829B-89CC72909865}">
            <xm:f>AND($F$829="No",'Local Gov''t Contributions'!$O$15=0)</xm:f>
            <x14:dxf>
              <font>
                <color rgb="FFC00000"/>
              </font>
              <fill>
                <patternFill>
                  <bgColor rgb="FFFFEBFF"/>
                </patternFill>
              </fill>
            </x14:dxf>
          </x14:cfRule>
          <xm:sqref>F829</xm:sqref>
        </x14:conditionalFormatting>
        <x14:conditionalFormatting xmlns:xm="http://schemas.microsoft.com/office/excel/2006/main">
          <x14:cfRule type="expression" priority="5146" id="{531580E4-ABF3-49F9-BD95-22DF65C2FB31}">
            <xm:f>Funding!$L$346+Funding!$L$355+Funding!$D$364+Funding!$D$367+Funding!$D$370=0</xm:f>
            <x14:dxf>
              <font>
                <color theme="7" tint="0.59996337778862885"/>
              </font>
              <fill>
                <patternFill>
                  <bgColor theme="4" tint="0.39994506668294322"/>
                </patternFill>
              </fill>
            </x14:dxf>
          </x14:cfRule>
          <xm:sqref>A749:B749</xm:sqref>
        </x14:conditionalFormatting>
        <x14:conditionalFormatting xmlns:xm="http://schemas.microsoft.com/office/excel/2006/main">
          <x14:cfRule type="expression" priority="15" id="{EFCEDE12-6EAC-4562-A81B-0DAF37D3E19D}">
            <xm:f>'Development Location'!$M$10=0</xm:f>
            <x14:dxf>
              <font>
                <color theme="7" tint="0.39994506668294322"/>
              </font>
              <fill>
                <patternFill>
                  <bgColor theme="4" tint="0.39994506668294322"/>
                </patternFill>
              </fill>
            </x14:dxf>
          </x14:cfRule>
          <xm:sqref>A431:A445 B431:E431 C432:C445 E432:E445</xm:sqref>
        </x14:conditionalFormatting>
        <x14:conditionalFormatting xmlns:xm="http://schemas.microsoft.com/office/excel/2006/main">
          <x14:cfRule type="expression" priority="14" id="{A202C2E6-EC8F-4B9B-9BF0-059E6986D824}">
            <xm:f>'Development Location'!$M$10=0</xm:f>
            <x14:dxf>
              <font>
                <color rgb="FFFF00FF"/>
              </font>
              <fill>
                <patternFill>
                  <bgColor theme="4" tint="0.39994506668294322"/>
                </patternFill>
              </fill>
            </x14:dxf>
          </x14:cfRule>
          <xm:sqref>B432:B445 D432:D445</xm:sqref>
        </x14:conditionalFormatting>
        <x14:conditionalFormatting xmlns:xm="http://schemas.microsoft.com/office/excel/2006/main">
          <x14:cfRule type="expression" priority="6" id="{CA739835-8526-42E6-B6E2-E8301A9DD9E5}">
            <xm:f>'General Information'!$K$67=0</xm:f>
            <x14:dxf>
              <font>
                <color rgb="FFFF00FF"/>
              </font>
              <fill>
                <patternFill>
                  <bgColor theme="4" tint="0.39994506668294322"/>
                </patternFill>
              </fill>
            </x14:dxf>
          </x14:cfRule>
          <xm:sqref>B622</xm:sqref>
        </x14:conditionalFormatting>
        <x14:conditionalFormatting xmlns:xm="http://schemas.microsoft.com/office/excel/2006/main">
          <x14:cfRule type="expression" priority="3" id="{0B7EB975-7986-4197-87FB-9D5F6233826B}">
            <xm:f>'Units, Set-Asides, Bldgs'!$N$37=0</xm:f>
            <x14:dxf>
              <font>
                <color theme="7" tint="0.59996337778862885"/>
              </font>
              <fill>
                <patternFill>
                  <bgColor rgb="FF8EA9DB"/>
                </patternFill>
              </fill>
            </x14:dxf>
          </x14:cfRule>
          <xm:sqref>A581:A585</xm:sqref>
        </x14:conditionalFormatting>
        <x14:conditionalFormatting xmlns:xm="http://schemas.microsoft.com/office/excel/2006/main">
          <x14:cfRule type="expression" priority="2" id="{7C303934-AD89-49FA-8E02-B3D3F2D5B035}">
            <xm:f>'Units, Set-Asides, Bldgs'!$N$37=0</xm:f>
            <x14:dxf>
              <font>
                <color theme="7" tint="0.59996337778862885"/>
              </font>
              <fill>
                <patternFill>
                  <bgColor rgb="FF8EA9DB"/>
                </patternFill>
              </fill>
            </x14:dxf>
          </x14:cfRule>
          <xm:sqref>A577:A579 A581:A585 A590:A593 A595:A607</xm:sqref>
        </x14:conditionalFormatting>
        <x14:conditionalFormatting xmlns:xm="http://schemas.microsoft.com/office/excel/2006/main">
          <x14:cfRule type="expression" priority="1" id="{BAC60FAA-1FAF-48DF-B305-2C50A060EB1C}">
            <xm:f>'Units, Set-Asides, Bldgs'!$N$37=0</xm:f>
            <x14:dxf>
              <font>
                <color theme="7" tint="0.59996337778862885"/>
              </font>
              <fill>
                <patternFill>
                  <bgColor rgb="FF8EA9DB"/>
                </patternFill>
              </fill>
            </x14:dxf>
          </x14:cfRule>
          <xm:sqref>A614:A616 A618:A622 A624:A637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8"/>
  <sheetViews>
    <sheetView showGridLines="0" zoomScale="110" zoomScaleNormal="110" zoomScaleSheetLayoutView="100" workbookViewId="0">
      <pane ySplit="2" topLeftCell="A3" activePane="bottomLeft" state="frozen"/>
      <selection activeCell="L364" sqref="L364:N364"/>
      <selection pane="bottomLeft" activeCell="H8" sqref="H8:I8"/>
    </sheetView>
  </sheetViews>
  <sheetFormatPr defaultColWidth="8.5703125" defaultRowHeight="15"/>
  <cols>
    <col min="1" max="1" width="3" customWidth="1"/>
    <col min="2" max="3" width="3.5703125" customWidth="1"/>
    <col min="4" max="6" width="4.42578125" customWidth="1"/>
    <col min="7" max="7" width="73.5703125" customWidth="1"/>
    <col min="8" max="8" width="8.85546875" customWidth="1"/>
    <col min="9" max="9" width="5.5703125" customWidth="1"/>
    <col min="10" max="10" width="8.7109375" customWidth="1"/>
    <col min="11" max="11" width="3.5703125" customWidth="1"/>
    <col min="12" max="13" width="3.5703125" hidden="1" customWidth="1"/>
    <col min="14" max="14" width="35.7109375" hidden="1" customWidth="1"/>
    <col min="15" max="16" width="3.5703125" hidden="1" customWidth="1"/>
  </cols>
  <sheetData>
    <row r="1" spans="1:31" ht="35.85" customHeight="1" thickBot="1">
      <c r="A1" s="2979" t="s">
        <v>1175</v>
      </c>
      <c r="B1" s="2980"/>
      <c r="C1" s="2980"/>
      <c r="D1" s="2980"/>
      <c r="E1" s="2980"/>
      <c r="F1" s="2980"/>
      <c r="G1" s="2980"/>
      <c r="H1" s="2980"/>
      <c r="I1" s="2981"/>
      <c r="J1" s="24"/>
      <c r="K1" s="2943" t="str">
        <f>"There are "&amp;TEXT(COUNTIF($L$15:$L$32,"=1"),"0")&amp;" required input fields and "&amp;TEXT(COUNTIF($L$15:$L$32,"=2"),"0")&amp;" optional input fields tracked on this tab."&amp;CHAR(10)&amp;"There "&amp;IF(COUNTIFS($L$15:$L$32,"=1",$M$15:$M$32,"=1")=1,"is 1 required input field","are "&amp;TEXT(COUNTIFS($L$15:$L$32,"=1",$M$15:$M$32,"=1"),"0")&amp;" required input fields")&amp;" and "&amp;TEXT(COUNTIFS($L$15:$L$32,"=2",$M$15:$M$32,"=2"),"0")&amp;" optional input field"&amp;IF(COUNTIFS($L$15:$L$32,"=2",$M$15:$M$32,"=2")=1," with an entry","s with entries")&amp;" tracked on this tab."&amp;CHAR(10)&amp;"There "&amp;IF(Data1!G823=1,"is ","are ")&amp;TEXT(Data1!G823,"0")&amp;" required input field"&amp;IF(Data1!G823=1," that need an entry","s that need entries")&amp;" and "&amp;TEXT(Data1!H823,"0")&amp;" optional input field"&amp;IF(Data1!H823=1," that may or may not need an entry","s that may or may not need entries")&amp;" tracked on this tab."</f>
        <v>There are 1 required input fields and 0 optional input fields tracked on this tab.
There are 0 required input fields and 0 optional input fields with entries tracked on this tab.
There is 1 required input field that need an entry and 0 optional input fields that may or may not need entries tracked on this tab.</v>
      </c>
      <c r="L1" s="2943"/>
      <c r="M1" s="2943"/>
      <c r="N1" s="2943"/>
      <c r="O1" s="2943"/>
      <c r="P1" s="2943"/>
      <c r="Q1" s="2943"/>
      <c r="R1" s="2943"/>
      <c r="S1" s="2943"/>
      <c r="T1" s="2943"/>
      <c r="U1" s="2943"/>
      <c r="V1" s="2943"/>
      <c r="W1" s="2943"/>
      <c r="X1" s="2943"/>
      <c r="Y1" s="2943"/>
      <c r="Z1" s="2943"/>
      <c r="AA1" s="2943"/>
      <c r="AB1" s="2943"/>
      <c r="AC1" s="2943"/>
      <c r="AD1" s="2943"/>
      <c r="AE1" s="2943"/>
    </row>
    <row r="2" spans="1:31" ht="14.45" customHeight="1">
      <c r="K2" s="2943"/>
      <c r="L2" s="2943"/>
      <c r="M2" s="2943"/>
      <c r="N2" s="2943"/>
      <c r="O2" s="2943"/>
      <c r="P2" s="2943"/>
      <c r="Q2" s="2943"/>
      <c r="R2" s="2943"/>
      <c r="S2" s="2943"/>
      <c r="T2" s="2943"/>
      <c r="U2" s="2943"/>
      <c r="V2" s="2943"/>
      <c r="W2" s="2943"/>
      <c r="X2" s="2943"/>
      <c r="Y2" s="2943"/>
      <c r="Z2" s="2943"/>
      <c r="AA2" s="2943"/>
      <c r="AB2" s="2943"/>
      <c r="AC2" s="2943"/>
      <c r="AD2" s="2943"/>
      <c r="AE2" s="2943"/>
    </row>
    <row r="3" spans="1:31" ht="14.45" customHeight="1">
      <c r="A3" s="87" t="s">
        <v>955</v>
      </c>
      <c r="B3" s="2944" t="s">
        <v>1176</v>
      </c>
      <c r="C3" s="2944"/>
      <c r="D3" s="2944"/>
      <c r="E3" s="2944"/>
      <c r="F3" s="2944"/>
      <c r="G3" s="2944"/>
      <c r="H3" s="2944"/>
      <c r="I3" s="2944"/>
      <c r="L3" s="2993" t="s">
        <v>943</v>
      </c>
      <c r="M3" s="2993"/>
      <c r="N3" s="2993"/>
      <c r="O3" s="2993"/>
      <c r="P3" s="2993"/>
    </row>
    <row r="4" spans="1:31" ht="10.35" customHeight="1">
      <c r="A4" s="941"/>
      <c r="B4" s="902"/>
      <c r="C4" s="902"/>
      <c r="D4" s="902"/>
      <c r="E4" s="902"/>
      <c r="F4" s="902"/>
      <c r="G4" s="902"/>
    </row>
    <row r="5" spans="1:31" ht="14.45" customHeight="1">
      <c r="A5" s="25" t="s">
        <v>1031</v>
      </c>
      <c r="B5" s="2944" t="s">
        <v>1177</v>
      </c>
      <c r="C5" s="2944"/>
      <c r="D5" s="2944"/>
      <c r="E5" s="2944"/>
      <c r="F5" s="2944"/>
      <c r="G5" s="2944"/>
      <c r="H5" s="2944"/>
      <c r="I5" s="2944"/>
    </row>
    <row r="6" spans="1:31" ht="10.35" customHeight="1">
      <c r="B6" s="941"/>
      <c r="C6" s="941"/>
      <c r="D6" s="941"/>
      <c r="E6" s="941"/>
      <c r="F6" s="941"/>
    </row>
    <row r="7" spans="1:31" ht="14.45" customHeight="1">
      <c r="A7" s="87" t="s">
        <v>1178</v>
      </c>
      <c r="B7" s="2944" t="str">
        <f>IF($N7=0,"Accessibility feature requirements for all Developments are outlined in Section Four.","Level 1 and Level 2 Accessibility Requirements for all Developments are outlined in Section Four.")</f>
        <v>Level 1 and Level 2 Accessibility Requirements for all Developments are outlined in Section Four.</v>
      </c>
      <c r="C7" s="2944"/>
      <c r="D7" s="2944"/>
      <c r="E7" s="2944"/>
      <c r="F7" s="2944"/>
      <c r="G7" s="2944"/>
      <c r="H7" s="2944"/>
      <c r="I7" s="2944"/>
      <c r="N7" s="852">
        <v>1</v>
      </c>
    </row>
    <row r="8" spans="1:31" ht="35.1" customHeight="1">
      <c r="A8" s="87"/>
      <c r="B8" s="91">
        <v>3</v>
      </c>
      <c r="C8" s="2943" t="s">
        <v>2518</v>
      </c>
      <c r="D8" s="2943"/>
      <c r="E8" s="2943"/>
      <c r="F8" s="2943"/>
      <c r="G8" s="2943"/>
      <c r="H8" s="2961" t="s">
        <v>59</v>
      </c>
      <c r="I8" s="2961"/>
      <c r="L8" s="2078">
        <v>1</v>
      </c>
      <c r="M8" s="2077">
        <f>IF(AND(L8&lt;&gt;0,I8&lt;&gt;""),L8,0)</f>
        <v>0</v>
      </c>
      <c r="N8" s="2076" t="str">
        <f>CHOOSE(L8+1,"Not to be included in this RFA","A REQUIRED input field for this RFA","An OPTIONAL input field for this RFA")</f>
        <v>A REQUIRED input field for this RFA</v>
      </c>
    </row>
    <row r="9" spans="1:31" ht="10.35" customHeight="1">
      <c r="A9" s="941"/>
      <c r="B9" s="902"/>
      <c r="C9" s="902"/>
      <c r="D9" s="902"/>
      <c r="E9" s="902"/>
      <c r="F9" s="902"/>
      <c r="G9" s="902"/>
    </row>
    <row r="10" spans="1:31" ht="14.85" customHeight="1">
      <c r="A10" s="25" t="s">
        <v>1179</v>
      </c>
      <c r="B10" s="2333" t="str">
        <f>"Emergency Operations "&amp;IF(N11&gt;0,"for all Elderly Developments ","")&amp;"are outlined in Section Four."</f>
        <v>Emergency Operations are outlined in Section Four.</v>
      </c>
      <c r="C10" s="2332"/>
      <c r="D10" s="2332"/>
      <c r="E10" s="2332"/>
      <c r="F10" s="2332"/>
      <c r="G10" s="2332"/>
      <c r="L10" s="1530">
        <f>IF(COUNTIF(DS_Demo_DDMenu,Data1!$A$21)+COUNTIF(DS_Demo_DDMenu,Data1!$A$22)+COUNTIF(DS_Demo_DDMenu,Data1!$A$23)+COUNTIF(DS_Demo_DDMenu,Data1!$A$26)+COUNTIF(DS_Demo_DDMenu,Data1!$A$27)+COUNTIF(DS_Demo_DDMenu,Data1!$A$28)&gt;0,1,0)*1</f>
        <v>1</v>
      </c>
      <c r="M10" s="2381">
        <f>IF(AND(L10&lt;&gt;0,I10&lt;&gt;""),L10,0)</f>
        <v>0</v>
      </c>
      <c r="N10" s="2378" t="str">
        <f>CHOOSE(L10+1,"Not to be included in this RFA","A REQUIRED input field for this RFA","An OPTIONAL input field for this RFA")</f>
        <v>A REQUIRED input field for this RFA</v>
      </c>
    </row>
    <row r="11" spans="1:31" ht="10.35" customHeight="1">
      <c r="A11" s="2334"/>
      <c r="B11" s="2332"/>
      <c r="C11" s="2332"/>
      <c r="D11" s="2332"/>
      <c r="E11" s="2332"/>
      <c r="F11" s="2332"/>
      <c r="G11" s="2332"/>
      <c r="N11" s="2404">
        <f>IF(COUNTIF(DS_Demo_DDMenu,Data1!$A$21)+COUNTIF(DS_Demo_DDMenu,Data1!$A$22)+COUNTIF(DS_Demo_DDMenu,Data1!$A$23)&gt;0,0,1)</f>
        <v>0</v>
      </c>
    </row>
    <row r="12" spans="1:31" ht="14.45" customHeight="1">
      <c r="A12" s="25" t="str">
        <f>IF(L10&gt;0,"e.","d.")</f>
        <v>e.</v>
      </c>
      <c r="B12" s="2944" t="s">
        <v>1180</v>
      </c>
      <c r="C12" s="2944"/>
      <c r="D12" s="2944"/>
      <c r="E12" s="2944"/>
      <c r="F12" s="2944"/>
      <c r="G12" s="2944"/>
      <c r="H12" s="2944"/>
      <c r="I12" s="2944"/>
      <c r="L12" s="336" t="s">
        <v>1886</v>
      </c>
    </row>
    <row r="13" spans="1:31" ht="14.45" customHeight="1">
      <c r="B13" s="91">
        <v>1</v>
      </c>
      <c r="C13" s="941" t="s">
        <v>1181</v>
      </c>
      <c r="D13" s="79"/>
      <c r="E13" s="79"/>
      <c r="F13" s="79"/>
      <c r="L13" s="336" t="s">
        <v>1182</v>
      </c>
    </row>
    <row r="14" spans="1:31" ht="14.45" customHeight="1">
      <c r="A14" s="941"/>
      <c r="B14" s="91">
        <f>IF($L15=0,"",MAX(B$13:B13)+1)</f>
        <v>2</v>
      </c>
      <c r="C14" s="17" t="s">
        <v>1183</v>
      </c>
      <c r="D14" s="79"/>
      <c r="E14" s="79"/>
      <c r="F14" s="79"/>
    </row>
    <row r="15" spans="1:31" ht="17.45" customHeight="1">
      <c r="B15" s="3"/>
      <c r="C15" s="2961" t="s">
        <v>59</v>
      </c>
      <c r="D15" s="2961"/>
      <c r="E15" s="2961"/>
      <c r="F15" s="2961"/>
      <c r="G15" s="2961"/>
      <c r="H15" s="2961"/>
      <c r="L15" s="1530">
        <f>IF(P15&gt;0,IF(Development_Category="New Construction",1,3),P15)</f>
        <v>1</v>
      </c>
      <c r="M15" s="1519">
        <f>IF(C15&lt;&gt;"&lt;select one&gt;",L15,0)</f>
        <v>0</v>
      </c>
      <c r="N15" s="1518" t="str">
        <f>CHOOSE(L15+1,"Not to be included in this RFA","A REQUIRED input field for this RFA","An OPTIONAL input field for this RFA","Not tracked in this tab")</f>
        <v>A REQUIRED input field for this RFA</v>
      </c>
      <c r="P15" s="1520">
        <v>1</v>
      </c>
    </row>
    <row r="16" spans="1:31" ht="60" hidden="1" customHeight="1">
      <c r="B16" s="91" t="str">
        <f>IF(SUM(L17:L32)=0,"",MAX(B$13:B15)+1)</f>
        <v/>
      </c>
      <c r="C16" s="2943" t="s">
        <v>1184</v>
      </c>
      <c r="D16" s="2943"/>
      <c r="E16" s="2943"/>
      <c r="F16" s="2943"/>
      <c r="G16" s="2943"/>
      <c r="H16" s="2943"/>
      <c r="N16" s="313">
        <v>0</v>
      </c>
    </row>
    <row r="17" spans="1:16" ht="17.45" hidden="1" customHeight="1">
      <c r="A17" s="778" t="str">
        <f>IF(Data1!$B704=TRUE,"Yes","No")</f>
        <v>No</v>
      </c>
      <c r="C17" s="250"/>
      <c r="E17" s="2969" t="s">
        <v>2091</v>
      </c>
      <c r="F17" s="2969"/>
      <c r="G17" s="2969"/>
      <c r="H17" s="263">
        <v>2</v>
      </c>
      <c r="L17" s="929">
        <f>IF($N$16=0,0,IF(P17=0,0,IF(OR(Development_Category="&lt;select one&gt;",Development_Category="New Construction",Development_Category="Redevelopment",Development_Category="Acquisition and Redevelopment"),3,IF(Data1!B704=TRUE,IF(H$34&lt;=10,1,IF(SUMIF(A$16:A16,"Yes",O$16:O16)&lt;10,1,2)),IF(H$34&lt;10,IF(H$34+SUMIFS(O$16:O16,L$16:L16,1,A$16:A16,"No")&gt;=10,2,1),2)))))</f>
        <v>0</v>
      </c>
      <c r="M17" s="931">
        <f>IF(Data1!B704=TRUE,L17,0)</f>
        <v>0</v>
      </c>
      <c r="N17" s="905" t="str">
        <f>CHOOSE(L17+1,"Not to be included in this RFA","A REQUIRED input field for this RFA","An OPTIONAL input field for this RFA","Not Applicable to this Applicant")</f>
        <v>Not to be included in this RFA</v>
      </c>
      <c r="O17" s="761">
        <f>H17</f>
        <v>2</v>
      </c>
      <c r="P17" s="953">
        <v>2</v>
      </c>
    </row>
    <row r="18" spans="1:16" ht="17.45" hidden="1" customHeight="1">
      <c r="A18" s="778" t="str">
        <f>IF(Data1!$B705=TRUE,"Yes","No")</f>
        <v>No</v>
      </c>
      <c r="C18" s="250"/>
      <c r="E18" s="2969" t="s">
        <v>1185</v>
      </c>
      <c r="F18" s="2969"/>
      <c r="G18" s="2969"/>
      <c r="H18" s="263">
        <v>2</v>
      </c>
      <c r="L18" s="929">
        <f>IF($N$16=0,0,IF(P18=0,0,IF(OR(Development_Category="&lt;select one&gt;",Development_Category="New Construction",Development_Category="Redevelopment",Development_Category="Acquisition and Redevelopment"),3,IF(Data1!B705=TRUE,IF(H$34&lt;=10,1,IF(SUMIF(A$16:A17,"Yes",O$16:O17)&lt;10,1,2)),IF(H$34&lt;10,IF(H$34+SUMIFS(O$16:O17,L$16:L17,1,A$16:A17,"No")&gt;=10,2,1),2)))))</f>
        <v>0</v>
      </c>
      <c r="M18" s="931">
        <f>IF(Data1!B705=TRUE,L18,0)</f>
        <v>0</v>
      </c>
      <c r="N18" s="905" t="str">
        <f t="shared" ref="N18:N26" si="0">CHOOSE(L18+1,"Not to be included in this RFA","A REQUIRED input field for this RFA","An OPTIONAL input field for this RFA","Not Applicable to this Applicant")</f>
        <v>Not to be included in this RFA</v>
      </c>
      <c r="O18" s="761">
        <f t="shared" ref="O18:O26" si="1">H18</f>
        <v>2</v>
      </c>
      <c r="P18" s="953">
        <f t="shared" ref="P18:P26" si="2">P$17</f>
        <v>2</v>
      </c>
    </row>
    <row r="19" spans="1:16" ht="17.45" hidden="1" customHeight="1">
      <c r="A19" s="778" t="str">
        <f>IF(Data1!$B706=TRUE,"Yes","No")</f>
        <v>No</v>
      </c>
      <c r="C19" s="250"/>
      <c r="E19" s="2969" t="s">
        <v>1186</v>
      </c>
      <c r="F19" s="2969"/>
      <c r="G19" s="2969"/>
      <c r="H19" s="263">
        <v>2</v>
      </c>
      <c r="L19" s="929">
        <f>IF($N$16=0,0,IF(P19=0,0,IF(OR(Development_Category="&lt;select one&gt;",Development_Category="New Construction",Development_Category="Redevelopment",Development_Category="Acquisition and Redevelopment"),3,IF(Data1!B706=TRUE,IF(H$34&lt;=10,1,IF(SUMIF(A$16:A18,"Yes",O$16:O18)&lt;10,1,2)),IF(H$34&lt;10,IF(H$34+SUMIFS(O$16:O18,L$16:L18,1,A$16:A18,"No")&gt;=10,2,1),2)))))</f>
        <v>0</v>
      </c>
      <c r="M19" s="931">
        <f>IF(Data1!B706=TRUE,L19,0)</f>
        <v>0</v>
      </c>
      <c r="N19" s="905" t="str">
        <f t="shared" si="0"/>
        <v>Not to be included in this RFA</v>
      </c>
      <c r="O19" s="761">
        <f t="shared" si="1"/>
        <v>2</v>
      </c>
      <c r="P19" s="953">
        <f t="shared" si="2"/>
        <v>2</v>
      </c>
    </row>
    <row r="20" spans="1:16" ht="35.1" hidden="1" customHeight="1">
      <c r="A20" s="778" t="str">
        <f>IF(Data1!$B707=TRUE,"Yes","No")</f>
        <v>No</v>
      </c>
      <c r="C20" s="250"/>
      <c r="E20" s="2943" t="s">
        <v>1187</v>
      </c>
      <c r="F20" s="2943"/>
      <c r="G20" s="2943"/>
      <c r="H20" s="263">
        <v>2</v>
      </c>
      <c r="L20" s="929">
        <f>IF($N$16=0,0,IF(P20=0,0,IF(OR(Development_Category="&lt;select one&gt;",Development_Category="New Construction",Development_Category="Redevelopment",Development_Category="Acquisition and Redevelopment"),3,IF(Data1!B707=TRUE,IF(H$34&lt;=10,1,IF(SUMIF(A$16:A19,"Yes",O$16:O19)&lt;10,1,2)),IF(H$34&lt;10,IF(H$34+SUMIFS(O$16:O19,L$16:L19,1,A$16:A19,"No")&gt;=10,2,1),2)))))</f>
        <v>0</v>
      </c>
      <c r="M20" s="931">
        <f>IF(Data1!B707=TRUE,L20,0)</f>
        <v>0</v>
      </c>
      <c r="N20" s="905" t="str">
        <f t="shared" si="0"/>
        <v>Not to be included in this RFA</v>
      </c>
      <c r="O20" s="761">
        <f t="shared" si="1"/>
        <v>2</v>
      </c>
      <c r="P20" s="953">
        <f t="shared" si="2"/>
        <v>2</v>
      </c>
    </row>
    <row r="21" spans="1:16" ht="17.45" hidden="1" customHeight="1">
      <c r="A21" s="778" t="str">
        <f>IF(Data1!$B708=TRUE,"Yes","No")</f>
        <v>No</v>
      </c>
      <c r="C21" s="250"/>
      <c r="E21" s="2969" t="s">
        <v>2723</v>
      </c>
      <c r="F21" s="2969"/>
      <c r="G21" s="2969"/>
      <c r="H21" s="263">
        <v>2</v>
      </c>
      <c r="L21" s="929">
        <f>IF($N$16=0,0,IF(P21=0,0,IF(OR(Development_Category="&lt;select one&gt;",Development_Category="New Construction",Development_Category="Redevelopment",Development_Category="Acquisition and Redevelopment"),3,IF(Data1!B708=TRUE,IF(H$34&lt;=10,1,IF(SUMIF(A$16:A20,"Yes",O$16:O20)&lt;10,1,2)),IF(H$34&lt;10,IF(H$34+SUMIFS(O$16:O20,L$16:L20,1,A$16:A20,"No")&gt;=10,2,1),2)))))</f>
        <v>0</v>
      </c>
      <c r="M21" s="931">
        <f>IF(Data1!B708=TRUE,L21,0)</f>
        <v>0</v>
      </c>
      <c r="N21" s="905" t="str">
        <f t="shared" si="0"/>
        <v>Not to be included in this RFA</v>
      </c>
      <c r="O21" s="761">
        <f t="shared" si="1"/>
        <v>2</v>
      </c>
      <c r="P21" s="2406">
        <f t="shared" si="2"/>
        <v>2</v>
      </c>
    </row>
    <row r="22" spans="1:16" ht="17.45" hidden="1" customHeight="1">
      <c r="A22" s="778" t="str">
        <f>IF(Data1!$B709=TRUE,"Yes","No")</f>
        <v>No</v>
      </c>
      <c r="C22" s="250"/>
      <c r="E22" s="2943" t="s">
        <v>2727</v>
      </c>
      <c r="F22" s="2943"/>
      <c r="G22" s="2943"/>
      <c r="H22" s="263">
        <v>3</v>
      </c>
      <c r="L22" s="929">
        <f>IF($N$16=0,0,IF(P22=0,0,IF(OR(Development_Category="&lt;select one&gt;",Development_Category="New Construction",Development_Category="Redevelopment",Development_Category="Acquisition and Redevelopment"),3,IF(Data1!B709=TRUE,IF(H$34&lt;=10,1,IF(SUMIF(A$16:A21,"Yes",O$16:O21)&lt;10,1,2)),IF(H$34&lt;10,IF(H$34+SUMIFS(O$16:O21,L$16:L21,1,A$16:A21,"No")&gt;=10,2,1),2)))))</f>
        <v>0</v>
      </c>
      <c r="M22" s="931">
        <f>IF(Data1!B709=TRUE,L22,0)</f>
        <v>0</v>
      </c>
      <c r="N22" s="905" t="str">
        <f t="shared" si="0"/>
        <v>Not to be included in this RFA</v>
      </c>
      <c r="O22" s="761">
        <f t="shared" si="1"/>
        <v>3</v>
      </c>
      <c r="P22" s="953">
        <f t="shared" si="2"/>
        <v>2</v>
      </c>
    </row>
    <row r="23" spans="1:16" ht="52.35" hidden="1" customHeight="1">
      <c r="A23" s="778" t="str">
        <f>IF(Data1!$B710=TRUE,"Yes","No")</f>
        <v>No</v>
      </c>
      <c r="C23" s="250"/>
      <c r="E23" s="2943" t="s">
        <v>1188</v>
      </c>
      <c r="F23" s="2943"/>
      <c r="G23" s="2943"/>
      <c r="H23" s="263">
        <v>3</v>
      </c>
      <c r="L23" s="929">
        <f>IF($N$16=0,0,IF(P23=0,0,IF(OR(Development_Category="&lt;select one&gt;",Development_Category="New Construction",Development_Category="Redevelopment",Development_Category="Acquisition and Redevelopment"),3,IF(Data1!B710=TRUE,IF(H$34&lt;=10,1,IF(SUMIF(A$16:A22,"Yes",O$16:O22)&lt;10,1,2)),IF(H$34&lt;10,IF(H$34+SUMIFS(O$16:O22,L$16:L22,1,A$16:A22,"No")&gt;=10,2,1),2)))))</f>
        <v>0</v>
      </c>
      <c r="M23" s="931">
        <f>IF(Data1!B710=TRUE,L23,0)</f>
        <v>0</v>
      </c>
      <c r="N23" s="905" t="str">
        <f t="shared" si="0"/>
        <v>Not to be included in this RFA</v>
      </c>
      <c r="O23" s="761">
        <f t="shared" si="1"/>
        <v>3</v>
      </c>
      <c r="P23" s="953">
        <f t="shared" si="2"/>
        <v>2</v>
      </c>
    </row>
    <row r="24" spans="1:16" ht="48" hidden="1" customHeight="1">
      <c r="A24" s="778" t="str">
        <f>IF(Data1!$B711=TRUE,"Yes","No")</f>
        <v>No</v>
      </c>
      <c r="C24" s="250"/>
      <c r="E24" s="2943" t="s">
        <v>1189</v>
      </c>
      <c r="F24" s="2943"/>
      <c r="G24" s="2943"/>
      <c r="H24" s="263">
        <v>3</v>
      </c>
      <c r="L24" s="929">
        <f>IF($N$16=0,0,IF(P24=0,0,IF(OR(Development_Category="&lt;select one&gt;",Development_Category="New Construction",Development_Category="Redevelopment",Development_Category="Acquisition and Redevelopment"),3,IF(Data1!B711=TRUE,IF(H$34&lt;=10,1,IF(SUMIF(A$16:A23,"Yes",O$16:O23)&lt;10,1,2)),IF(H$34&lt;10,IF(H$34+SUMIFS(O$16:O23,L$16:L23,1,A$16:A23,"No")&gt;=10,2,1),2)))))</f>
        <v>0</v>
      </c>
      <c r="M24" s="931">
        <f>IF(Data1!B711=TRUE,L24,0)</f>
        <v>0</v>
      </c>
      <c r="N24" s="905" t="str">
        <f t="shared" si="0"/>
        <v>Not to be included in this RFA</v>
      </c>
      <c r="O24" s="761">
        <f t="shared" si="1"/>
        <v>3</v>
      </c>
      <c r="P24" s="953">
        <f t="shared" si="2"/>
        <v>2</v>
      </c>
    </row>
    <row r="25" spans="1:16" ht="17.45" hidden="1" customHeight="1">
      <c r="A25" s="778" t="str">
        <f>IF(Data1!$B712=TRUE,"Yes","No")</f>
        <v>No</v>
      </c>
      <c r="C25" s="250"/>
      <c r="E25" s="2969" t="s">
        <v>1190</v>
      </c>
      <c r="F25" s="2969"/>
      <c r="G25" s="2969"/>
      <c r="H25" s="263">
        <v>2</v>
      </c>
      <c r="L25" s="929">
        <f>IF($N$16=0,0,IF(P25=0,0,IF(OR(Development_Category="&lt;select one&gt;",Development_Category="New Construction",Development_Category="Redevelopment",Development_Category="Acquisition and Redevelopment"),3,IF(Data1!B712=TRUE,IF(H$34&lt;=10,1,IF(SUMIF(A$16:A24,"Yes",O$16:O24)&lt;10,1,2)),IF(H$34&lt;10,IF(H$34+SUMIFS(O$16:O24,L$16:L24,1,A$16:A24,"No")&gt;=10,2,1),2)))))</f>
        <v>0</v>
      </c>
      <c r="M25" s="931">
        <f>IF(Data1!B712=TRUE,L25,0)</f>
        <v>0</v>
      </c>
      <c r="N25" s="905" t="str">
        <f t="shared" si="0"/>
        <v>Not to be included in this RFA</v>
      </c>
      <c r="O25" s="761">
        <f t="shared" si="1"/>
        <v>2</v>
      </c>
      <c r="P25" s="2406">
        <f t="shared" si="2"/>
        <v>2</v>
      </c>
    </row>
    <row r="26" spans="1:16" ht="17.45" hidden="1" customHeight="1">
      <c r="A26" s="778" t="str">
        <f>IF(Data1!$B713=TRUE,"Yes","No")</f>
        <v>No</v>
      </c>
      <c r="C26" s="250"/>
      <c r="E26" s="17" t="s">
        <v>1191</v>
      </c>
      <c r="F26" s="17"/>
      <c r="G26" s="17"/>
      <c r="H26" s="263">
        <v>3</v>
      </c>
      <c r="L26" s="929">
        <f>IF($N$16=0,0,IF(P26=0,0,IF(OR(Development_Category="&lt;select one&gt;",Development_Category="New Construction",Development_Category="Redevelopment",Development_Category="Acquisition and Redevelopment"),3,IF(Data1!B713=TRUE,IF(H$34&lt;=10,1,IF(SUMIF(A$16:A25,"Yes",O$16:O25)&lt;10,1,2)),IF(H$34&lt;10,IF(H$34+SUMIFS(O$16:O25,L$16:L25,1,A$16:A25,"No")&gt;=10,2,1),2)))))</f>
        <v>0</v>
      </c>
      <c r="M26" s="931">
        <f>IF(Data1!B713=TRUE,L26,0)</f>
        <v>0</v>
      </c>
      <c r="N26" s="905" t="str">
        <f t="shared" si="0"/>
        <v>Not to be included in this RFA</v>
      </c>
      <c r="O26" s="761">
        <f t="shared" si="1"/>
        <v>3</v>
      </c>
      <c r="P26" s="953">
        <f t="shared" si="2"/>
        <v>2</v>
      </c>
    </row>
    <row r="27" spans="1:16" ht="35.1" hidden="1" customHeight="1">
      <c r="C27" s="941"/>
      <c r="E27" s="17" t="s">
        <v>1192</v>
      </c>
      <c r="F27" s="2943" t="s">
        <v>1193</v>
      </c>
      <c r="G27" s="2943"/>
      <c r="H27" s="941"/>
      <c r="J27" s="762"/>
      <c r="K27" s="762"/>
      <c r="O27" s="240"/>
    </row>
    <row r="28" spans="1:16" ht="17.45" hidden="1" customHeight="1">
      <c r="C28" s="941"/>
      <c r="E28" s="17" t="s">
        <v>1192</v>
      </c>
      <c r="F28" s="17" t="s">
        <v>1194</v>
      </c>
      <c r="G28" s="17"/>
      <c r="H28" s="941"/>
      <c r="J28" s="357"/>
      <c r="K28" s="357"/>
      <c r="N28" s="1717"/>
      <c r="O28" s="240"/>
    </row>
    <row r="29" spans="1:16" ht="17.45" hidden="1" customHeight="1">
      <c r="C29" s="941"/>
      <c r="E29" s="17"/>
      <c r="F29" s="249" t="s">
        <v>1195</v>
      </c>
      <c r="G29" s="17" t="s">
        <v>1196</v>
      </c>
      <c r="H29" s="941"/>
      <c r="J29" s="357"/>
      <c r="K29" s="357"/>
      <c r="O29" s="240"/>
    </row>
    <row r="30" spans="1:16" ht="35.1" hidden="1" customHeight="1">
      <c r="C30" s="941"/>
      <c r="E30" s="941"/>
      <c r="F30" s="249" t="s">
        <v>1195</v>
      </c>
      <c r="G30" s="935" t="s">
        <v>1197</v>
      </c>
      <c r="H30" s="941"/>
      <c r="J30" s="357"/>
      <c r="K30" s="357"/>
      <c r="O30" s="240"/>
    </row>
    <row r="31" spans="1:16" ht="17.45" hidden="1" customHeight="1">
      <c r="A31" s="778" t="str">
        <f>IF(Data1!$B718=TRUE,"Yes","No")</f>
        <v>No</v>
      </c>
      <c r="C31" s="250"/>
      <c r="E31" s="2969" t="s">
        <v>1198</v>
      </c>
      <c r="F31" s="2969"/>
      <c r="G31" s="2969"/>
      <c r="H31" s="263">
        <v>2</v>
      </c>
      <c r="L31" s="929">
        <f>IF($N$16=0,0,IF(P31=0,0,IF(OR(Development_Category="&lt;select one&gt;",Development_Category="New Construction",Development_Category="Redevelopment",Development_Category="Acquisition and Redevelopment"),3,IF(Data1!B718=TRUE,IF(H$34&lt;=10,1,IF(SUMIF(A$16:A30,"Yes",O$16:O30)&lt;10,1,2)),IF(H$34&lt;10,IF(H$34+SUMIFS(O$16:O30,L$16:L30,1,A$16:A30,"No")&gt;=10,2,1),2)))))</f>
        <v>0</v>
      </c>
      <c r="M31" s="931">
        <f>IF(Data1!B718=TRUE,L31,0)</f>
        <v>0</v>
      </c>
      <c r="N31" s="905" t="str">
        <f t="shared" ref="N31:N32" si="3">CHOOSE(L31+1,"Not to be included in this RFA","A REQUIRED input field for this RFA","An OPTIONAL input field for this RFA","Not Applicable to this Applicant")</f>
        <v>Not to be included in this RFA</v>
      </c>
      <c r="O31" s="761">
        <f t="shared" ref="O31:O32" si="4">H31</f>
        <v>2</v>
      </c>
      <c r="P31" s="953">
        <f>P$17</f>
        <v>2</v>
      </c>
    </row>
    <row r="32" spans="1:16" ht="35.1" hidden="1" customHeight="1">
      <c r="A32" s="778" t="str">
        <f>IF(Data1!$B719=TRUE,"Yes","No")</f>
        <v>No</v>
      </c>
      <c r="C32" s="250"/>
      <c r="E32" s="2943" t="s">
        <v>1199</v>
      </c>
      <c r="F32" s="2943"/>
      <c r="G32" s="2943"/>
      <c r="H32" s="263">
        <v>2</v>
      </c>
      <c r="L32" s="929">
        <f>IF($N$16=0,0,IF(P32=0,0,IF(OR(Development_Category="&lt;select one&gt;",Development_Category="New Construction",Development_Category="Redevelopment",Development_Category="Acquisition and Redevelopment"),3,IF(Data1!B719=TRUE,IF(H$34&lt;=10,1,IF(SUMIF(A$16:A31,"Yes",O$16:O31)&lt;10,1,2)),IF(H$34&lt;10,IF(H$34+SUMIFS(O$16:O31,L$16:L31,1,A$16:A31,"No")&gt;=10,2,1),2)))))</f>
        <v>0</v>
      </c>
      <c r="M32" s="931">
        <f>IF(Data1!B719=TRUE,L32,0)</f>
        <v>0</v>
      </c>
      <c r="N32" s="905" t="str">
        <f t="shared" si="3"/>
        <v>Not to be included in this RFA</v>
      </c>
      <c r="O32" s="761">
        <f t="shared" si="4"/>
        <v>2</v>
      </c>
      <c r="P32" s="953">
        <f>P$17</f>
        <v>2</v>
      </c>
    </row>
    <row r="33" spans="2:14" ht="30" hidden="1" customHeight="1" thickBot="1">
      <c r="D33" s="2806" t="str">
        <f>IF(AND(OR(Development_Category="New Construction",Development_Category="Redevelopment",Development_Category="Acquisition and Redevelopment"),H34&gt;0),"The above Green Building Features are only for a selected Development Category of Rehabilitation, with or without Acquisition.",IF(AND(Development_Category&lt;&gt;"New Construction",Development_Category&lt;&gt;"Redevelopment",Development_Category&lt;&gt;"Acquisition and Redevelopment",Development_Category&lt;&gt;"&lt;select one&gt;",H34&lt;10),"Please select options that total at least 10 points from the above Green Building Features before proceeding",""))</f>
        <v/>
      </c>
      <c r="E33" s="2806"/>
      <c r="F33" s="2806"/>
      <c r="G33" s="2806"/>
      <c r="H33" s="2806"/>
      <c r="N33" s="3089">
        <v>1</v>
      </c>
    </row>
    <row r="34" spans="2:14" ht="17.45" hidden="1" customHeight="1" thickTop="1">
      <c r="G34" s="262" t="s">
        <v>1200</v>
      </c>
      <c r="H34" s="264">
        <f>SUMIF(Data1!B704:B719,TRUE,H17:H32)-IF(AND(Data1!$B$708=TRUE,Data1!$B$709=TRUE),H21+H22,0)</f>
        <v>0</v>
      </c>
      <c r="I34" s="1"/>
      <c r="N34" s="3090"/>
    </row>
    <row r="35" spans="2:14" ht="10.35" hidden="1" customHeight="1">
      <c r="N35" s="3090"/>
    </row>
    <row r="36" spans="2:14" ht="14.45" hidden="1" customHeight="1">
      <c r="B36" s="941" t="s">
        <v>1201</v>
      </c>
      <c r="C36" s="3223" t="s">
        <v>2724</v>
      </c>
      <c r="D36" s="3223"/>
      <c r="E36" s="3223"/>
      <c r="F36" s="3223"/>
      <c r="G36" s="3223"/>
      <c r="N36" s="3091"/>
    </row>
    <row r="37" spans="2:14" ht="30" hidden="1" customHeight="1">
      <c r="B37" s="941" t="s">
        <v>1202</v>
      </c>
      <c r="C37" s="3222" t="s">
        <v>1203</v>
      </c>
      <c r="D37" s="3222"/>
      <c r="E37" s="3222"/>
      <c r="F37" s="3222"/>
      <c r="G37" s="3222"/>
    </row>
    <row r="38" spans="2:14" ht="10.35" customHeight="1"/>
  </sheetData>
  <sheetProtection algorithmName="SHA-512" hashValue="Sotm6Z/xEwtYPDw3QfdsFfP7xNegjsiut9NG+kf+RMTWu665JHGfu5raxO8W6lVQzZY8SbaIAA9QUX9I2F6P/w==" saltValue="q/8df9Z5fNFnKQOn3xbTDg==" spinCount="100000" sheet="1" objects="1" scenarios="1" formatRows="0" selectLockedCells="1"/>
  <mergeCells count="27">
    <mergeCell ref="K1:AE2"/>
    <mergeCell ref="C8:G8"/>
    <mergeCell ref="C37:G37"/>
    <mergeCell ref="D33:H33"/>
    <mergeCell ref="E22:G22"/>
    <mergeCell ref="E23:G23"/>
    <mergeCell ref="E24:G24"/>
    <mergeCell ref="E25:G25"/>
    <mergeCell ref="E32:G32"/>
    <mergeCell ref="E31:G31"/>
    <mergeCell ref="F27:G27"/>
    <mergeCell ref="C36:G36"/>
    <mergeCell ref="A1:I1"/>
    <mergeCell ref="C15:H15"/>
    <mergeCell ref="B3:I3"/>
    <mergeCell ref="B5:I5"/>
    <mergeCell ref="B7:I7"/>
    <mergeCell ref="B12:I12"/>
    <mergeCell ref="H8:I8"/>
    <mergeCell ref="N33:N36"/>
    <mergeCell ref="L3:P3"/>
    <mergeCell ref="E20:G20"/>
    <mergeCell ref="E21:G21"/>
    <mergeCell ref="C16:H16"/>
    <mergeCell ref="E17:G17"/>
    <mergeCell ref="E18:G18"/>
    <mergeCell ref="E19:G19"/>
  </mergeCells>
  <conditionalFormatting sqref="D33">
    <cfRule type="cellIs" dxfId="630" priority="1276" operator="notEqual">
      <formula>""</formula>
    </cfRule>
  </conditionalFormatting>
  <conditionalFormatting sqref="B17:H25 B31:H32">
    <cfRule type="expression" dxfId="629" priority="25">
      <formula>$L17=0</formula>
    </cfRule>
  </conditionalFormatting>
  <conditionalFormatting sqref="B26:H30">
    <cfRule type="expression" dxfId="628" priority="53">
      <formula>$L$26=0</formula>
    </cfRule>
  </conditionalFormatting>
  <conditionalFormatting sqref="B14:H15">
    <cfRule type="expression" dxfId="627" priority="12">
      <formula>AND(Development_Category&lt;&gt;"&lt;select one&gt;",Development_Category&lt;&gt;"New Construction")</formula>
    </cfRule>
    <cfRule type="expression" dxfId="626" priority="13">
      <formula>$L$15=0</formula>
    </cfRule>
  </conditionalFormatting>
  <conditionalFormatting sqref="B33:H37">
    <cfRule type="expression" dxfId="625" priority="1275">
      <formula>SUM($L$17:$L$32)=0</formula>
    </cfRule>
  </conditionalFormatting>
  <conditionalFormatting sqref="B37:G37">
    <cfRule type="expression" dxfId="624" priority="1286">
      <formula>$L$25=0</formula>
    </cfRule>
  </conditionalFormatting>
  <conditionalFormatting sqref="B36:G36">
    <cfRule type="expression" dxfId="623" priority="1277">
      <formula>$L$21=0</formula>
    </cfRule>
  </conditionalFormatting>
  <conditionalFormatting sqref="C15:H15">
    <cfRule type="expression" dxfId="622" priority="16">
      <formula>AND(Development_Category&lt;&gt;"&lt;select one&gt;",Development_Category&lt;&gt;"New Construction")</formula>
    </cfRule>
    <cfRule type="cellIs" dxfId="621" priority="17" operator="equal">
      <formula>""</formula>
    </cfRule>
    <cfRule type="expression" dxfId="620" priority="18">
      <formula>AND($C15="&lt;select one&gt;",Development_Category="New Construction",CELL("protect",Development_Category)=1,Name_of_proposed_Development&lt;&gt;"")</formula>
    </cfRule>
    <cfRule type="cellIs" dxfId="619" priority="21" operator="notEqual">
      <formula>"&lt;select one&gt;"</formula>
    </cfRule>
  </conditionalFormatting>
  <conditionalFormatting sqref="B16:H32 B34:H37">
    <cfRule type="expression" dxfId="618" priority="23">
      <formula>AND(Development_Category&lt;&gt;"&lt;select one&gt;",Development_Category&lt;&gt;"Rehabilitation",Development_Category&lt;&gt;"Acquisition and Rehabilitation")</formula>
    </cfRule>
  </conditionalFormatting>
  <conditionalFormatting sqref="B16:H16">
    <cfRule type="expression" dxfId="617" priority="22">
      <formula>$N$16=0</formula>
    </cfRule>
  </conditionalFormatting>
  <conditionalFormatting sqref="N33:N36">
    <cfRule type="cellIs" dxfId="616" priority="11" operator="greaterThan">
      <formula>0</formula>
    </cfRule>
  </conditionalFormatting>
  <conditionalFormatting sqref="C17:C26 C31:C32">
    <cfRule type="expression" dxfId="615" priority="26">
      <formula>AND(Development_Category&lt;&gt;"&lt;select one&gt;",Development_Category&lt;&gt;"Rehabilitation",Development_Category&lt;&gt;"Acquisition and Rehabilitation")</formula>
    </cfRule>
  </conditionalFormatting>
  <conditionalFormatting sqref="N7 N11 N16">
    <cfRule type="cellIs" dxfId="614" priority="10" operator="equal">
      <formula>0</formula>
    </cfRule>
  </conditionalFormatting>
  <conditionalFormatting sqref="B8:I8">
    <cfRule type="expression" dxfId="613" priority="8">
      <formula>$L$8=0</formula>
    </cfRule>
  </conditionalFormatting>
  <conditionalFormatting sqref="H8">
    <cfRule type="cellIs" dxfId="612" priority="9" operator="notEqual">
      <formula>"&lt;select one&gt;"</formula>
    </cfRule>
  </conditionalFormatting>
  <conditionalFormatting sqref="H8">
    <cfRule type="cellIs" dxfId="611" priority="7" operator="equal">
      <formula>""</formula>
    </cfRule>
  </conditionalFormatting>
  <conditionalFormatting sqref="A10:I11">
    <cfRule type="expression" dxfId="610" priority="6">
      <formula>$L$10=0</formula>
    </cfRule>
  </conditionalFormatting>
  <conditionalFormatting sqref="H34">
    <cfRule type="cellIs" dxfId="609" priority="2" operator="between">
      <formula>1</formula>
      <formula>9</formula>
    </cfRule>
    <cfRule type="cellIs" dxfId="608" priority="3" operator="greaterThanOrEqual">
      <formula>10</formula>
    </cfRule>
  </conditionalFormatting>
  <dataValidations count="5">
    <dataValidation type="list" allowBlank="1" showInputMessage="1" showErrorMessage="1" sqref="C15" xr:uid="{CFD94D85-0434-4E1C-814F-C4F4350DBC84}">
      <formula1>DS_Green_DDMenu</formula1>
    </dataValidation>
    <dataValidation type="list" allowBlank="1" showDropDown="1" showErrorMessage="1" error="To select this Resident Program, type in &quot;x&quot;." sqref="C17:C26 C31:C32" xr:uid="{DD2D25D6-E408-4452-9CC2-D80E62ADEBF4}">
      <formula1>"x,X"</formula1>
    </dataValidation>
    <dataValidation type="custom" allowBlank="1" showInputMessage="1" showErrorMessage="1" sqref="P31:P32 L10 P15 L8 P17:P26" xr:uid="{DEC48FF7-0C76-4351-9CD2-5F0BA6ED59E1}">
      <formula1>AND(L8&gt;=0,L8&lt;3,L8=ROUND(L8,0))</formula1>
    </dataValidation>
    <dataValidation type="custom" allowBlank="1" showInputMessage="1" showErrorMessage="1" sqref="L15" xr:uid="{6DB70F35-20A6-42A7-8278-48BC85F984B2}">
      <formula1>AND(L15&gt;=0,L15&lt;4,L15=ROUND(L15,0))</formula1>
    </dataValidation>
    <dataValidation type="list" allowBlank="1" showInputMessage="1" showErrorMessage="1" sqref="H8" xr:uid="{6AACB87F-6F4F-4EC9-AB93-775486FE253B}">
      <formula1>"&lt;select one&gt;, Yes, No"</formula1>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16</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16</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17</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19</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19</xdr:row>
                    <xdr:rowOff>419100</xdr:rowOff>
                  </from>
                  <to>
                    <xdr:col>5</xdr:col>
                    <xdr:colOff>66675</xdr:colOff>
                    <xdr:row>38</xdr:row>
                    <xdr:rowOff>95250</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20</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21</xdr:row>
                    <xdr:rowOff>428625</xdr:rowOff>
                  </from>
                  <to>
                    <xdr:col>5</xdr:col>
                    <xdr:colOff>66675</xdr:colOff>
                    <xdr:row>38</xdr:row>
                    <xdr:rowOff>95250</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22</xdr:row>
                    <xdr:rowOff>657225</xdr:rowOff>
                  </from>
                  <to>
                    <xdr:col>5</xdr:col>
                    <xdr:colOff>66675</xdr:colOff>
                    <xdr:row>38</xdr:row>
                    <xdr:rowOff>95250</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23</xdr:row>
                    <xdr:rowOff>600075</xdr:rowOff>
                  </from>
                  <to>
                    <xdr:col>5</xdr:col>
                    <xdr:colOff>66675</xdr:colOff>
                    <xdr:row>38</xdr:row>
                    <xdr:rowOff>95250</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25</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30</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30</xdr:row>
                    <xdr:rowOff>219075</xdr:rowOff>
                  </from>
                  <to>
                    <xdr:col>5</xdr:col>
                    <xdr:colOff>66675</xdr:colOff>
                    <xdr:row>38</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4" stopIfTrue="1" id="{7B6290EC-7C27-4294-8FF8-160C3374D504}">
            <xm:f>Data1!$E$823="Yes"</xm:f>
            <x14:dxf>
              <font>
                <color theme="0"/>
              </font>
              <fill>
                <patternFill>
                  <bgColor theme="0"/>
                </patternFill>
              </fill>
              <border>
                <left/>
                <right/>
                <top/>
                <bottom/>
                <vertical/>
                <horizontal/>
              </border>
            </x14:dxf>
          </x14:cfRule>
          <xm:sqref>L4:P37</xm:sqref>
        </x14:conditionalFormatting>
        <x14:conditionalFormatting xmlns:xm="http://schemas.microsoft.com/office/excel/2006/main">
          <x14:cfRule type="expression" priority="32" id="{00000000-000E-0000-0E00-000006000000}">
            <xm:f>Data1!$B704=TRUE</xm:f>
            <x14:dxf>
              <fill>
                <patternFill>
                  <bgColor theme="9" tint="0.79998168889431442"/>
                </patternFill>
              </fill>
            </x14:dxf>
          </x14:cfRule>
          <xm:sqref>C17:H25 C31:H32</xm:sqref>
        </x14:conditionalFormatting>
        <x14:conditionalFormatting xmlns:xm="http://schemas.microsoft.com/office/excel/2006/main">
          <x14:cfRule type="expression" priority="1143" id="{00000000-000E-0000-0E00-000008000000}">
            <xm:f>Data1!$B$713=TRUE</xm:f>
            <x14:dxf>
              <fill>
                <patternFill>
                  <bgColor theme="9" tint="0.79998168889431442"/>
                </patternFill>
              </fill>
            </x14:dxf>
          </x14:cfRule>
          <xm:sqref>C26:H30</xm:sqref>
        </x14:conditionalFormatting>
        <x14:conditionalFormatting xmlns:xm="http://schemas.microsoft.com/office/excel/2006/main">
          <x14:cfRule type="expression" priority="4" id="{00DFF91D-F4E3-4473-B728-7B1789CF7324}">
            <xm:f>AND(Data1!$B$708=TRUE,Data1!$B$709=TRUE)</xm:f>
            <x14:dxf>
              <font>
                <color rgb="FFC00000"/>
              </font>
              <fill>
                <patternFill>
                  <bgColor rgb="FFFFE6FF"/>
                </patternFill>
              </fill>
            </x14:dxf>
          </x14:cfRule>
          <xm:sqref>B36:G36 C21:D22</xm:sqref>
        </x14:conditionalFormatting>
        <x14:conditionalFormatting xmlns:xm="http://schemas.microsoft.com/office/excel/2006/main">
          <x14:cfRule type="expression" priority="1" id="{0B05B3CC-1068-4DC0-9458-94D003E6D5D9}">
            <xm:f>AND(Data1!$B$708=TRUE,Data1!$B$709=TRUE)</xm:f>
            <x14:dxf>
              <font>
                <strike/>
                <color rgb="FFC00000"/>
              </font>
              <fill>
                <patternFill>
                  <bgColor rgb="FFFFE6FF"/>
                </patternFill>
              </fill>
            </x14:dxf>
          </x14:cfRule>
          <xm:sqref>E21:H22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AB23"/>
  <sheetViews>
    <sheetView showGridLines="0" zoomScaleNormal="100" zoomScaleSheetLayoutView="100" workbookViewId="0">
      <pane ySplit="2" topLeftCell="A3" activePane="bottomLeft" state="frozen"/>
      <selection activeCell="L364" sqref="L364:N364"/>
      <selection pane="bottomLeft" activeCell="S17" sqref="S17"/>
    </sheetView>
  </sheetViews>
  <sheetFormatPr defaultColWidth="8.5703125" defaultRowHeight="15"/>
  <cols>
    <col min="1" max="1" width="3" customWidth="1"/>
    <col min="2" max="3" width="3.5703125" customWidth="1"/>
    <col min="4" max="4" width="4.42578125" customWidth="1"/>
    <col min="5" max="5" width="49.5703125" customWidth="1"/>
    <col min="6" max="6" width="24.5703125" customWidth="1"/>
    <col min="7" max="7" width="14.28515625" customWidth="1"/>
    <col min="8" max="8" width="8.42578125" customWidth="1"/>
    <col min="9" max="9" width="8.7109375" customWidth="1"/>
    <col min="10" max="12" width="3.5703125" customWidth="1"/>
    <col min="13" max="13" width="35.7109375" customWidth="1"/>
    <col min="14" max="14" width="3.5703125" customWidth="1"/>
  </cols>
  <sheetData>
    <row r="1" spans="1:28" ht="35.85" customHeight="1" thickBot="1">
      <c r="A1" s="2979" t="s">
        <v>1207</v>
      </c>
      <c r="B1" s="2980"/>
      <c r="C1" s="2980"/>
      <c r="D1" s="2980"/>
      <c r="E1" s="2980"/>
      <c r="F1" s="2980"/>
      <c r="G1" s="2980"/>
      <c r="H1" s="2981"/>
      <c r="I1" s="24"/>
      <c r="J1" s="2943" t="str">
        <f>"There are "&amp;TEXT(COUNTIF($K$5:$K$20,"=1"),"0")&amp;" required input fields and "&amp;TEXT(COUNTIF($K$5:$K$20,"=2"),"0")&amp;" optional input fields tracked on this tab."&amp;CHAR(10)&amp;"There "&amp;IF(COUNTIFS($K$5:$K$20,"=1",$L$5:$L$20,"=1")=1,"is 1 required input field","are "&amp;TEXT(COUNTIFS($K$5:$K$20,"=1",$L$5:$L$20,"=1"),"0")&amp;" required input fields")&amp;" and "&amp;TEXT(COUNTIFS($K$5:$K$20,"=2",$L$5:$L$20,"=2"),"0")&amp;" optional input field"&amp;IF(COUNTIFS($K$5:$K$20,"=2",$L$5:$L$20,"=2")=1," with an entry","s with entries")&amp;" tracked on this tab."&amp;CHAR(10)&amp;"There "&amp;IF(Data1!G825=1,"is ","are ")&amp;TEXT(Data1!G825,"0")&amp;" required input field"&amp;IF(Data1!G825=1," that need an entry","s that need entries")&amp;" and "&amp;TEXT(Data1!H825,"0")&amp;" optional input field"&amp;IF(Data1!H825=1," that may or may not need an entry","s may or may not need entries")&amp;" tracked on this tab."</f>
        <v>There are 3 required input fields and 2 optional input fields tracked on this tab.
There are 0 required input fields and 0 optional input fields with entries tracked on this tab.
There are 0 required input fields that need entries and 0 optional input fields may or may not need entries tracked on this tab.</v>
      </c>
      <c r="K1" s="2943"/>
      <c r="L1" s="2943"/>
      <c r="M1" s="2943"/>
      <c r="N1" s="2943"/>
      <c r="O1" s="2943"/>
      <c r="P1" s="2943"/>
      <c r="Q1" s="2943"/>
      <c r="R1" s="2943"/>
      <c r="S1" s="2943"/>
      <c r="T1" s="2943"/>
      <c r="U1" s="2943"/>
      <c r="V1" s="2943"/>
      <c r="W1" s="2943"/>
      <c r="X1" s="2943"/>
      <c r="Y1" s="2943"/>
      <c r="Z1" s="2943"/>
      <c r="AA1" s="2943"/>
      <c r="AB1" s="2943"/>
    </row>
    <row r="2" spans="1:28" ht="14.45" customHeight="1">
      <c r="J2" s="2943"/>
      <c r="K2" s="2943"/>
      <c r="L2" s="2943"/>
      <c r="M2" s="2943"/>
      <c r="N2" s="2943"/>
      <c r="O2" s="2943"/>
      <c r="P2" s="2943"/>
      <c r="Q2" s="2943"/>
      <c r="R2" s="2943"/>
      <c r="S2" s="2943"/>
      <c r="T2" s="2943"/>
      <c r="U2" s="2943"/>
      <c r="V2" s="2943"/>
      <c r="W2" s="2943"/>
      <c r="X2" s="2943"/>
      <c r="Y2" s="2943"/>
      <c r="Z2" s="2943"/>
      <c r="AA2" s="2943"/>
      <c r="AB2" s="2943"/>
    </row>
    <row r="3" spans="1:28" ht="14.45" customHeight="1">
      <c r="A3" s="10" t="str">
        <f>IF(SUM(N5:N9)=0,"","a.")</f>
        <v>a.</v>
      </c>
      <c r="B3" s="2999" t="str">
        <f>"Commit to provide at least "&amp;CHOOSE(N10+1,"none","one","two","three","four","five","six")&amp;" of the following resident programs:"</f>
        <v>Commit to provide at least three of the following resident programs:</v>
      </c>
      <c r="C3" s="2999"/>
      <c r="D3" s="2999"/>
      <c r="E3" s="2999"/>
      <c r="F3" s="939"/>
      <c r="H3" s="6"/>
      <c r="I3" s="6"/>
      <c r="J3" s="6"/>
      <c r="K3" s="2993" t="s">
        <v>943</v>
      </c>
      <c r="L3" s="2993"/>
      <c r="M3" s="2993"/>
      <c r="N3" s="2993"/>
    </row>
    <row r="4" spans="1:28" s="6" customFormat="1" ht="10.35" customHeight="1"/>
    <row r="5" spans="1:28" ht="17.45" customHeight="1">
      <c r="A5" s="778" t="str">
        <f>IF(Data1!$B727=TRUE,"Yes","No")</f>
        <v>No</v>
      </c>
      <c r="B5" s="97"/>
      <c r="C5" s="2977" t="s">
        <v>1208</v>
      </c>
      <c r="D5" s="2977"/>
      <c r="E5" s="2977"/>
      <c r="F5" s="905"/>
      <c r="G5" s="925"/>
      <c r="H5" s="2202" t="str">
        <f>IF(AND(Data1!B727=TRUE,IF(RIGHT(Excel_RFA_Number,3)&lt;&gt;"214",AND(Demographic&lt;&gt;"Family",Demographic&lt;&gt;"Workforce"),IF(Link_Classification=Data1!$A$15,Demographic&lt;&gt;"Family",Demographic_of_Occupied&lt;&gt;"Family"))),"Verify Demographic Commitment","")</f>
        <v/>
      </c>
      <c r="K5" s="1994">
        <f>IF(N5=0,0,IF(AND(Demographic&lt;&gt;"Elderly Non-ALF",Demographic&lt;&gt;"Elderly ALF"),IF(Data1!B727=TRUE,IF(A$10&lt;=$N$10,1,IF(COUNTIF(K$4:K4,1)&lt;$N$10,1,2)),IF(A$10&gt;=$N$10,2,IF(COUNTIF(K$4:K4,1)&lt;$N$10,1,2))),3))</f>
        <v>1</v>
      </c>
      <c r="L5" s="931">
        <f>IF(Data1!B727=TRUE,K5,0)</f>
        <v>0</v>
      </c>
      <c r="M5" s="905" t="str">
        <f>CHOOSE(K5+1,"Not to be included in this RFA","A REQUIRED input field for this RFA","An OPTIONAL input field for this RFA","Not Applicable")</f>
        <v>A REQUIRED input field for this RFA</v>
      </c>
      <c r="N5" s="953">
        <v>1</v>
      </c>
    </row>
    <row r="6" spans="1:28" ht="17.45" customHeight="1">
      <c r="A6" s="778" t="str">
        <f>IF(Data1!$B728=TRUE,"Yes","No")</f>
        <v>No</v>
      </c>
      <c r="B6" s="97"/>
      <c r="C6" s="2977" t="s">
        <v>2378</v>
      </c>
      <c r="D6" s="2977"/>
      <c r="E6" s="2977"/>
      <c r="F6" s="905"/>
      <c r="H6" s="2202" t="str">
        <f>IF(AND(Data1!B728=TRUE,IF(RIGHT(Excel_RFA_Number,3)&lt;&gt;"214",AND(Demographic&lt;&gt;"Family",Demographic&lt;&gt;"Workforce"),IF(Link_Classification=Data1!$A$15,Demographic&lt;&gt;"Family",Demographic_of_Occupied&lt;&gt;"Family"))),"Verify Demographic Commitment","")</f>
        <v/>
      </c>
      <c r="K6" s="1994">
        <f>IF(N6=0,0,IF(AND(Demographic&lt;&gt;"Elderly Non-ALF",Demographic&lt;&gt;"Elderly ALF"),IF(Data1!B728=TRUE,IF(A$10&lt;=$N$10,1,IF(COUNTIF(K$4:K5,1)&lt;$N$10,1,2)),IF(A$10&gt;=$N$10,2,IF(COUNTIF(K$4:K5,1)&lt;$N$10,1,2))),3))</f>
        <v>1</v>
      </c>
      <c r="L6" s="931">
        <f>IF(Data1!B728=TRUE,K6,0)</f>
        <v>0</v>
      </c>
      <c r="M6" s="905" t="str">
        <f t="shared" ref="M6:M8" si="0">CHOOSE(K6+1,"Not to be included in this RFA","A REQUIRED input field for this RFA","An OPTIONAL input field for this RFA","Not Applicable")</f>
        <v>A REQUIRED input field for this RFA</v>
      </c>
      <c r="N6" s="953">
        <v>1</v>
      </c>
    </row>
    <row r="7" spans="1:28" ht="17.45" customHeight="1">
      <c r="A7" s="778" t="str">
        <f>IF(Data1!$B729=TRUE,"Yes","No")</f>
        <v>No</v>
      </c>
      <c r="B7" s="97"/>
      <c r="C7" s="2977" t="s">
        <v>1209</v>
      </c>
      <c r="D7" s="2977"/>
      <c r="E7" s="2977"/>
      <c r="F7" s="905"/>
      <c r="H7" s="2202" t="str">
        <f>IF(AND(Data1!B729=TRUE,IF(RIGHT(Excel_RFA_Number,3)&lt;&gt;"214",AND(Demographic&lt;&gt;"Family",Demographic&lt;&gt;"Workforce"),IF(Link_Classification=Data1!$A$15,Demographic&lt;&gt;"Family",Demographic_of_Occupied&lt;&gt;"Family"))),"Verify Demographic Commitment","")</f>
        <v/>
      </c>
      <c r="K7" s="1994">
        <f>IF(N7=0,0,IF(AND(Demographic&lt;&gt;"Elderly Non-ALF",Demographic&lt;&gt;"Elderly ALF"),IF(Data1!B729=TRUE,IF(A$10&lt;=$N$10,1,IF(COUNTIF(K$4:K6,1)&lt;$N$10,1,2)),IF(A$10&gt;=$N$10,2,IF(COUNTIF(K$4:K6,1)&lt;$N$10,1,2))),3))</f>
        <v>1</v>
      </c>
      <c r="L7" s="931">
        <f>IF(Data1!B729=TRUE,K7,0)</f>
        <v>0</v>
      </c>
      <c r="M7" s="905" t="str">
        <f t="shared" si="0"/>
        <v>A REQUIRED input field for this RFA</v>
      </c>
      <c r="N7" s="953">
        <v>1</v>
      </c>
    </row>
    <row r="8" spans="1:28" ht="17.45" customHeight="1">
      <c r="A8" s="778" t="str">
        <f>IF(Data1!$B730=TRUE,"Yes","No")</f>
        <v>No</v>
      </c>
      <c r="B8" s="97"/>
      <c r="C8" s="2977" t="s">
        <v>1210</v>
      </c>
      <c r="D8" s="2977"/>
      <c r="E8" s="2977"/>
      <c r="F8" s="905"/>
      <c r="H8" s="2202" t="str">
        <f>IF(AND(Data1!B730=TRUE,IF(RIGHT(Excel_RFA_Number,3)&lt;&gt;"214",AND(Demographic&lt;&gt;"Family",Demographic&lt;&gt;"Workforce"),IF(Link_Classification=Data1!$A$15,Demographic&lt;&gt;"Family",Demographic_of_Occupied&lt;&gt;"Family"))),"Verify Demographic Commitment","")</f>
        <v/>
      </c>
      <c r="K8" s="1994">
        <f>IF(N8=0,0,IF(AND(Demographic&lt;&gt;"Elderly Non-ALF",Demographic&lt;&gt;"Elderly ALF"),IF(Data1!B730=TRUE,IF(A$10&lt;=$N$10,1,IF(COUNTIF(K$4:K7,1)&lt;$N$10,1,2)),IF(A$10&gt;=$N$10,2,IF(COUNTIF(K$4:K7,1)&lt;$N$10,1,2))),3))</f>
        <v>2</v>
      </c>
      <c r="L8" s="931">
        <f>IF(Data1!B730=TRUE,K8,0)</f>
        <v>0</v>
      </c>
      <c r="M8" s="905" t="str">
        <f t="shared" si="0"/>
        <v>An OPTIONAL input field for this RFA</v>
      </c>
      <c r="N8" s="953">
        <v>1</v>
      </c>
    </row>
    <row r="9" spans="1:28" ht="17.45" customHeight="1">
      <c r="A9" s="778" t="str">
        <f>IF(Data1!$B731=TRUE,"Yes","No")</f>
        <v>No</v>
      </c>
      <c r="B9" s="97"/>
      <c r="C9" s="2977" t="s">
        <v>1211</v>
      </c>
      <c r="D9" s="2977"/>
      <c r="E9" s="2977"/>
      <c r="F9" s="905"/>
      <c r="H9" s="2202" t="str">
        <f>IF(AND(Data1!B731=TRUE,IF(RIGHT(Excel_RFA_Number,3)&lt;&gt;"214",AND(Demographic&lt;&gt;"Family",Demographic&lt;&gt;"Workforce"),IF(Link_Classification=Data1!$A$15,Demographic&lt;&gt;"Family",Demographic_of_Occupied&lt;&gt;"Family"))),"Verify Demographic Commitment","")</f>
        <v/>
      </c>
      <c r="K9" s="1994">
        <f>IF(N9=0,0,IF(AND(Demographic&lt;&gt;"Elderly Non-ALF",Demographic&lt;&gt;"Elderly ALF"),IF(Data1!B731=TRUE,IF(A$10&lt;=$N$10,1,IF(COUNTIF(K$4:K8,1)&lt;$N$10,1,2)),IF(A$10&gt;=$N$10,2,IF(COUNTIF(K$4:K8,1)&lt;$N$10,1,2))),3))</f>
        <v>2</v>
      </c>
      <c r="L9" s="931">
        <f>IF(Data1!B731=TRUE,K9,0)</f>
        <v>0</v>
      </c>
      <c r="M9" s="905" t="str">
        <f>CHOOSE(K9+1,"Not to be included in this RFA","A REQUIRED input field for this RFA","An OPTIONAL input field for this RFA","Not Applicable")</f>
        <v>An OPTIONAL input field for this RFA</v>
      </c>
      <c r="N9" s="953">
        <v>1</v>
      </c>
    </row>
    <row r="10" spans="1:28" ht="14.45" customHeight="1">
      <c r="A10" s="98">
        <f>COUNTIF(Data1!B727:B731,"TRUE")</f>
        <v>0</v>
      </c>
      <c r="B10" s="934"/>
      <c r="C10" s="2806" t="str">
        <f>IF(AND(A10&lt;N10,OR(Demographic="Family",Demographic="Workforce")),"Please select at least "&amp;CHOOSE(N10+1,"none","one","two","three","four","five","six")&amp;" of the above resident programs before proceeding",IF(AND(Demographic&lt;&gt;"Family",Demographic&lt;&gt;"Workforce",Demographic&lt;&gt;"&lt;select one&gt;"),"The above programs are not applicable to the selected Demographic Commitment",""))</f>
        <v>The above programs are not applicable to the selected Demographic Commitment</v>
      </c>
      <c r="D10" s="2806"/>
      <c r="E10" s="2806"/>
      <c r="F10" s="2806"/>
      <c r="J10" s="98"/>
      <c r="M10" t="s">
        <v>1212</v>
      </c>
      <c r="N10" s="953">
        <v>3</v>
      </c>
    </row>
    <row r="11" spans="1:28" ht="14.45" customHeight="1">
      <c r="A11" s="25" t="str">
        <f>IF(SUM(N5:N9)=0,"a.","b.")</f>
        <v>b.</v>
      </c>
      <c r="B11" s="3224" t="str">
        <f>"Developments serving the Elderly "&amp;IF(M13=0,"","(ALF or Non-ALF) ")&amp;"Demographic:"</f>
        <v>Developments serving the Elderly (ALF or Non-ALF) Demographic:</v>
      </c>
      <c r="C11" s="3224"/>
      <c r="D11" s="3224"/>
      <c r="E11" s="3224"/>
      <c r="F11" s="938"/>
      <c r="M11" s="313">
        <v>1</v>
      </c>
    </row>
    <row r="12" spans="1:28" ht="10.35" customHeight="1">
      <c r="A12" s="25"/>
      <c r="B12" s="938"/>
      <c r="C12" s="938"/>
      <c r="D12" s="938"/>
      <c r="E12" s="938"/>
      <c r="F12" s="938"/>
    </row>
    <row r="13" spans="1:28" ht="30" customHeight="1">
      <c r="B13" s="623">
        <v>1</v>
      </c>
      <c r="C13" s="2943" t="str">
        <f>"Required Resident Programs for all Applicants that select the Elderly Demographic "&amp;IF(M13=0,"","(ALF or Non-ALF) ")&amp;"are outlined in Section Four."</f>
        <v>Required Resident Programs for all Applicants that select the Elderly Demographic (ALF or Non-ALF) are outlined in Section Four.</v>
      </c>
      <c r="D13" s="2943"/>
      <c r="E13" s="2943"/>
      <c r="F13" s="2943"/>
      <c r="G13" s="2943"/>
      <c r="H13" s="2943"/>
      <c r="M13" s="2405">
        <f>IF(IFERROR(MATCH("Elderly ALF",DS_Demo_DDMenu,0),0)&gt;0,1,0)</f>
        <v>1</v>
      </c>
    </row>
    <row r="14" spans="1:28" ht="30" customHeight="1">
      <c r="B14" s="623">
        <f>IF(M$13=0,"",2)</f>
        <v>2</v>
      </c>
      <c r="C14" s="2943" t="s">
        <v>1213</v>
      </c>
      <c r="D14" s="2943"/>
      <c r="E14" s="2943"/>
      <c r="F14" s="2943"/>
      <c r="G14" s="2943"/>
      <c r="H14" s="2943"/>
      <c r="M14" s="3225">
        <v>0</v>
      </c>
    </row>
    <row r="15" spans="1:28" ht="30" customHeight="1">
      <c r="B15" s="623">
        <f>IF(M$13=0,2,3)</f>
        <v>3</v>
      </c>
      <c r="C15" s="2943" t="str">
        <f>"Applicants that select the Elderly "&amp;IF(M13=0,"","(ALF or Non-ALF) ")&amp;"Demographic must commit to at least three of the following resident programs, in addition to the required resident programs stated in Section Four:"</f>
        <v>Applicants that select the Elderly (ALF or Non-ALF) Demographic must commit to at least three of the following resident programs, in addition to the required resident programs stated in Section Four:</v>
      </c>
      <c r="D15" s="2943"/>
      <c r="E15" s="2943"/>
      <c r="F15" s="2943"/>
      <c r="G15" s="2943"/>
      <c r="H15" s="2943"/>
      <c r="M15" s="3226"/>
    </row>
    <row r="16" spans="1:28" ht="17.45" customHeight="1">
      <c r="A16" s="778" t="str">
        <f>IF(Data1!$B733=TRUE,"Yes","No")</f>
        <v>No</v>
      </c>
      <c r="B16" s="250"/>
      <c r="C16" s="2977" t="s">
        <v>2379</v>
      </c>
      <c r="D16" s="2977"/>
      <c r="E16" s="2977"/>
      <c r="F16" s="2977"/>
      <c r="H16" s="2201" t="str">
        <f>IF(AND(Data1!B733=TRUE,IF(RIGHT(Excel_RFA_Number,3)&lt;&gt;"214",AND(Demographic&lt;&gt;"Elderly ALF",Demographic&lt;&gt;"Elderly Non-ALF"),IF(Link_Classification=Data1!$A$15,Demographic&lt;&gt;"Elderly Non-ALF",Demographic_of_Occupied&lt;&gt;"Elderly Non-ALF"))),"Verify Demographic Commitment","")</f>
        <v/>
      </c>
      <c r="K16" s="929">
        <f>IF(OR($M$11=0,N16=0),0,IF(OR(Demographic="Elderly Non-ALF",Demographic="Elderly ALF"),IF(Data1!B733=TRUE,IF(A$21&lt;3,1,IF(COUNTIF(K$15:K15,1)&lt;3,1,2)),IF(A$21+COUNTIF(K$15:K15,1)&lt;3,1,2)),3))</f>
        <v>3</v>
      </c>
      <c r="L16" s="931">
        <f>IF(Data1!B733=TRUE,K16,0)</f>
        <v>0</v>
      </c>
      <c r="M16" s="905" t="str">
        <f>CHOOSE(K16+1,"Not to be included in this RFA","A REQUIRED input field for this RFA","An OPTIONAL input field for this RFA","Not Applicable")</f>
        <v>Not Applicable</v>
      </c>
      <c r="N16" s="953">
        <v>2</v>
      </c>
    </row>
    <row r="17" spans="1:14" ht="17.45" customHeight="1">
      <c r="A17" s="778" t="str">
        <f>IF(Data1!$B734=TRUE,"Yes","No")</f>
        <v>No</v>
      </c>
      <c r="B17" s="36"/>
      <c r="C17" s="2977" t="s">
        <v>1214</v>
      </c>
      <c r="D17" s="2977"/>
      <c r="E17" s="2977"/>
      <c r="F17" s="2977"/>
      <c r="H17" s="2201" t="str">
        <f>IF(AND(Data1!B734=TRUE,IF(RIGHT(Excel_RFA_Number,3)&lt;&gt;"214",AND(Demographic&lt;&gt;"Elderly ALF",Demographic&lt;&gt;"Elderly Non-ALF"),IF(Link_Classification=Data1!$A$15,Demographic&lt;&gt;"Elderly Non-ALF",Demographic_of_Occupied&lt;&gt;"Elderly Non-ALF"))),"Verify Demographic Commitment","")</f>
        <v/>
      </c>
      <c r="K17" s="929">
        <f>IF(OR($M$11=0,N17=0),0,IF(OR(Demographic="Elderly Non-ALF",Demographic="Elderly ALF"),IF(Data1!B734=TRUE,IF(A$21&lt;3,1,IF(COUNTIF(K$15:K16,1)&lt;3,1,2)),IF(A$21+COUNTIF(K$15:K16,1)&lt;3,1,2)),3))</f>
        <v>3</v>
      </c>
      <c r="L17" s="931">
        <f>IF(Data1!B734=TRUE,K17,0)</f>
        <v>0</v>
      </c>
      <c r="M17" s="905" t="str">
        <f>CHOOSE(K17+1,"Not to be included in this RFA","A REQUIRED input field for this RFA","An OPTIONAL input field for this RFA","Not Applicable")</f>
        <v>Not Applicable</v>
      </c>
      <c r="N17" s="953">
        <v>2</v>
      </c>
    </row>
    <row r="18" spans="1:14" ht="17.45" customHeight="1">
      <c r="A18" s="778" t="str">
        <f>IF(Data1!$B735=TRUE,"Yes","No")</f>
        <v>No</v>
      </c>
      <c r="B18" s="36"/>
      <c r="C18" s="2977" t="s">
        <v>1215</v>
      </c>
      <c r="D18" s="2977"/>
      <c r="E18" s="2977"/>
      <c r="F18" s="2977"/>
      <c r="H18" s="2201" t="str">
        <f>IF(AND(Data1!B735=TRUE,IF(RIGHT(Excel_RFA_Number,3)&lt;&gt;"214",AND(Demographic&lt;&gt;"Elderly ALF",Demographic&lt;&gt;"Elderly Non-ALF"),IF(Link_Classification=Data1!$A$15,Demographic&lt;&gt;"Elderly Non-ALF",Demographic_of_Occupied&lt;&gt;"Elderly Non-ALF"))),"Verify Demographic Commitment","")</f>
        <v/>
      </c>
      <c r="K18" s="929">
        <f>IF(OR($M$11=0,N18=0),0,IF(OR(Demographic="Elderly Non-ALF",Demographic="Elderly ALF"),IF(Data1!B735=TRUE,IF(A$21&lt;3,1,IF(COUNTIF(K$15:K17,1)&lt;3,1,2)),IF(A$21+COUNTIF(K$15:K17,1)&lt;3,1,2)),3))</f>
        <v>3</v>
      </c>
      <c r="L18" s="931">
        <f>IF(Data1!B735=TRUE,K18,0)</f>
        <v>0</v>
      </c>
      <c r="M18" s="905" t="str">
        <f>CHOOSE(K18+1,"Not to be included in this RFA","A REQUIRED input field for this RFA","An OPTIONAL input field for this RFA","Not Applicable")</f>
        <v>Not Applicable</v>
      </c>
      <c r="N18" s="953">
        <v>2</v>
      </c>
    </row>
    <row r="19" spans="1:14" ht="17.45" customHeight="1">
      <c r="A19" s="778" t="str">
        <f>IF(Data1!$B736=TRUE,"Yes","No")</f>
        <v>No</v>
      </c>
      <c r="B19" s="36"/>
      <c r="C19" s="2977" t="s">
        <v>1216</v>
      </c>
      <c r="D19" s="2977"/>
      <c r="E19" s="2977"/>
      <c r="F19" s="2977"/>
      <c r="H19" s="2201" t="str">
        <f>IF(AND(Data1!B736=TRUE,IF(RIGHT(Excel_RFA_Number,3)&lt;&gt;"214",AND(Demographic&lt;&gt;"Elderly ALF",Demographic&lt;&gt;"Elderly Non-ALF"),IF(Link_Classification=Data1!$A$15,Demographic&lt;&gt;"Elderly Non-ALF",Demographic_of_Occupied&lt;&gt;"Elderly Non-ALF"))),"Verify Demographic Commitment","")</f>
        <v/>
      </c>
      <c r="K19" s="929">
        <f>IF(OR($M$11=0,N19=0),0,IF(OR(Demographic="Elderly Non-ALF",Demographic="Elderly ALF"),IF(Data1!B736=TRUE,IF(A$21&lt;3,1,IF(COUNTIF(K$15:K18,1)&lt;3,1,2)),IF(A$21+COUNTIF(K$15:K18,1)&lt;3,1,2)),3))</f>
        <v>3</v>
      </c>
      <c r="L19" s="931">
        <f>IF(Data1!B736=TRUE,K19,0)</f>
        <v>0</v>
      </c>
      <c r="M19" s="905" t="str">
        <f>CHOOSE(K19+1,"Not to be included in this RFA","A REQUIRED input field for this RFA","An OPTIONAL input field for this RFA","Not Applicable")</f>
        <v>Not Applicable</v>
      </c>
      <c r="N19" s="953">
        <v>2</v>
      </c>
    </row>
    <row r="20" spans="1:14" ht="17.45" customHeight="1">
      <c r="A20" s="778" t="str">
        <f>IF(Data1!$B737=TRUE,"Yes","No")</f>
        <v>No</v>
      </c>
      <c r="B20" s="36"/>
      <c r="C20" s="2977" t="s">
        <v>1217</v>
      </c>
      <c r="D20" s="2977"/>
      <c r="E20" s="2977"/>
      <c r="F20" s="2977"/>
      <c r="H20" s="2201" t="str">
        <f>IF(AND(Data1!B737=TRUE,IF(RIGHT(Excel_RFA_Number,3)&lt;&gt;"214",AND(Demographic&lt;&gt;"Elderly ALF",Demographic&lt;&gt;"Elderly Non-ALF"),IF(Link_Classification=Data1!$A$15,Demographic&lt;&gt;"Elderly Non-ALF",Demographic_of_Occupied&lt;&gt;"Elderly Non-ALF"))),"Verify Demographic Commitment","")</f>
        <v/>
      </c>
      <c r="K20" s="929">
        <f>IF(OR($M$11=0,N20=0),0,IF(OR(Demographic="Elderly Non-ALF",Demographic="Elderly ALF"),IF(Data1!B737=TRUE,IF(A$21&lt;3,1,IF(COUNTIF(K$15:K19,1)&lt;3,1,2)),IF(A$21+COUNTIF(K$15:K19,1)&lt;3,1,2)),3))</f>
        <v>3</v>
      </c>
      <c r="L20" s="931">
        <f>IF(Data1!B737=TRUE,K20,0)</f>
        <v>0</v>
      </c>
      <c r="M20" s="905" t="str">
        <f>CHOOSE(K20+1,"Not to be included in this RFA","A REQUIRED input field for this RFA","An OPTIONAL input field for this RFA","Not Applicable")</f>
        <v>Not Applicable</v>
      </c>
      <c r="N20" s="953">
        <v>2</v>
      </c>
    </row>
    <row r="21" spans="1:14" ht="14.45" customHeight="1">
      <c r="A21" s="98">
        <f>COUNTIF(Data1!B733:B737,"TRUE")</f>
        <v>0</v>
      </c>
      <c r="B21" s="937"/>
      <c r="C21" s="2806" t="str">
        <f>IF(AND(A21&lt;3,OR(Demographic="Elderly Non-ALF",Demographic="Elderly ALF")),"Please select at least three of the above resident programs before proceeding",IF(AND(Demographic&lt;&gt;"Elderly Non-ALF",Demographic&lt;&gt;"Elderly ALF",Demographic&lt;&gt;"&lt;select one&gt;"),"The above programs are not applicable to the selected Demographic Commitment",""))</f>
        <v>The above programs are not applicable to the selected Demographic Commitment</v>
      </c>
      <c r="D21" s="2806"/>
      <c r="E21" s="2806"/>
      <c r="F21" s="2806"/>
      <c r="J21" s="98"/>
    </row>
    <row r="22" spans="1:14" ht="10.35" customHeight="1">
      <c r="K22" s="337" t="s">
        <v>1887</v>
      </c>
    </row>
    <row r="23" spans="1:14" ht="17.45" customHeight="1">
      <c r="C23" s="2378" t="s">
        <v>2740</v>
      </c>
      <c r="K23" s="337" t="s">
        <v>1218</v>
      </c>
    </row>
  </sheetData>
  <sheetProtection algorithmName="SHA-512" hashValue="0hbQo0DN1IOkqbC25Of3Bg03G3VWBB16/xRFMe0wNAtdDp+KlmRerZ5dP1KDApmx5V9SRQcz9WCQznaZiZg/pg==" saltValue="rhx6g+NcKNWmHV7s5PXlkw==" spinCount="100000" sheet="1" selectLockedCells="1"/>
  <mergeCells count="21">
    <mergeCell ref="M14:M15"/>
    <mergeCell ref="J1:AB2"/>
    <mergeCell ref="A1:H1"/>
    <mergeCell ref="B3:E3"/>
    <mergeCell ref="C5:E5"/>
    <mergeCell ref="K3:N3"/>
    <mergeCell ref="C21:F21"/>
    <mergeCell ref="B11:E11"/>
    <mergeCell ref="C10:F10"/>
    <mergeCell ref="C6:E6"/>
    <mergeCell ref="C7:E7"/>
    <mergeCell ref="C8:E8"/>
    <mergeCell ref="C9:E9"/>
    <mergeCell ref="C15:H15"/>
    <mergeCell ref="C13:H13"/>
    <mergeCell ref="C14:H14"/>
    <mergeCell ref="C17:F17"/>
    <mergeCell ref="C18:F18"/>
    <mergeCell ref="C19:F19"/>
    <mergeCell ref="C20:F20"/>
    <mergeCell ref="C16:F16"/>
  </mergeCells>
  <conditionalFormatting sqref="C10 C21">
    <cfRule type="cellIs" dxfId="602" priority="26" operator="equal">
      <formula>"The above programs are not applicable to the selected Demographic Commitment"</formula>
    </cfRule>
    <cfRule type="expression" dxfId="601" priority="53" stopIfTrue="1">
      <formula>AND(LEFT($C10,6)="Please",OR(Demographic="Family",Demographic="Workforce"))</formula>
    </cfRule>
  </conditionalFormatting>
  <conditionalFormatting sqref="B5:H9">
    <cfRule type="expression" dxfId="600" priority="20">
      <formula>$K5=0</formula>
    </cfRule>
  </conditionalFormatting>
  <conditionalFormatting sqref="C10">
    <cfRule type="expression" dxfId="599" priority="24" stopIfTrue="1">
      <formula>AND($A10&gt;0,$C10="The above programs are not applicable to the selected Demographic Commitment",AND(Demographic&lt;&gt;"Family",Demographic&lt;&gt;"Workforce"))</formula>
    </cfRule>
  </conditionalFormatting>
  <conditionalFormatting sqref="C21:F21">
    <cfRule type="expression" dxfId="598" priority="1610">
      <formula>$C$21="Please select at least three of the above resident programs before proceeding"</formula>
    </cfRule>
    <cfRule type="expression" dxfId="597" priority="1611" stopIfTrue="1">
      <formula>AND($A21&gt;0,$C21="The above programs are not applicable to the selected Demographic Commitment",AND(Demographic&lt;&gt;"Elderly Non-ALF",Demographic&lt;&gt;"Elderly ALF"))</formula>
    </cfRule>
  </conditionalFormatting>
  <conditionalFormatting sqref="A3:H4 A10:H10 A5:G9">
    <cfRule type="expression" dxfId="596" priority="12">
      <formula>SUM($N$5:$N$9)=0</formula>
    </cfRule>
  </conditionalFormatting>
  <conditionalFormatting sqref="C16:G20 A11:H15">
    <cfRule type="expression" dxfId="595" priority="1602">
      <formula>AND(Demographic&lt;&gt;"Elderly ALF",Demographic&lt;&gt;"Elderly Non-ALF",Demographic&lt;&gt;"&lt;select one&gt;")</formula>
    </cfRule>
  </conditionalFormatting>
  <conditionalFormatting sqref="A3:H4 B5:H9">
    <cfRule type="expression" dxfId="594" priority="11">
      <formula>AND(Demographic&lt;&gt;"Family",Demographic&lt;&gt;"Workforce",Demographic&lt;&gt;"&lt;select one&gt;")</formula>
    </cfRule>
  </conditionalFormatting>
  <conditionalFormatting sqref="A14:H14">
    <cfRule type="expression" dxfId="593" priority="1291">
      <formula>$M$13=0</formula>
    </cfRule>
  </conditionalFormatting>
  <conditionalFormatting sqref="B16:G20">
    <cfRule type="expression" dxfId="592" priority="1292">
      <formula>$K16=0</formula>
    </cfRule>
  </conditionalFormatting>
  <conditionalFormatting sqref="M14">
    <cfRule type="cellIs" dxfId="591" priority="14" operator="greaterThan">
      <formula>0</formula>
    </cfRule>
  </conditionalFormatting>
  <conditionalFormatting sqref="B5:B9">
    <cfRule type="expression" dxfId="590" priority="15">
      <formula>AND(Demographic&lt;&gt;"Family",Demographic&lt;&gt;"Workforce",Demographic&lt;&gt;"&lt;select one&gt;")</formula>
    </cfRule>
  </conditionalFormatting>
  <conditionalFormatting sqref="B16:B20">
    <cfRule type="expression" dxfId="589" priority="1302">
      <formula>AND(Demographic&lt;&gt;"Elderly ALF",Demographic&lt;&gt;"Elderly Non-ALF",Demographic&lt;&gt;"&lt;select one&gt;")</formula>
    </cfRule>
  </conditionalFormatting>
  <conditionalFormatting sqref="M11 M13">
    <cfRule type="cellIs" dxfId="588" priority="9" operator="equal">
      <formula>0</formula>
    </cfRule>
  </conditionalFormatting>
  <conditionalFormatting sqref="H16:H20">
    <cfRule type="expression" dxfId="587" priority="5">
      <formula>AND(Demographic&lt;&gt;"Elderly ALF",Demographic&lt;&gt;"Elderly Non-ALF",Demographic&lt;&gt;"&lt;select one&gt;")</formula>
    </cfRule>
  </conditionalFormatting>
  <conditionalFormatting sqref="H16:H20">
    <cfRule type="expression" dxfId="586" priority="4">
      <formula>$K16=0</formula>
    </cfRule>
  </conditionalFormatting>
  <conditionalFormatting sqref="H5:H9">
    <cfRule type="expression" dxfId="585" priority="5077">
      <formula>SUM($N$5:$N$9)=0</formula>
    </cfRule>
  </conditionalFormatting>
  <conditionalFormatting sqref="A11:H21">
    <cfRule type="expression" dxfId="584" priority="1">
      <formula>$M$11=0</formula>
    </cfRule>
  </conditionalFormatting>
  <dataValidations disablePrompts="1" count="2">
    <dataValidation type="list" allowBlank="1" showDropDown="1" showErrorMessage="1" error="To select this Resident Program, type in &quot;x&quot;." sqref="B16:B20 B5:B9" xr:uid="{00000000-0002-0000-0700-000000000000}">
      <formula1>"x,X"</formula1>
    </dataValidation>
    <dataValidation type="custom" allowBlank="1" showInputMessage="1" showErrorMessage="1" sqref="N16:N20 N5:N9" xr:uid="{F511F796-4CA2-46C5-8849-DBB0F5358D42}">
      <formula1>AND(N5&gt;=0,N5&lt;3,N5=ROUND(N5,0))</formula1>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47625</xdr:colOff>
                    <xdr:row>3</xdr:row>
                    <xdr:rowOff>104775</xdr:rowOff>
                  </from>
                  <to>
                    <xdr:col>4</xdr:col>
                    <xdr:colOff>171450</xdr:colOff>
                    <xdr:row>4</xdr:row>
                    <xdr:rowOff>209550</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47625</xdr:colOff>
                    <xdr:row>4</xdr:row>
                    <xdr:rowOff>209550</xdr:rowOff>
                  </from>
                  <to>
                    <xdr:col>4</xdr:col>
                    <xdr:colOff>171450</xdr:colOff>
                    <xdr:row>6</xdr:row>
                    <xdr:rowOff>0</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47625</xdr:colOff>
                    <xdr:row>5</xdr:row>
                    <xdr:rowOff>209550</xdr:rowOff>
                  </from>
                  <to>
                    <xdr:col>4</xdr:col>
                    <xdr:colOff>171450</xdr:colOff>
                    <xdr:row>7</xdr:row>
                    <xdr:rowOff>0</xdr:rowOff>
                  </to>
                </anchor>
              </controlPr>
            </control>
          </mc:Choice>
        </mc:AlternateContent>
        <mc:AlternateContent xmlns:mc="http://schemas.openxmlformats.org/markup-compatibility/2006">
          <mc:Choice Requires="x14">
            <control shapeId="24582" r:id="rId7" name="Check Box 6">
              <controlPr locked="0" defaultSize="0" autoFill="0" autoLine="0" autoPict="0">
                <anchor moveWithCells="1">
                  <from>
                    <xdr:col>1</xdr:col>
                    <xdr:colOff>47625</xdr:colOff>
                    <xdr:row>7</xdr:row>
                    <xdr:rowOff>0</xdr:rowOff>
                  </from>
                  <to>
                    <xdr:col>4</xdr:col>
                    <xdr:colOff>171450</xdr:colOff>
                    <xdr:row>8</xdr:row>
                    <xdr:rowOff>9525</xdr:rowOff>
                  </to>
                </anchor>
              </controlPr>
            </control>
          </mc:Choice>
        </mc:AlternateContent>
        <mc:AlternateContent xmlns:mc="http://schemas.openxmlformats.org/markup-compatibility/2006">
          <mc:Choice Requires="x14">
            <control shapeId="24589" r:id="rId8" name="Check Box 13">
              <controlPr locked="0" defaultSize="0" autoFill="0" autoLine="0" autoPict="0">
                <anchor moveWithCells="1">
                  <from>
                    <xdr:col>1</xdr:col>
                    <xdr:colOff>47625</xdr:colOff>
                    <xdr:row>7</xdr:row>
                    <xdr:rowOff>209550</xdr:rowOff>
                  </from>
                  <to>
                    <xdr:col>4</xdr:col>
                    <xdr:colOff>171450</xdr:colOff>
                    <xdr:row>9</xdr:row>
                    <xdr:rowOff>0</xdr:rowOff>
                  </to>
                </anchor>
              </controlPr>
            </control>
          </mc:Choice>
        </mc:AlternateContent>
        <mc:AlternateContent xmlns:mc="http://schemas.openxmlformats.org/markup-compatibility/2006">
          <mc:Choice Requires="x14">
            <control shapeId="24591" r:id="rId9" name="Check Box 15">
              <controlPr locked="0" defaultSize="0" autoFill="0" autoLine="0" autoPict="0" altText="">
                <anchor moveWithCells="1">
                  <from>
                    <xdr:col>1</xdr:col>
                    <xdr:colOff>38100</xdr:colOff>
                    <xdr:row>14</xdr:row>
                    <xdr:rowOff>371475</xdr:rowOff>
                  </from>
                  <to>
                    <xdr:col>4</xdr:col>
                    <xdr:colOff>161925</xdr:colOff>
                    <xdr:row>16</xdr:row>
                    <xdr:rowOff>0</xdr:rowOff>
                  </to>
                </anchor>
              </controlPr>
            </control>
          </mc:Choice>
        </mc:AlternateContent>
        <mc:AlternateContent xmlns:mc="http://schemas.openxmlformats.org/markup-compatibility/2006">
          <mc:Choice Requires="x14">
            <control shapeId="24592" r:id="rId10" name="Check Box 16">
              <controlPr locked="0" defaultSize="0" autoFill="0" autoLine="0" autoPict="0" altText="">
                <anchor moveWithCells="1">
                  <from>
                    <xdr:col>1</xdr:col>
                    <xdr:colOff>38100</xdr:colOff>
                    <xdr:row>15</xdr:row>
                    <xdr:rowOff>209550</xdr:rowOff>
                  </from>
                  <to>
                    <xdr:col>4</xdr:col>
                    <xdr:colOff>161925</xdr:colOff>
                    <xdr:row>17</xdr:row>
                    <xdr:rowOff>0</xdr:rowOff>
                  </to>
                </anchor>
              </controlPr>
            </control>
          </mc:Choice>
        </mc:AlternateContent>
        <mc:AlternateContent xmlns:mc="http://schemas.openxmlformats.org/markup-compatibility/2006">
          <mc:Choice Requires="x14">
            <control shapeId="24593" r:id="rId11" name="Check Box 17">
              <controlPr locked="0" defaultSize="0" autoFill="0" autoLine="0" autoPict="0" altText="">
                <anchor moveWithCells="1">
                  <from>
                    <xdr:col>1</xdr:col>
                    <xdr:colOff>38100</xdr:colOff>
                    <xdr:row>16</xdr:row>
                    <xdr:rowOff>209550</xdr:rowOff>
                  </from>
                  <to>
                    <xdr:col>4</xdr:col>
                    <xdr:colOff>161925</xdr:colOff>
                    <xdr:row>18</xdr:row>
                    <xdr:rowOff>0</xdr:rowOff>
                  </to>
                </anchor>
              </controlPr>
            </control>
          </mc:Choice>
        </mc:AlternateContent>
        <mc:AlternateContent xmlns:mc="http://schemas.openxmlformats.org/markup-compatibility/2006">
          <mc:Choice Requires="x14">
            <control shapeId="24595" r:id="rId12" name="Check Box 19">
              <controlPr locked="0" defaultSize="0" autoFill="0" autoLine="0" autoPict="0" altText="">
                <anchor moveWithCells="1">
                  <from>
                    <xdr:col>1</xdr:col>
                    <xdr:colOff>38100</xdr:colOff>
                    <xdr:row>17</xdr:row>
                    <xdr:rowOff>200025</xdr:rowOff>
                  </from>
                  <to>
                    <xdr:col>4</xdr:col>
                    <xdr:colOff>161925</xdr:colOff>
                    <xdr:row>18</xdr:row>
                    <xdr:rowOff>209550</xdr:rowOff>
                  </to>
                </anchor>
              </controlPr>
            </control>
          </mc:Choice>
        </mc:AlternateContent>
        <mc:AlternateContent xmlns:mc="http://schemas.openxmlformats.org/markup-compatibility/2006">
          <mc:Choice Requires="x14">
            <control shapeId="24596" r:id="rId13" name="Check Box 20">
              <controlPr locked="0" defaultSize="0" autoFill="0" autoLine="0" autoPict="0" altText="">
                <anchor moveWithCells="1">
                  <from>
                    <xdr:col>1</xdr:col>
                    <xdr:colOff>38100</xdr:colOff>
                    <xdr:row>18</xdr:row>
                    <xdr:rowOff>200025</xdr:rowOff>
                  </from>
                  <to>
                    <xdr:col>4</xdr:col>
                    <xdr:colOff>161925</xdr:colOff>
                    <xdr:row>19</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88" stopIfTrue="1" id="{CCD5B67E-62E8-41AB-814E-9642CA5492F6}">
            <xm:f>Data1!$E$825="Yes"</xm:f>
            <x14:dxf>
              <font>
                <color theme="0"/>
              </font>
              <fill>
                <patternFill>
                  <bgColor theme="0"/>
                </patternFill>
              </fill>
              <border>
                <left/>
                <right/>
                <top/>
                <bottom/>
                <vertical/>
                <horizontal/>
              </border>
            </x14:dxf>
          </x14:cfRule>
          <xm:sqref>K4:N12 K14:N24 K13:M13</xm:sqref>
        </x14:conditionalFormatting>
        <x14:conditionalFormatting xmlns:xm="http://schemas.microsoft.com/office/excel/2006/main">
          <x14:cfRule type="expression" priority="18" stopIfTrue="1" id="{00000000-000E-0000-0F00-000009000000}">
            <xm:f>AND(Data1!$B727=TRUE,AND(Demographic&lt;&gt;"Family",Demographic&lt;&gt;"Workforce"))</xm:f>
            <x14:dxf>
              <font>
                <color rgb="FFC00000"/>
              </font>
              <fill>
                <patternFill>
                  <bgColor rgb="FFFFE6FF"/>
                </patternFill>
              </fill>
            </x14:dxf>
          </x14:cfRule>
          <x14:cfRule type="expression" priority="19" id="{00000000-000E-0000-0F00-00000B000000}">
            <xm:f>AND(Data1!$B727=TRUE,OR(Demographic="Family",Demographic="Workforce"))</xm:f>
            <x14:dxf>
              <fill>
                <patternFill>
                  <bgColor theme="9" tint="0.79998168889431442"/>
                </patternFill>
              </fill>
            </x14:dxf>
          </x14:cfRule>
          <xm:sqref>B5:G9</xm:sqref>
        </x14:conditionalFormatting>
        <x14:conditionalFormatting xmlns:xm="http://schemas.microsoft.com/office/excel/2006/main">
          <x14:cfRule type="expression" priority="1303" stopIfTrue="1" id="{00000000-000E-0000-0F00-000003000000}">
            <xm:f>AND(Data1!$B733=TRUE,AND(Demographic&lt;&gt;"Elderly Non-ALF",Demographic&lt;&gt;"Elderly ALF"))</xm:f>
            <x14:dxf>
              <font>
                <color rgb="FFC00000"/>
              </font>
              <fill>
                <patternFill>
                  <bgColor rgb="FFFFE6FF"/>
                </patternFill>
              </fill>
            </x14:dxf>
          </x14:cfRule>
          <x14:cfRule type="expression" priority="1304" id="{00000000-000E-0000-0F00-000019000000}">
            <xm:f>Data1!$B733=TRUE</xm:f>
            <x14:dxf>
              <fill>
                <patternFill>
                  <bgColor theme="9" tint="0.79998168889431442"/>
                </patternFill>
              </fill>
            </x14:dxf>
          </x14:cfRule>
          <xm:sqref>B16:G20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dimension ref="A1:AA44"/>
  <sheetViews>
    <sheetView showGridLines="0" zoomScale="110" zoomScaleNormal="110" zoomScaleSheetLayoutView="100" workbookViewId="0">
      <pane ySplit="2" topLeftCell="A3" activePane="bottomLeft" state="frozen"/>
      <selection activeCell="L364" sqref="L364:N364"/>
      <selection pane="bottomLeft" activeCell="E16" sqref="E16:H16"/>
    </sheetView>
  </sheetViews>
  <sheetFormatPr defaultColWidth="8.5703125" defaultRowHeight="15"/>
  <cols>
    <col min="1" max="1" width="3" customWidth="1"/>
    <col min="2" max="3" width="3.5703125" customWidth="1"/>
    <col min="4" max="4" width="18.42578125" customWidth="1"/>
    <col min="5" max="5" width="35.5703125" customWidth="1"/>
    <col min="6" max="6" width="24.5703125" customWidth="1"/>
    <col min="7" max="7" width="14.28515625" customWidth="1"/>
    <col min="8" max="8" width="8.42578125" customWidth="1"/>
    <col min="9" max="9" width="8.7109375" customWidth="1"/>
    <col min="10" max="10" width="3.5703125" customWidth="1"/>
    <col min="11" max="12" width="3.5703125" hidden="1" customWidth="1"/>
    <col min="13" max="13" width="35.7109375" hidden="1" customWidth="1"/>
    <col min="14" max="14" width="3.5703125" hidden="1" customWidth="1"/>
  </cols>
  <sheetData>
    <row r="1" spans="1:27" ht="35.85" customHeight="1" thickBot="1">
      <c r="A1" s="2979" t="s">
        <v>1204</v>
      </c>
      <c r="B1" s="2980"/>
      <c r="C1" s="2980"/>
      <c r="D1" s="2980"/>
      <c r="E1" s="2980"/>
      <c r="F1" s="2980"/>
      <c r="G1" s="2980"/>
      <c r="H1" s="2981"/>
      <c r="I1" s="24"/>
      <c r="J1" s="2943"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"&amp;IF(Data1!G824=1,"is ","are ")&amp;TEXT(Data1!G824,"0")&amp;" required input field"&amp;IF(Data1!G824=1," that need an entry","s that need entries")&amp;" and "&amp;TEXT(Data1!H824,"0")&amp;" optional input field"&amp;IF(Data1!H824=1,"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13 required input fields that need entries and 1 optional input field that may or may not need an entry tracked on this tab.</v>
      </c>
      <c r="K1" s="2943"/>
      <c r="L1" s="2943"/>
      <c r="M1" s="2943"/>
      <c r="N1" s="2943"/>
      <c r="O1" s="2943"/>
      <c r="P1" s="2943"/>
      <c r="Q1" s="2943"/>
      <c r="R1" s="2943"/>
      <c r="S1" s="2943"/>
      <c r="T1" s="2943"/>
      <c r="U1" s="2943"/>
      <c r="V1" s="2943"/>
      <c r="W1" s="2943"/>
      <c r="X1" s="2943"/>
      <c r="Y1" s="2943"/>
      <c r="Z1" s="2943"/>
      <c r="AA1" s="2943"/>
    </row>
    <row r="2" spans="1:27" ht="14.45" customHeight="1">
      <c r="A2" s="645"/>
      <c r="B2" s="646"/>
      <c r="C2" s="646"/>
      <c r="D2" s="646"/>
      <c r="E2" s="646"/>
      <c r="F2" s="646"/>
      <c r="G2" s="646"/>
      <c r="H2" s="646"/>
      <c r="I2" s="646"/>
      <c r="J2" s="2943"/>
      <c r="K2" s="2943"/>
      <c r="L2" s="2943"/>
      <c r="M2" s="2943"/>
      <c r="N2" s="2943"/>
      <c r="O2" s="2943"/>
      <c r="P2" s="2943"/>
      <c r="Q2" s="2943"/>
      <c r="R2" s="2943"/>
      <c r="S2" s="2943"/>
      <c r="T2" s="2943"/>
      <c r="U2" s="2943"/>
      <c r="V2" s="2943"/>
      <c r="W2" s="2943"/>
      <c r="X2" s="2943"/>
      <c r="Y2" s="2943"/>
      <c r="Z2" s="2943"/>
      <c r="AA2" s="2943"/>
    </row>
    <row r="3" spans="1:27" ht="17.45" customHeight="1">
      <c r="A3" s="2943" t="s">
        <v>2883</v>
      </c>
      <c r="B3" s="2943"/>
      <c r="C3" s="2943"/>
      <c r="D3" s="2943"/>
      <c r="E3" s="2943"/>
      <c r="F3" s="2943"/>
      <c r="G3" s="2943"/>
      <c r="H3" s="2943"/>
      <c r="K3" s="2993" t="s">
        <v>943</v>
      </c>
      <c r="L3" s="2993"/>
      <c r="M3" s="2993"/>
      <c r="N3" s="2993"/>
      <c r="O3" s="902"/>
      <c r="P3" s="902"/>
      <c r="Q3" s="902"/>
      <c r="R3" s="902"/>
      <c r="S3" s="902"/>
      <c r="T3" s="954"/>
      <c r="U3" s="954"/>
      <c r="V3" s="954"/>
      <c r="W3" s="954"/>
      <c r="X3" s="954"/>
      <c r="Y3" s="954"/>
      <c r="Z3" s="954"/>
    </row>
    <row r="4" spans="1:27" ht="17.45" customHeight="1">
      <c r="A4" s="2943"/>
      <c r="B4" s="2943"/>
      <c r="C4" s="2943"/>
      <c r="D4" s="2943"/>
      <c r="E4" s="2943"/>
      <c r="F4" s="2943"/>
      <c r="G4" s="2943"/>
      <c r="H4" s="2943"/>
      <c r="I4" s="645"/>
      <c r="J4" s="645"/>
      <c r="K4" s="6"/>
      <c r="L4" s="6"/>
      <c r="M4" s="6"/>
      <c r="N4" s="902"/>
      <c r="O4" s="902"/>
      <c r="P4" s="902"/>
      <c r="Q4" s="902"/>
      <c r="R4" s="902"/>
      <c r="S4" s="902"/>
      <c r="T4" s="954"/>
      <c r="U4" s="954"/>
      <c r="V4" s="954"/>
      <c r="W4" s="954"/>
      <c r="X4" s="954"/>
      <c r="Y4" s="954"/>
      <c r="Z4" s="954"/>
    </row>
    <row r="5" spans="1:27" ht="17.45" customHeight="1">
      <c r="A5" s="2943"/>
      <c r="B5" s="2943"/>
      <c r="C5" s="2943"/>
      <c r="D5" s="2943"/>
      <c r="E5" s="2943"/>
      <c r="F5" s="2943"/>
      <c r="G5" s="2943"/>
      <c r="H5" s="2943"/>
      <c r="I5" s="470"/>
      <c r="J5" s="470"/>
      <c r="K5" s="6"/>
      <c r="L5" s="6"/>
      <c r="M5" s="313">
        <v>1</v>
      </c>
      <c r="N5" s="902"/>
      <c r="O5" s="902"/>
      <c r="P5" s="902"/>
      <c r="Q5" s="902"/>
      <c r="R5" s="902"/>
      <c r="S5" s="902"/>
      <c r="T5" s="954"/>
      <c r="U5" s="954"/>
      <c r="V5" s="954"/>
      <c r="W5" s="954"/>
      <c r="X5" s="954"/>
      <c r="Y5" s="954"/>
      <c r="Z5" s="954"/>
    </row>
    <row r="6" spans="1:27" s="6" customFormat="1" ht="10.35" customHeight="1">
      <c r="A6" s="645"/>
      <c r="B6" s="646"/>
      <c r="C6" s="646"/>
      <c r="D6" s="646"/>
      <c r="E6" s="646"/>
      <c r="F6" s="646"/>
      <c r="G6" s="646"/>
      <c r="H6" s="646"/>
      <c r="I6" s="646"/>
    </row>
    <row r="7" spans="1:27" ht="85.15" customHeight="1">
      <c r="A7" s="778" t="str">
        <f>IF(Data1!$B722=TRUE,"Yes","No")</f>
        <v>No</v>
      </c>
      <c r="B7" s="97"/>
      <c r="C7" s="1928" t="s">
        <v>955</v>
      </c>
      <c r="D7" s="2943" t="s">
        <v>2874</v>
      </c>
      <c r="E7" s="2943"/>
      <c r="F7" s="2943"/>
      <c r="G7" s="2943"/>
      <c r="H7" s="2943"/>
      <c r="K7" s="929">
        <f>IF(M$5=0,0,IF(AND(DS_ExcelCheckbox_Coordination_Exp_3rd_party=FALSE,DS_ExcelCheckbox_ExpApplicant=FALSE),1,IF(DS_ExcelCheckbox_Coordination_Exp_3rd_party=TRUE,1,2)))</f>
        <v>1</v>
      </c>
      <c r="L7" s="931">
        <f>IF(Data1!B722=TRUE,K7,0)</f>
        <v>0</v>
      </c>
      <c r="M7" s="905" t="str">
        <f t="shared" ref="M7:M8" si="0">CHOOSE(K7+1,"Not to be included in this RFA","A REQUIRED input field for this RFA","An OPTIONAL input field for this RFA")</f>
        <v>A REQUIRED input field for this RFA</v>
      </c>
    </row>
    <row r="8" spans="1:27" ht="34.9" customHeight="1">
      <c r="A8" s="778" t="str">
        <f>IF(Data1!$B723=TRUE,"Yes","No")</f>
        <v>No</v>
      </c>
      <c r="B8" s="97"/>
      <c r="C8" s="1928" t="s">
        <v>1031</v>
      </c>
      <c r="D8" s="2943" t="s">
        <v>2875</v>
      </c>
      <c r="E8" s="2943"/>
      <c r="F8" s="2943"/>
      <c r="G8" s="2943"/>
      <c r="H8" s="2943"/>
      <c r="K8" s="929">
        <f>IF(M$5=0,0,IF(K7=1,2,IF(K7=2,1,2)))</f>
        <v>2</v>
      </c>
      <c r="L8" s="931">
        <f>IF(Data1!B723=TRUE,K8,0)</f>
        <v>0</v>
      </c>
      <c r="M8" s="905" t="str">
        <f t="shared" si="0"/>
        <v>An OPTIONAL input field for this RFA</v>
      </c>
    </row>
    <row r="9" spans="1:27" ht="10.35" customHeight="1">
      <c r="B9" s="934"/>
      <c r="C9" s="2806"/>
      <c r="D9" s="2806"/>
      <c r="E9" s="2806"/>
      <c r="F9" s="2806"/>
      <c r="I9" s="98"/>
      <c r="J9" s="98"/>
      <c r="M9" s="3089">
        <v>1</v>
      </c>
    </row>
    <row r="10" spans="1:27" ht="19.899999999999999" customHeight="1">
      <c r="B10" s="2943" t="s">
        <v>2739</v>
      </c>
      <c r="C10" s="2943"/>
      <c r="D10" s="2943"/>
      <c r="E10" s="2943"/>
      <c r="F10" s="2943"/>
      <c r="G10" s="2943"/>
      <c r="H10" s="2943"/>
      <c r="M10" s="3090"/>
    </row>
    <row r="11" spans="1:27" ht="19.899999999999999" customHeight="1">
      <c r="B11" s="2943"/>
      <c r="C11" s="2943"/>
      <c r="D11" s="2943"/>
      <c r="E11" s="2943"/>
      <c r="F11" s="2943"/>
      <c r="G11" s="2943"/>
      <c r="H11" s="2943"/>
      <c r="M11" s="3090"/>
    </row>
    <row r="12" spans="1:27" ht="19.899999999999999" customHeight="1">
      <c r="B12" s="2943"/>
      <c r="C12" s="2943"/>
      <c r="D12" s="2943"/>
      <c r="E12" s="2943"/>
      <c r="F12" s="2943"/>
      <c r="G12" s="2943"/>
      <c r="H12" s="2943"/>
      <c r="M12" s="3091"/>
    </row>
    <row r="13" spans="1:27" ht="10.35" customHeight="1">
      <c r="B13" s="902"/>
      <c r="C13" s="902"/>
      <c r="D13" s="902"/>
      <c r="E13" s="902"/>
      <c r="F13" s="902"/>
      <c r="G13" s="902"/>
      <c r="H13" s="902"/>
    </row>
    <row r="14" spans="1:27" ht="19.899999999999999" customHeight="1">
      <c r="B14" s="3227" t="str">
        <f>CHOOSE(M$14+M$20*0+M$26*0+M$32*0+1,"No","First","Second","Third","Fourth")&amp;" completed development that meets the experience requirement outlined in Section Four, A.9.b. of the RFA (if needed):"</f>
        <v>First completed development that meets the experience requirement outlined in Section Four, A.9.b. of the RFA (if needed):</v>
      </c>
      <c r="C14" s="3227"/>
      <c r="D14" s="3227"/>
      <c r="E14" s="3227"/>
      <c r="F14" s="3227"/>
      <c r="G14" s="3227"/>
      <c r="H14" s="3227"/>
      <c r="M14" s="313">
        <v>1</v>
      </c>
    </row>
    <row r="15" spans="1:27" ht="19.899999999999999" customHeight="1">
      <c r="B15" s="2943"/>
      <c r="C15" s="2943"/>
      <c r="D15" s="2943"/>
      <c r="E15" s="2943"/>
      <c r="F15" s="2943"/>
      <c r="G15" s="2943"/>
      <c r="H15" s="2943"/>
      <c r="M15" s="337" t="str">
        <f>IF(AND(M14=1,SUM(N16:N18)=0),"Need to enter a 1 in cell M14","")</f>
        <v/>
      </c>
    </row>
    <row r="16" spans="1:27" ht="17.45" customHeight="1">
      <c r="B16" s="647"/>
      <c r="C16" s="647"/>
      <c r="D16" s="648" t="s">
        <v>982</v>
      </c>
      <c r="E16" s="2951"/>
      <c r="F16" s="2951"/>
      <c r="G16" s="2951"/>
      <c r="H16" s="2951"/>
      <c r="K16" s="929">
        <f>IF(M$14=0,0,N16)</f>
        <v>1</v>
      </c>
      <c r="L16" s="931">
        <f>IF(E16&lt;&gt;"",K16,0)</f>
        <v>0</v>
      </c>
      <c r="M16" s="933" t="str">
        <f t="shared" ref="M16:M18" si="1">CHOOSE(K16+1,"Not to be included in this RFA","A REQUIRED input field for this RFA","An OPTIONAL input field for this RFA")</f>
        <v>A REQUIRED input field for this RFA</v>
      </c>
      <c r="N16" s="953">
        <v>1</v>
      </c>
    </row>
    <row r="17" spans="2:14" ht="45" customHeight="1">
      <c r="D17" s="648" t="s">
        <v>983</v>
      </c>
      <c r="E17" s="2951"/>
      <c r="F17" s="2951"/>
      <c r="G17" s="2951"/>
      <c r="H17" s="2951"/>
      <c r="K17" s="929">
        <f>IF(M$14=0,0,N17)</f>
        <v>1</v>
      </c>
      <c r="L17" s="931">
        <f>IF(E17&lt;&gt;"",K17,0)</f>
        <v>0</v>
      </c>
      <c r="M17" s="933" t="str">
        <f t="shared" si="1"/>
        <v>A REQUIRED input field for this RFA</v>
      </c>
      <c r="N17" s="953">
        <v>1</v>
      </c>
    </row>
    <row r="18" spans="2:14" ht="17.45" customHeight="1">
      <c r="B18" s="647"/>
      <c r="D18" s="925" t="s">
        <v>985</v>
      </c>
      <c r="E18" s="649"/>
      <c r="K18" s="929">
        <f>IF(M$14=0,0,N18)</f>
        <v>1</v>
      </c>
      <c r="L18" s="931">
        <f>IF(N(E18)&gt;0,K18,0)</f>
        <v>0</v>
      </c>
      <c r="M18" s="933" t="str">
        <f t="shared" si="1"/>
        <v>A REQUIRED input field for this RFA</v>
      </c>
      <c r="N18" s="953">
        <v>1</v>
      </c>
    </row>
    <row r="19" spans="2:14" ht="10.35" customHeight="1">
      <c r="K19" s="24"/>
    </row>
    <row r="20" spans="2:14" ht="19.899999999999999" customHeight="1">
      <c r="B20" s="3227" t="str">
        <f>CHOOSE(M$14+M$20+M$26*0+M$32*0+1,"No","First","Second","Third","Fourth")&amp;" completed development that meets the experience requirement outlined in Section Four, A.9.b. of the RFA (if needed):"</f>
        <v>Second completed development that meets the experience requirement outlined in Section Four, A.9.b. of the RFA (if needed):</v>
      </c>
      <c r="C20" s="3227"/>
      <c r="D20" s="3227"/>
      <c r="E20" s="3227"/>
      <c r="F20" s="3227"/>
      <c r="G20" s="3227"/>
      <c r="H20" s="3227"/>
      <c r="K20" s="24"/>
      <c r="M20" s="313">
        <v>1</v>
      </c>
    </row>
    <row r="21" spans="2:14" ht="19.899999999999999" customHeight="1">
      <c r="B21" s="2943"/>
      <c r="C21" s="2943"/>
      <c r="D21" s="2943"/>
      <c r="E21" s="2943"/>
      <c r="F21" s="2943"/>
      <c r="G21" s="2943"/>
      <c r="H21" s="2943"/>
      <c r="K21" s="24"/>
      <c r="M21" s="337" t="str">
        <f>IF(AND(M20=1,SUM(N22:N24)=0),"Need to enter a 1 in cell M20","")</f>
        <v/>
      </c>
    </row>
    <row r="22" spans="2:14" ht="17.45" customHeight="1">
      <c r="B22" s="647"/>
      <c r="C22" s="647"/>
      <c r="D22" s="648" t="s">
        <v>982</v>
      </c>
      <c r="E22" s="2951"/>
      <c r="F22" s="2951"/>
      <c r="G22" s="2951"/>
      <c r="H22" s="2951"/>
      <c r="K22" s="929">
        <f>IF(M$20=0,0,N22)</f>
        <v>1</v>
      </c>
      <c r="L22" s="931">
        <f>IF(E22&lt;&gt;"",K22,0)</f>
        <v>0</v>
      </c>
      <c r="M22" s="933" t="str">
        <f t="shared" ref="M22:M24" si="2">CHOOSE(K22+1,"Not to be included in this RFA","A REQUIRED input field for this RFA","An OPTIONAL input field for this RFA")</f>
        <v>A REQUIRED input field for this RFA</v>
      </c>
      <c r="N22" s="953">
        <v>1</v>
      </c>
    </row>
    <row r="23" spans="2:14" ht="45" customHeight="1">
      <c r="D23" s="648" t="s">
        <v>983</v>
      </c>
      <c r="E23" s="2951"/>
      <c r="F23" s="2951"/>
      <c r="G23" s="2951"/>
      <c r="H23" s="2951"/>
      <c r="K23" s="929">
        <f>IF(M$20=0,0,N23)</f>
        <v>1</v>
      </c>
      <c r="L23" s="931">
        <f>IF(E23&lt;&gt;"",K23,0)</f>
        <v>0</v>
      </c>
      <c r="M23" s="933" t="str">
        <f t="shared" si="2"/>
        <v>A REQUIRED input field for this RFA</v>
      </c>
      <c r="N23" s="953">
        <v>1</v>
      </c>
    </row>
    <row r="24" spans="2:14" ht="17.45" customHeight="1">
      <c r="B24" s="647"/>
      <c r="D24" s="925" t="s">
        <v>985</v>
      </c>
      <c r="E24" s="649"/>
      <c r="K24" s="929">
        <f>IF(M$20=0,0,N24)</f>
        <v>1</v>
      </c>
      <c r="L24" s="931">
        <f>IF(N(E24)&gt;0,K24,0)</f>
        <v>0</v>
      </c>
      <c r="M24" s="933" t="str">
        <f t="shared" si="2"/>
        <v>A REQUIRED input field for this RFA</v>
      </c>
      <c r="N24" s="953">
        <v>1</v>
      </c>
    </row>
    <row r="25" spans="2:14" ht="10.35" customHeight="1">
      <c r="K25" s="24"/>
    </row>
    <row r="26" spans="2:14" ht="19.899999999999999" customHeight="1">
      <c r="B26" s="3227" t="str">
        <f>CHOOSE(M$14+M$20+M$26+M$32*0+1,"No","First","Second","Third","Fourth")&amp;" completed development that meets the experience requirement outlined in Section Four, A.9.b. of the RFA (if needed):"</f>
        <v>Third completed development that meets the experience requirement outlined in Section Four, A.9.b. of the RFA (if needed):</v>
      </c>
      <c r="C26" s="3227"/>
      <c r="D26" s="3227"/>
      <c r="E26" s="3227"/>
      <c r="F26" s="3227"/>
      <c r="G26" s="3227"/>
      <c r="H26" s="3227"/>
      <c r="K26" s="24"/>
      <c r="M26" s="313">
        <v>1</v>
      </c>
    </row>
    <row r="27" spans="2:14" ht="19.899999999999999" customHeight="1">
      <c r="B27" s="2943"/>
      <c r="C27" s="2943"/>
      <c r="D27" s="2943"/>
      <c r="E27" s="2943"/>
      <c r="F27" s="2943"/>
      <c r="G27" s="2943"/>
      <c r="H27" s="2943"/>
      <c r="K27" s="24"/>
      <c r="M27" s="337" t="str">
        <f>IF(AND(M26=1,SUM(N28:N30)=0),"Need to enter a 1 in cell M26","")</f>
        <v/>
      </c>
    </row>
    <row r="28" spans="2:14" ht="17.45" customHeight="1">
      <c r="B28" s="647"/>
      <c r="C28" s="647"/>
      <c r="D28" s="648" t="s">
        <v>982</v>
      </c>
      <c r="E28" s="2951"/>
      <c r="F28" s="2951"/>
      <c r="G28" s="2951"/>
      <c r="H28" s="2951"/>
      <c r="K28" s="929">
        <f t="shared" ref="K28:K30" si="3">$K$7</f>
        <v>1</v>
      </c>
      <c r="L28" s="931">
        <f>IF(E28&lt;&gt;"",K28,0)</f>
        <v>0</v>
      </c>
      <c r="M28" s="933" t="str">
        <f t="shared" ref="M28:M30" si="4">CHOOSE(K28+1,"Not to be included in this RFA","A REQUIRED input field for this RFA","An OPTIONAL input field for this RFA")</f>
        <v>A REQUIRED input field for this RFA</v>
      </c>
      <c r="N28" s="953">
        <v>1</v>
      </c>
    </row>
    <row r="29" spans="2:14" ht="45" customHeight="1">
      <c r="D29" s="648" t="s">
        <v>983</v>
      </c>
      <c r="E29" s="2951"/>
      <c r="F29" s="2951"/>
      <c r="G29" s="2951"/>
      <c r="H29" s="2951"/>
      <c r="K29" s="929">
        <f t="shared" si="3"/>
        <v>1</v>
      </c>
      <c r="L29" s="931">
        <f>IF(E29&lt;&gt;"",K29,0)</f>
        <v>0</v>
      </c>
      <c r="M29" s="933" t="str">
        <f t="shared" si="4"/>
        <v>A REQUIRED input field for this RFA</v>
      </c>
      <c r="N29" s="953">
        <v>1</v>
      </c>
    </row>
    <row r="30" spans="2:14" ht="17.45" customHeight="1">
      <c r="B30" s="647"/>
      <c r="D30" s="925" t="s">
        <v>985</v>
      </c>
      <c r="E30" s="649"/>
      <c r="K30" s="929">
        <f t="shared" si="3"/>
        <v>1</v>
      </c>
      <c r="L30" s="931">
        <f>IF(N(E30)&gt;0,K30,0)</f>
        <v>0</v>
      </c>
      <c r="M30" s="933" t="str">
        <f t="shared" si="4"/>
        <v>A REQUIRED input field for this RFA</v>
      </c>
      <c r="N30" s="953">
        <v>1</v>
      </c>
    </row>
    <row r="31" spans="2:14" ht="10.35" customHeight="1">
      <c r="K31" s="24"/>
    </row>
    <row r="32" spans="2:14" ht="19.899999999999999" customHeight="1">
      <c r="B32" s="3227" t="str">
        <f>CHOOSE(M$14+M$20+M$26+M$32+1,"No","First","Second","Third","Fourth")&amp;" completed development that meets the experience requirement outlined in Section Four, A.9.b. of the RFA (if needed):"</f>
        <v>Fourth completed development that meets the experience requirement outlined in Section Four, A.9.b. of the RFA (if needed):</v>
      </c>
      <c r="C32" s="3227"/>
      <c r="D32" s="3227"/>
      <c r="E32" s="3227"/>
      <c r="F32" s="3227"/>
      <c r="G32" s="3227"/>
      <c r="H32" s="3227"/>
      <c r="K32" s="24"/>
      <c r="M32" s="313">
        <v>1</v>
      </c>
    </row>
    <row r="33" spans="2:14" ht="19.899999999999999" customHeight="1">
      <c r="B33" s="2943"/>
      <c r="C33" s="2943"/>
      <c r="D33" s="2943"/>
      <c r="E33" s="2943"/>
      <c r="F33" s="2943"/>
      <c r="G33" s="2943"/>
      <c r="H33" s="2943"/>
      <c r="K33" s="24"/>
      <c r="M33" s="337" t="str">
        <f>IF(AND(M32=1,SUM(N34:N36)=0),"Need to enter a 1 in cell M32","")</f>
        <v/>
      </c>
    </row>
    <row r="34" spans="2:14" ht="17.45" customHeight="1">
      <c r="B34" s="647"/>
      <c r="C34" s="647"/>
      <c r="D34" s="648" t="s">
        <v>982</v>
      </c>
      <c r="E34" s="2951"/>
      <c r="F34" s="2951"/>
      <c r="G34" s="2951"/>
      <c r="H34" s="2951"/>
      <c r="K34" s="929">
        <f>IF(M$32=0,0,N34)</f>
        <v>1</v>
      </c>
      <c r="L34" s="931">
        <f>IF(E34&lt;&gt;"",K34,0)</f>
        <v>0</v>
      </c>
      <c r="M34" s="933" t="str">
        <f t="shared" ref="M34:M36" si="5">CHOOSE(K34+1,"Not to be included in this RFA","A REQUIRED input field for this RFA","An OPTIONAL input field for this RFA")</f>
        <v>A REQUIRED input field for this RFA</v>
      </c>
      <c r="N34" s="953">
        <v>1</v>
      </c>
    </row>
    <row r="35" spans="2:14" ht="45" customHeight="1">
      <c r="D35" s="648" t="s">
        <v>983</v>
      </c>
      <c r="E35" s="2951"/>
      <c r="F35" s="2951"/>
      <c r="G35" s="2951"/>
      <c r="H35" s="2951"/>
      <c r="K35" s="929">
        <f>IF(M$32=0,0,N35)</f>
        <v>1</v>
      </c>
      <c r="L35" s="931">
        <f>IF(E35&lt;&gt;"",K35,0)</f>
        <v>0</v>
      </c>
      <c r="M35" s="933" t="str">
        <f t="shared" si="5"/>
        <v>A REQUIRED input field for this RFA</v>
      </c>
      <c r="N35" s="953">
        <v>1</v>
      </c>
    </row>
    <row r="36" spans="2:14" ht="17.45" customHeight="1">
      <c r="B36" s="647"/>
      <c r="D36" s="925" t="s">
        <v>985</v>
      </c>
      <c r="E36" s="649"/>
      <c r="K36" s="929">
        <f>IF(M$32=0,0,N36)</f>
        <v>1</v>
      </c>
      <c r="L36" s="931">
        <f>IF(N(E36)&gt;0,K36,0)</f>
        <v>0</v>
      </c>
      <c r="M36" s="933" t="str">
        <f t="shared" si="5"/>
        <v>A REQUIRED input field for this RFA</v>
      </c>
      <c r="N36" s="953">
        <v>1</v>
      </c>
    </row>
    <row r="37" spans="2:14" ht="10.35" customHeight="1"/>
    <row r="38" spans="2:14" ht="19.899999999999999" customHeight="1">
      <c r="B38" s="3229" t="s">
        <v>2876</v>
      </c>
      <c r="C38" s="3229"/>
      <c r="D38" s="3229"/>
      <c r="E38" s="3229"/>
      <c r="F38" s="3229"/>
      <c r="G38" s="3229"/>
      <c r="H38" s="3229"/>
      <c r="K38" s="773" t="s">
        <v>1205</v>
      </c>
    </row>
    <row r="39" spans="2:14" ht="19.899999999999999" customHeight="1">
      <c r="B39" s="2943"/>
      <c r="C39" s="2943"/>
      <c r="D39" s="2943"/>
      <c r="E39" s="2943"/>
      <c r="F39" s="2943"/>
      <c r="G39" s="2943"/>
      <c r="H39" s="2943"/>
      <c r="K39" s="774" t="s">
        <v>1206</v>
      </c>
    </row>
    <row r="40" spans="2:14" ht="17.45" customHeight="1">
      <c r="B40" s="3003" t="str">
        <f>"Total Number of Units from the above "&amp;CHOOSE(M$14+M$20+M$26+M$32+1,"no","one","two","three","four")&amp;" development"&amp;IF(M$14+M$20+M$26+M$32=1,"","s")&amp;":"</f>
        <v>Total Number of Units from the above four developments:</v>
      </c>
      <c r="C40" s="3003"/>
      <c r="D40" s="3003"/>
      <c r="E40" s="3003"/>
      <c r="F40" s="974">
        <f>N(E18)+N(E24)+N(E30)+N(E36)</f>
        <v>0</v>
      </c>
      <c r="G40" s="650"/>
      <c r="H40" s="650"/>
    </row>
    <row r="41" spans="2:14" ht="10.35" customHeight="1"/>
    <row r="42" spans="2:14" ht="17.45" customHeight="1">
      <c r="B42" s="3228" t="str">
        <f>IF(AND(N(Total_Units)&gt;0,N(Owner_operator_Exp_total_Dev_units)&gt;0),IF(N(Owner_operator_Exp_total_Dev_units)&gt;=50%*N(Total_Units),"","The combined Total Number of Units above is not at least 50% of Total Units of the Proposed Development."),"")</f>
        <v/>
      </c>
      <c r="C42" s="3228"/>
      <c r="D42" s="3228"/>
      <c r="E42" s="3228"/>
      <c r="F42" s="3228"/>
      <c r="G42" s="3228"/>
      <c r="H42" s="3228"/>
    </row>
    <row r="43" spans="2:14" ht="17.45" customHeight="1"/>
    <row r="44" spans="2:14" ht="17.45" customHeight="1"/>
  </sheetData>
  <sheetProtection algorithmName="SHA-512" hashValue="jd7EX4jjulDMAPkNq07xua73v40cESsLoi9RC55LzOoGG8iKqwBFT3rHQAJ8ejMGaqgEsSfcjpOa5pTsgjDZNA==" saltValue="8ztei7bPLi5rjACEOJyAIg==" spinCount="100000" sheet="1" objects="1" scenarios="1" formatRows="0" selectLockedCells="1"/>
  <mergeCells count="24">
    <mergeCell ref="B42:H42"/>
    <mergeCell ref="E23:H23"/>
    <mergeCell ref="B26:H27"/>
    <mergeCell ref="E28:H28"/>
    <mergeCell ref="E29:H29"/>
    <mergeCell ref="B32:H33"/>
    <mergeCell ref="E34:H34"/>
    <mergeCell ref="B40:E40"/>
    <mergeCell ref="E35:H35"/>
    <mergeCell ref="B38:H39"/>
    <mergeCell ref="M9:M12"/>
    <mergeCell ref="J1:AA2"/>
    <mergeCell ref="K3:N3"/>
    <mergeCell ref="E22:H22"/>
    <mergeCell ref="A1:H1"/>
    <mergeCell ref="A3:H5"/>
    <mergeCell ref="B20:H21"/>
    <mergeCell ref="C9:F9"/>
    <mergeCell ref="B10:H12"/>
    <mergeCell ref="B14:H15"/>
    <mergeCell ref="E16:H16"/>
    <mergeCell ref="E17:H17"/>
    <mergeCell ref="D7:H7"/>
    <mergeCell ref="D8:H8"/>
  </mergeCells>
  <conditionalFormatting sqref="C9">
    <cfRule type="cellIs" dxfId="578" priority="15" operator="equal">
      <formula>"The above programs are not applicable to the selected Demographic Commitment"</formula>
    </cfRule>
    <cfRule type="expression" dxfId="577" priority="16" stopIfTrue="1">
      <formula>AND($C9="Please select at least three of the above resident programs before proceeding",OR(Demographic="Family",Demographic="Workforce"))</formula>
    </cfRule>
  </conditionalFormatting>
  <conditionalFormatting sqref="B7:D7">
    <cfRule type="expression" dxfId="576" priority="11">
      <formula>$K7=0</formula>
    </cfRule>
  </conditionalFormatting>
  <conditionalFormatting sqref="C9">
    <cfRule type="expression" dxfId="575" priority="17" stopIfTrue="1">
      <formula>AND($I9&gt;0,$C9="The above programs are not applicable to the selected Demographic Commitment",AND(Demographic&lt;&gt;"Family",Demographic&lt;&gt;"Workforce"))</formula>
    </cfRule>
  </conditionalFormatting>
  <conditionalFormatting sqref="B8:D8">
    <cfRule type="expression" dxfId="574" priority="12">
      <formula>$K8=0</formula>
    </cfRule>
  </conditionalFormatting>
  <conditionalFormatting sqref="F40">
    <cfRule type="cellIs" dxfId="573" priority="24" operator="equal">
      <formula>0</formula>
    </cfRule>
  </conditionalFormatting>
  <conditionalFormatting sqref="B42">
    <cfRule type="cellIs" dxfId="572" priority="25" operator="notEqual">
      <formula>""</formula>
    </cfRule>
  </conditionalFormatting>
  <conditionalFormatting sqref="B7:D7">
    <cfRule type="expression" dxfId="571" priority="13">
      <formula>DS_ExcelCheckbox_Coordination_Exp_3rd_party=TRUE</formula>
    </cfRule>
  </conditionalFormatting>
  <conditionalFormatting sqref="B8:D8">
    <cfRule type="expression" dxfId="570" priority="14">
      <formula>DS_ExcelCheckbox_ExpApplicant=TRUE</formula>
    </cfRule>
  </conditionalFormatting>
  <conditionalFormatting sqref="E16:H17 E18 E22:H23 E24 E28:H29 E30 E34:H35 E36">
    <cfRule type="cellIs" dxfId="569" priority="20" operator="notEqual">
      <formula>""</formula>
    </cfRule>
  </conditionalFormatting>
  <conditionalFormatting sqref="A14:H19">
    <cfRule type="expression" dxfId="568" priority="18">
      <formula>$M$14=0</formula>
    </cfRule>
  </conditionalFormatting>
  <conditionalFormatting sqref="A16:H18 A22:H24 A28:H30 A34:H36">
    <cfRule type="expression" dxfId="567" priority="19">
      <formula>$K16=0</formula>
    </cfRule>
  </conditionalFormatting>
  <conditionalFormatting sqref="A20:H25">
    <cfRule type="expression" dxfId="566" priority="21">
      <formula>$M$20=0</formula>
    </cfRule>
  </conditionalFormatting>
  <conditionalFormatting sqref="A26:H31">
    <cfRule type="expression" dxfId="565" priority="22">
      <formula>$M$26=0</formula>
    </cfRule>
  </conditionalFormatting>
  <conditionalFormatting sqref="A32:H37">
    <cfRule type="expression" dxfId="564" priority="23">
      <formula>$M$32=0</formula>
    </cfRule>
  </conditionalFormatting>
  <conditionalFormatting sqref="M9:M12">
    <cfRule type="cellIs" dxfId="563" priority="4" operator="greaterThan">
      <formula>0</formula>
    </cfRule>
  </conditionalFormatting>
  <conditionalFormatting sqref="B7:H8">
    <cfRule type="expression" dxfId="562" priority="2">
      <formula>AND(DS_ExcelCheckbox_Coordination_Exp_3rd_party=TRUE,DS_ExcelCheckbox_ExpApplicant=TRUE)</formula>
    </cfRule>
  </conditionalFormatting>
  <conditionalFormatting sqref="M5 M14 M20 M26 M32">
    <cfRule type="cellIs" dxfId="561" priority="1" operator="equal">
      <formula>0</formula>
    </cfRule>
  </conditionalFormatting>
  <dataValidations disablePrompts="1"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19050</xdr:colOff>
                    <xdr:row>6</xdr:row>
                    <xdr:rowOff>0</xdr:rowOff>
                  </from>
                  <to>
                    <xdr:col>3</xdr:col>
                    <xdr:colOff>447675</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19050</xdr:colOff>
                    <xdr:row>6</xdr:row>
                    <xdr:rowOff>1066800</xdr:rowOff>
                  </from>
                  <to>
                    <xdr:col>3</xdr:col>
                    <xdr:colOff>447675</xdr:colOff>
                    <xdr:row>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6B5D169-5D55-490C-987D-CE4EB41A5E77}">
            <xm:f>Data1!$E$824="Yes"</xm:f>
            <x14:dxf>
              <font>
                <color theme="0"/>
              </font>
              <fill>
                <patternFill>
                  <bgColor theme="0"/>
                </patternFill>
              </fill>
              <border>
                <left/>
                <right/>
                <top/>
                <bottom/>
                <vertical/>
                <horizontal/>
              </border>
            </x14:dxf>
          </x14:cfRule>
          <xm:sqref>K4:N41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52"/>
  <sheetViews>
    <sheetView showGridLines="0" zoomScale="130" zoomScaleNormal="130" zoomScaleSheetLayoutView="100" workbookViewId="0">
      <pane ySplit="2" topLeftCell="A3" activePane="bottomLeft" state="frozen"/>
      <selection activeCell="L364" sqref="L364:N364"/>
      <selection pane="bottomLeft" activeCell="I55" sqref="I55"/>
    </sheetView>
  </sheetViews>
  <sheetFormatPr defaultColWidth="8.5703125" defaultRowHeight="15"/>
  <cols>
    <col min="1" max="1" width="3" customWidth="1"/>
    <col min="2" max="2" width="4.5703125" customWidth="1"/>
    <col min="3" max="3" width="3.5703125" customWidth="1"/>
    <col min="4" max="4" width="4.42578125" customWidth="1"/>
    <col min="5" max="6" width="14.5703125" customWidth="1"/>
    <col min="7" max="7" width="19.5703125" customWidth="1"/>
    <col min="8" max="8" width="24.140625" customWidth="1"/>
    <col min="9" max="9" width="23" customWidth="1"/>
    <col min="10" max="10" width="8.7109375" customWidth="1"/>
    <col min="11" max="11" width="3.5703125" customWidth="1"/>
    <col min="12" max="12" width="3.5703125" style="24" hidden="1" customWidth="1"/>
    <col min="13" max="13" width="3.5703125" hidden="1" customWidth="1"/>
    <col min="14" max="14" width="35.7109375" hidden="1" customWidth="1"/>
    <col min="15" max="16" width="3.5703125" hidden="1" customWidth="1"/>
    <col min="17" max="17" width="35.7109375" hidden="1" customWidth="1"/>
    <col min="18" max="18" width="3.5703125" hidden="1" customWidth="1"/>
    <col min="21" max="21" width="39.42578125" bestFit="1" customWidth="1"/>
  </cols>
  <sheetData>
    <row r="1" spans="1:33" ht="35.85" customHeight="1" thickBot="1">
      <c r="A1" s="2979" t="s">
        <v>1219</v>
      </c>
      <c r="B1" s="2980"/>
      <c r="C1" s="2980"/>
      <c r="D1" s="2980"/>
      <c r="E1" s="2980"/>
      <c r="F1" s="2980"/>
      <c r="G1" s="2980"/>
      <c r="H1" s="2980"/>
      <c r="I1" s="2981"/>
      <c r="J1" s="905"/>
      <c r="K1" s="2943" t="str">
        <f ca="1">"There are "&amp;TEXT(COUNTIF($L$3:$L$488,"=1"),"0")&amp;" required input fields and "&amp;TEXT(COUNTIF($L$3:$L$488,"=2")+COUNTIF(L399:L402,"=2"),"0")&amp;" optional input fields tracked on this tab."&amp;CHAR(10)&amp;"There "&amp;IF(COUNTIFS($L$3:$L$488,"=1",$M$3:$M$488,"=1")=1,"is 1 required input field","are "&amp;TEXT(COUNTIFS($L$3:$L$488,"=1",$M$3:$M$488,"=1"),"0")&amp;" required input fields")&amp;" and "&amp;TEXT(COUNTIFS($L$3:$L$488,"=2",$M$3:$M$488,"=2")+IF(AND(M399=2,H399&lt;&gt;""),1,0)+IF(AND(M400=2,H400&lt;&gt;""),1,0)+IF(AND(M401=2,H401&lt;&gt;""),1,0)+IF(AND(M402=2,H402&lt;&gt;""),1,0),"0")&amp;" optional input field"&amp;IF(COUNTIFS($L$3:$L$488,"=2",$M$3:$M$488,"=2")+IF(AND(M400=2,H400&lt;&gt;""),1,0)+IF(AND(M401=2,H401&lt;&gt;""),1,0)+IF(AND(M402=2,H402&lt;&gt;""),1,0)=1," with an entry","s with entries")&amp;" tracked on this tab."&amp;CHAR(10)&amp;"There "&amp;IF(Data1!G826=1,"is ","are ")&amp;TEXT(Data1!G826,"0")&amp;" required input field"&amp;IF(Data1!G826=1," that need an entry","s that need entries")&amp;" and "&amp;TEXT(Data1!H826,"0")&amp;" optional input field"&amp;IF(Data1!H826=1," that may or may not need an entry","s that may or may not need entries")&amp;" tracked on this tab."</f>
        <v>There are 9 required input fields and 10 optional input fields tracked on this tab.
There is 1 required input field and 0 optional input fields with entries tracked on this tab.
There are 8 required input fields that need entries and 10 optional input fields that may or may not need entries tracked on this tab.</v>
      </c>
      <c r="L1" s="2943"/>
      <c r="M1" s="2943"/>
      <c r="N1" s="2943"/>
      <c r="O1" s="2943"/>
      <c r="P1" s="2943"/>
      <c r="Q1" s="2943"/>
      <c r="R1" s="2943"/>
      <c r="S1" s="2943"/>
      <c r="T1" s="2943"/>
      <c r="U1" s="2943"/>
      <c r="V1" s="2943"/>
      <c r="W1" s="2943"/>
      <c r="X1" s="2943"/>
      <c r="Y1" s="2943"/>
      <c r="Z1" s="2943"/>
      <c r="AA1" s="2943"/>
      <c r="AB1" s="2943"/>
      <c r="AC1" s="2943"/>
      <c r="AD1" s="2943"/>
      <c r="AE1" s="2943"/>
      <c r="AF1" s="2943"/>
      <c r="AG1" s="2943"/>
    </row>
    <row r="2" spans="1:33" ht="14.45" customHeight="1">
      <c r="J2" s="905"/>
      <c r="K2" s="2943"/>
      <c r="L2" s="2943"/>
      <c r="M2" s="2943"/>
      <c r="N2" s="2943"/>
      <c r="O2" s="2943"/>
      <c r="P2" s="2943"/>
      <c r="Q2" s="2943"/>
      <c r="R2" s="2943"/>
      <c r="S2" s="2943"/>
      <c r="T2" s="2943"/>
      <c r="U2" s="2943"/>
      <c r="V2" s="2943"/>
      <c r="W2" s="2943"/>
      <c r="X2" s="2943"/>
      <c r="Y2" s="2943"/>
      <c r="Z2" s="2943"/>
      <c r="AA2" s="2943"/>
      <c r="AB2" s="2943"/>
      <c r="AC2" s="2943"/>
      <c r="AD2" s="2943"/>
      <c r="AE2" s="2943"/>
      <c r="AF2" s="2943"/>
      <c r="AG2" s="2943"/>
    </row>
    <row r="3" spans="1:33" ht="14.45" customHeight="1">
      <c r="A3" s="87" t="s">
        <v>955</v>
      </c>
      <c r="B3" s="87" t="s">
        <v>1220</v>
      </c>
      <c r="C3" s="87"/>
      <c r="D3" s="87"/>
      <c r="E3" s="87"/>
      <c r="F3" s="87"/>
      <c r="G3" s="87"/>
      <c r="H3" s="476"/>
      <c r="I3" s="477"/>
      <c r="J3" s="905"/>
      <c r="K3" s="905"/>
      <c r="L3" s="3265" t="s">
        <v>943</v>
      </c>
      <c r="M3" s="3265"/>
      <c r="N3" s="3265"/>
      <c r="O3" s="3265"/>
      <c r="P3" s="3265"/>
      <c r="Q3" s="3265"/>
      <c r="R3" s="3265"/>
    </row>
    <row r="4" spans="1:33" ht="14.45" hidden="1" customHeight="1">
      <c r="B4" s="91" t="str">
        <f>IF($L$15=0,"...",1)</f>
        <v>...</v>
      </c>
      <c r="C4" s="2969" t="s">
        <v>767</v>
      </c>
      <c r="D4" s="2969"/>
      <c r="E4" s="2969"/>
      <c r="F4" s="2969"/>
      <c r="G4" s="2969"/>
      <c r="H4" s="2969"/>
      <c r="I4" s="2969"/>
      <c r="J4" s="905"/>
      <c r="K4" s="905"/>
      <c r="N4" s="820">
        <v>0</v>
      </c>
    </row>
    <row r="5" spans="1:33" ht="10.35" hidden="1" customHeight="1">
      <c r="J5" s="905"/>
      <c r="K5" s="905"/>
    </row>
    <row r="6" spans="1:33" ht="17.45" hidden="1" customHeight="1">
      <c r="B6" s="3"/>
      <c r="D6" s="3267" t="s">
        <v>1221</v>
      </c>
      <c r="E6" s="3267"/>
      <c r="F6" s="3267"/>
      <c r="G6" s="3267"/>
      <c r="H6" s="3267"/>
      <c r="J6" s="905"/>
      <c r="K6" s="905"/>
    </row>
    <row r="7" spans="1:33" ht="14.45" hidden="1" customHeight="1">
      <c r="E7" s="276" t="s">
        <v>1222</v>
      </c>
      <c r="F7" s="276"/>
      <c r="G7" s="276"/>
      <c r="H7" s="975" t="str">
        <f>IF(County="&lt;select one&gt;","Select a County",IF(County="Monroe",DS_W_SAIL_PD_FLKeys,"NA"))</f>
        <v>Select a County</v>
      </c>
      <c r="J7" s="905"/>
      <c r="K7" s="905"/>
      <c r="O7" s="953">
        <v>0</v>
      </c>
      <c r="Q7" s="6" t="str">
        <f>IF(O7="","",IF(O7=0,"Not ","")&amp;"Applicable to this RFA")</f>
        <v>Not Applicable to this RFA</v>
      </c>
    </row>
    <row r="8" spans="1:33" ht="14.45" hidden="1" customHeight="1">
      <c r="E8" s="277" t="s">
        <v>2241</v>
      </c>
      <c r="F8" s="277"/>
      <c r="G8" s="277"/>
      <c r="H8" s="278" t="str">
        <f>IF(County="&lt;select one&gt;","Select a County",IF(OR(total_units_in_NonAIT_setaside_chart&gt;0,IF('Units, Set-Asides, Bldgs'!P90=0,0,N(Workforce_100_AIT_Units)+N(Workforce_120_AIT_Units))+N(Market_AIT_Units)=0),IF(County="Monroe",DS_W_SAIL_PU_FLKeys_80Plus,"NA"),"NA"))</f>
        <v>Select a County</v>
      </c>
      <c r="I8" s="1649" t="str" cm="1">
        <f t="array" ref="I8">IF(County="Monroe","(Applicable to "&amp;IF(OR(IF('Units, Set-Asides, Bldgs'!P90=0,0,N(Workforce_AMI_2_AIT))+N(Market_AIT_Units)&gt;0,total_units_in_NonAIT_setaside_chart&gt;0),TEXT(Total_Units,"0"),"0")&amp;" Units)","")</f>
        <v/>
      </c>
      <c r="J8" s="905"/>
      <c r="K8" s="905"/>
      <c r="O8" s="248">
        <v>0</v>
      </c>
      <c r="Q8" s="6" t="str">
        <f>IF(O8="","",IF(O8=0,"Not ","")&amp;"Applicable to this RFA")</f>
        <v>Not Applicable to this RFA</v>
      </c>
    </row>
    <row r="9" spans="1:33" ht="14.45" hidden="1" customHeight="1">
      <c r="E9" s="277" t="s">
        <v>2297</v>
      </c>
      <c r="F9" s="277"/>
      <c r="G9" s="277"/>
      <c r="H9" s="278" t="str">
        <f>IF(County="&lt;select one&gt;","Select a County",IF(County="Monroe",IF(Total_AIT_Chart_Units&gt;0,DS_W_SAIL_PU_FLKeys_No80Plus,"NA"),"NA"))</f>
        <v>Select a County</v>
      </c>
      <c r="I9" t="str" cm="1">
        <f t="array" ref="I9">IF(County="Monroe",IF(OR(N(Total_AIT_Chart_Units)=0,N(Workforce_AMI_1_AIT)+N(Workforce_AMI_2_AIT)+N(Market_AIT_Units)&gt;0),"","(Applicable to "&amp;TEXT(Total_Units,"0")&amp;" Units)"),"")</f>
        <v/>
      </c>
      <c r="J9" s="905"/>
      <c r="K9" s="905"/>
      <c r="O9" s="248">
        <v>0</v>
      </c>
      <c r="Q9" s="6" t="str">
        <f>IF(O9="","",IF(O9=0,"Not ","")&amp;"Applicable to this RFA")</f>
        <v>Not Applicable to this RFA</v>
      </c>
    </row>
    <row r="10" spans="1:33" ht="14.45" hidden="1" customHeight="1">
      <c r="E10" s="277" t="s">
        <v>1223</v>
      </c>
      <c r="F10" s="277"/>
      <c r="G10" s="277"/>
      <c r="H10" s="278" t="str">
        <f>IF(County="&lt;select one&gt;","Select a County",IF(County&lt;&gt;"Monroe",DS_W_SAIL_PD,"NA"))</f>
        <v>Select a County</v>
      </c>
      <c r="J10" s="905"/>
      <c r="K10" s="905"/>
      <c r="O10" s="248">
        <v>0</v>
      </c>
      <c r="Q10" s="6" t="str">
        <f>IF(O10="","",IF(O10=0,"Not ","")&amp;"Applicable to this RFA")</f>
        <v>Not Applicable to this RFA</v>
      </c>
    </row>
    <row r="11" spans="1:33" ht="14.45" hidden="1" customHeight="1">
      <c r="E11" s="277" t="s">
        <v>1224</v>
      </c>
      <c r="F11" s="277"/>
      <c r="G11" s="277"/>
      <c r="H11" s="278" t="str">
        <f>IF(County="&lt;select one&gt;","Select a County",IF(County&lt;&gt;"Monroe",DS_W_SAIL_PU,"NA"))</f>
        <v>Select a County</v>
      </c>
      <c r="J11" s="905"/>
      <c r="K11" s="905"/>
      <c r="O11" s="248">
        <v>0</v>
      </c>
      <c r="Q11" s="6" t="str">
        <f>IF(O11="","",IF(O11=0,"Not ","")&amp;"Applicable to this RFA")</f>
        <v>Not Applicable to this RFA</v>
      </c>
    </row>
    <row r="12" spans="1:33" ht="10.35" hidden="1" customHeight="1">
      <c r="E12" s="275"/>
      <c r="F12" s="275"/>
      <c r="G12" s="275"/>
      <c r="H12" s="272"/>
      <c r="J12" s="905"/>
      <c r="K12" s="905"/>
      <c r="O12" s="24"/>
    </row>
    <row r="13" spans="1:33" ht="30" hidden="1" customHeight="1">
      <c r="E13" s="2960" t="s">
        <v>1907</v>
      </c>
      <c r="F13" s="2960"/>
      <c r="G13" s="2960"/>
      <c r="H13" s="2960"/>
      <c r="I13" s="975">
        <f>IF(N4=0,0,IF(County="&lt;select one&gt;","Select a County",IF(County="Monroe",MIN(N(H7),Total_Units*IF(OR(IF(N(Workforce_80_AIT_Units)+'Units, Set-Asides, Bldgs'!P90=0,0,N(Workforce_100_AIT_Units)+N(Workforce_120_AIT_Units))+N(Market_AIT_Units)&gt;0,total_units_in_NonAIT_setaside_chart&gt;0),N(H8),N(H9))),MIN(N(H10),Total_Units*N(H11)))))</f>
        <v>0</v>
      </c>
      <c r="J13" s="1415"/>
      <c r="K13" s="905"/>
      <c r="O13" s="24"/>
    </row>
    <row r="14" spans="1:33" ht="10.35" hidden="1" customHeight="1">
      <c r="D14" s="6"/>
      <c r="H14" s="272"/>
      <c r="J14" s="905"/>
      <c r="K14" s="905"/>
      <c r="O14" s="24"/>
    </row>
    <row r="15" spans="1:33" ht="17.45" hidden="1" customHeight="1">
      <c r="C15" s="279" t="s">
        <v>957</v>
      </c>
      <c r="D15" s="271" t="s">
        <v>1225</v>
      </c>
      <c r="E15" s="271"/>
      <c r="F15" s="271"/>
      <c r="G15" s="271"/>
      <c r="H15" s="273"/>
      <c r="I15" s="976"/>
      <c r="J15" s="905"/>
      <c r="K15" s="905"/>
      <c r="L15" s="240">
        <f>N4</f>
        <v>0</v>
      </c>
      <c r="M15" s="931">
        <f>IF(AND(L15&lt;&gt;0,I15&lt;&gt;""),L15,0)</f>
        <v>0</v>
      </c>
      <c r="N15" s="905" t="str">
        <f>CHOOSE(L15+1,"Not to be included in this RFA","A REQUIRED input field for this RFA","An OPTIONAL input field for this RFA")</f>
        <v>Not to be included in this RFA</v>
      </c>
      <c r="O15" s="24"/>
    </row>
    <row r="16" spans="1:33" ht="5.0999999999999996" hidden="1" customHeight="1">
      <c r="J16" s="905"/>
      <c r="K16" s="905"/>
      <c r="O16" s="24"/>
    </row>
    <row r="17" spans="2:19" ht="17.45" hidden="1" customHeight="1">
      <c r="E17" s="271" t="s">
        <v>1226</v>
      </c>
      <c r="F17" s="271"/>
      <c r="G17" s="271"/>
      <c r="H17" s="271"/>
      <c r="I17" s="862">
        <f>MIN(N(Max_Workforce),N(Workforce_Request_Amount))</f>
        <v>0</v>
      </c>
      <c r="J17" s="905"/>
      <c r="K17" s="905"/>
      <c r="O17" s="24"/>
    </row>
    <row r="18" spans="2:19" ht="14.45" hidden="1" customHeight="1">
      <c r="J18" s="905"/>
      <c r="K18" s="905"/>
      <c r="O18" s="24"/>
    </row>
    <row r="19" spans="2:19" ht="14.45" customHeight="1">
      <c r="B19" s="316">
        <f>IF(AND($L$55=0,$L$65=0),"...",MAX(B$4:B18)+1)</f>
        <v>1</v>
      </c>
      <c r="C19" s="1718" t="s">
        <v>1910</v>
      </c>
      <c r="J19" s="905"/>
      <c r="K19" s="905"/>
      <c r="N19" s="820">
        <v>1</v>
      </c>
      <c r="O19" s="24"/>
    </row>
    <row r="20" spans="2:19" ht="10.35" customHeight="1">
      <c r="I20" s="2056"/>
      <c r="J20" s="2050"/>
      <c r="K20" s="905"/>
      <c r="O20" s="24"/>
    </row>
    <row r="21" spans="2:19" ht="27.75" customHeight="1">
      <c r="C21" s="2045"/>
      <c r="D21" s="2977" t="s">
        <v>2380</v>
      </c>
      <c r="E21" s="2977"/>
      <c r="F21" s="2977"/>
      <c r="G21" s="2977"/>
      <c r="H21" s="3269" t="str">
        <f>IF(OR(DS_SAIL_ELI_Inclusive_PD="Yes",DS_SAIL_ELI_Inclusive_PU="Yes",DS_SAIL_ELI_Inclusive_LTC="Yes"),"("&amp;IF(DS_SAIL_ELI_Inclusive_PD="Yes","Per Development","")&amp;IF(AND(DS_SAIL_ELI_Inclusive_PD="Yes",OR(DS_SAIL_ELI_Inclusive_PU="Yes",DS_SAIL_ELI_Inclusive_LTC="Yes"))," &amp; ","")&amp;IF(DS_SAIL_ELI_Inclusive_PU="Yes","Per Unit",IF(DS_SAIL_ELI_Inclusive_LTC="Yes","% of TDC",""))&amp;IF(AND(DS_SAIL_ELI_Inclusive_PD="Yes",DS_SAIL_ELI_Inclusive_PU="Yes",DS_SAIL_ELI_Inclusive_LTC="Yes")," &amp; ","")&amp;IF(AND(DS_SAIL_ELI_Inclusive_PU&lt;&gt;"Yes",DS_SAIL_ELI_Inclusive_LTC="Yes"),"% of TDC","")&amp;" Limits include ELI Funding*)","")</f>
        <v>(Per Development &amp; % of TDC% of TDC Limits include ELI Funding*)</v>
      </c>
      <c r="I21" s="3269"/>
      <c r="J21" s="2050"/>
      <c r="K21" s="905"/>
      <c r="O21" s="24"/>
    </row>
    <row r="22" spans="2:19" ht="14.45" customHeight="1">
      <c r="C22" s="88"/>
      <c r="D22" s="941"/>
      <c r="E22" s="944" t="str">
        <f>"Per Development - Large Counties"&amp;IF(DS_SAIL_ELI_Inclusive_PD&lt;&gt;"Yes","","*")</f>
        <v>Per Development - Large Counties*</v>
      </c>
      <c r="F22" s="944"/>
      <c r="G22" s="944"/>
      <c r="H22" s="858" t="str">
        <f>IF(OR(N$19=0,O22=0),"",IF(OR(County="&lt;select one&gt;",County=""),"Select a County",IF(AND(Development_Category="&lt;select one&gt;",DS_SAIL_PD_Large_DevCat&lt;&gt;"None"),"Select a Dev. Category",IF(VLOOKUP(County,DS_County_Sizes,8,FALSE)="Large",IF(DS_SAIL_PD_Large_DevCat="None",DS_SAIL_PD_Large-IF(DS_SAIL_ELI_Inclusive_PD="Yes",Eligible_ELI_Request_Amount,0),IF(AND(DS_SAIL_PD_Large_DevCat="NC or Redev",OR(Development_Category="New Construction",AND(Development_Category="New Construction",Development_SubCategory="Redevelopment (w/ or w/o Acquisition)"))),DS_SAIL_PD_Large-IF(DS_SAIL_ELI_Inclusive_PD="Yes",Eligible_ELI_Request_Amount,0),"NA")),"NA"))))</f>
        <v>Select a County</v>
      </c>
      <c r="I22" s="352"/>
      <c r="J22" s="269"/>
      <c r="K22" s="905"/>
      <c r="O22" s="953">
        <v>1</v>
      </c>
      <c r="Q22" s="6" t="str">
        <f t="shared" ref="Q22:Q48" si="0">IF(O22="","",IF(O22=0,"Not ","")&amp;"Applicable to this RFA")</f>
        <v>Applicable to this RFA</v>
      </c>
    </row>
    <row r="23" spans="2:19" ht="35.1" customHeight="1">
      <c r="C23" s="88"/>
      <c r="D23" s="941"/>
      <c r="E23" s="3268" t="str">
        <f>"*"&amp;IF(OR(DS_SAIL_ELI_Inclusive_PD&lt;&gt;"Yes",H22="NA"),"NA","("&amp;IF(N(H22)=0,"The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*(The Applicant's Eligible ELI Request Amount will be deducted from the gross Per Development SAIL Request Limit to obtain a net Per Development SAIL Request Limit, once an ELI Request Amount has been entered.</v>
      </c>
      <c r="F23" s="3268"/>
      <c r="G23" s="3268"/>
      <c r="H23" s="3268"/>
      <c r="I23" s="3268"/>
      <c r="J23" s="269"/>
      <c r="K23" s="905"/>
      <c r="O23" s="929">
        <f>IF(AND(O22=1,DS_SAIL_ELI_Inclusive_PD="Yes"),1,0)</f>
        <v>1</v>
      </c>
      <c r="Q23" s="6" t="str">
        <f t="shared" si="0"/>
        <v>Applicable to this RFA</v>
      </c>
    </row>
    <row r="24" spans="2:19" ht="14.45" customHeight="1">
      <c r="C24" s="88"/>
      <c r="D24" s="941"/>
      <c r="E24" s="944" t="str">
        <f>"Per Development - Medium Counties"&amp;IF(DS_SAIL_ELI_Inclusive_PD&lt;&gt;"Yes","","*")</f>
        <v>Per Development - Medium Counties*</v>
      </c>
      <c r="F24" s="944"/>
      <c r="G24" s="944"/>
      <c r="H24" s="858" t="str">
        <f>IF(OR(N$19=0,O24=0),"",IF(OR(County="&lt;select one&gt;",County=""),"Select a County",IF(AND(Development_Category="&lt;select one&gt;",DS_SAIL_PD_Med_DevCat&lt;&gt;"None"),"Select a Dev. Category",IF(VLOOKUP(County,DS_County_Sizes,8,FALSE)="Medium",IF(DS_SAIL_PD_Med_DevCat="None",DS_SAIL_PD_Med-IF(DS_SAIL_ELI_Inclusive_PD="Yes",MIN(Max_ELI,Eligible_ELI_Request_Amount),0),IF(AND(DS_SAIL_PD_Small_DevCat="NC or Redev",OR(Development_Category="New Construction",AND(Development_Category="New Construction",Development_SubCategory="Redevelopment (w/ or w/o Acquisition)"))),DS_SAIL_PD_Med-IF(DS_SAIL_ELI_Inclusive_PD="Yes",MIN(Max_ELI,Eligible_ELI_Request_Amount),0),"NA")),"NA"))))</f>
        <v>Select a County</v>
      </c>
      <c r="I24" s="352"/>
      <c r="J24" s="905"/>
      <c r="K24" s="905"/>
      <c r="O24" s="953">
        <v>1</v>
      </c>
      <c r="Q24" s="6" t="str">
        <f t="shared" si="0"/>
        <v>Applicable to this RFA</v>
      </c>
    </row>
    <row r="25" spans="2:19" ht="35.1" customHeight="1">
      <c r="C25" s="88"/>
      <c r="D25" s="941"/>
      <c r="E25" s="3268" t="str">
        <f>"*"&amp;IF(OR(DS_SAIL_ELI_Inclusive_PD&lt;&gt;"Yes",H24="NA"),"NA","("&amp;IF(N(H24)=0,"The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*(The Applicant's Eligible ELI Request Amount will be deducted from the gross Per Development SAIL Request Limit to obtain a net Per Development SAIL Request Limit, once an ELI Request Amount has been entered.</v>
      </c>
      <c r="F25" s="3268"/>
      <c r="G25" s="3268"/>
      <c r="H25" s="3268"/>
      <c r="I25" s="3268"/>
      <c r="J25" s="905"/>
      <c r="K25" s="905"/>
      <c r="O25" s="929">
        <f>IF(AND(O24=1,DS_SAIL_ELI_Inclusive_PD="Yes"),1,0)</f>
        <v>1</v>
      </c>
      <c r="Q25" s="6" t="str">
        <f t="shared" si="0"/>
        <v>Applicable to this RFA</v>
      </c>
    </row>
    <row r="26" spans="2:19" ht="14.45" hidden="1" customHeight="1">
      <c r="C26" s="88"/>
      <c r="D26" s="941"/>
      <c r="E26" s="944" t="str">
        <f>"Per Development - Small Counties"&amp;IF(DS_SAIL_ELI_Inclusive_PD&lt;&gt;"Yes","","*")</f>
        <v>Per Development - Small Counties*</v>
      </c>
      <c r="F26" s="1230"/>
      <c r="G26" s="1230"/>
      <c r="H26" s="858" t="str">
        <f>IF(OR(N$19=0,O26=0),"",IF(OR(County="&lt;select one&gt;",County=""),"Select a County",IF(AND(Development_Category="&lt;select one&gt;",DS_SAIL_PD_Small_DevCat&lt;&gt;"None"),"Select a Dev. Category",IF(VLOOKUP(County,DS_County_Sizes,8,FALSE)="Small",IF(DS_SAIL_PD_Small_DevCat="None",DS_SAIL_PD_Small-IF(DS_SAIL_ELI_Inclusive_PD="Yes",MIN(Max_ELI,Eligible_ELI_Request_Amount),0),IF(AND(DS_SAIL_PD_Small_DevCat="NC or Redev",OR(Development_Category="New Construction",AND(Development_Category="New Construction",Development_SubCategory="Redevelopment (w/ or w/o Acquisition)"))),DS_SAIL_PD_Small-IF(DS_SAIL_ELI_Inclusive_PD="Yes",MIN(Max_ELI,Eligible_ELI_Request_Amount),0),"NA")),"NA"))))</f>
        <v/>
      </c>
      <c r="I26" s="352"/>
      <c r="J26" s="905"/>
      <c r="K26" s="905"/>
      <c r="O26" s="953">
        <v>0</v>
      </c>
      <c r="Q26" s="6" t="str">
        <f t="shared" ref="Q26:Q27" si="1">IF(O26="","",IF(O26=0,"Not ","")&amp;"Applicable to this RFA")</f>
        <v>Not Applicable to this RFA</v>
      </c>
    </row>
    <row r="27" spans="2:19" ht="35.1" hidden="1" customHeight="1">
      <c r="C27" s="88"/>
      <c r="D27" s="941"/>
      <c r="E27" s="3268" t="str">
        <f>"*"&amp;IF(OR(DS_SAIL_ELI_Inclusive_PD&lt;&gt;"Yes",H26="NA"),"NA","("&amp;IF(N(H26)=0,"The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*(The Applicant's Eligible ELI Request Amount will be deducted from the gross Per Development SAIL Request Limit to obtain a net Per Development SAIL Request Limit, once an ELI Request Amount has been entered.</v>
      </c>
      <c r="F27" s="3268"/>
      <c r="G27" s="3268"/>
      <c r="H27" s="3268"/>
      <c r="I27" s="3268"/>
      <c r="J27" s="905"/>
      <c r="K27" s="905"/>
      <c r="O27" s="929">
        <f>IF(AND(O26=1,DS_SAIL_ELI_Inclusive_PD="Yes"),1,0)</f>
        <v>0</v>
      </c>
      <c r="Q27" s="6" t="str">
        <f t="shared" si="1"/>
        <v>Not Applicable to this RFA</v>
      </c>
    </row>
    <row r="28" spans="2:19" ht="14.45" hidden="1" customHeight="1">
      <c r="C28" s="88"/>
      <c r="D28" s="941"/>
      <c r="E28" s="811" t="str">
        <f>"Per Development - "&amp;IF(Data1!E194=1,"Preservation","")&amp;IF(Data1!E193+Data1!E194=3," or ","")&amp;IF(Data1!E193=2,"Rehabilitation","")&amp;IF(DS_SAIL_ELI_Inclusive_PD&lt;&gt;"Yes","","*")</f>
        <v>Per Development - Preservation*</v>
      </c>
      <c r="F28" s="944"/>
      <c r="G28" s="944"/>
      <c r="H28" s="858"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Rehabilitation"),DS_SAIL_PD_Pres-IF(DS_SAIL_ELI_Inclusive_PD="Yes",MIN(Max_ELI,Eligible_ELI_Request_Amount),0),"NA")))</f>
        <v/>
      </c>
      <c r="I28" s="282" t="s">
        <v>1890</v>
      </c>
      <c r="J28" s="1335"/>
      <c r="K28" s="905"/>
      <c r="L28"/>
      <c r="O28" s="953">
        <v>0</v>
      </c>
      <c r="Q28" s="6" t="str">
        <f>IF(O28="","",IF(O28=0,"Not ","")&amp;"Applicable to this RFA")</f>
        <v>Not Applicable to this RFA</v>
      </c>
      <c r="S28" s="268"/>
    </row>
    <row r="29" spans="2:19" ht="35.1" hidden="1" customHeight="1">
      <c r="C29" s="88"/>
      <c r="D29" s="941"/>
      <c r="E29" s="3282" t="str">
        <f>"*"&amp;IF(OR(DS_SAIL_ELI_Inclusive_PD&lt;&gt;"Yes",H28="NA"),"NA","("&amp;IF(N(H28)=0,"The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*(The Applicant's Eligible ELI Request Amount will be deducted from the gross Per Development SAIL Request Limit to obtain a net Per Development SAIL Request Limit, once an ELI Request Amount has been entered.</v>
      </c>
      <c r="F29" s="3282"/>
      <c r="G29" s="3282"/>
      <c r="H29" s="3282"/>
      <c r="I29" s="3282"/>
      <c r="J29" s="905"/>
      <c r="K29" s="905"/>
      <c r="L29"/>
      <c r="O29" s="929">
        <f>IF(AND(O28=1,DS_SAIL_ELI_Inclusive_PD="Yes"),1,0)</f>
        <v>0</v>
      </c>
      <c r="Q29" s="6" t="str">
        <f t="shared" ref="Q29" si="2">IF(O29="","",IF(O29=0,"Not ","")&amp;"Applicable to this RFA")</f>
        <v>Not Applicable to this RFA</v>
      </c>
      <c r="S29" s="268"/>
    </row>
    <row r="30" spans="2:19" ht="14.45" hidden="1" customHeight="1">
      <c r="C30" s="88"/>
      <c r="D30" s="941"/>
      <c r="E30" s="944" t="str">
        <f>"Per Development - Demographic Basis"&amp;IF(DS_SAIL_ELI_Inclusive_PD&lt;&gt;"Yes","","*")</f>
        <v>Per Development - Demographic Basis*</v>
      </c>
      <c r="F30" s="944"/>
      <c r="G30" s="944"/>
      <c r="H30" s="858" t="str">
        <f>IF(OR(N$19=0,O30=0),"",DS_SAIL_PD_Demo-IF(DS_SAIL_ELI_Inclusive_PD="Yes",MIN(Max_ELI,Eligible_ELI_Request_Amount),0))</f>
        <v/>
      </c>
      <c r="I30" s="282"/>
      <c r="J30" s="905"/>
      <c r="K30" s="905"/>
      <c r="L30"/>
      <c r="O30" s="953">
        <v>0</v>
      </c>
      <c r="Q30" s="6" t="str">
        <f>IF(O30="","",IF(O30=0,"Not ","")&amp;"Applicable to this RFA")</f>
        <v>Not Applicable to this RFA</v>
      </c>
    </row>
    <row r="31" spans="2:19" ht="35.1" hidden="1" customHeight="1">
      <c r="C31" s="88"/>
      <c r="D31" s="941"/>
      <c r="E31" s="3268" t="str">
        <f>"*"&amp;IF(OR(DS_SAIL_ELI_Inclusive_PD&lt;&gt;"Yes",H30="NA"),"NA","("&amp;IF(N(H30)=0,"The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*(The Applicant's Eligible ELI Request Amount will be deducted from the gross Per Development SAIL Request Limit to obtain a net Per Development SAIL Request Limit, once an ELI Request Amount has been entered.</v>
      </c>
      <c r="F31" s="3268"/>
      <c r="G31" s="3268"/>
      <c r="H31" s="3268"/>
      <c r="I31" s="3268"/>
      <c r="J31" s="905"/>
      <c r="K31" s="905"/>
      <c r="L31"/>
      <c r="O31" s="929">
        <f>IF(AND(O30=1,DS_SAIL_ELI_Inclusive_PD="Yes"),1,0)</f>
        <v>0</v>
      </c>
      <c r="Q31" s="6" t="str">
        <f t="shared" ref="Q31" si="3">IF(O31="","",IF(O31=0,"Not ","")&amp;"Applicable to this RFA")</f>
        <v>Not Applicable to this RFA</v>
      </c>
    </row>
    <row r="32" spans="2:19" ht="14.45" hidden="1" customHeight="1">
      <c r="C32" s="88"/>
      <c r="D32" s="941"/>
      <c r="E32" s="944" t="s">
        <v>2321</v>
      </c>
      <c r="F32" s="944"/>
      <c r="G32" s="944"/>
      <c r="H32" s="858" t="str">
        <f>IF(OR(N$19=0,O32=0),"",IF(County="&lt;select one&gt;","Select a County",IF(County="Miami-Dade",DS_SAIL_PD_Min_MD,"NA")))</f>
        <v/>
      </c>
      <c r="I32" s="562" t="s">
        <v>1227</v>
      </c>
      <c r="J32" s="1762"/>
      <c r="K32" s="783"/>
      <c r="O32" s="953">
        <v>0</v>
      </c>
      <c r="Q32" s="6" t="str">
        <f t="shared" si="0"/>
        <v>Not Applicable to this RFA</v>
      </c>
    </row>
    <row r="33" spans="2:21" ht="14.45" hidden="1" customHeight="1">
      <c r="C33" s="88"/>
      <c r="D33" s="941"/>
      <c r="E33" s="274" t="str">
        <f>"Per Development - New Construction"&amp;IF(DS_SAIL_ELI_Inclusive_PD&lt;&gt;"Yes","","*")</f>
        <v>Per Development - New Construction*</v>
      </c>
      <c r="F33" s="274"/>
      <c r="G33" s="274"/>
      <c r="H33" s="283" t="str">
        <f>IF(OR(N$19=0,O33=0),"",IF(Development_Category="&lt;select one&gt;","Select a Dev. Category",IF(Development_Category="New Construction",DS_SAIL_PD_NC-IF(DS_SAIL_ELI_Inclusive_PD="Yes",MIN(Max_ELI,Eligible_ELI_Request_Amount),0),"NA")))</f>
        <v/>
      </c>
      <c r="I33" s="282"/>
      <c r="J33" s="905"/>
      <c r="K33" s="905"/>
      <c r="L33"/>
      <c r="O33" s="953">
        <v>0</v>
      </c>
      <c r="Q33" s="6" t="str">
        <f t="shared" ref="Q33:Q34" si="4">IF(O33="","",IF(O33=0,"Not ","")&amp;"Applicable to this RFA")</f>
        <v>Not Applicable to this RFA</v>
      </c>
    </row>
    <row r="34" spans="2:21" ht="35.1" hidden="1" customHeight="1">
      <c r="C34" s="88"/>
      <c r="D34" s="2025"/>
      <c r="E34" s="3282" t="str">
        <f>"*"&amp;IF(OR(DS_SAIL_ELI_Inclusive_PD&lt;&gt;"Yes",H33="NA"),"NA","("&amp;IF(N(H33)=0,"The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"&amp;TEXT(DS_SAIL_PD_NC,"$#,##0")&amp;", less the Applicant's Eligible ELI Request Amount of "&amp;TEXT(Eligible_ELI_Request_Amount,"$#,##0")&amp;" yields a net SAIL Per Development Request Amount Limit of "&amp;TEXT(H33,"$#,##0")&amp;".)"))</f>
        <v>*(The Applicant's Eligible ELI Request Amount will be deducted from the gross Per Development SAIL Request Limit to obtain a net Per Development SAIL Request Limit, once an ELI Request Amount has been entered.</v>
      </c>
      <c r="F34" s="3282"/>
      <c r="G34" s="3282"/>
      <c r="H34" s="3282"/>
      <c r="I34" s="3282"/>
      <c r="J34" s="2023"/>
      <c r="K34" s="2023"/>
      <c r="L34"/>
      <c r="O34" s="2024">
        <f>IF(AND(O33=1,DS_SAIL_ELI_Inclusive_PD="Yes"),1,0)</f>
        <v>0</v>
      </c>
      <c r="Q34" s="2026" t="str">
        <f t="shared" si="4"/>
        <v>Not Applicable to this RFA</v>
      </c>
    </row>
    <row r="35" spans="2:21" ht="14.45" customHeight="1">
      <c r="B35" s="3289"/>
      <c r="C35" s="3289"/>
      <c r="D35" s="3289"/>
      <c r="E35" s="1326" t="str">
        <f>"Per Unit - New Construction"&amp;IF(DS_SAIL_ELI_Inclusive_PU&lt;&gt;"Yes",""," (Gross)")</f>
        <v>Per Unit - New Construction</v>
      </c>
      <c r="F35" s="1326"/>
      <c r="G35" s="1326"/>
      <c r="H35" s="1999" t="str">
        <f>IF(OR(N$19=0,O35=0),"",IF(Development_Category="&lt;select one&gt;","Select a Dev. Category",IF(SUM('Proposed Development Info'!$H$127:$H$135)&gt;0,DS_SAIL_PU_NC,"NA")))</f>
        <v>NA</v>
      </c>
      <c r="I35" s="3276" t="str">
        <f>IF(OR(O35+O36=0,AND(O35=1,H35="NA",O36=0),AND(O35=0,H36="NA",O36=1),AND(H35="NA",H36="NA")),"","("&amp;TEXT(N(H35)*SUM('Proposed Development Info'!H127:H135)+N(H36)*SUM('Proposed Development Info'!H136:H149),"$#,##0")&amp;" Per Dev"&amp;IF(DS_SAIL_ELI_Inclusive_PU&lt;&gt;"Yes","elopment)",". - Gross)"&amp;CHAR(10)&amp;"("&amp;TEXT(N(H35)*SUM('Proposed Development Info'!H127:H135)+N(H36)*SUM('Proposed Development Info'!H136:H149)-Eligible_ELI_Request_Amount,"$#,##0")&amp;" Per Dev. - Net)"))</f>
        <v/>
      </c>
      <c r="J35" s="1770"/>
      <c r="K35" s="905"/>
      <c r="L35"/>
      <c r="N35" s="272"/>
      <c r="O35" s="953">
        <v>1</v>
      </c>
      <c r="Q35" s="6" t="str">
        <f>IF(O35="","",IF(O35=0,"Not ","")&amp;"Applicable to this RFA")</f>
        <v>Applicable to this RFA</v>
      </c>
    </row>
    <row r="36" spans="2:21" ht="14.45" hidden="1" customHeight="1">
      <c r="B36" s="3289"/>
      <c r="C36" s="3289"/>
      <c r="D36" s="3289"/>
      <c r="E36" s="1326" t="str">
        <f>"Per Unit - Substantial Rehabilitation"&amp;IF(DS_SAIL_ELI_Inclusive_PU&lt;&gt;"Yes",""," (Gross)")</f>
        <v>Per Unit - Substantial Rehabilitation</v>
      </c>
      <c r="F36" s="1326"/>
      <c r="G36" s="1326"/>
      <c r="H36" s="1999" t="str">
        <f>IF(OR(N$19=0,O36=0),"",IF(Development_Category="&lt;select one&gt;","Select a Dev. Category",IF(SUM('Proposed Development Info'!$H$136:$H$149)&gt;0,DS_SAIL_PU_SR,"NA")))</f>
        <v/>
      </c>
      <c r="I36" s="3276"/>
      <c r="J36" s="905"/>
      <c r="K36" s="905"/>
      <c r="L36"/>
      <c r="O36" s="953">
        <v>0</v>
      </c>
      <c r="Q36" s="6" t="str">
        <f>IF(O36="","",IF(O36=0,"Not ","")&amp;"Applicable to this RFA")</f>
        <v>Not Applicable to this RFA</v>
      </c>
    </row>
    <row r="37" spans="2:21" ht="69.95" customHeight="1">
      <c r="C37" s="88"/>
      <c r="D37" s="941"/>
      <c r="E37" s="3283" t="str">
        <f>IF(O35+O36=0,"",IF(total_units_in_unit_desc_chart=0,"","The "&amp;IF(DS_SAIL_ELI_Inclusive_PD="Yes","gross ","")&amp;"Per Development request limit based on the above Per Unit Request Limit"&amp;IF(AND(N(SUM('Proposed Development Info'!$H$127:$H$135))&gt;1,N(SUM('Proposed Development Info'!$H$136:$H$149))&gt;1),"s","")&amp;" is calculated by multiplying "&amp;IF(N(SUM('Proposed Development Info'!$H$127:$H$135))&gt;1,TEXT(N(SUM('Proposed Development Info'!$H$127:$H$135)),"0")&amp;" new construction units by "&amp;TEXT(Funding!H35,"$#,##0")&amp;" per unit","")&amp;IF(AND(N(SUM('Proposed Development Info'!$H$127:$H$135))&gt;1,N(SUM('Proposed Development Info'!$H$136:$H$149))&gt;1)," and adding ","")&amp;IF(N(SUM('Proposed Development Info'!$H$136:$H$149))&gt;1,TEXT(N(SUM('Proposed Development Info'!$H$136:$H$149)),"0")&amp;" rehab units by "&amp;TEXT(Funding!H36,"$#,##0")&amp;" per unit","")&amp;" for a "&amp;IF(DS_SAIL_ELI_Inclusive_PD="Yes","gross ","")&amp;"total of "&amp;TEXT(DS_SAIL_PU_Max_Gross,"$#,##0")&amp;"."&amp;IF(AND(DS_SAIL_ELI_Inclusive_PD="Yes",DS_SAIL_ELI_Inclusive_PU="Yes")," This gross total less the Applicant's Eligible ELI Request Amount of "&amp;TEXT(Eligible_ELI_Request_Amount,"$#,##0")&amp;" yields a net Per Unit Development limit of "&amp;TEXT(DS_SAIL_PU_Max_Gross-Eligible_ELI_Request_Amount,"$#,##0")&amp;".",IF(AND(DS_SAIL_ELI_Inclusive_PD="Yes",DS_SAIL_ELI_Inclusive_PU="No")," The net per unit limit is "&amp;IF(DS_SAIL_PU_Max_Gross&lt;=DS_SAIL_PU_Max_Net,"the same as the gross total per unit limit.","limited by the net per development limit of "&amp;TEXT(DS_SAIL_PU_Max_Net,"$#,##0")&amp;"."),""))))</f>
        <v/>
      </c>
      <c r="F37" s="3283"/>
      <c r="G37" s="3283"/>
      <c r="H37" s="3283"/>
      <c r="I37" s="3283"/>
      <c r="J37" s="1770"/>
      <c r="K37" s="905"/>
      <c r="L37"/>
      <c r="O37" s="929">
        <f>MAX(O35,O36)</f>
        <v>1</v>
      </c>
      <c r="Q37" s="6" t="str">
        <f t="shared" ref="Q37:Q45" si="5">IF(O37="","",IF(O37=0,"Not ","")&amp;"Applicable to this RFA")</f>
        <v>Applicable to this RFA</v>
      </c>
    </row>
    <row r="38" spans="2:21" ht="17.45" hidden="1" customHeight="1">
      <c r="B38" s="3290"/>
      <c r="C38" s="3291"/>
      <c r="D38" s="3291"/>
      <c r="E38" s="1759" t="s">
        <v>2318</v>
      </c>
      <c r="F38" s="1759"/>
      <c r="G38" s="1759"/>
      <c r="H38" s="1760" t="str">
        <f>IF(OR(N$19=0,O38=0),"",IF(Development_Category="&lt;select one&gt;","Select a Dev. Category",IF(SUM('Proposed Development Info'!$H$127:$H$135)&gt;0,DS_SAIL_PU_LL_HC_60,"NA")))</f>
        <v/>
      </c>
      <c r="I38" s="3270" t="str">
        <f>IF(SUM(O38:O44)=0,"","("&amp;TEXT(Data3!K92,"$#,##0")&amp;" Per Dev"&amp;IF(DS_SAIL_ELI_Inclusive_PD&lt;&gt;"Yes","elopment,"&amp;CHAR(10)&amp;TEXT(Data3!K94,"$#,##0")&amp;" PSAU)"&amp;CHAR(10)&amp;CHAR(10)&amp;TEXT(Data3!K95,"0.0000000")&amp;" Live Local"&amp;CHAR(10)&amp;"Leveraging Multiplier",".,"&amp;CHAR(10)&amp;TEXT(Data3!K94,"$#,##0")&amp;" PSAU - Gross)"&amp;CHAR(10)&amp;"("&amp;TEXT(Data3!L92,"$#,##0")&amp;" Per Dev.,"&amp;CHAR(10)&amp;TEXT(Data3!L94,"$#,##0")&amp;" PSAU - Net)"&amp;CHAR(10)&amp;CHAR(10)&amp;TEXT(Data3!L95,"0.0000000")&amp;" Live Local"&amp;CHAR(10)&amp;"Leveraging Multiplier"))</f>
        <v/>
      </c>
      <c r="J38" s="1764"/>
      <c r="K38" s="1739"/>
      <c r="L38"/>
      <c r="M38" s="1768"/>
      <c r="O38" s="1743">
        <v>0</v>
      </c>
      <c r="Q38" s="1742" t="str">
        <f t="shared" si="5"/>
        <v>Not Applicable to this RFA</v>
      </c>
    </row>
    <row r="39" spans="2:21" ht="17.45" hidden="1" customHeight="1">
      <c r="B39" s="3290"/>
      <c r="C39" s="3291"/>
      <c r="D39" s="3291"/>
      <c r="E39" s="1759" t="s">
        <v>2319</v>
      </c>
      <c r="F39" s="1759"/>
      <c r="G39" s="1759"/>
      <c r="H39" s="1761" t="str">
        <f>IF(OR(N$19=0,O39=0),"",IF(Development_Category="&lt;select one&gt;","Select a Dev. Category",IF(SUM('Proposed Development Info'!$H$127:$H$135)&gt;0,DS_SAIL_PU_LL_HC_80,"NA")))</f>
        <v/>
      </c>
      <c r="I39" s="3271"/>
      <c r="J39" s="1764"/>
      <c r="K39" s="1739"/>
      <c r="L39"/>
      <c r="M39" s="1768"/>
      <c r="O39" s="1743">
        <v>0</v>
      </c>
      <c r="Q39" s="1742" t="str">
        <f t="shared" si="5"/>
        <v>Not Applicable to this RFA</v>
      </c>
    </row>
    <row r="40" spans="2:21" ht="17.45" hidden="1" customHeight="1">
      <c r="B40" s="3290"/>
      <c r="C40" s="3291"/>
      <c r="D40" s="3291"/>
      <c r="E40" s="1759" t="s">
        <v>2320</v>
      </c>
      <c r="F40" s="1759"/>
      <c r="G40" s="1759"/>
      <c r="H40" s="1761" t="str">
        <f>IF(OR(N$19=0,O40=0),"",IF(Development_Category="&lt;select one&gt;","Select a Dev. Category",IF(SUM('Proposed Development Info'!$H$127:$H$135)&gt;0,DS_SAIL_PU_LL_NonHC_80,"NA")))</f>
        <v/>
      </c>
      <c r="I40" s="3271"/>
      <c r="J40" s="1764"/>
      <c r="K40" s="1739"/>
      <c r="L40"/>
      <c r="M40" s="1768"/>
      <c r="O40" s="1743">
        <v>0</v>
      </c>
      <c r="Q40" s="1742" t="str">
        <f t="shared" si="5"/>
        <v>Not Applicable to this RFA</v>
      </c>
    </row>
    <row r="41" spans="2:21" ht="17.45" hidden="1" customHeight="1">
      <c r="B41" s="1953"/>
      <c r="C41" s="1954"/>
      <c r="D41" s="1954"/>
      <c r="E41" s="1759" t="s">
        <v>2441</v>
      </c>
      <c r="F41" s="1759"/>
      <c r="G41" s="1759"/>
      <c r="H41" s="1761" t="str" cm="1">
        <f t="array" ref="H41">IF(OR(N$19=0,O41=0),"",IF(Development_Category="&lt;select one&gt;","Select a Dev. Category",IF(SUM('Proposed Development Info'!$H$129:$H$151)&gt;0,DS_SAIL_PU_LL_NonHC_90,"NA")))</f>
        <v/>
      </c>
      <c r="I41" s="3271"/>
      <c r="J41" s="1764"/>
      <c r="K41" s="1951"/>
      <c r="L41"/>
      <c r="M41" s="1768"/>
      <c r="N41" t="s">
        <v>2806</v>
      </c>
      <c r="O41" s="1956">
        <v>0</v>
      </c>
      <c r="Q41" s="1955" t="str">
        <f t="shared" ref="Q41" si="6">IF(O41="","",IF(O41=0,"Not ","")&amp;"Applicable to this RFA")</f>
        <v>Not Applicable to this RFA</v>
      </c>
    </row>
    <row r="42" spans="2:21" ht="17.45" hidden="1" customHeight="1">
      <c r="B42" s="3290"/>
      <c r="C42" s="3291"/>
      <c r="D42" s="3291"/>
      <c r="E42" s="1759" t="str">
        <f>"Per NC Unit - Non-HC Unit &gt; "&amp;TEXT(IF(O41=0,"80%","90%"),"0%")&amp;" AMI &amp; =&lt; 100% AMI"</f>
        <v>Per NC Unit - Non-HC Unit &gt; 80% AMI &amp; =&lt; 100% AMI</v>
      </c>
      <c r="F42" s="1759"/>
      <c r="G42" s="1759"/>
      <c r="H42" s="1761" t="str">
        <f>IF(OR(N$19=0,O42=0),"",IF(Development_Category="&lt;select one&gt;","Select a Dev. Category",IF(SUM('Proposed Development Info'!$H$127:$H$135)&gt;0,DS_SAIL_PU_LL_NonHC_100,"NA")))</f>
        <v/>
      </c>
      <c r="I42" s="3271"/>
      <c r="J42" s="1764"/>
      <c r="K42" s="1739"/>
      <c r="L42"/>
      <c r="M42" s="1768"/>
      <c r="N42" t="s">
        <v>2807</v>
      </c>
      <c r="O42" s="1743">
        <v>0</v>
      </c>
      <c r="Q42" s="1742" t="str">
        <f t="shared" si="5"/>
        <v>Not Applicable to this RFA</v>
      </c>
      <c r="U42" s="1767"/>
    </row>
    <row r="43" spans="2:21" ht="17.45" hidden="1" customHeight="1">
      <c r="B43" s="1953"/>
      <c r="C43" s="1954"/>
      <c r="D43" s="1954"/>
      <c r="E43" s="1759" t="s">
        <v>2442</v>
      </c>
      <c r="F43" s="1759"/>
      <c r="G43" s="1759"/>
      <c r="H43" s="1761" t="str" cm="1">
        <f t="array" ref="H43">IF(OR(N$19=0,O43=0),"",IF(Development_Category="&lt;select one&gt;","Select a Dev. Category",IF(SUM('Proposed Development Info'!$H$129:$H$151)&gt;0,DS_SAIL_PU_LL_NonHC_110,"NA")))</f>
        <v/>
      </c>
      <c r="I43" s="3271"/>
      <c r="J43" s="1764"/>
      <c r="K43" s="1951"/>
      <c r="L43"/>
      <c r="M43" s="1768"/>
      <c r="N43" t="s">
        <v>2808</v>
      </c>
      <c r="O43" s="1956">
        <v>0</v>
      </c>
      <c r="Q43" s="1955" t="str">
        <f t="shared" ref="Q43" si="7">IF(O43="","",IF(O43=0,"Not ","")&amp;"Applicable to this RFA")</f>
        <v>Not Applicable to this RFA</v>
      </c>
      <c r="U43" s="1767"/>
    </row>
    <row r="44" spans="2:21" ht="17.45" hidden="1" customHeight="1">
      <c r="B44" s="3290"/>
      <c r="C44" s="3291"/>
      <c r="D44" s="3291"/>
      <c r="E44" s="1759" t="str">
        <f>"Per NC Unit - Non-HC Unit &gt; "&amp;TEXT(IF(O43=0,"100%","110%"),"0%")&amp;" AMI &amp; =&lt; 120% AMI"</f>
        <v>Per NC Unit - Non-HC Unit &gt; 100% AMI &amp; =&lt; 120% AMI</v>
      </c>
      <c r="F44" s="1759"/>
      <c r="G44" s="1759"/>
      <c r="H44" s="1761" t="str">
        <f>IF(OR(N$19=0,O44=0),"",IF(Development_Category="&lt;select one&gt;","Select a Dev. Category",IF(SUM('Proposed Development Info'!$H$127:$H$135)&gt;0,DS_SAIL_PU_LL_NonHC_120,"NA")))</f>
        <v/>
      </c>
      <c r="I44" s="3271"/>
      <c r="J44" s="1764"/>
      <c r="K44" s="1739"/>
      <c r="L44"/>
      <c r="M44" s="1768"/>
      <c r="N44" t="s">
        <v>2809</v>
      </c>
      <c r="O44" s="1743">
        <v>0</v>
      </c>
      <c r="Q44" s="1742" t="str">
        <f t="shared" si="5"/>
        <v>Not Applicable to this RFA</v>
      </c>
    </row>
    <row r="45" spans="2:21" ht="80.099999999999994" hidden="1" customHeight="1">
      <c r="C45" s="88"/>
      <c r="D45" s="1741"/>
      <c r="E45" s="3272" t="str">
        <f>IF(N(H38)+N(H39)+N(H40)+N(H41)+N(H42)+N(H43)+N(H44)=0,"","The "&amp;IF(DS_SAIL_ELI_Inclusive_PU="Yes","gross ","")&amp;"Per Development request limit based on the above Per Unit Request Limit"&amp;IF(COUNTIF(H38:H44,"&gt;30000")&gt;1,"s","")&amp;" is calculated by adding together the "&amp;IF($O$38=0,"",TEXT(IF(Minimum_SetAside_per_Sec_42=DS_IRS_2050,SUM('Units, Set-Asides, Bldgs'!F$52:F$59),IF(Minimum_SetAside_per_Sec_42=DS_IRS_4060,SUM('Units, Set-Asides, Bldgs'!F$52:F$60),IF(Minimum_SetAside_per_Sec_42=DS_IRS_AIT,SUM('Units, Set-Asides, Bldgs'!F$79:F$83),0))),"0")&amp;" HC units at or below 60% AMI (each at "&amp;TEXT(DS_SAIL_PU_LL_HC_60,"$#,##0")&amp;")"&amp;IF(Minimum_SetAside_per_Sec_42=DS_IRS_AIT,IF(COUNTIF('Units, Set-Asides, Bldgs'!F$84:F$90,"&lt;&gt;0")=1," and ",", "),IF(COUNTIF('Units, Set-Asides, Bldgs'!F$61:F$65,"&lt;&gt;0")=1," and ",", ")))&amp;IF(OR($O$39=0,IF(Minimum_SetAside_per_Sec_42&lt;&gt;DS_IRS_AIT,0,SUM('Units, Set-Asides, Bldgs'!F$84:F$85))=0),"",TEXT(SUM('Units, Set-Asides, Bldgs'!F$84:F$85),"0")&amp;" HC units above 60% AMI (each at "&amp;TEXT(DS_SAIL_PU_LL_HC_80,"$#,##0")&amp;")"&amp;IF(Minimum_SetAside_per_Sec_42=DS_IRS_AIT,IF(COUNTIF('Units, Set-Asides, Bldgs'!F$86:F$90,"&lt;&gt;0")=1," and ",", "),IF(COUNTIF('Units, Set-Asides, Bldgs'!F$61:F$65,"&lt;&gt;0")=1," and ",", ")))&amp;IF(OR($O$40=0,IF(Minimum_SetAside_per_Sec_42&lt;&gt;DS_IRS_AIT,'Units, Set-Asides, Bldgs'!F$61,'Units, Set-Asides, Bldgs'!F$86)=0),"",TEXT(IF(Minimum_SetAside_per_Sec_42&lt;&gt;DS_IRS_AIT,'Units, Set-Asides, Bldgs'!F$61,'Units, Set-Asides, Bldgs'!F$86),"0")&amp;" non-HC Live Local units at 80% AMI (each at "&amp;TEXT(DS_SAIL_PU_LL_NonHC_80,"$#,##0")&amp;")"&amp;IF(Minimum_SetAside_per_Sec_42=DS_IRS_AIT,IF(COUNTIF('Units, Set-Asides, Bldgs'!F$87:F$90,"&lt;&gt;0")=1," and ",", "),IF(COUNTIF('Units, Set-Asides, Bldgs'!F$62:F$65,"&lt;&gt;0")=1," and ",", ")))&amp;IF(OR($O$41=0,IF(Minimum_SetAside_per_Sec_42&lt;&gt;DS_IRS_AIT,'Units, Set-Asides, Bldgs'!F$62,'Units, Set-Asides, Bldgs'!F$87)=0),"",TEXT(IF(Minimum_SetAside_per_Sec_42&lt;&gt;DS_IRS_AIT,'Units, Set-Asides, Bldgs'!F$62,'Units, Set-Asides, Bldgs'!F$87),"0")&amp;" non-HC Live Local units at 90% AMI (each at "&amp;TEXT(DS_SAIL_PU_LL_NonHC_90,"$#,##0")&amp;")"&amp;IF(Minimum_SetAside_per_Sec_42=DS_IRS_AIT,IF(COUNTIF('Units, Set-Asides, Bldgs'!F$88:F$90,"&lt;&gt;0")=1," and ",", "),IF(COUNTIF('Units, Set-Asides, Bldgs'!F$63:F$65,"&lt;&gt;0")=1," and ",", ")))&amp;IF(OR($O$42=0,IF(Minimum_SetAside_per_Sec_42&lt;&gt;DS_IRS_AIT,'Units, Set-Asides, Bldgs'!F$63,'Units, Set-Asides, Bldgs'!F$88)=0),"",TEXT(IF(Minimum_SetAside_per_Sec_42&lt;&gt;DS_IRS_AIT,'Units, Set-Asides, Bldgs'!F$63,'Units, Set-Asides, Bldgs'!F$88),"0")&amp;" non-HC Live Local units at 100% AMI (each at "&amp;TEXT(DS_SAIL_PU_LL_NonHC_100,"$#,##0")&amp;")"&amp;IF(Minimum_SetAside_per_Sec_42=DS_IRS_AIT,IF(COUNTIF('Units, Set-Asides, Bldgs'!F$89:F$90,"&lt;&gt;0")=1," and ",", "),IF(COUNTIF('Units, Set-Asides, Bldgs'!F$64:F$65,"&lt;&gt;0")=1," and ",", ")))&amp;IF(OR($O$43=0,IF(Minimum_SetAside_per_Sec_42&lt;&gt;DS_IRS_AIT,'Units, Set-Asides, Bldgs'!F$64,'Units, Set-Asides, Bldgs'!F$89)=0),"",TEXT(IF(Minimum_SetAside_per_Sec_42&lt;&gt;DS_IRS_AIT,'Units, Set-Asides, Bldgs'!F$64,'Units, Set-Asides, Bldgs'!F$89),"0")&amp;" non-HC Live Local units at 110% AMI (each at "&amp;TEXT(DS_SAIL_PU_LL_NonHC_110,"$#,##0")&amp;")"&amp;IF(Minimum_SetAside_per_Sec_42=DS_IRS_AIT,IF('Units, Set-Asides, Bldgs'!F$90=0," "," and "),IF('Units, Set-Asides, Bldgs'!F$65=0," "," and ")))&amp;IF(OR($O$44=0,IF(Minimum_SetAside_per_Sec_42&lt;&gt;DS_IRS_AIT,'Units, Set-Asides, Bldgs'!F$65,'Units, Set-Asides, Bldgs'!F$90)=0),"",TEXT(IF(Minimum_SetAside_per_Sec_42&lt;&gt;DS_IRS_AIT,'Units, Set-Asides, Bldgs'!F$65,'Units, Set-Asides, Bldgs'!F$90),"0")&amp;" non-HC Live Local units at 120% AMI (each at "&amp;TEXT(DS_SAIL_PU_LL_NonHC_120,"$#,##0")&amp;") ")&amp;"for a "&amp;IF(DS_SAIL_ELI_Inclusive_PD="Yes","gross ","")&amp;"total of "&amp;TEXT(Data3!$K$92,"$#,##0")&amp;"."&amp;IF(DS_SAIL_ELI_Inclusive_PU="Yes"," This gross total less the Applicant's Eligible ELI Request Amount of "&amp;TEXT(Eligible_ELI_Request_Amount,"$#,##0")&amp;" yields a net Per Development limit of "&amp;TEXT(Data3!$K$92-MIN(Max_ELI,Eligible_ELI_Request_Amount),"$#,##0")&amp;".",""))</f>
        <v/>
      </c>
      <c r="F45" s="3273"/>
      <c r="G45" s="3273"/>
      <c r="H45" s="3273"/>
      <c r="I45" s="3273"/>
      <c r="J45" s="1764"/>
      <c r="K45" s="1739"/>
      <c r="L45"/>
      <c r="N45" s="272"/>
      <c r="O45" s="1740">
        <f>MAX(O38:O44)</f>
        <v>0</v>
      </c>
      <c r="Q45" s="1742" t="str">
        <f t="shared" si="5"/>
        <v>Not Applicable to this RFA</v>
      </c>
      <c r="T45" s="1329"/>
      <c r="U45" s="1757"/>
    </row>
    <row r="46" spans="2:21" ht="30" hidden="1" customHeight="1">
      <c r="C46" s="88"/>
      <c r="D46" s="941"/>
      <c r="E46" s="1426" t="str">
        <f>"Per Unit - Self-Sourced Applicants"&amp;IF(OR(O46=0,'General Information'!G67&lt;&gt;"Yes"),"",IF(SUMIF('Pro Forma'!$K$244:$K$268,"Local Government Subsidy",'Pro Forma'!$H$244:$H$268)+SUMIF('Pro Forma'!$K$244:$K$268,"Other",'Pro Forma'!$H$244:$H$268)+SUMIF('Pro Forma'!$K$244:$K$268,"",'Pro Forma'!$H$244:$H$268)=0,"","**"))&amp;IF(DS_SAIL_ELI_Inclusive_PU&lt;&gt;"Yes","",IF(OR(O46=0,'General Information'!G67&lt;&gt;"Yes"),"",IF(SUMIF('Pro Forma'!$K$244:$K$268,"Local Government Subsidy",'Pro Forma'!$H$244:$H$268)+SUMIF('Pro Forma'!$K$244:$K$268,"Other",'Pro Forma'!$H$244:$H$268)+SUMIF('Pro Forma'!$K$244:$K$268,"",'Pro Forma'!$H$244:$H$268)=0,""," &amp; ")&amp;"*"))</f>
        <v>Per Unit - Self-Sourced Applicants</v>
      </c>
      <c r="F46" s="271"/>
      <c r="G46" s="271"/>
      <c r="H46" s="867" t="str">
        <f>IF(O46=0,"",IF(Self_Sourced_Applicant="&lt;select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
      </c>
      <c r="I46" s="2015" t="str">
        <f>IF(AND(O46=1,H46&lt;&gt;"NA",N(Total_Units)&gt;0),"("&amp;TEXT(ROUNDDOWN(N(H46)*Total_Units,0),"$#,##0")&amp;" Per Dev"&amp;IF(DS_SAIL_ELI_Inclusive_PU&lt;&gt;"Yes","elopment)",". - Gross)"&amp;IF(H46="Identify Status","",CHAR(10)&amp;"("&amp;TEXT(ROUNDDOWN(N(H46)*Total_Units,0)-MIN(Max_ELI,Eligible_ELI_Request_Amount),"$#,##0")&amp;" Per Dev. - Net)")),"")</f>
        <v/>
      </c>
      <c r="J46" s="905"/>
      <c r="K46" s="905"/>
      <c r="L46"/>
      <c r="M46" s="1769"/>
      <c r="N46" s="1774"/>
      <c r="O46" s="929">
        <f>IF('General Information'!K67=0,0,Funding!R46)</f>
        <v>0</v>
      </c>
      <c r="Q46" s="6" t="str">
        <f t="shared" si="0"/>
        <v>Not Applicable to this RFA</v>
      </c>
      <c r="R46" s="953">
        <v>1</v>
      </c>
      <c r="T46" s="1329"/>
    </row>
    <row r="47" spans="2:21" ht="95.1" hidden="1" customHeight="1">
      <c r="C47" s="88"/>
      <c r="D47" s="941"/>
      <c r="E47" s="3284" t="str">
        <f>IF(SUMIF('Pro Forma'!$K$244:$K$268,"Local Government Subsidy",'Pro Forma'!$H$244:$H$268)+SUMIF('Pro Forma'!$K$244:$K$268,"Other",'Pro Forma'!$H$244:$H$268)+SUMIF('Pro Forma'!$K$244:$K$268,"",'Pro Forma'!$H$244:$H$268)=0,"","**")&amp;IF(OR(O46=0,'General Information'!G67&lt;&gt;"Yes"),"NA",IF(SUMIF('Pro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PU."&amp;CHAR(10))&amp;IF(N(H46)=0,"",IF(DS_SAIL_ELI_Inclusive_PD="Yes","*The gross","The")&amp;" Per Development request limit based on the "&amp;TEXT(N(H46),"$#,##0")&amp;" PU Limit is calculated by taking "&amp;TEXT(Total_Units,"0")&amp;" total units multiplied by "&amp;TEXT(N(H46),"$#,##0")&amp;" PU for a "&amp;IF(DS_SAIL_ELI_Inclusive_PD="Yes","gross ","")&amp;"total of "&amp;TEXT(N(H46)*Total_Units,"$#,##0")&amp;"."&amp;IF(DS_SAIL_ELI_Inclusive_PD="Yes"," This gross total less the Applicant's Eligible ELI Request Amount of "&amp;TEXT(Eligible_ELI_Request_Amount,"$#,##0")&amp;" yields a net Per Development limit of "&amp;TEXT(N(H46)*Total_Units-MIN(Max_ELI,Eligible_ELI_Request_Amount),"$#,##0")&amp;"."&amp;CHAR(10),""&amp;CHAR(10)))&amp;IF(SUMIF('Pro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7" s="3284"/>
      <c r="G47" s="3284"/>
      <c r="H47" s="3284"/>
      <c r="I47" s="3284"/>
      <c r="J47" s="905"/>
      <c r="K47" s="905"/>
      <c r="L47"/>
      <c r="N47" s="941"/>
      <c r="O47" s="929">
        <f>O46</f>
        <v>0</v>
      </c>
      <c r="Q47" s="6" t="str">
        <f t="shared" si="0"/>
        <v>Not Applicable to this RFA</v>
      </c>
    </row>
    <row r="48" spans="2:21" ht="30" hidden="1" customHeight="1">
      <c r="C48" s="88"/>
      <c r="D48" s="941"/>
      <c r="E48" s="1426" t="str">
        <f>"Per Unit - Non-Self-Sourced Applicants"&amp;IF(DS_SAIL_ELI_Inclusive_PU&lt;&gt;"Yes",""," (Gross)")</f>
        <v>Per Unit - Non-Self-Sourced Applicants</v>
      </c>
      <c r="F48" s="271"/>
      <c r="G48" s="271"/>
      <c r="H48" s="1231" t="str">
        <f>IF(O48=0,"",IF(Self_Sourced_Applicant="&lt;select one&gt;","Identify Status",IF(Self_Sourced_Applicant="No",DS_SAIL_PU_Not_SS,"NA")))</f>
        <v/>
      </c>
      <c r="I48" s="2016" t="str">
        <f>IF(AND(O48=1,H48&lt;&gt;"NA",N(Total_Units)&gt;0),"("&amp;TEXT(ROUNDDOWN(N(H48)*Total_Units,0),"$#,##0")&amp;" Per Dev"&amp;IF(DS_SAIL_ELI_Inclusive_PU&lt;&gt;"Yes","elopment)",". - Gross)"&amp;IF(H46="Identify Status","",CHAR(10)&amp;"("&amp;TEXT(ROUNDDOWN(N(H48)*Total_Units,0)-MIN(Max_ELI,Eligible_ELI_Request_Amount),"$#,##0")&amp;" Per Dev. - Net)")),"")</f>
        <v/>
      </c>
      <c r="J48" s="905"/>
      <c r="K48" s="905"/>
      <c r="L48"/>
      <c r="O48" s="929">
        <f>O46</f>
        <v>0</v>
      </c>
      <c r="Q48" s="6" t="str">
        <f t="shared" si="0"/>
        <v>Not Applicable to this RFA</v>
      </c>
    </row>
    <row r="49" spans="3:17" ht="45" hidden="1" customHeight="1">
      <c r="C49" s="88"/>
      <c r="D49" s="941"/>
      <c r="E49" s="3284" t="str">
        <f>IF(N(H48)=0,"","The "&amp;IF(DS_SAIL_ELI_Inclusive_PD="Yes","gross ","")&amp;"Per Development request limit based on the "&amp;TEXT(N(H48),"$#,##0")&amp;" PU Limit is calculated by taking "&amp;TEXT(Total_Units,"0")&amp;" total units multiplied by "&amp;TEXT(N(H48),"$#,##0")&amp;" PU for a "&amp;IF(DS_SAIL_ELI_Inclusive_PD="Yes","gross ","")&amp;"total of "&amp;TEXT(N(H48)*N(Total_Units),"$#,##0")&amp;"."&amp;IF(DS_SAIL_ELI_Inclusive_PD="Yes"," This gross total less the Applicant's Eligible ELI Request Amount of "&amp;TEXT(Eligible_ELI_Request_Amount,"$#,##0")&amp;" yields a net Per Development limit of "&amp;TEXT(N(H48)*N(Total_Units)-MIN(Max_ELI,Eligible_ELI_Request_Amount),"$#,##0")&amp;" for the above Per Unit Request Limit."))</f>
        <v/>
      </c>
      <c r="F49" s="3284"/>
      <c r="G49" s="3284"/>
      <c r="H49" s="3284"/>
      <c r="I49" s="3284"/>
      <c r="J49" s="905"/>
      <c r="K49" s="905"/>
      <c r="L49"/>
      <c r="O49" s="929">
        <f>O48</f>
        <v>0</v>
      </c>
      <c r="Q49" s="6" t="str">
        <f t="shared" ref="Q49" si="8">IF(O49="","",IF(O49=0,"Not ","")&amp;"Applicable to this RFA")</f>
        <v>Not Applicable to this RFA</v>
      </c>
    </row>
    <row r="50" spans="3:17" ht="14.45" customHeight="1">
      <c r="C50" s="88"/>
      <c r="D50" s="2045" t="s">
        <v>965</v>
      </c>
      <c r="E50" s="1293" t="str">
        <f>"Percentage of Total Development Costs ("&amp;TEXT(IF(AND(SUM('Units, Set-Asides, Bldgs'!G79:G80)&lt;5%,IF(Total_Units=0,0,SUMIF('Units, Set-Asides, Bldgs'!I52:I60,"&lt;="&amp;IFERROR(VLOOKUP(County,DS_CountyData,14),0),'Units, Set-Asides, Bldgs'!G52:G60))&lt;5%),DS_SAIL_Percent_TDC_1,DS_SAIL_Percent_TDC_2),"0%")&amp;")"&amp;IF(DS_SAIL_ELI_Inclusive_LTC&lt;&gt;"Yes","","*")</f>
        <v>Percentage of Total Development Costs (25%)*</v>
      </c>
      <c r="F50" s="1294"/>
      <c r="G50" s="1294"/>
      <c r="H50" s="1295" t="str">
        <f>IF(O50=0,"",IF(N(TDC_total)=0,"Need Costs",MAX(0,ROUNDDOWN(LEFT(RIGHT(E50,4+IF(DS_SAIL_ELI_Inclusive_LTC&lt;&gt;"Yes",0,1)),3)*N(TDC_total),0)-IF(DS_SAIL_ELI_Inclusive_LTC="Yes",MIN(Max_ELI,Eligible_ELI_Request_Amount),0))))</f>
        <v>Need Costs</v>
      </c>
      <c r="I50" s="352" t="str">
        <f>"(% based on "&amp;TEXT(ROUNDDOWN(MAX(SUM('Units, Set-Asides, Bldgs'!G79:G80),IF(Total_Units=0,0,SUMIF('Units, Set-Asides, Bldgs'!I52:I60,"&lt;="&amp;IFERROR(VLOOKUP(County,DS_CountyData,14),0),'Units, Set-Asides, Bldgs'!G52:G60))),2),"0%")&amp;" ELI Set-Asides)"</f>
        <v>(% based on 0% ELI Set-Asides)</v>
      </c>
      <c r="J50" s="1908"/>
      <c r="K50" s="905"/>
      <c r="L50"/>
      <c r="O50" s="953">
        <v>1</v>
      </c>
      <c r="Q50" s="6" t="str">
        <f>IF(O50="","",IF(O50=0,"Not ","")&amp;"Applicable to this RFA")</f>
        <v>Applicable to this RFA</v>
      </c>
    </row>
    <row r="51" spans="3:17" ht="45" customHeight="1">
      <c r="C51" s="88"/>
      <c r="D51" s="941"/>
      <c r="E51" s="3275" t="str">
        <f>"*"&amp;IF(DS_SAIL_ELI_Inclusive_LTC&lt;&gt;"Yes","NA",IF(N(TDC_total)=0,"Need Costs","("&amp;IF(AND(N(H50)=0,ROUNDDOWN(LEFT(RIGHT(E50,4+IF(DS_SAIL_ELI_Inclusive_LTC&lt;&gt;"Yes",0,1)),3)*N(TDC_total),0)-IF(DS_SAIL_ELI_Inclusive_LTC="Yes",MIN(Max_ELI,Eligible_ELI_Request_Amount),0)&gt;=0),"The Applicant's Eligible ELI Request Amount"&amp;IF(N(ELI_Request_Amount)&gt;0," of "&amp;TEXT(N(ELI_Request_Amount),"$#,##0"),"")&amp;" will be deducted from the gross SAIL Percentage of TDC Request Limit of "&amp;TEXT(ROUNDDOWN(LEFT(RIGHT(E50,4+IF(DS_SAIL_ELI_Inclusive_LTC&lt;&gt;"Yes",0,1)),3)*N(TDC_total),0),"$#,##0")&amp;" to obtain a net SAIL Percentage of TDC Request Limit"&amp;IF(N(ELI_Request_Amount)&gt;0,".)",", once an ELI Request Amount has been entered.)"),"The gross "&amp;TEXT(ROUNDDOWN(LEFT(RIGHT(E50,4+IF(DS_SAIL_ELI_Inclusive_LTC&lt;&gt;"Yes",0,1)),3)*N(TDC_total),0),"$#,##0")&amp;" Per Development Limit, less the Applicant's Eligible ELI Request Amount of "&amp;TEXT(Eligible_ELI_Request_Amount,"$#,##0")&amp;" yields a net SAIL Percentage of TDC Request Amount of "&amp;TEXT(MAX(0,ROUNDDOWN(LEFT(RIGHT(E50,4+IF(DS_SAIL_ELI_Inclusive_LTC&lt;&gt;"Yes",0,1)),3)*N(TDC_total),0)-IF(DS_SAIL_ELI_Inclusive_LTC="Yes",MIN(Max_ELI,Eligible_ELI_Request_Amount),0)),"$#,##0")&amp;".)")))</f>
        <v>*Need Costs</v>
      </c>
      <c r="F51" s="3275"/>
      <c r="G51" s="3275"/>
      <c r="H51" s="3275"/>
      <c r="I51" s="352"/>
      <c r="J51" s="905"/>
      <c r="K51" s="905"/>
      <c r="L51"/>
      <c r="O51" s="929">
        <f>IF(AND(O50=1,DS_SAIL_ELI_Inclusive_LTC="Yes"),1,0)</f>
        <v>1</v>
      </c>
      <c r="Q51" s="6" t="str">
        <f t="shared" ref="Q51" si="9">IF(O51="","",IF(O51=0,"Not ","")&amp;"Applicable to this RFA")</f>
        <v>Applicable to this RFA</v>
      </c>
    </row>
    <row r="52" spans="3:17" ht="10.35" customHeight="1">
      <c r="C52" s="88"/>
      <c r="D52" s="941"/>
      <c r="E52" s="281"/>
      <c r="F52" s="280"/>
      <c r="G52" s="280"/>
      <c r="H52" s="847"/>
      <c r="I52" s="353"/>
      <c r="J52" s="905"/>
      <c r="K52" s="905"/>
      <c r="P52" s="3"/>
    </row>
    <row r="53" spans="3:17" ht="30" customHeight="1">
      <c r="C53" s="88"/>
      <c r="D53" s="941"/>
      <c r="E53" s="2960" t="s">
        <v>1907</v>
      </c>
      <c r="F53" s="2960"/>
      <c r="G53" s="2960"/>
      <c r="H53" s="2960"/>
      <c r="I53" s="1766">
        <f>IF(MAX(0,MIN(DS_SAIL_PD_Max_Net,DS_SAIL_PU_Max_Net))&gt;DS_Request_Maximum,DS_Request_Maximum,MAX(0,MIN(DS_SAIL_PD_Max_Net,N(DS_SAIL_PU_Max_Net),N(H50))))</f>
        <v>0</v>
      </c>
      <c r="J53" s="1415"/>
      <c r="K53" s="905"/>
      <c r="P53" s="3"/>
    </row>
    <row r="54" spans="3:17" ht="10.35" customHeight="1">
      <c r="C54" s="88"/>
      <c r="D54" s="941"/>
      <c r="E54" s="941"/>
      <c r="F54" s="941"/>
      <c r="G54" s="941"/>
      <c r="H54" s="941"/>
      <c r="I54" s="353"/>
      <c r="J54" s="905"/>
      <c r="K54" s="905"/>
      <c r="P54" s="3"/>
    </row>
    <row r="55" spans="3:17" ht="17.45" customHeight="1">
      <c r="C55" s="21" t="str">
        <f>IF($L55=0,"(-)","(a)")</f>
        <v>(a)</v>
      </c>
      <c r="D55" s="3264" t="s">
        <v>2381</v>
      </c>
      <c r="E55" s="3264"/>
      <c r="F55" s="3264"/>
      <c r="G55" s="3264"/>
      <c r="H55" s="3264"/>
      <c r="I55" s="976"/>
      <c r="J55" s="905"/>
      <c r="K55" s="905"/>
      <c r="L55" s="943">
        <f>N19</f>
        <v>1</v>
      </c>
      <c r="M55" s="931">
        <f>IF(AND(L55&lt;&gt;0,I55&lt;&gt;""),L55,0)</f>
        <v>0</v>
      </c>
      <c r="N55" s="905" t="str">
        <f>CHOOSE(L55+1,"Not to be included in this RFA","A REQUIRED input field for this RFA","An OPTIONAL input field for this RFA","Not tracked in this RFA")</f>
        <v>A REQUIRED input field for this RFA</v>
      </c>
      <c r="P55" s="3"/>
    </row>
    <row r="56" spans="3:17" ht="5.0999999999999996" customHeight="1">
      <c r="C56" s="88"/>
      <c r="D56" s="941"/>
      <c r="E56" s="941"/>
      <c r="F56" s="941"/>
      <c r="G56" s="941"/>
      <c r="H56" s="941"/>
      <c r="J56" s="905"/>
      <c r="K56" s="905"/>
      <c r="P56" s="3"/>
    </row>
    <row r="57" spans="3:17" ht="17.45" customHeight="1">
      <c r="C57" s="88"/>
      <c r="D57" s="941"/>
      <c r="E57" s="271" t="s">
        <v>2382</v>
      </c>
      <c r="F57" s="271"/>
      <c r="G57" s="271"/>
      <c r="H57" s="271"/>
      <c r="I57" s="1494">
        <f>MIN(N(Max_SAIL),MAX(IF(AND(County="Miami-Dade",O32&gt;0),N(DS_SAIL_PD_Min_MD),0),N(SAIL_Request_Amount)))</f>
        <v>0</v>
      </c>
      <c r="J57" s="905"/>
      <c r="K57" s="905"/>
      <c r="P57" s="3"/>
    </row>
    <row r="58" spans="3:17" ht="14.45" customHeight="1">
      <c r="C58" s="88"/>
      <c r="D58" s="941"/>
      <c r="E58" s="941"/>
      <c r="F58" s="941"/>
      <c r="G58" s="941"/>
      <c r="I58" s="2057"/>
      <c r="J58" s="2050"/>
      <c r="K58" s="905"/>
      <c r="P58" s="3"/>
    </row>
    <row r="59" spans="3:17" ht="27.75" customHeight="1">
      <c r="C59" s="88"/>
      <c r="D59" s="2977" t="s">
        <v>1228</v>
      </c>
      <c r="E59" s="2977"/>
      <c r="F59" s="2977"/>
      <c r="G59" s="2977"/>
      <c r="H59" s="3285" t="str">
        <f>IF(OR(DS_SAIL_ELI_Inclusive_PD="Yes",DS_SAIL_ELI_Inclusive_PU="Yes",DS_SAIL_ELI_Inclusive_LTC="Yes"),"("&amp;IF(DS_SAIL_ELI_Inclusive_PD="Yes","Per Development","")&amp;IF(AND(DS_SAIL_ELI_Inclusive_PD="Yes",OR(DS_SAIL_ELI_Inclusive_PU="Yes",DS_SAIL_ELI_Inclusive_LTC="Yes"))," &amp; ","")&amp;IF(DS_SAIL_ELI_Inclusive_PU="Yes","Per Unit",IF(DS_SAIL_ELI_Inclusive_LTC="Yes","% of TDC",""))&amp;IF(AND(DS_SAIL_ELI_Inclusive_PD="Yes",DS_SAIL_ELI_Inclusive_PU="Yes",DS_SAIL_ELI_Inclusive_LTC="Yes")," &amp; ","")&amp;IF(AND(DS_SAIL_ELI_Inclusive_PU&lt;&gt;"Yes",DS_SAIL_ELI_Inclusive_LTC="Yes"),"% of TDC","")&amp;" Limits include ELI Funding**)","")</f>
        <v>(Per Development &amp; % of TDC% of TDC Limits include ELI Funding**)</v>
      </c>
      <c r="I59" s="3285"/>
      <c r="J59" s="2050"/>
      <c r="K59" s="905"/>
      <c r="N59" s="820">
        <v>1</v>
      </c>
      <c r="O59" s="24"/>
      <c r="P59" s="3"/>
    </row>
    <row r="60" spans="3:17" ht="17.45" customHeight="1">
      <c r="C60" s="88"/>
      <c r="D60" s="941"/>
      <c r="E60" s="276" t="s">
        <v>785</v>
      </c>
      <c r="F60" s="276"/>
      <c r="G60" s="276"/>
      <c r="H60" s="975">
        <f>DS_ELI_PD</f>
        <v>1000000</v>
      </c>
      <c r="J60" s="905"/>
      <c r="K60" s="905"/>
      <c r="N60" s="336" t="s">
        <v>1888</v>
      </c>
      <c r="O60" s="24"/>
      <c r="P60" s="3"/>
    </row>
    <row r="61" spans="3:17" ht="17.45" customHeight="1">
      <c r="C61" s="88"/>
      <c r="D61" s="941"/>
      <c r="E61" s="277" t="s">
        <v>1229</v>
      </c>
      <c r="F61" s="277"/>
      <c r="G61" s="277"/>
      <c r="H61" s="278">
        <f>DS_ELI_Funding_Total</f>
        <v>0</v>
      </c>
      <c r="J61" s="905"/>
      <c r="K61" s="905"/>
      <c r="N61" s="336" t="s">
        <v>1230</v>
      </c>
      <c r="O61" s="24"/>
      <c r="P61" s="3"/>
    </row>
    <row r="62" spans="3:17" ht="10.35" customHeight="1">
      <c r="C62" s="88"/>
      <c r="D62" s="941"/>
      <c r="E62" s="941"/>
      <c r="F62" s="941"/>
      <c r="G62" s="941"/>
      <c r="H62" s="941"/>
      <c r="J62" s="905"/>
      <c r="K62" s="905"/>
      <c r="P62" s="3"/>
    </row>
    <row r="63" spans="3:17" ht="30" customHeight="1">
      <c r="C63" s="88"/>
      <c r="D63" s="941"/>
      <c r="E63" s="2960" t="s">
        <v>1907</v>
      </c>
      <c r="F63" s="2960"/>
      <c r="G63" s="2960"/>
      <c r="H63" s="2960"/>
      <c r="I63" s="977">
        <f>MIN(H60,H61)</f>
        <v>0</v>
      </c>
      <c r="J63" s="905"/>
      <c r="K63" s="905"/>
      <c r="P63" s="3"/>
    </row>
    <row r="64" spans="3:17" ht="10.35" customHeight="1">
      <c r="C64" s="88"/>
      <c r="D64" s="941"/>
      <c r="E64" s="941"/>
      <c r="F64" s="941"/>
      <c r="G64" s="941"/>
      <c r="H64" s="941"/>
      <c r="J64" s="905"/>
      <c r="K64" s="905"/>
      <c r="P64" s="3"/>
    </row>
    <row r="65" spans="2:17" ht="17.45" customHeight="1">
      <c r="C65" s="21" t="str">
        <f>IF(AND($L55=0,$L65=1),"(a)",IF(AND($L55=1,$L65=1),"(b)","(-)"))</f>
        <v>(b)</v>
      </c>
      <c r="D65" s="3274" t="s">
        <v>1231</v>
      </c>
      <c r="E65" s="3274"/>
      <c r="F65" s="3274"/>
      <c r="G65" s="3274"/>
      <c r="H65" s="3274"/>
      <c r="I65" s="976"/>
      <c r="J65" s="905"/>
      <c r="K65" s="905"/>
      <c r="L65" s="943">
        <f>IF(N59=0,0,O65)</f>
        <v>1</v>
      </c>
      <c r="M65" s="931">
        <f>IF(AND(L65&lt;&gt;0,I65&lt;&gt;""),L65,0)</f>
        <v>0</v>
      </c>
      <c r="N65" s="905" t="str">
        <f>CHOOSE(L65+1,"Not to be included in this RFA","A REQUIRED input field for this RFA","An OPTIONAL input field for this RFA")</f>
        <v>A REQUIRED input field for this RFA</v>
      </c>
      <c r="O65" s="354">
        <v>1</v>
      </c>
      <c r="P65" s="3"/>
    </row>
    <row r="66" spans="2:17" ht="5.0999999999999996" customHeight="1">
      <c r="J66" s="905"/>
      <c r="K66" s="905"/>
      <c r="P66" s="3"/>
    </row>
    <row r="67" spans="2:17" ht="17.45" customHeight="1">
      <c r="E67" s="271" t="s">
        <v>1232</v>
      </c>
      <c r="F67" s="271"/>
      <c r="G67" s="271"/>
      <c r="H67" s="271"/>
      <c r="I67" s="862">
        <f>MIN(N(Max_ELI),N(ELI_Request_Amount))</f>
        <v>0</v>
      </c>
      <c r="J67" s="905"/>
      <c r="K67" s="905"/>
      <c r="P67" s="3"/>
    </row>
    <row r="68" spans="2:17" ht="14.45" customHeight="1">
      <c r="J68" s="905"/>
      <c r="K68" s="905"/>
      <c r="P68" s="3"/>
    </row>
    <row r="69" spans="2:17" ht="14.45" hidden="1" customHeight="1">
      <c r="B69" s="316" t="str">
        <f>IF($N$69=0,"...",MAX(B$4:B68)+1)</f>
        <v>...</v>
      </c>
      <c r="C69" s="6" t="s">
        <v>1901</v>
      </c>
      <c r="J69" s="905"/>
      <c r="K69" s="905"/>
      <c r="N69" s="820">
        <v>0</v>
      </c>
      <c r="P69" s="3"/>
    </row>
    <row r="70" spans="2:17" ht="5.0999999999999996" hidden="1" customHeight="1">
      <c r="J70" s="905"/>
      <c r="K70" s="905"/>
      <c r="P70" s="3"/>
    </row>
    <row r="71" spans="2:17" ht="95.1" hidden="1" customHeight="1">
      <c r="D71" s="2943" t="str">
        <f>"The Applicant's Eligible RRLP Request amount will reference the limits in (a) RRLP Request Limits when utilizing Tax-Exempt Bond Financing and Non-Competitive Housing Credits if the Applicant enters a request amount for either ("&amp;TEXT(B279,"0")&amp;")(a) Non-Competitive Housing Credits and/or ("&amp;TEXT(IF(B380=".",B279+1,B380),"0")&amp;")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(3)(a) Non-Competitive Housing Credits and/or (...)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71" s="2943"/>
      <c r="F71" s="2943"/>
      <c r="G71" s="2943"/>
      <c r="H71" s="2943"/>
      <c r="I71" s="2943"/>
      <c r="J71" s="905"/>
      <c r="K71" s="905"/>
      <c r="P71" s="3"/>
    </row>
    <row r="72" spans="2:17" ht="50.1" hidden="1" customHeight="1">
      <c r="D72" s="2943" t="str">
        <f>IF(N(Non_Competitive_HC_Request_Amount)+N(MMRB_Request_Amount)=0,"If the applicant intends to use tax-exempt bonds/4% housing credit financing, please enter a request amount in either ("&amp;TEXT(B279,"0")&amp;")("&amp;C309&amp;") (Non-Competitive Housing Credits) and/or ("&amp;TEXT(B380,"0")&amp;") (Corporation-Issued MMRBs) below. By entering at least one of these funding requests, ("&amp;B69&amp;")(a) immediately below will be enabled (black font).","Because a request amount has been entered for "&amp;IF(N(Non_Competitive_HC_Request_Amount)&gt;0,"Non-Competitive Housing Credits in ("&amp;TEXT(B279,"0")&amp;")("&amp;C309&amp;") below","Corporation-Issued MMRB in ("&amp;TEXT(B380,"0")&amp;") below")&amp;", item ("&amp;B69&amp;")(b) immediately below has been disabled (grey font). If it is not the Applicant's intent is to use tax-exempt bonds/4% housing credit financing, remove the request amount in ("&amp;IF(N(Non_Competitive_HC_Request_Amount)&gt;0,TEXT(B279,"0")&amp;")("&amp;C309&amp;") below.",TEXT(B380,"0")&amp;") below."))</f>
        <v>If the applicant intends to use tax-exempt bonds/4% housing credit financing, please enter a request amount in either (3)() (Non-Competitive Housing Credits) and/or (...) (Corporation-Issued MMRBs) below. By entering at least one of these funding requests, (...)(a) immediately below will be enabled (black font).</v>
      </c>
      <c r="E72" s="2943"/>
      <c r="F72" s="2943"/>
      <c r="G72" s="2943"/>
      <c r="H72" s="2943"/>
      <c r="I72" s="2943"/>
      <c r="J72" s="905"/>
      <c r="K72" s="905"/>
      <c r="P72" s="3"/>
    </row>
    <row r="73" spans="2:17" ht="10.35" hidden="1" customHeight="1">
      <c r="J73" s="905"/>
      <c r="K73" s="905"/>
      <c r="P73" s="3"/>
    </row>
    <row r="74" spans="2:17" ht="14.45" hidden="1" customHeight="1">
      <c r="C74" s="21" t="s">
        <v>957</v>
      </c>
      <c r="D74" s="6" t="str">
        <f>"RRLP Base Loan Request Limits"&amp;IF($N$74+$N$81&gt;1," when utilizing Tax-Exempt Bond Financing and Non-Competitive Housing Credits","")&amp;": "</f>
        <v xml:space="preserve">RRLP Base Loan Request Limits: </v>
      </c>
      <c r="J74" s="905"/>
      <c r="K74" s="905"/>
      <c r="N74" s="820">
        <v>0</v>
      </c>
      <c r="P74" s="3"/>
    </row>
    <row r="75" spans="2:17" ht="30" hidden="1" customHeight="1">
      <c r="D75" s="10" t="s">
        <v>981</v>
      </c>
      <c r="E75" s="1284" t="str">
        <f>"Per Development"&amp;IF(DS_RRLP_ELI_Inclusive_PD&lt;&gt;"Yes",""," - Gross")</f>
        <v>Per Development - Gross</v>
      </c>
      <c r="F75" s="1284"/>
      <c r="G75" s="1284"/>
      <c r="H75" s="1289" t="str">
        <f>IF(OR(N74=0,O75=0),"",DS_RRLP_PD_wHCs)</f>
        <v/>
      </c>
      <c r="I75" s="1285" t="str">
        <f>IF(O75&gt;0,"("&amp;TEXT(N(H75),"$#,##0")&amp;" Per Dev"&amp;IF(DS_RRLP_ELI_Inclusive_PD&lt;&gt;"Yes","elopment)",". - Gross)"&amp;CHAR(10)&amp;"("&amp;TEXT(N(H75)-MIN(Max_RRLP_ELI,Eligible_RRLP_ELI_Request_Amount),"$#,##0")&amp;" Per Dev. - Net)"),"")</f>
        <v>($0 Per Dev. - Gross)
($0 Per Dev. - Net)</v>
      </c>
      <c r="J75" s="905"/>
      <c r="K75" s="905"/>
      <c r="O75" s="953">
        <v>1</v>
      </c>
      <c r="Q75" s="6" t="str">
        <f>IF(O75="","",IF(O75=0,"Not ","")&amp;"Applicable to this RFA")</f>
        <v>Applicable to this RFA</v>
      </c>
    </row>
    <row r="76" spans="2:17" ht="30" hidden="1" customHeight="1">
      <c r="D76" s="10" t="s">
        <v>986</v>
      </c>
      <c r="E76" s="1284" t="str">
        <f>"Per Unit"&amp;IF(DS_RRLP_ELI_Inclusive_PD&lt;&gt;"Yes",""," - Gross")</f>
        <v>Per Unit - Gross</v>
      </c>
      <c r="F76" s="1284"/>
      <c r="G76" s="1284"/>
      <c r="H76" s="1289" t="str">
        <f>IF(OR(N74=0,O76=0),"",DS_RRLP_PU_wHCs)</f>
        <v/>
      </c>
      <c r="I76" s="1285" t="str">
        <f>IF(AND(O76=1,H76&lt;&gt;"NA",N(Total_Units)&gt;0),"("&amp;TEXT(ROUNDDOWN(N(H76)*Total_Units,0),"$#,##0")&amp;" Per Dev"&amp;IF(DS_RRLP_ELI_Inclusive_PD&lt;&gt;"Yes","elopment)",". - Gross)"&amp;CHAR(10)&amp;"("&amp;TEXT(ROUNDDOWN(N(H76)*Total_Units,0)-Eligible_RRLP_ELI_Request_Amount,"$#,##0")&amp;" Per Dev. - Net)"),"")</f>
        <v/>
      </c>
      <c r="J76" s="905"/>
      <c r="K76" s="905"/>
      <c r="O76" s="953">
        <v>1</v>
      </c>
      <c r="Q76" s="6" t="str">
        <f>IF(O76="","",IF(O76=0,"Not ","")&amp;"Applicable to this RFA")</f>
        <v>Applicable to this RFA</v>
      </c>
    </row>
    <row r="77" spans="2:17" ht="60" hidden="1" customHeight="1">
      <c r="E77" s="3284" t="str">
        <f>IF(N(H76)=0,"",IF(H76&lt;&gt;"NA","The "&amp;IF(DS_RRLP_ELI_Inclusive_PD="Yes","gross ","")&amp;"Per Development base loan request limit is based on the "&amp;IF(O75+O76&lt;2,"","lesser of the ")&amp;IF(O75&gt;0,TEXT(H75,"$#,##0")&amp;" per Development Limit ","")&amp;IF(O76&gt;0,IF(O75+O76&lt;2,"","or the ")&amp;TEXT(N(H76),"$#,##0")&amp;" PU Limit, or "&amp;TEXT(N(H76)*N(Total_Units),"$#,##0")&amp;" ("&amp;TEXT(Total_Units,"0")&amp;" total units multiplied by "&amp;TEXT(N(H76),"$#,##0")&amp;" PU)","")&amp;" for a "&amp;IF(DS_RRLP_ELI_Inclusive_PD="Yes","gross ","")&amp;"total limit of "&amp;TEXT(IF(AND(O75&gt;0,O76&gt;0),MIN(H75,N(H76)*N(Total_Units)),IF(O75&gt;0,H75,N(H76)*N(Total_Units))),"$#,##0"))&amp;"."&amp;IF(DS_RRLP_ELI_Inclusive_PD="Yes"," This gross total limit less the Applicant's Eligible ELI Request Amount of "&amp;TEXT(Eligible_RRLP_ELI_Request_Amount,"$#,##0")&amp;" yields a net RRLP Base Loan Request limit of "&amp;TEXT(IF(AND(O75&gt;0,O76&gt;0),MIN(H75,N(H76)*N(Total_Units)),IF(O75&gt;0,H75,N(H76)*N(Total_Units)))-MIN(Max_RRLP_ELI,Eligible_RRLP_ELI_Request_Amount),"$#,##0")&amp;".",""))</f>
        <v/>
      </c>
      <c r="F77" s="3284"/>
      <c r="G77" s="3284"/>
      <c r="H77" s="3284"/>
      <c r="I77" s="3284"/>
      <c r="J77" s="905"/>
      <c r="K77" s="905"/>
      <c r="O77" s="929">
        <f>MAX(O75,O76)</f>
        <v>1</v>
      </c>
      <c r="Q77" s="6" t="str">
        <f t="shared" ref="Q77" si="10">IF(O77="","",IF(O77=0,"Not ","")&amp;"Applicable to this RFA")</f>
        <v>Applicable to this RFA</v>
      </c>
    </row>
    <row r="78" spans="2:17" ht="5.0999999999999996" hidden="1" customHeight="1">
      <c r="J78" s="905"/>
      <c r="K78" s="905"/>
      <c r="P78" s="3"/>
    </row>
    <row r="79" spans="2:17" ht="30" hidden="1" customHeight="1">
      <c r="E79" s="2960" t="str">
        <f>"Lesser of Maximum Base Loan Request Amount Per Development, or
Total Maximum Subsidy Allowed Per Unit Limit for ("&amp;B69&amp;")(a):"</f>
        <v>Lesser of Maximum Base Loan Request Amount Per Development, or
Total Maximum Subsidy Allowed Per Unit Limit for (...)(a):</v>
      </c>
      <c r="F79" s="2960"/>
      <c r="G79" s="2960"/>
      <c r="H79" s="2960"/>
      <c r="I79" s="1233">
        <f>IF(OR(N69=0,N74=0),0,IF(AND(H75="NA",H76="NA"),"NA",MIN(N(H75),N(Total_Units)*H76)-IF(DS_RRLP_ELI_Inclusive_PD="Yes",Eligible_RRLP_ELI_Request_Amount,0)))</f>
        <v>0</v>
      </c>
      <c r="J79" s="905"/>
      <c r="K79" s="905"/>
      <c r="P79" s="3"/>
    </row>
    <row r="80" spans="2:17" ht="10.35" hidden="1" customHeight="1">
      <c r="J80" s="905"/>
      <c r="K80" s="905"/>
      <c r="P80" s="3"/>
    </row>
    <row r="81" spans="3:16" ht="14.45" hidden="1" customHeight="1">
      <c r="C81" s="21" t="s">
        <v>959</v>
      </c>
      <c r="D81" s="6" t="s">
        <v>1932</v>
      </c>
      <c r="J81" s="905"/>
      <c r="K81" s="905"/>
      <c r="N81" s="820">
        <v>0</v>
      </c>
      <c r="P81" s="3"/>
    </row>
    <row r="82" spans="3:16" ht="14.45" hidden="1" customHeight="1">
      <c r="D82" s="10" t="s">
        <v>981</v>
      </c>
      <c r="E82" s="6" t="str">
        <f>"Per Development"&amp;IF(DS_RRLP_ELI_Inclusive_PD&lt;&gt;"Yes",""," - Gross")</f>
        <v>Per Development - Gross</v>
      </c>
      <c r="H82" s="1234" t="str">
        <f>IF(N81=0,"",DS_RRLP_PD_woHCs)</f>
        <v/>
      </c>
      <c r="J82" s="905"/>
      <c r="K82" s="905"/>
      <c r="P82" s="3"/>
    </row>
    <row r="83" spans="3:16" ht="14.45" hidden="1" customHeight="1">
      <c r="D83" s="10" t="s">
        <v>986</v>
      </c>
      <c r="E83" s="6" t="s">
        <v>1902</v>
      </c>
      <c r="J83" s="905"/>
      <c r="K83" s="905"/>
      <c r="P83" s="3"/>
    </row>
    <row r="84" spans="3:16" ht="45" hidden="1" customHeight="1">
      <c r="E84" s="53" t="s">
        <v>1233</v>
      </c>
      <c r="F84" s="53" t="s">
        <v>1903</v>
      </c>
      <c r="G84" s="53" t="s">
        <v>1937</v>
      </c>
      <c r="H84" s="53" t="s">
        <v>1938</v>
      </c>
      <c r="J84" s="905"/>
      <c r="K84" s="905"/>
      <c r="N84" s="872"/>
      <c r="P84" s="3"/>
    </row>
    <row r="85" spans="3:16" ht="17.45" hidden="1" customHeight="1">
      <c r="E85" s="99">
        <v>0</v>
      </c>
      <c r="F85" s="1235"/>
      <c r="G85" s="100">
        <f>DS_HOME_PU_0Bd</f>
        <v>155709</v>
      </c>
      <c r="H85" s="103">
        <f>N(F85)*N(G85)</f>
        <v>0</v>
      </c>
      <c r="J85" s="905"/>
      <c r="K85" s="905"/>
      <c r="L85" s="943">
        <f>IF(OR($N$69=0,$N$81=0),0,IF($O85=0,0,IF(AND(COUNTIF($F$85:$F$89,"&gt;0")=0,$E85=0),IF(AND(N(Non_Competitive_HC_Request_Amount)=0,N(MMRB_Request_Amount)=0),1,2),IF(AND(SUM($F$85:$F$89)&gt;0,SUM($F$85:$F$89)=$F85),1,IF(AND(SUM($F85:$F$89)=0,$F85&gt;0),1,2)))))</f>
        <v>0</v>
      </c>
      <c r="M85" s="931">
        <f>IF(AND(L85&lt;&gt;0,F85&lt;&gt;""),L85,0)</f>
        <v>0</v>
      </c>
      <c r="N85" s="905" t="str">
        <f>CHOOSE(L85+1,"Not to be included in this RFA","A REQUIRED input field for this RFA","An OPTIONAL input field for this RFA")</f>
        <v>Not to be included in this RFA</v>
      </c>
      <c r="O85" s="354">
        <v>2</v>
      </c>
      <c r="P85" s="3"/>
    </row>
    <row r="86" spans="3:16" ht="17.45" hidden="1" customHeight="1">
      <c r="E86" s="101">
        <v>1</v>
      </c>
      <c r="F86" s="1236"/>
      <c r="G86" s="102">
        <f>DS_HOME_PU_1Bd</f>
        <v>178497</v>
      </c>
      <c r="H86" s="104">
        <f>N(F86)*N(G86)</f>
        <v>0</v>
      </c>
      <c r="J86" s="905"/>
      <c r="K86" s="905"/>
      <c r="L86" s="943">
        <f>IF(OR($N$69=0,$N$81=0),0,IF($O86=0,0,IF(AND(COUNTIF($F$85:$F$89,"&gt;0")=0,$E86=0),1,IF(AND(SUM($F$85:$F$89)&gt;0,SUM($F$85:$F$89)=$F86),1,IF(AND(SUM($F85:$F$120)=0,$F86&gt;0),1,2)))))</f>
        <v>0</v>
      </c>
      <c r="M86" s="931">
        <f>IF(AND(L86&lt;&gt;0,F86&lt;&gt;""),L86,0)</f>
        <v>0</v>
      </c>
      <c r="N86" s="905" t="str">
        <f>CHOOSE(L86+1,"Not to be included in this RFA","A REQUIRED input field for this RFA","An OPTIONAL input field for this RFA")</f>
        <v>Not to be included in this RFA</v>
      </c>
      <c r="O86" s="354">
        <v>2</v>
      </c>
      <c r="P86" s="3"/>
    </row>
    <row r="87" spans="3:16" ht="17.45" hidden="1" customHeight="1">
      <c r="E87" s="101">
        <v>2</v>
      </c>
      <c r="F87" s="1236"/>
      <c r="G87" s="102">
        <f>DS_HOME_PU_2Bd</f>
        <v>217058</v>
      </c>
      <c r="H87" s="104">
        <f>N(F87)*N(G87)</f>
        <v>0</v>
      </c>
      <c r="J87" s="905"/>
      <c r="K87" s="905"/>
      <c r="L87" s="943">
        <f>IF(OR($N$69=0,$N$81=0),0,IF($O87=0,0,IF(AND(COUNTIF($F$85:$F$89,"&gt;0")=0,$E87=0),1,IF(AND(SUM($F$85:$F$89)&gt;0,SUM($F$85:$F$89)=$F87),1,IF(AND(SUM($F86:$F$120)=0,$F87&gt;0),1,2)))))</f>
        <v>0</v>
      </c>
      <c r="M87" s="931">
        <f>IF(AND(L87&lt;&gt;0,F87&lt;&gt;""),L87,0)</f>
        <v>0</v>
      </c>
      <c r="N87" s="905" t="str">
        <f>CHOOSE(L87+1,"Not to be included in this RFA","A REQUIRED input field for this RFA","An OPTIONAL input field for this RFA")</f>
        <v>Not to be included in this RFA</v>
      </c>
      <c r="O87" s="354">
        <v>2</v>
      </c>
      <c r="P87" s="3"/>
    </row>
    <row r="88" spans="3:16" ht="17.45" hidden="1" customHeight="1">
      <c r="E88" s="101">
        <v>3</v>
      </c>
      <c r="F88" s="1236"/>
      <c r="G88" s="102">
        <f>DS_HOME_PU_3Bd</f>
        <v>280804</v>
      </c>
      <c r="H88" s="104">
        <f>N(F88)*N(G88)</f>
        <v>0</v>
      </c>
      <c r="J88" s="905"/>
      <c r="K88" s="905"/>
      <c r="L88" s="943">
        <f>IF(OR($N$69=0,$N$81=0),0,IF($O88=0,0,IF(AND(COUNTIF($F$85:$F$89,"&gt;0")=0,$E88=0),1,IF(AND(SUM($F$85:$F$89)&gt;0,SUM($F$85:$F$89)=$F88),1,IF(AND(SUM($F87:$F$120)=0,$F88&gt;0),1,2)))))</f>
        <v>0</v>
      </c>
      <c r="M88" s="931">
        <f>IF(AND(L88&lt;&gt;0,F88&lt;&gt;""),L88,0)</f>
        <v>0</v>
      </c>
      <c r="N88" s="905" t="str">
        <f>CHOOSE(L88+1,"Not to be included in this RFA","A REQUIRED input field for this RFA","An OPTIONAL input field for this RFA")</f>
        <v>Not to be included in this RFA</v>
      </c>
      <c r="O88" s="354">
        <v>2</v>
      </c>
      <c r="P88" s="3"/>
    </row>
    <row r="89" spans="3:16" ht="17.45" hidden="1" customHeight="1" thickBot="1">
      <c r="E89" s="506">
        <v>4</v>
      </c>
      <c r="F89" s="1237"/>
      <c r="G89" s="507">
        <f>DS_HOME_PU_4Bd</f>
        <v>308233</v>
      </c>
      <c r="H89" s="508">
        <f>N(F89)*N(G89)</f>
        <v>0</v>
      </c>
      <c r="J89" s="905"/>
      <c r="K89" s="905"/>
      <c r="L89" s="943">
        <f>IF(OR($N$69=0,$N$81=0),0,IF($O89=0,0,IF(AND(COUNTIF($F$85:$F$89,"&gt;0")=0,$E89=0),1,IF(AND(SUM($F$85:$F$89)&gt;0,SUM($F$85:$F$89)=$F89),1,IF(AND(SUM($F88:$F$120)=0,$F89&gt;0),1,2)))))</f>
        <v>0</v>
      </c>
      <c r="M89" s="931">
        <f>IF(AND(L89&lt;&gt;0,F89&lt;&gt;""),L89,0)</f>
        <v>0</v>
      </c>
      <c r="N89" s="905" t="str">
        <f>CHOOSE(L89+1,"Not to be included in this RFA","A REQUIRED input field for this RFA","An OPTIONAL input field for this RFA")</f>
        <v>Not to be included in this RFA</v>
      </c>
      <c r="O89" s="354">
        <v>2</v>
      </c>
      <c r="P89" s="3"/>
    </row>
    <row r="90" spans="3:16" ht="17.45" hidden="1" customHeight="1">
      <c r="G90" s="925" t="str">
        <f>"Total "&amp;C78&amp;"-Assisted Units"</f>
        <v>Total -Assisted Units</v>
      </c>
      <c r="H90" s="615">
        <f>SUM(F85:F89)</f>
        <v>0</v>
      </c>
      <c r="J90" s="905"/>
      <c r="K90" s="905"/>
      <c r="P90" s="3"/>
    </row>
    <row r="91" spans="3:16" ht="17.45" hidden="1" customHeight="1">
      <c r="G91" s="925" t="str">
        <f>"Total Maximum "&amp;C78&amp;" Subsidy Allowed"</f>
        <v>Total Maximum  Subsidy Allowed</v>
      </c>
      <c r="H91" s="105">
        <f>SUM(H85:H89)</f>
        <v>0</v>
      </c>
      <c r="J91" s="905"/>
      <c r="K91" s="905"/>
      <c r="P91" s="3"/>
    </row>
    <row r="92" spans="3:16" ht="5.0999999999999996" hidden="1" customHeight="1">
      <c r="J92" s="905"/>
      <c r="K92" s="905"/>
      <c r="P92" s="3"/>
    </row>
    <row r="93" spans="3:16" ht="30" hidden="1" customHeight="1">
      <c r="E93" s="2960" t="str">
        <f>"Lesser of Maximum Base Loan Request Amount Per Development,
or Total Maximum Subsidy Allowed Per Unit for ("&amp;B69&amp;")(b):"</f>
        <v>Lesser of Maximum Base Loan Request Amount Per Development,
or Total Maximum Subsidy Allowed Per Unit for (...)(b):</v>
      </c>
      <c r="F93" s="2960"/>
      <c r="G93" s="2960"/>
      <c r="H93" s="2960"/>
      <c r="I93" s="1233">
        <f>MIN(H82,H91)-IF(MIN(H82,H91)&gt;IF(DS_RRLP_ELI_Inclusive_PD&lt;&gt;"Yes",0,Eligible_RRLP_ELI_Request_Amount),IF(DS_RRLP_ELI_Inclusive_PD&lt;&gt;"Yes",0,Eligible_RRLP_ELI_Request_Amount),MIN(H82,H91))</f>
        <v>0</v>
      </c>
      <c r="J93" s="905"/>
      <c r="K93" s="905"/>
      <c r="P93" s="3"/>
    </row>
    <row r="94" spans="3:16" ht="14.45" hidden="1" customHeight="1">
      <c r="J94" s="905"/>
      <c r="K94" s="905"/>
      <c r="P94" s="3"/>
    </row>
    <row r="95" spans="3:16" ht="17.45" hidden="1" customHeight="1">
      <c r="D95" s="271" t="s">
        <v>1933</v>
      </c>
      <c r="E95" s="271"/>
      <c r="F95" s="271"/>
      <c r="G95" s="271"/>
      <c r="H95" s="1268"/>
      <c r="I95" s="1238">
        <f>IF(OR(N69=0,N81=0),0,IF(OR(N(Non_Competitive_HC_Request_Amount)&gt;0,N(MMRB_Request_Amount)&gt;0),N(Max_RRLP_Base_1),N(Max_RRLP_Base_2)))</f>
        <v>0</v>
      </c>
      <c r="J95" s="905"/>
      <c r="K95" s="905"/>
      <c r="P95" s="3"/>
    </row>
    <row r="96" spans="3:16" ht="10.35" hidden="1" customHeight="1">
      <c r="J96" s="905"/>
      <c r="K96" s="905"/>
      <c r="P96" s="3"/>
    </row>
    <row r="97" spans="3:17" ht="17.45" hidden="1" customHeight="1">
      <c r="C97" s="21"/>
      <c r="D97" s="3264" t="s">
        <v>1934</v>
      </c>
      <c r="E97" s="3264"/>
      <c r="F97" s="3264"/>
      <c r="G97" s="3264"/>
      <c r="H97" s="3264"/>
      <c r="I97" s="1239"/>
      <c r="J97" s="905"/>
      <c r="K97" s="905"/>
      <c r="L97" s="943">
        <f>N69</f>
        <v>0</v>
      </c>
      <c r="M97" s="350">
        <f>IF(AND(L97&lt;&gt;0,I97&lt;&gt;""),L97,0)</f>
        <v>0</v>
      </c>
      <c r="N97" s="905" t="str">
        <f>CHOOSE(L97+1,"Not to be included in this RFA","A REQUIRED input field for this RFA","An OPTIONAL input field for this RFA")</f>
        <v>Not to be included in this RFA</v>
      </c>
      <c r="P97" s="3"/>
    </row>
    <row r="98" spans="3:17" ht="5.0999999999999996" hidden="1" customHeight="1">
      <c r="C98" s="88"/>
      <c r="D98" s="941"/>
      <c r="E98" s="941"/>
      <c r="F98" s="941"/>
      <c r="G98" s="941"/>
      <c r="H98" s="941"/>
      <c r="J98" s="905"/>
      <c r="K98" s="905"/>
      <c r="P98" s="3"/>
    </row>
    <row r="99" spans="3:17" ht="14.45" hidden="1" customHeight="1">
      <c r="C99" s="88"/>
      <c r="D99" s="941"/>
      <c r="E99" s="271" t="s">
        <v>1935</v>
      </c>
      <c r="F99" s="271"/>
      <c r="G99" s="271"/>
      <c r="H99" s="271"/>
      <c r="I99" s="1274">
        <f>MIN(IF(AND($N$74&gt;0,$N$81=0),N(Max_RRLP_Base_1),IF(AND($N$74=0,$N$81&gt;0),N(Max_RRLP_Base_2),N(Max_RRLP_Base))),N(RRLP_Base_Request_Amount))</f>
        <v>0</v>
      </c>
      <c r="J99" s="905"/>
      <c r="K99" s="905"/>
      <c r="P99" s="3"/>
    </row>
    <row r="100" spans="3:17" ht="24.95" hidden="1" customHeight="1">
      <c r="J100" s="905"/>
      <c r="K100" s="905"/>
      <c r="P100" s="3"/>
    </row>
    <row r="101" spans="3:17" ht="14.45" hidden="1" customHeight="1">
      <c r="C101" s="88"/>
      <c r="D101" s="2977" t="s">
        <v>1904</v>
      </c>
      <c r="E101" s="2977"/>
      <c r="F101" s="2977"/>
      <c r="G101" s="2977"/>
      <c r="H101" s="6"/>
      <c r="J101" s="905"/>
      <c r="K101" s="905"/>
      <c r="N101" s="820">
        <v>0</v>
      </c>
      <c r="P101" s="3"/>
    </row>
    <row r="102" spans="3:17" ht="14.45" hidden="1" customHeight="1">
      <c r="C102" s="88"/>
      <c r="D102" s="941"/>
      <c r="E102" s="276" t="s">
        <v>785</v>
      </c>
      <c r="F102" s="276"/>
      <c r="G102" s="276"/>
      <c r="H102" s="975" t="str">
        <f>IF(N101=0,"",DS_RRLP_ELI_PD)</f>
        <v/>
      </c>
      <c r="J102" s="905"/>
      <c r="K102" s="905"/>
      <c r="O102" s="1276">
        <v>1</v>
      </c>
      <c r="Q102" s="1275" t="str">
        <f>IF(O102="","",IF(O102=0,"Not ","")&amp;"Applicable to this RFA")</f>
        <v>Applicable to this RFA</v>
      </c>
    </row>
    <row r="103" spans="3:17" ht="14.45" hidden="1" customHeight="1">
      <c r="C103" s="88"/>
      <c r="D103" s="941"/>
      <c r="E103" s="277" t="s">
        <v>1229</v>
      </c>
      <c r="F103" s="277"/>
      <c r="G103" s="277"/>
      <c r="H103" s="278" t="str">
        <f>IF(N101=0,"",DS_ELI_Funding_Total)</f>
        <v/>
      </c>
      <c r="J103" s="905"/>
      <c r="K103" s="905"/>
      <c r="O103" s="1276">
        <v>1</v>
      </c>
      <c r="Q103" s="1275" t="str">
        <f>IF(O103="","",IF(O103=0,"Not ","")&amp;"Applicable to this RFA")</f>
        <v>Applicable to this RFA</v>
      </c>
    </row>
    <row r="104" spans="3:17" ht="10.35" hidden="1" customHeight="1">
      <c r="C104" s="88"/>
      <c r="D104" s="941"/>
      <c r="E104" s="941"/>
      <c r="F104" s="941"/>
      <c r="G104" s="941"/>
      <c r="H104" s="941"/>
      <c r="J104" s="905"/>
      <c r="K104" s="905"/>
      <c r="P104" s="3"/>
    </row>
    <row r="105" spans="3:17" ht="30" hidden="1" customHeight="1">
      <c r="C105" s="88"/>
      <c r="D105" s="941"/>
      <c r="E105" s="2960" t="s">
        <v>1939</v>
      </c>
      <c r="F105" s="2960"/>
      <c r="G105" s="2960"/>
      <c r="H105" s="2960"/>
      <c r="I105" s="977">
        <f>IF(OR(N69=0,N101=0),0,IF(O102=0,H103,IF(O103=0,H102,MIN(H102,H103))))</f>
        <v>0</v>
      </c>
      <c r="J105" s="905"/>
      <c r="K105" s="905"/>
      <c r="P105" s="3"/>
    </row>
    <row r="106" spans="3:17" ht="10.35" hidden="1" customHeight="1">
      <c r="C106" s="88"/>
      <c r="D106" s="941"/>
      <c r="E106" s="941"/>
      <c r="F106" s="941"/>
      <c r="G106" s="941"/>
      <c r="H106" s="941"/>
      <c r="J106" s="905"/>
      <c r="K106" s="905"/>
      <c r="P106" s="3"/>
    </row>
    <row r="107" spans="3:17" ht="17.45" hidden="1" customHeight="1">
      <c r="C107" s="21" t="str">
        <f>IF(AND($L97=0,$L107=1),"(a)",IF(AND($L97=1,$L107=1),"(c)","(-)"))</f>
        <v>(-)</v>
      </c>
      <c r="D107" s="3274" t="s">
        <v>1905</v>
      </c>
      <c r="E107" s="3274"/>
      <c r="F107" s="3274"/>
      <c r="G107" s="3274"/>
      <c r="H107" s="3274"/>
      <c r="I107" s="1239"/>
      <c r="J107" s="905"/>
      <c r="K107" s="905"/>
      <c r="L107" s="943">
        <f>IF(OR(N69=0,N101=0),0,O107)</f>
        <v>0</v>
      </c>
      <c r="M107" s="931">
        <f>IF(AND(L107&lt;&gt;0,I107&lt;&gt;""),L107,0)</f>
        <v>0</v>
      </c>
      <c r="N107" s="905" t="str">
        <f>CHOOSE(L107+1,"Not to be included in this RFA","A REQUIRED input field for this RFA","An OPTIONAL input field for this RFA")</f>
        <v>Not to be included in this RFA</v>
      </c>
      <c r="O107" s="354">
        <v>1</v>
      </c>
      <c r="P107" s="3"/>
    </row>
    <row r="108" spans="3:17" ht="5.0999999999999996" hidden="1" customHeight="1">
      <c r="J108" s="905"/>
      <c r="K108" s="905"/>
      <c r="P108" s="3"/>
    </row>
    <row r="109" spans="3:17" ht="14.45" hidden="1" customHeight="1">
      <c r="E109" s="271" t="s">
        <v>1906</v>
      </c>
      <c r="F109" s="271"/>
      <c r="G109" s="271"/>
      <c r="H109" s="271"/>
      <c r="I109" s="1240">
        <f>MIN(N(Max_RRLP_ELI),N(RRLP_ELI_Request_Amount))</f>
        <v>0</v>
      </c>
      <c r="J109" s="905"/>
      <c r="K109" s="905"/>
      <c r="P109" s="3"/>
    </row>
    <row r="110" spans="3:17" ht="14.45" hidden="1" customHeight="1">
      <c r="I110" s="272"/>
      <c r="J110" s="905"/>
      <c r="K110" s="905"/>
      <c r="P110" s="3"/>
    </row>
    <row r="111" spans="3:17" ht="45" hidden="1" customHeight="1">
      <c r="D111" s="2943" t="str" cm="1">
        <f t="array" ref="D111">"Applicant's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11" s="2943"/>
      <c r="F111" s="2943"/>
      <c r="G111" s="2943"/>
      <c r="H111" s="2943"/>
      <c r="I111" s="272"/>
      <c r="J111" s="905"/>
      <c r="K111" s="905"/>
      <c r="P111" s="3"/>
    </row>
    <row r="112" spans="3:17" ht="14.45" hidden="1" customHeight="1">
      <c r="H112" s="925" t="s">
        <v>1936</v>
      </c>
      <c r="I112" s="1274">
        <f>Eligible_RRLP_Base_Request_Amount+Eligible_RRLP_ELI_Request_Amount</f>
        <v>0</v>
      </c>
      <c r="J112" s="905"/>
      <c r="K112" s="905"/>
      <c r="P112" s="3"/>
    </row>
    <row r="113" spans="2:16" ht="14.45" hidden="1" customHeight="1">
      <c r="I113" s="272"/>
      <c r="J113" s="905"/>
      <c r="K113" s="905"/>
      <c r="P113" s="3"/>
    </row>
    <row r="114" spans="2:16" ht="14.45" hidden="1" customHeight="1">
      <c r="I114" s="272"/>
      <c r="J114" s="905"/>
      <c r="K114" s="905"/>
      <c r="P114" s="3"/>
    </row>
    <row r="115" spans="2:16" ht="14.45" hidden="1" customHeight="1">
      <c r="J115" s="905"/>
      <c r="K115" s="905"/>
      <c r="P115" s="3"/>
    </row>
    <row r="116" spans="2:16" ht="14.45" hidden="1" customHeight="1">
      <c r="B116" s="316" t="str">
        <f>IF($L$133=0,"...",MAX(B$4:B115)+1)</f>
        <v>...</v>
      </c>
      <c r="C116" s="1718" t="str">
        <f>Data3!A122</f>
        <v>HOME</v>
      </c>
      <c r="J116" s="905"/>
      <c r="K116" s="905"/>
      <c r="N116" s="820">
        <v>0</v>
      </c>
      <c r="P116" s="3"/>
    </row>
    <row r="117" spans="2:16" ht="10.35" hidden="1" customHeight="1">
      <c r="J117" s="905"/>
      <c r="K117" s="905"/>
      <c r="P117" s="3"/>
    </row>
    <row r="118" spans="2:16" ht="14.45" hidden="1" customHeight="1">
      <c r="E118" s="3286" t="str">
        <f>"Maximum "&amp;C116&amp;" Request Amount Per Development:"</f>
        <v>Maximum HOME Request Amount Per Development:</v>
      </c>
      <c r="F118" s="3286"/>
      <c r="G118" s="3286"/>
      <c r="H118" s="978">
        <f>DS_HOME_PD</f>
        <v>7200000</v>
      </c>
      <c r="J118" s="905"/>
      <c r="K118" s="905"/>
      <c r="P118" s="3"/>
    </row>
    <row r="119" spans="2:16" ht="10.35" hidden="1" customHeight="1">
      <c r="J119" s="905"/>
      <c r="K119" s="905"/>
      <c r="P119" s="3"/>
    </row>
    <row r="120" spans="2:16" ht="45" hidden="1" customHeight="1">
      <c r="E120" s="53" t="s">
        <v>1233</v>
      </c>
      <c r="F120" s="53" t="str">
        <f>"# of "&amp;C116&amp;" Set-Aside Units"</f>
        <v># of HOME Set-Aside Units</v>
      </c>
      <c r="G120" s="53" t="str">
        <f>"Maximum "&amp;C116&amp;" Subsidy Per "&amp;C116&amp;" Set-Aside Unit"</f>
        <v>Maximum HOME Subsidy Per HOME Set-Aside Unit</v>
      </c>
      <c r="H120" s="53" t="str">
        <f>C116&amp;" Subsidy Allowed"</f>
        <v>HOME Subsidy Allowed</v>
      </c>
      <c r="I120" s="866"/>
      <c r="J120" s="73"/>
      <c r="K120" s="935"/>
      <c r="N120" s="872"/>
      <c r="P120" s="3"/>
    </row>
    <row r="121" spans="2:16" ht="17.45" hidden="1" customHeight="1">
      <c r="E121" s="99">
        <v>0</v>
      </c>
      <c r="F121" s="612"/>
      <c r="G121" s="100">
        <f>DS_HOME_PU_0Bd</f>
        <v>155709</v>
      </c>
      <c r="H121" s="103">
        <f>N(F121)*N(G121)</f>
        <v>0</v>
      </c>
      <c r="I121" s="866"/>
      <c r="J121" s="816"/>
      <c r="K121" s="940"/>
      <c r="L121" s="943">
        <f>IF($N$116=0,0,IF($O121=0,0,IF(AND(COUNTIF($F$121:$F$125,"&gt;0")=0,$E121=0),1,IF(AND(SUM($F$121:$F$125)&gt;0,SUM($F$121:$F$125)=$F121),1,IF(AND(SUM($F$120:$F120)=0,$F121&gt;0),1,2)))))</f>
        <v>0</v>
      </c>
      <c r="M121" s="931">
        <f>IF(AND(L121&lt;&gt;0,F121&lt;&gt;""),L121,0)</f>
        <v>0</v>
      </c>
      <c r="N121" s="905" t="str">
        <f>CHOOSE(L121+1,"Not to be included in this RFA","A REQUIRED input field for this RFA","An OPTIONAL input field for this RFA")</f>
        <v>Not to be included in this RFA</v>
      </c>
      <c r="O121" s="354">
        <v>1</v>
      </c>
      <c r="P121" s="3"/>
    </row>
    <row r="122" spans="2:16" ht="17.45" hidden="1" customHeight="1">
      <c r="E122" s="101">
        <v>1</v>
      </c>
      <c r="F122" s="613"/>
      <c r="G122" s="102">
        <f>DS_HOME_PU_1Bd</f>
        <v>178497</v>
      </c>
      <c r="H122" s="104">
        <f>N(F122)*N(G122)</f>
        <v>0</v>
      </c>
      <c r="I122" s="866"/>
      <c r="J122" s="816"/>
      <c r="K122" s="940"/>
      <c r="L122" s="943">
        <f>IF($N$116=0,0,IF($O122=0,0,IF(AND(COUNTIF($F$121:$F$125,"&gt;0")=0,$E122=0),1,IF(AND(SUM($F$121:$F$125)&gt;0,SUM($F$121:$F$125)=$F122),1,IF(AND(SUM($F$120:$F121)=0,$F122&gt;0),1,2)))))</f>
        <v>0</v>
      </c>
      <c r="M122" s="931">
        <f>IF(AND(L122&lt;&gt;0,F122&lt;&gt;""),L122,0)</f>
        <v>0</v>
      </c>
      <c r="N122" s="905" t="str">
        <f>CHOOSE(L122+1,"Not to be included in this RFA","A REQUIRED input field for this RFA","An OPTIONAL input field for this RFA")</f>
        <v>Not to be included in this RFA</v>
      </c>
      <c r="O122" s="354">
        <v>1</v>
      </c>
      <c r="P122" s="3"/>
    </row>
    <row r="123" spans="2:16" ht="17.45" hidden="1" customHeight="1">
      <c r="E123" s="101">
        <v>2</v>
      </c>
      <c r="F123" s="613"/>
      <c r="G123" s="102">
        <f>DS_HOME_PU_2Bd</f>
        <v>217058</v>
      </c>
      <c r="H123" s="104">
        <f>N(F123)*N(G123)</f>
        <v>0</v>
      </c>
      <c r="I123" s="866"/>
      <c r="J123" s="816"/>
      <c r="K123" s="940"/>
      <c r="L123" s="943">
        <f>IF($N$116=0,0,IF($O123=0,0,IF(AND(COUNTIF($F$121:$F$125,"&gt;0")=0,$E123=0),1,IF(AND(SUM($F$121:$F$125)&gt;0,SUM($F$121:$F$125)=$F123),1,IF(AND(SUM($F$120:$F122)=0,$F123&gt;0),1,2)))))</f>
        <v>0</v>
      </c>
      <c r="M123" s="931">
        <f>IF(AND(L123&lt;&gt;0,F123&lt;&gt;""),L123,0)</f>
        <v>0</v>
      </c>
      <c r="N123" s="905" t="str">
        <f>CHOOSE(L123+1,"Not to be included in this RFA","A REQUIRED input field for this RFA","An OPTIONAL input field for this RFA")</f>
        <v>Not to be included in this RFA</v>
      </c>
      <c r="O123" s="354">
        <v>1</v>
      </c>
      <c r="P123" s="3"/>
    </row>
    <row r="124" spans="2:16" ht="17.45" hidden="1" customHeight="1">
      <c r="E124" s="101">
        <v>3</v>
      </c>
      <c r="F124" s="613"/>
      <c r="G124" s="102">
        <f>DS_HOME_PU_3Bd</f>
        <v>280804</v>
      </c>
      <c r="H124" s="104">
        <f>N(F124)*N(G124)</f>
        <v>0</v>
      </c>
      <c r="I124" s="866"/>
      <c r="J124" s="816"/>
      <c r="K124" s="940"/>
      <c r="L124" s="943">
        <f>IF($N$116=0,0,IF($O124=0,0,IF(AND(COUNTIF($F$121:$F$125,"&gt;0")=0,$E124=0),1,IF(AND(SUM($F$121:$F$125)&gt;0,SUM($F$121:$F$125)=$F124),1,IF(AND(SUM($F$120:$F123)=0,$F124&gt;0),1,2)))))</f>
        <v>0</v>
      </c>
      <c r="M124" s="931">
        <f>IF(AND(L124&lt;&gt;0,F124&lt;&gt;""),L124,0)</f>
        <v>0</v>
      </c>
      <c r="N124" s="905" t="str">
        <f>CHOOSE(L124+1,"Not to be included in this RFA","A REQUIRED input field for this RFA","An OPTIONAL input field for this RFA")</f>
        <v>Not to be included in this RFA</v>
      </c>
      <c r="O124" s="354">
        <v>1</v>
      </c>
      <c r="P124" s="3"/>
    </row>
    <row r="125" spans="2:16" ht="17.45" hidden="1" customHeight="1" thickBot="1">
      <c r="E125" s="506">
        <v>4</v>
      </c>
      <c r="F125" s="614"/>
      <c r="G125" s="507">
        <f>DS_HOME_PU_4Bd</f>
        <v>308233</v>
      </c>
      <c r="H125" s="508">
        <f>N(F125)*N(G125)</f>
        <v>0</v>
      </c>
      <c r="I125" s="866"/>
      <c r="J125" s="816"/>
      <c r="K125" s="940"/>
      <c r="L125" s="943">
        <f>IF($N$116=0,0,IF($O125=0,0,IF(AND(COUNTIF($F$121:$F$125,"&gt;0")=0,$E125=0),1,IF(AND(SUM($F$121:$F$125)&gt;0,SUM($F$121:$F$125)=$F125),1,IF(AND(SUM($F$120:$F124)=0,$F125&gt;0),1,2)))))</f>
        <v>0</v>
      </c>
      <c r="M125" s="931">
        <f>IF(AND(L125&lt;&gt;0,F125&lt;&gt;""),L125,0)</f>
        <v>0</v>
      </c>
      <c r="N125" s="905" t="str">
        <f>CHOOSE(L125+1,"Not to be included in this RFA","A REQUIRED input field for this RFA","An OPTIONAL input field for this RFA")</f>
        <v>Not to be included in this RFA</v>
      </c>
      <c r="O125" s="354">
        <v>1</v>
      </c>
      <c r="P125" s="3"/>
    </row>
    <row r="126" spans="2:16" ht="17.45" hidden="1" customHeight="1">
      <c r="G126" s="925" t="str">
        <f>"Total "&amp;C116&amp;"-Assisted Units"</f>
        <v>Total HOME-Assisted Units</v>
      </c>
      <c r="H126" s="615">
        <f>SUM(F121:F125)</f>
        <v>0</v>
      </c>
      <c r="I126" s="2260" t="str">
        <f>IF(AND(Total_Units&gt;0,H126&gt;Total_Units),"Exceeds Total Units","")</f>
        <v/>
      </c>
      <c r="J126" s="816"/>
      <c r="K126" s="940"/>
      <c r="L126" s="931"/>
      <c r="M126" s="931"/>
      <c r="N126" s="905"/>
      <c r="P126" s="3"/>
    </row>
    <row r="127" spans="2:16" ht="17.45" hidden="1" customHeight="1">
      <c r="G127" s="925" t="str">
        <f>"Total Maximum "&amp;C116&amp;" Subsidy Allowed"</f>
        <v>Total Maximum HOME Subsidy Allowed</v>
      </c>
      <c r="H127" s="105">
        <f>SUM(H121:H125)</f>
        <v>0</v>
      </c>
      <c r="I127" s="866"/>
      <c r="J127" s="816"/>
      <c r="K127" s="940"/>
      <c r="P127" s="3"/>
    </row>
    <row r="128" spans="2:16" ht="10.35" hidden="1" customHeight="1">
      <c r="J128" s="905"/>
      <c r="K128" s="905"/>
      <c r="P128" s="3"/>
    </row>
    <row r="129" spans="3:16" ht="30" hidden="1" customHeight="1">
      <c r="E129" s="2960" t="s">
        <v>1908</v>
      </c>
      <c r="F129" s="2960"/>
      <c r="G129" s="2960"/>
      <c r="H129" s="2960"/>
      <c r="I129" s="975">
        <f>MIN(H118,H127)</f>
        <v>0</v>
      </c>
      <c r="J129" s="905"/>
      <c r="K129" s="905"/>
      <c r="P129" s="3"/>
    </row>
    <row r="130" spans="3:16" ht="10.35" hidden="1" customHeight="1">
      <c r="J130" s="905"/>
      <c r="K130" s="905"/>
      <c r="P130" s="3"/>
    </row>
    <row r="131" spans="3:16" ht="30" hidden="1" customHeight="1">
      <c r="E131" s="2943" t="str">
        <f>IF(C116&lt;&gt;"HOME","",IF(OR(Eligible_HOME_Request_Amount=0,N(TDC_total)=0,N(Total_Units)=0),"","The "&amp;TEXT(SUM(F121:F125),"0")&amp;" HOME Set-Aside Units entered "&amp;IF(SUM(F121:F125)&lt;MIN(Total_Units,ROUNDUP(ROUNDUP(Eligible_HOME_Request_Amount/TDC_total,2)*Total_Units,0)),"does NOT meet","meets")&amp;" the "&amp;TEXT(MIN(Total_Units,ROUNDUP(ROUNDUP(Eligible_HOME_Request_Amount/TDC_total,2)*Total_Units,0)),"0")&amp;" minimum HOME Assisted Units required by HUD."))</f>
        <v/>
      </c>
      <c r="F131" s="2943"/>
      <c r="G131" s="2943"/>
      <c r="H131" s="2943"/>
      <c r="J131" s="905"/>
      <c r="K131" s="905"/>
      <c r="P131" s="3"/>
    </row>
    <row r="132" spans="3:16" ht="10.35" hidden="1" customHeight="1">
      <c r="J132" s="905"/>
      <c r="K132" s="905"/>
      <c r="P132" s="3"/>
    </row>
    <row r="133" spans="3:16" ht="17.45" hidden="1" customHeight="1">
      <c r="C133" s="88" t="s">
        <v>957</v>
      </c>
      <c r="D133" s="3264" t="str">
        <f>"Applicant's "&amp;C116&amp;" Request Amount:  "</f>
        <v xml:space="preserve">Applicant's HOME Request Amount:  </v>
      </c>
      <c r="E133" s="3264"/>
      <c r="F133" s="3264"/>
      <c r="G133" s="3264"/>
      <c r="H133" s="3264"/>
      <c r="I133" s="976"/>
      <c r="J133" s="905"/>
      <c r="K133" s="905"/>
      <c r="L133" s="943">
        <f>N$116</f>
        <v>0</v>
      </c>
      <c r="M133" s="931">
        <f>IF(AND(L133&lt;&gt;0,I133&lt;&gt;""),L133,0)</f>
        <v>0</v>
      </c>
      <c r="N133" s="905" t="str">
        <f>CHOOSE(L133+1,"Not to be included in this RFA","A REQUIRED input field for this RFA","An OPTIONAL input field for this RFA")</f>
        <v>Not to be included in this RFA</v>
      </c>
      <c r="P133" s="3"/>
    </row>
    <row r="134" spans="3:16" ht="5.0999999999999996" hidden="1" customHeight="1">
      <c r="J134" s="905"/>
      <c r="K134" s="905"/>
      <c r="P134" s="3"/>
    </row>
    <row r="135" spans="3:16" ht="17.45" hidden="1" customHeight="1">
      <c r="E135" s="271" t="s">
        <v>1234</v>
      </c>
      <c r="F135" s="271"/>
      <c r="G135" s="271"/>
      <c r="H135" s="271"/>
      <c r="I135" s="862">
        <f>MIN(N(Max_HOME),N(HOME_Request_Amount))</f>
        <v>0</v>
      </c>
      <c r="J135" s="905"/>
      <c r="K135" s="905"/>
      <c r="P135" s="3"/>
    </row>
    <row r="136" spans="3:16" ht="14.45" hidden="1" customHeight="1">
      <c r="J136" s="905"/>
      <c r="K136" s="905"/>
      <c r="P136" s="3"/>
    </row>
    <row r="137" spans="3:16" ht="14.45" hidden="1" customHeight="1">
      <c r="C137" s="88" t="s">
        <v>959</v>
      </c>
      <c r="D137" s="941" t="s">
        <v>1235</v>
      </c>
      <c r="J137" s="905"/>
      <c r="K137" s="905"/>
      <c r="P137" s="3"/>
    </row>
    <row r="138" spans="3:16" ht="14.45" hidden="1" customHeight="1">
      <c r="D138" s="3" t="s">
        <v>945</v>
      </c>
      <c r="E138" t="s">
        <v>1236</v>
      </c>
      <c r="J138" s="905"/>
      <c r="K138" s="905"/>
      <c r="P138" s="3"/>
    </row>
    <row r="139" spans="3:16" ht="14.45" hidden="1" customHeight="1">
      <c r="E139" t="s">
        <v>1237</v>
      </c>
      <c r="I139" s="862">
        <f>Eligible_HOME_Request_Amount</f>
        <v>0</v>
      </c>
      <c r="J139" s="905"/>
      <c r="K139" s="905"/>
      <c r="P139" s="3"/>
    </row>
    <row r="140" spans="3:16" ht="14.45" hidden="1" customHeight="1">
      <c r="E140" s="312" t="s">
        <v>1238</v>
      </c>
      <c r="J140" s="905"/>
      <c r="K140" s="905"/>
      <c r="P140" s="3"/>
    </row>
    <row r="141" spans="3:16" ht="10.35" hidden="1" customHeight="1">
      <c r="J141" s="905"/>
      <c r="K141" s="905"/>
      <c r="P141" s="3"/>
    </row>
    <row r="142" spans="3:16" ht="14.45" hidden="1" customHeight="1">
      <c r="E142" t="s">
        <v>1239</v>
      </c>
      <c r="I142" s="862">
        <f>IF($N$116=0,0,IF(AND(H126=0,N(TDC_total)=0),0,IF(N(TDC_total)=0,"Need Costs",N(TDC_total))))</f>
        <v>0</v>
      </c>
      <c r="J142" s="905"/>
      <c r="K142" s="905"/>
      <c r="P142" s="3"/>
    </row>
    <row r="143" spans="3:16" ht="14.45" hidden="1" customHeight="1">
      <c r="E143" s="312" t="s">
        <v>1240</v>
      </c>
      <c r="J143" s="905"/>
      <c r="K143" s="905"/>
      <c r="P143" s="3"/>
    </row>
    <row r="144" spans="3:16" ht="10.35" hidden="1" customHeight="1">
      <c r="J144" s="905"/>
      <c r="K144" s="905"/>
      <c r="P144" s="3"/>
    </row>
    <row r="145" spans="4:16" ht="14.45" hidden="1" customHeight="1">
      <c r="E145" t="s">
        <v>1241</v>
      </c>
      <c r="I145" s="865">
        <f>IF($N$116=0,0,IF(AND(H126=0,N(TDC_total)=0),0,IF(N(I142)=0,"Need Costs",ROUNDUP(Eligible_HOME_Request_Amount/I142,2))))</f>
        <v>0</v>
      </c>
      <c r="J145" s="905"/>
      <c r="K145" s="905"/>
      <c r="P145" s="3"/>
    </row>
    <row r="146" spans="4:16" ht="14.45" hidden="1" customHeight="1">
      <c r="E146" s="312" t="s">
        <v>1242</v>
      </c>
      <c r="J146" s="905"/>
      <c r="K146" s="905"/>
      <c r="P146" s="3"/>
    </row>
    <row r="147" spans="4:16" ht="10.35" hidden="1" customHeight="1">
      <c r="J147" s="905"/>
      <c r="K147" s="905"/>
      <c r="P147" s="3"/>
    </row>
    <row r="148" spans="4:16" ht="14.45" hidden="1" customHeight="1">
      <c r="E148" t="s">
        <v>1243</v>
      </c>
      <c r="I148" s="864">
        <f>IF($N$116=0,0,Total_Units)</f>
        <v>0</v>
      </c>
      <c r="J148" s="905"/>
      <c r="K148" s="905"/>
      <c r="P148" s="3"/>
    </row>
    <row r="149" spans="4:16" ht="14.45" hidden="1" customHeight="1">
      <c r="E149" s="312" t="s">
        <v>1244</v>
      </c>
      <c r="J149" s="905"/>
      <c r="K149" s="905"/>
      <c r="P149" s="3"/>
    </row>
    <row r="150" spans="4:16" ht="10.35" hidden="1" customHeight="1">
      <c r="J150" s="905"/>
      <c r="K150" s="905"/>
      <c r="P150" s="3"/>
    </row>
    <row r="151" spans="4:16" ht="14.45" hidden="1" customHeight="1">
      <c r="E151" t="s">
        <v>1245</v>
      </c>
      <c r="I151" s="864">
        <f>ROUNDUP(N(I145)*I148,0)</f>
        <v>0</v>
      </c>
      <c r="J151" s="905"/>
      <c r="K151" s="905"/>
      <c r="P151" s="3"/>
    </row>
    <row r="152" spans="4:16" ht="14.45" hidden="1" customHeight="1">
      <c r="E152" s="312" t="s">
        <v>1246</v>
      </c>
      <c r="J152" s="905"/>
      <c r="K152" s="905"/>
      <c r="P152" s="3"/>
    </row>
    <row r="153" spans="4:16" ht="10.35" hidden="1" customHeight="1">
      <c r="J153" s="905"/>
      <c r="K153" s="905"/>
      <c r="P153" s="3"/>
    </row>
    <row r="154" spans="4:16" ht="14.45" hidden="1" customHeight="1">
      <c r="D154" s="3" t="s">
        <v>946</v>
      </c>
      <c r="E154" t="s">
        <v>1247</v>
      </c>
      <c r="J154" s="905"/>
      <c r="K154" s="905"/>
      <c r="P154" s="3"/>
    </row>
    <row r="155" spans="4:16" ht="14.45" hidden="1" customHeight="1">
      <c r="E155" t="s">
        <v>1248</v>
      </c>
      <c r="I155" s="869">
        <f>H126</f>
        <v>0</v>
      </c>
      <c r="J155" s="905"/>
      <c r="K155" s="905"/>
      <c r="P155" s="3"/>
    </row>
    <row r="156" spans="4:16" ht="14.45" hidden="1" customHeight="1">
      <c r="E156" s="312" t="s">
        <v>1249</v>
      </c>
      <c r="J156" s="905"/>
      <c r="K156" s="905"/>
      <c r="P156" s="3"/>
    </row>
    <row r="157" spans="4:16" ht="10.35" hidden="1" customHeight="1">
      <c r="I157" s="341"/>
      <c r="J157" s="905"/>
      <c r="K157" s="905"/>
      <c r="P157" s="3"/>
    </row>
    <row r="158" spans="4:16" ht="14.45" hidden="1" customHeight="1">
      <c r="E158" t="s">
        <v>1250</v>
      </c>
      <c r="I158" s="864">
        <f>ROUNDUP(N(I155)*20%,0)</f>
        <v>0</v>
      </c>
      <c r="J158" s="905"/>
      <c r="K158" s="905"/>
      <c r="P158" s="3"/>
    </row>
    <row r="159" spans="4:16" ht="14.45" hidden="1" customHeight="1">
      <c r="E159" s="312" t="s">
        <v>1251</v>
      </c>
      <c r="J159" s="905"/>
      <c r="K159" s="905"/>
      <c r="P159" s="3"/>
    </row>
    <row r="160" spans="4:16" ht="10.35" hidden="1" customHeight="1">
      <c r="J160" s="905"/>
      <c r="K160" s="905"/>
      <c r="P160" s="3"/>
    </row>
    <row r="161" spans="1:17" ht="14.45" hidden="1" customHeight="1">
      <c r="E161" t="s">
        <v>1252</v>
      </c>
      <c r="I161" s="864">
        <f>N(I155)-I158</f>
        <v>0</v>
      </c>
      <c r="J161" s="905"/>
      <c r="K161" s="905"/>
      <c r="P161" s="3"/>
    </row>
    <row r="162" spans="1:17" ht="14.45" hidden="1" customHeight="1">
      <c r="E162" s="312" t="s">
        <v>1253</v>
      </c>
      <c r="J162" s="905"/>
      <c r="K162" s="905"/>
      <c r="P162" s="3"/>
    </row>
    <row r="163" spans="1:17" ht="10.35" hidden="1" customHeight="1">
      <c r="J163" s="905"/>
      <c r="K163" s="905"/>
      <c r="P163" s="3"/>
    </row>
    <row r="164" spans="1:17" ht="17.45" hidden="1" customHeight="1">
      <c r="C164" s="932" t="s">
        <v>965</v>
      </c>
      <c r="D164" t="s">
        <v>1254</v>
      </c>
      <c r="I164" s="863">
        <f>IF(Max_HOME=0,0,ROUND(Eligible_HOME_Request_Amount/Max_HOME,4))</f>
        <v>0</v>
      </c>
      <c r="J164" s="905"/>
      <c r="K164" s="905"/>
      <c r="P164" s="3"/>
    </row>
    <row r="165" spans="1:17" ht="14.45" hidden="1" customHeight="1">
      <c r="J165" s="905"/>
      <c r="K165" s="905"/>
      <c r="P165" s="3"/>
    </row>
    <row r="166" spans="1:17" ht="14.45" customHeight="1">
      <c r="A166" s="1329"/>
      <c r="B166" s="316">
        <f>IF($N$167+SUM($L$179:$L$183)+$N$192=0,"...",MAX(B$4:B165)+1)</f>
        <v>2</v>
      </c>
      <c r="C166" s="560" t="s">
        <v>2291</v>
      </c>
      <c r="D166" s="470"/>
      <c r="E166" s="470"/>
      <c r="J166" s="1664"/>
      <c r="K166" s="1664"/>
      <c r="P166" s="3"/>
    </row>
    <row r="167" spans="1:17" ht="17.45" hidden="1" customHeight="1">
      <c r="A167" s="1329"/>
      <c r="I167" s="3237" t="s">
        <v>2249</v>
      </c>
      <c r="J167" s="1664"/>
      <c r="K167" s="1664"/>
      <c r="N167" s="820">
        <v>0</v>
      </c>
      <c r="P167" s="2028"/>
    </row>
    <row r="168" spans="1:17" ht="17.45" hidden="1" customHeight="1">
      <c r="A168" s="1329"/>
      <c r="D168" s="1637" t="s">
        <v>1255</v>
      </c>
      <c r="E168" s="276"/>
      <c r="F168" s="276"/>
      <c r="G168" s="276"/>
      <c r="H168" s="1658">
        <f>IF(N$167&gt;0,DS_ARP_PD,0)</f>
        <v>0</v>
      </c>
      <c r="I168" s="3237"/>
      <c r="J168" s="1664"/>
      <c r="K168" s="1664"/>
    </row>
    <row r="169" spans="1:17" ht="17.45" hidden="1" customHeight="1">
      <c r="A169" s="1329"/>
      <c r="D169" s="1637" t="s">
        <v>1257</v>
      </c>
      <c r="E169" s="276"/>
      <c r="F169" s="276"/>
      <c r="G169" s="276"/>
      <c r="H169" s="1658">
        <f>IF(N$167&gt;0,DS_ARP_Req_PU,0)</f>
        <v>0</v>
      </c>
      <c r="I169" s="3237"/>
      <c r="J169" s="1664"/>
      <c r="K169" s="1664"/>
    </row>
    <row r="170" spans="1:17" ht="17.45" hidden="1" customHeight="1">
      <c r="A170" s="1329"/>
      <c r="D170" s="1637" t="s">
        <v>2281</v>
      </c>
      <c r="E170" s="276"/>
      <c r="F170" s="276"/>
      <c r="G170" s="276"/>
      <c r="H170" s="2261">
        <f>ARP_Total_Units_Funded</f>
        <v>0</v>
      </c>
      <c r="I170" s="3237"/>
      <c r="J170" s="1664"/>
      <c r="K170" s="1664"/>
    </row>
    <row r="171" spans="1:17" ht="17.45" hidden="1" customHeight="1">
      <c r="A171" s="1329"/>
      <c r="D171" s="1637" t="s">
        <v>1259</v>
      </c>
      <c r="E171" s="276"/>
      <c r="F171" s="276"/>
      <c r="G171" s="276"/>
      <c r="H171" s="1658">
        <f>H169*H170</f>
        <v>0</v>
      </c>
      <c r="I171" s="3237"/>
      <c r="J171" s="1664"/>
      <c r="K171" s="1664"/>
    </row>
    <row r="172" spans="1:17" ht="14.45" hidden="1" customHeight="1">
      <c r="A172" s="1329"/>
      <c r="D172" s="1634"/>
      <c r="E172" s="1638"/>
      <c r="F172" s="1638"/>
      <c r="G172" s="1638"/>
      <c r="H172" s="311"/>
      <c r="I172" s="3237"/>
      <c r="J172" s="1664"/>
      <c r="K172" s="1664"/>
      <c r="P172" s="3"/>
    </row>
    <row r="173" spans="1:17" ht="30" hidden="1" customHeight="1">
      <c r="A173" s="1329"/>
      <c r="D173" s="2960" t="s">
        <v>1909</v>
      </c>
      <c r="E173" s="2960"/>
      <c r="F173" s="2960"/>
      <c r="G173" s="2960"/>
      <c r="H173" s="2960"/>
      <c r="I173" s="1673">
        <f>MIN(H168,H169*H170)</f>
        <v>0</v>
      </c>
      <c r="J173" s="1664"/>
      <c r="K173" s="1664"/>
      <c r="P173" s="3"/>
      <c r="Q173" s="1666"/>
    </row>
    <row r="174" spans="1:17" ht="10.35" hidden="1" customHeight="1">
      <c r="A174" s="1329"/>
      <c r="I174" s="1329"/>
      <c r="J174" s="1664"/>
      <c r="K174" s="1664"/>
      <c r="P174" s="3"/>
    </row>
    <row r="175" spans="1:17" ht="17.45" hidden="1" customHeight="1">
      <c r="A175" s="1329"/>
      <c r="C175" s="88" t="s">
        <v>957</v>
      </c>
      <c r="D175" s="3264" t="s">
        <v>2282</v>
      </c>
      <c r="E175" s="3264"/>
      <c r="F175" s="3264"/>
      <c r="G175" s="3264"/>
      <c r="H175" s="3264"/>
      <c r="I175" s="1674" t="str">
        <f>IF(OR(L175=0,Max_HOME_ARP=0),"",Max_HOME_ARP)</f>
        <v/>
      </c>
      <c r="J175" s="1664"/>
      <c r="K175" s="1664"/>
      <c r="L175" s="1639">
        <f>N167</f>
        <v>0</v>
      </c>
      <c r="M175" s="1636">
        <v>0</v>
      </c>
      <c r="N175" s="1664" t="str">
        <f>CHOOSE(L175+1,"Not to be included in this RFA","A REQUIRED input field for this RFA","An OPTIONAL input field for this RFA","Input is not tracked")</f>
        <v>Not to be included in this RFA</v>
      </c>
      <c r="P175" s="3"/>
    </row>
    <row r="176" spans="1:17" ht="10.35" hidden="1" customHeight="1">
      <c r="A176" s="1329"/>
      <c r="C176" s="88"/>
      <c r="I176" s="1329"/>
      <c r="J176" s="1664"/>
      <c r="K176" s="1664"/>
      <c r="M176" s="1636"/>
      <c r="N176" s="1634"/>
      <c r="P176" s="3"/>
    </row>
    <row r="177" spans="1:16" ht="17.45" hidden="1" customHeight="1">
      <c r="A177" s="1329"/>
      <c r="C177" s="88"/>
      <c r="E177" s="271" t="s">
        <v>1262</v>
      </c>
      <c r="F177" s="271"/>
      <c r="G177" s="271"/>
      <c r="H177" s="271"/>
      <c r="I177" s="1675">
        <f>N(HOME_ARP_Request_Amount)</f>
        <v>0</v>
      </c>
      <c r="J177" s="1723"/>
      <c r="K177" s="1664"/>
      <c r="M177" s="1636"/>
      <c r="N177" s="1634"/>
      <c r="P177" s="3"/>
    </row>
    <row r="178" spans="1:16" ht="10.35" hidden="1" customHeight="1">
      <c r="A178" s="1329"/>
      <c r="C178" s="88"/>
      <c r="J178" s="1664"/>
      <c r="K178" s="1664"/>
      <c r="M178" s="1636"/>
      <c r="N178" s="1634"/>
      <c r="P178" s="3"/>
    </row>
    <row r="179" spans="1:16" ht="17.45" hidden="1" customHeight="1">
      <c r="A179" s="1329"/>
      <c r="D179" s="276" t="s">
        <v>2250</v>
      </c>
      <c r="E179" s="1691"/>
      <c r="F179" s="1691"/>
      <c r="G179" s="276"/>
      <c r="H179" s="276"/>
      <c r="I179" s="1657" t="s">
        <v>697</v>
      </c>
      <c r="J179" s="1664"/>
      <c r="K179" s="2292"/>
      <c r="L179" s="1672">
        <f>IF(AND(N167=1,'General Information'!K67&gt;0,Self_Sourced_Applicant="Yes"),1,IF(AND(N167=1,'General Information'!K67&gt;0,Self_Sourced_Applicant&lt;&gt;"Yes"),3,O179))</f>
        <v>0</v>
      </c>
      <c r="M179" s="1665">
        <f>IF(AND(L179&lt;&gt;0,I179&lt;&gt;""),L179,0)</f>
        <v>0</v>
      </c>
      <c r="N179" s="1664" t="str">
        <f t="shared" ref="N179:N183" si="11">CHOOSE(L179+1,"Not to be included in this RFA","A REQUIRED input field for this RFA","An OPTIONAL input field for this RFA","Input is not tracked")</f>
        <v>Not to be included in this RFA</v>
      </c>
      <c r="O179" s="2293">
        <v>0</v>
      </c>
      <c r="P179" s="3"/>
    </row>
    <row r="180" spans="1:16" ht="10.35" hidden="1" customHeight="1">
      <c r="A180" s="1329"/>
      <c r="D180" s="1696"/>
      <c r="E180" s="1697"/>
      <c r="F180" s="1697"/>
      <c r="G180" s="1696"/>
      <c r="H180" s="1696"/>
      <c r="I180" s="1696"/>
      <c r="J180" s="1670"/>
      <c r="K180" s="1670"/>
      <c r="L180" s="1670"/>
      <c r="M180" s="1671"/>
      <c r="N180" s="1670"/>
      <c r="P180" s="3"/>
    </row>
    <row r="181" spans="1:16" ht="17.45" customHeight="1">
      <c r="A181" s="1329"/>
      <c r="D181" s="276" t="str">
        <f>"The Applicant commits to the "&amp;IF(DS_Max_ARP_Req_Units_Active="Yes",N(DS_Max_ARP_Req_Units),N(DS_Min_ARP_Req_Units))&amp;" required "&amp;TEXT(DS_ARP_AMI_Units_Req,"0%")&amp;" HOME-ARP Units (funded at "&amp;TEXT(DS_ARP_Req_PU,"$#,##0")&amp;" PU)"</f>
        <v>The Applicant commits to the 0 required 22% HOME-ARP Units (funded at $0 PU)</v>
      </c>
      <c r="E181" s="1691"/>
      <c r="F181" s="1691"/>
      <c r="G181" s="276"/>
      <c r="H181" s="276"/>
      <c r="I181" s="2573">
        <f>IF(L181&gt;0,IF(DS_Max_ARP_Req_Units_Active="Yes",N(DS_Max_ARP_Req_Units),N(DS_Min_ARP_Req_Units))*DS_ARP_Req_PU,0)</f>
        <v>0</v>
      </c>
      <c r="J181" s="1664"/>
      <c r="K181" s="1664"/>
      <c r="L181" s="1640">
        <v>1</v>
      </c>
      <c r="M181" s="1665">
        <f>IF(AND(L181&lt;&gt;0,I181&lt;&gt;""),L181,0)</f>
        <v>1</v>
      </c>
      <c r="N181" s="1664" t="str">
        <f t="shared" si="11"/>
        <v>A REQUIRED input field for this RFA</v>
      </c>
      <c r="P181" s="3"/>
    </row>
    <row r="182" spans="1:16" ht="10.35" customHeight="1">
      <c r="A182" s="1329"/>
      <c r="D182" s="1696"/>
      <c r="E182" s="1697"/>
      <c r="F182" s="1697"/>
      <c r="G182" s="1696"/>
      <c r="H182" s="1696"/>
      <c r="I182" s="1709"/>
      <c r="J182" s="1670"/>
      <c r="K182" s="1670"/>
      <c r="L182" s="1670"/>
      <c r="M182" s="1671"/>
      <c r="N182" s="1670"/>
      <c r="P182" s="3"/>
    </row>
    <row r="183" spans="1:16" ht="17.45" hidden="1" customHeight="1">
      <c r="A183" s="1329"/>
      <c r="D183" s="276" t="str">
        <f>"How many optional "&amp;TEXT(DS_ARP_AMI_Units_Opt,"0%")&amp;" HOME-ARP Units is the Applicant requesting?"</f>
        <v>How many optional 22% HOME-ARP Units is the Applicant requesting?</v>
      </c>
      <c r="E183" s="1691"/>
      <c r="F183" s="1691"/>
      <c r="G183" s="276"/>
      <c r="H183" s="276"/>
      <c r="I183" s="2571">
        <v>0</v>
      </c>
      <c r="J183" s="1664"/>
      <c r="K183" s="1664"/>
      <c r="L183" s="1640">
        <v>0</v>
      </c>
      <c r="M183" s="1665">
        <f>IF(AND(L183&lt;&gt;0,I183&lt;&gt;""),L183,0)</f>
        <v>0</v>
      </c>
      <c r="N183" s="1664" t="str">
        <f t="shared" si="11"/>
        <v>Not to be included in this RFA</v>
      </c>
      <c r="P183" s="3"/>
    </row>
    <row r="184" spans="1:16" ht="29.1" hidden="1" customHeight="1">
      <c r="A184" s="1329"/>
      <c r="C184" s="88"/>
      <c r="D184" s="3278" t="str">
        <f>IF(OR($I$183="",AND(County_Size&lt;&gt;"Small",County_Size&lt;&gt;"Medium",County_Size&lt;&gt;"Large")),"",IF(AND(N($I$183)&gt;0,County_Size&lt;&gt;"Small",County_Size&lt;&gt;"Medium",County_Size&lt;&gt;"Large"),"Select a County",IF(Total_Units=0,"Enter Total Units","The maximum optional "&amp;TEXT(DS_ARP_AMI_Units_Opt,"0%")&amp;" AMI units that can be considered is "&amp;TEXT(DS_Max_ARP_Opt_Units,"0")&amp;" units"&amp;IF(OR(AND(DS_ARP_Max_Percent_Total_Active="Yes",DS_ARP_Max_Units_Total_Active="Yes"),DS_ARP_Max_Percent_Total_Active="Both")," [the lessor of (a) "&amp;TEXT(DS_ARP_Max_Percent_Total,"0%")&amp;" of Total Units ("&amp;TEXT(ROUNDUP(DS_ARP_Max_Percent_Total*N(Total_Units),0),"0")&amp;" units), or (b) "&amp;TEXT(DS_ARP_Max_Units_Total,"0")&amp;" total HOME-ARP units"," [the maximum of "&amp;IF(DS_ARP_Max_Percent_Total_Active="Yes",TEXT(DS_ARP_Max_Percent_Total,"0%")&amp;" of Total Units ("&amp;TEXT(ROUNDUP(DS_ARP_Max_Percent_Total*N(Total_Units),0),"0"),TEXT(DS_ARP_Max_Units_Total,"0"))&amp;" units)")&amp;IF(AND(DS_Min_ARP_Req_Units_Active="No",DS_Max_ARP_Req_Units_Active="No"),"",", less the required "&amp;TEXT(IF(AND(DS_Min_ARP_Req_Units="Yes",DS_Max_ARP_Req_Units_Active="Yes"),MIN(DS_Min_ARP_Req_Units,DS_Max_ARP_Req_Units),IF(DS_Min_ARP_Req_Units="Yes",DS_Min_ARP_Req_Units,DS_Max_ARP_Req_Units)),"0")&amp;" HOME-ARP units]") &amp;".")))</f>
        <v/>
      </c>
      <c r="E184" s="3278"/>
      <c r="F184" s="3278"/>
      <c r="G184" s="3278"/>
      <c r="H184" s="3278"/>
      <c r="I184" s="3278"/>
      <c r="J184" s="1664"/>
      <c r="K184" s="1664"/>
      <c r="M184" s="1665"/>
      <c r="N184" s="3263" t="str">
        <f>"Only one '1' should be entered in N"&amp;ROW(N167)&amp;" or N"&amp;ROW(N192)&amp;", but a '1' probably shouldn't appear in either of those if using L"&amp;ROW(L179)&amp;", L"&amp;ROW(L181)&amp;" and/or L"&amp;ROW(L183)&amp;"."</f>
        <v>Only one '1' should be entered in N167 or N192, but a '1' probably shouldn't appear in either of those if using L179, L181 and/or L183.</v>
      </c>
      <c r="P184" s="3"/>
    </row>
    <row r="185" spans="1:16" ht="10.35" hidden="1" customHeight="1">
      <c r="A185" s="1329"/>
      <c r="C185" s="88"/>
      <c r="J185" s="1664"/>
      <c r="K185" s="1664"/>
      <c r="M185" s="1665"/>
      <c r="N185" s="3263"/>
      <c r="P185" s="3"/>
    </row>
    <row r="186" spans="1:16" ht="30" hidden="1" customHeight="1">
      <c r="A186" s="1329"/>
      <c r="D186" s="3279" t="str">
        <f>"Based on the "&amp;TEXT(MIN(N(I183),DS_ARP_Max_Units_Opt_Allowed),"0")&amp;" optional "&amp;TEXT(DS_ARP_AMI_Units_Opt,"0%")&amp;" HOME-ARP Units "&amp;IF(N(I183)&gt;DS_ARP_Max_Units_Opt_Allowed,"limited","indicated")&amp;" above to be funded at "&amp;TEXT(DS_ARP_Opt_PU,"$#,##0")&amp;" PU, the total funding for the Additional units is:"</f>
        <v>Based on the 0 optional 22% HOME-ARP Units indicated above to be funded at $0 PU, the total funding for the Additional units is:</v>
      </c>
      <c r="E186" s="3279"/>
      <c r="F186" s="3279"/>
      <c r="G186" s="3279"/>
      <c r="H186" s="3279"/>
      <c r="I186" s="2572">
        <f>IF(L183&gt;0,DS_ARP_Max_Units_Opt_Allowed*DS_ARP_Opt_PU,0)</f>
        <v>0</v>
      </c>
      <c r="J186" s="1664"/>
      <c r="K186" s="1664"/>
      <c r="M186" s="1665"/>
      <c r="N186" s="3263"/>
      <c r="P186" s="3"/>
    </row>
    <row r="187" spans="1:16" ht="10.35" hidden="1" customHeight="1">
      <c r="A187" s="1329"/>
      <c r="C187" s="24"/>
      <c r="D187" s="24"/>
      <c r="E187" s="1633"/>
      <c r="F187" s="1633"/>
      <c r="G187" s="1633"/>
      <c r="H187" s="24"/>
      <c r="I187" s="24"/>
      <c r="J187" s="1664"/>
      <c r="K187" s="1664"/>
      <c r="M187" s="1665"/>
      <c r="N187" s="1664"/>
      <c r="P187" s="3"/>
    </row>
    <row r="188" spans="1:16" ht="17.45" hidden="1" customHeight="1">
      <c r="A188" s="1329"/>
      <c r="D188" s="462" t="str">
        <f>"The total of all HOME-ARP Funding for the combined total of "&amp;TEXT(ARP_Total_Units_Funded,"0")&amp;" HOME-ARP Units is:"</f>
        <v>The total of all HOME-ARP Funding for the combined total of 0 HOME-ARP Units is:</v>
      </c>
      <c r="E188" s="769"/>
      <c r="F188" s="769"/>
      <c r="G188" s="769"/>
      <c r="H188" s="462"/>
      <c r="I188" s="2572">
        <f>N(I181)+N(I186)</f>
        <v>0</v>
      </c>
      <c r="J188" s="1723"/>
      <c r="K188" s="1664"/>
      <c r="M188" s="1665"/>
      <c r="N188" s="1664"/>
      <c r="P188" s="3"/>
    </row>
    <row r="189" spans="1:16" ht="14.45" hidden="1" customHeight="1">
      <c r="A189" s="1329"/>
      <c r="C189" s="88"/>
      <c r="J189" s="1664"/>
      <c r="K189" s="1664"/>
      <c r="M189" s="1665"/>
      <c r="N189" s="1664"/>
      <c r="P189" s="3"/>
    </row>
    <row r="190" spans="1:16" ht="35.1" hidden="1" customHeight="1">
      <c r="A190" s="1329"/>
      <c r="C190" s="3035" t="s">
        <v>2290</v>
      </c>
      <c r="D190" s="3035"/>
      <c r="E190" s="3035"/>
      <c r="F190" s="3035"/>
      <c r="G190" s="3035"/>
      <c r="H190" s="3035"/>
      <c r="I190" s="3035"/>
      <c r="J190" s="1664"/>
      <c r="K190" s="1664"/>
      <c r="M190" s="1665"/>
      <c r="N190" s="1664"/>
      <c r="P190" s="3"/>
    </row>
    <row r="191" spans="1:16" ht="10.35" hidden="1" customHeight="1">
      <c r="A191" s="1329"/>
      <c r="J191" s="905"/>
      <c r="K191" s="1415"/>
      <c r="P191" s="3"/>
    </row>
    <row r="192" spans="1:16" ht="17.45" hidden="1" customHeight="1">
      <c r="A192" s="1329"/>
      <c r="D192" s="945" t="s">
        <v>1255</v>
      </c>
      <c r="E192" s="276"/>
      <c r="F192" s="276"/>
      <c r="G192" s="276"/>
      <c r="H192" s="977">
        <f>DS_ARP_PD</f>
        <v>2950000</v>
      </c>
      <c r="I192" s="3237" t="str" cm="1">
        <f t="array" aca="1" ref="I192" ca="1">IF(Data3!K143=Data3!M137,"(The Per Unit Request Limit is based on the primary Development Type identified in Section 4.A.4."&amp;'Proposed Development Info'!A122&amp;".'s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tab.)",IF(OR(Data3!K143=Data3!M135,Data3!K143=Data3!M136),"(The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92" s="905"/>
      <c r="K192" s="1415"/>
      <c r="N192" s="820">
        <v>0</v>
      </c>
      <c r="P192" s="3"/>
    </row>
    <row r="193" spans="1:19" ht="17.45" hidden="1" customHeight="1">
      <c r="A193" s="1329"/>
      <c r="D193" s="945" t="s">
        <v>1256</v>
      </c>
      <c r="E193" s="276"/>
      <c r="F193" s="276"/>
      <c r="G193" s="276"/>
      <c r="H193" s="977">
        <f>MAX(0,ROUND((N(TDC_total)-N(NHTF_Request_Amount))/2,0))</f>
        <v>0</v>
      </c>
      <c r="I193" s="3237"/>
      <c r="J193" s="905"/>
      <c r="K193" s="1415"/>
      <c r="N193" s="1692" t="s">
        <v>2293</v>
      </c>
      <c r="P193" s="3"/>
    </row>
    <row r="194" spans="1:19" ht="21" hidden="1" customHeight="1">
      <c r="A194" s="1329"/>
      <c r="D194" s="784" t="str">
        <f>"**( "&amp;TEXT(N(TDC_total),"$#,##0")&amp;" TDC, less "&amp;TEXT(N(NHTF_Request_Amount),"$#,##0")&amp;" Eligible NHTF Request Amount ) / 2 = "&amp;TEXT(H193,"$#,##0")</f>
        <v>**( $0 TDC, less $0 Eligible NHTF Request Amount ) / 2 = $0</v>
      </c>
      <c r="E194" s="255"/>
      <c r="F194" s="276"/>
      <c r="G194" s="276"/>
      <c r="H194" s="276"/>
      <c r="I194" s="3237"/>
      <c r="J194" s="905"/>
      <c r="K194" s="1415"/>
      <c r="N194" s="1692"/>
      <c r="P194" s="3"/>
    </row>
    <row r="195" spans="1:19" ht="17.45" hidden="1" customHeight="1">
      <c r="A195" s="1329"/>
      <c r="D195" s="945" t="s">
        <v>1257</v>
      </c>
      <c r="E195" s="276"/>
      <c r="F195" s="276"/>
      <c r="G195" s="276"/>
      <c r="H195" s="979">
        <f>DS_ARP_Req_PU</f>
        <v>0</v>
      </c>
      <c r="I195" s="3237"/>
      <c r="J195" s="905"/>
      <c r="K195" s="1415"/>
      <c r="N195" s="618"/>
      <c r="O195" s="470"/>
      <c r="P195" s="619"/>
      <c r="Q195" s="470"/>
      <c r="R195" s="470"/>
      <c r="S195" s="470"/>
    </row>
    <row r="196" spans="1:19" ht="17.45" hidden="1" customHeight="1">
      <c r="A196" s="1329"/>
      <c r="D196" s="945" t="s">
        <v>1258</v>
      </c>
      <c r="E196" s="276"/>
      <c r="F196" s="276"/>
      <c r="G196" s="276"/>
      <c r="H196" s="538">
        <f>Total_Units</f>
        <v>0</v>
      </c>
      <c r="I196" s="3237"/>
      <c r="J196" s="905"/>
      <c r="K196" s="1415"/>
      <c r="P196" s="3"/>
    </row>
    <row r="197" spans="1:19" ht="17.45" hidden="1" customHeight="1">
      <c r="A197" s="1329"/>
      <c r="D197" s="945" t="s">
        <v>1259</v>
      </c>
      <c r="E197" s="276"/>
      <c r="F197" s="276"/>
      <c r="G197" s="276"/>
      <c r="H197" s="977">
        <f>H195*H196</f>
        <v>0</v>
      </c>
      <c r="I197" s="3237"/>
      <c r="J197" s="905"/>
      <c r="K197" s="1415"/>
      <c r="P197" s="3"/>
    </row>
    <row r="198" spans="1:19" ht="10.35" hidden="1" customHeight="1">
      <c r="A198" s="1329"/>
      <c r="D198" s="905"/>
      <c r="E198" s="6"/>
      <c r="F198" s="6"/>
      <c r="G198" s="6"/>
      <c r="J198" s="905"/>
      <c r="K198" s="1415"/>
      <c r="P198" s="3"/>
    </row>
    <row r="199" spans="1:19" ht="30" hidden="1" customHeight="1">
      <c r="A199" s="1329"/>
      <c r="D199" s="905"/>
      <c r="E199" s="2960" t="s">
        <v>1909</v>
      </c>
      <c r="F199" s="2960"/>
      <c r="G199" s="2960"/>
      <c r="H199" s="2960"/>
      <c r="I199" s="977">
        <f>IF(N192=0,0,MIN(H192,H193,H197))</f>
        <v>0</v>
      </c>
      <c r="J199" s="905"/>
      <c r="K199" s="1415"/>
      <c r="P199" s="3"/>
    </row>
    <row r="200" spans="1:19" ht="10.35" hidden="1" customHeight="1">
      <c r="A200" s="1329"/>
      <c r="J200" s="905"/>
      <c r="K200" s="1415"/>
      <c r="P200" s="3"/>
    </row>
    <row r="201" spans="1:19" ht="17.45" hidden="1" customHeight="1">
      <c r="A201" s="1329"/>
      <c r="C201" s="88" t="s">
        <v>957</v>
      </c>
      <c r="D201" s="3264" t="s">
        <v>1261</v>
      </c>
      <c r="E201" s="3264"/>
      <c r="F201" s="3264"/>
      <c r="G201" s="3264"/>
      <c r="H201" s="3264"/>
      <c r="I201" s="976"/>
      <c r="J201" s="905"/>
      <c r="K201" s="1415"/>
      <c r="L201" s="1288">
        <f>N192</f>
        <v>0</v>
      </c>
      <c r="M201" s="931">
        <f>IF(AND(L201&lt;&gt;0,I201&lt;&gt;""),L201,0)</f>
        <v>0</v>
      </c>
      <c r="N201" s="1664" t="str">
        <f>CHOOSE(L201+1,"Not to be included in this RFA","A REQUIRED input field for this RFA","An OPTIONAL input field for this RFA","Input is not tracked")</f>
        <v>Not to be included in this RFA</v>
      </c>
      <c r="P201" s="3"/>
    </row>
    <row r="202" spans="1:19" ht="5.0999999999999996" hidden="1" customHeight="1">
      <c r="A202" s="1329"/>
      <c r="J202" s="905"/>
      <c r="K202" s="1415"/>
      <c r="P202" s="3"/>
    </row>
    <row r="203" spans="1:19" ht="17.45" hidden="1" customHeight="1">
      <c r="A203" s="1329"/>
      <c r="E203" s="271" t="s">
        <v>1262</v>
      </c>
      <c r="F203" s="271"/>
      <c r="G203" s="271"/>
      <c r="H203" s="271"/>
      <c r="I203" s="862">
        <f>MIN(N(Max_ARP),N(ARP_Request_Amount))</f>
        <v>0</v>
      </c>
      <c r="J203" s="1723"/>
      <c r="K203" s="1415"/>
      <c r="P203" s="3"/>
    </row>
    <row r="204" spans="1:19" ht="14.45" hidden="1" customHeight="1">
      <c r="A204" s="1329"/>
      <c r="J204" s="905"/>
      <c r="K204" s="1415"/>
      <c r="P204" s="3"/>
    </row>
    <row r="205" spans="1:19" ht="14.45" hidden="1" customHeight="1">
      <c r="B205" s="316" t="str">
        <f>IF($N$205=0,"...",MAX(B$4:B204)+1)</f>
        <v>...</v>
      </c>
      <c r="C205" s="1718" t="s">
        <v>1263</v>
      </c>
      <c r="J205" s="905"/>
      <c r="K205" s="905"/>
      <c r="N205" s="820">
        <v>0</v>
      </c>
      <c r="P205" s="3"/>
    </row>
    <row r="206" spans="1:19" ht="10.35" hidden="1" customHeight="1">
      <c r="J206" s="905"/>
      <c r="K206" s="905"/>
      <c r="P206" s="3"/>
    </row>
    <row r="207" spans="1:19" ht="17.45" hidden="1" customHeight="1">
      <c r="D207" s="3274" t="s">
        <v>1264</v>
      </c>
      <c r="E207" s="3274"/>
      <c r="F207" s="3274"/>
      <c r="G207" s="3274"/>
      <c r="H207" s="975">
        <f>IF(N205=0,0,DS_Grant_PD)</f>
        <v>0</v>
      </c>
      <c r="I207" s="561" t="s">
        <v>1260</v>
      </c>
      <c r="J207" s="905"/>
      <c r="K207" s="905"/>
      <c r="P207" s="3"/>
    </row>
    <row r="208" spans="1:19" ht="10.35" hidden="1" customHeight="1">
      <c r="C208" s="88"/>
      <c r="D208" s="941"/>
      <c r="E208" s="941"/>
      <c r="F208" s="941"/>
      <c r="G208" s="941"/>
      <c r="H208" s="941"/>
      <c r="J208" s="905"/>
      <c r="K208" s="905"/>
      <c r="P208" s="3"/>
    </row>
    <row r="209" spans="2:16" ht="17.45" hidden="1" customHeight="1">
      <c r="C209" s="88" t="s">
        <v>957</v>
      </c>
      <c r="D209" s="3264" t="s">
        <v>1265</v>
      </c>
      <c r="E209" s="3264"/>
      <c r="F209" s="3264"/>
      <c r="G209" s="3264"/>
      <c r="H209" s="3264"/>
      <c r="I209" s="976"/>
      <c r="J209" s="905"/>
      <c r="K209" s="905"/>
      <c r="L209" s="1288">
        <f>N205</f>
        <v>0</v>
      </c>
      <c r="M209" s="931">
        <f>IF(AND(L209&lt;&gt;0,I209&lt;&gt;""),L209,0)</f>
        <v>0</v>
      </c>
      <c r="N209" s="905" t="str">
        <f>CHOOSE(L209+1,"Not to be included in this RFA","A REQUIRED input field for this RFA","An OPTIONAL input field for this RFA")</f>
        <v>Not to be included in this RFA</v>
      </c>
      <c r="P209" s="3"/>
    </row>
    <row r="210" spans="2:16" ht="5.0999999999999996" hidden="1" customHeight="1">
      <c r="D210" s="6"/>
      <c r="J210" s="905"/>
      <c r="K210" s="905"/>
      <c r="P210" s="3"/>
    </row>
    <row r="211" spans="2:16" ht="17.45" hidden="1" customHeight="1">
      <c r="D211" s="6"/>
      <c r="E211" s="271" t="s">
        <v>1266</v>
      </c>
      <c r="F211" s="271"/>
      <c r="G211" s="271"/>
      <c r="H211" s="271"/>
      <c r="I211" s="862">
        <f>MIN(N(Max_Grant),N(Grant_Request_Amount))</f>
        <v>0</v>
      </c>
      <c r="J211" s="905"/>
      <c r="K211" s="905"/>
      <c r="P211" s="3"/>
    </row>
    <row r="212" spans="2:16" ht="14.45" hidden="1" customHeight="1">
      <c r="D212" s="6"/>
      <c r="J212" s="905"/>
      <c r="K212" s="905"/>
      <c r="P212" s="3"/>
    </row>
    <row r="213" spans="2:16" ht="17.45" hidden="1" customHeight="1">
      <c r="B213" s="316" t="str">
        <f>IF($N$214+$L$226+$L$228+$L$230=0,"...",MAX(B$4:B212)+1)</f>
        <v>...</v>
      </c>
      <c r="C213" s="1666" t="s">
        <v>2283</v>
      </c>
      <c r="D213" s="1666"/>
      <c r="J213" s="1664"/>
      <c r="K213" s="1664"/>
      <c r="P213" s="3"/>
    </row>
    <row r="214" spans="2:16" ht="17.45" hidden="1" customHeight="1">
      <c r="I214" s="3237" t="str" cm="1">
        <f t="array" aca="1" ref="I214" ca="1">IF(Data3!K143=Data3!M137,"(The Per Unit Request Limit is based on the primary Development Type identified in Section 4.A.4."&amp;'Proposed Development Info'!A122&amp;".'s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tab.)",IF(OR(Data3!K143=Data3!M135,Data3!K143=Data3!M136),"(The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4" s="1664"/>
      <c r="K214" s="905"/>
      <c r="N214" s="1677">
        <v>0</v>
      </c>
      <c r="P214" s="3"/>
    </row>
    <row r="215" spans="2:16" ht="17.45" hidden="1" customHeight="1">
      <c r="D215" s="945" t="s">
        <v>1268</v>
      </c>
      <c r="E215" s="276"/>
      <c r="F215" s="276"/>
      <c r="G215" s="276"/>
      <c r="H215" s="977">
        <f>DS_NHTF_PD</f>
        <v>2500000</v>
      </c>
      <c r="I215" s="3237"/>
      <c r="J215" s="1664"/>
      <c r="K215" s="905"/>
    </row>
    <row r="216" spans="2:16" ht="17.45" hidden="1" customHeight="1">
      <c r="D216" s="945" t="s">
        <v>1269</v>
      </c>
      <c r="E216" s="276"/>
      <c r="F216" s="276"/>
      <c r="G216" s="276"/>
      <c r="H216" s="977">
        <f>DS_NHTF_Req_PU</f>
        <v>0</v>
      </c>
      <c r="I216" s="3237"/>
      <c r="J216" s="1664"/>
      <c r="K216" s="905"/>
    </row>
    <row r="217" spans="2:16" ht="17.45" hidden="1" customHeight="1">
      <c r="D217" s="945" t="s">
        <v>1752</v>
      </c>
      <c r="E217" s="276"/>
      <c r="F217" s="276"/>
      <c r="G217" s="276"/>
      <c r="H217" s="538">
        <f>NHTF_Total_Units_Funded</f>
        <v>7</v>
      </c>
      <c r="I217" s="3237"/>
      <c r="J217" s="1664"/>
    </row>
    <row r="218" spans="2:16" ht="17.45" hidden="1" customHeight="1">
      <c r="D218" s="945" t="s">
        <v>1270</v>
      </c>
      <c r="E218" s="276"/>
      <c r="F218" s="276"/>
      <c r="G218" s="276"/>
      <c r="H218" s="977">
        <f>H216*H217</f>
        <v>0</v>
      </c>
      <c r="I218" s="3237"/>
      <c r="J218" s="1664"/>
      <c r="K218" s="905"/>
    </row>
    <row r="219" spans="2:16" ht="17.45" hidden="1" customHeight="1">
      <c r="D219" s="905"/>
      <c r="E219" s="6"/>
      <c r="F219" s="6"/>
      <c r="G219" s="6"/>
      <c r="H219" s="311"/>
      <c r="I219" s="3237"/>
      <c r="J219" s="1664"/>
      <c r="K219" s="905"/>
      <c r="P219" s="3"/>
    </row>
    <row r="220" spans="2:16" ht="30" hidden="1" customHeight="1">
      <c r="D220" s="2960" t="s">
        <v>1909</v>
      </c>
      <c r="E220" s="2960"/>
      <c r="F220" s="2960"/>
      <c r="G220" s="2960"/>
      <c r="H220" s="2960"/>
      <c r="I220" s="977">
        <f>MIN(H215,H216*H217)</f>
        <v>0</v>
      </c>
      <c r="J220" s="1664"/>
      <c r="K220" s="905"/>
      <c r="P220" s="3"/>
    </row>
    <row r="221" spans="2:16" ht="10.35" hidden="1" customHeight="1">
      <c r="J221" s="1664"/>
      <c r="K221" s="905"/>
      <c r="P221" s="3"/>
    </row>
    <row r="222" spans="2:16" ht="17.45" hidden="1" customHeight="1">
      <c r="C222" s="88" t="s">
        <v>957</v>
      </c>
      <c r="D222" s="3264" t="s">
        <v>1271</v>
      </c>
      <c r="E222" s="3264"/>
      <c r="F222" s="3264"/>
      <c r="G222" s="3264"/>
      <c r="H222" s="3264"/>
      <c r="I222" s="981" t="str">
        <f>IF(OR(L222=0,Max_NHTF=0),"",Max_NHTF)</f>
        <v/>
      </c>
      <c r="J222" s="1664"/>
      <c r="K222" s="266"/>
      <c r="L222" s="943">
        <f>N214</f>
        <v>0</v>
      </c>
      <c r="M222" s="931">
        <f>IF(AND(L222&lt;&gt;0,I222&lt;&gt;""),L222,0)</f>
        <v>0</v>
      </c>
      <c r="N222" s="905" t="str">
        <f>CHOOSE(L222+1,"Not to be included in this RFA","A REQUIRED input field for this RFA","An OPTIONAL input field for this RFA")</f>
        <v>Not to be included in this RFA</v>
      </c>
      <c r="P222" s="3"/>
    </row>
    <row r="223" spans="2:16" ht="5.0999999999999996" hidden="1" customHeight="1">
      <c r="C223" s="88"/>
      <c r="J223" s="1664"/>
      <c r="K223" s="266"/>
      <c r="M223" s="931"/>
      <c r="N223" s="905"/>
      <c r="P223" s="3"/>
    </row>
    <row r="224" spans="2:16" ht="17.45" hidden="1" customHeight="1">
      <c r="C224" s="88"/>
      <c r="E224" s="271" t="s">
        <v>1272</v>
      </c>
      <c r="F224" s="271"/>
      <c r="G224" s="271"/>
      <c r="H224" s="271"/>
      <c r="I224" s="862">
        <f>MIN(N(Max_NHTF),N(NHTF_Request_Amount))</f>
        <v>0</v>
      </c>
      <c r="J224" s="1723"/>
      <c r="K224" s="266"/>
      <c r="M224" s="931"/>
      <c r="N224" s="905"/>
      <c r="P224" s="3"/>
    </row>
    <row r="225" spans="1:16" ht="10.35" hidden="1" customHeight="1">
      <c r="C225" s="88"/>
      <c r="J225" s="1664"/>
      <c r="K225" s="266"/>
      <c r="M225" s="931"/>
      <c r="N225" s="905"/>
      <c r="P225" s="3"/>
    </row>
    <row r="226" spans="1:16" ht="17.45" hidden="1" customHeight="1">
      <c r="B226" s="91"/>
      <c r="D226" s="944" t="s">
        <v>2161</v>
      </c>
      <c r="E226" s="1082"/>
      <c r="F226" s="1082"/>
      <c r="G226" s="271"/>
      <c r="H226" s="271"/>
      <c r="I226" s="1465" t="s">
        <v>697</v>
      </c>
      <c r="J226" s="1664"/>
      <c r="K226" s="905"/>
      <c r="L226" s="1672">
        <f>IF(OR(N214&gt;1,L228&gt;1,L230&gt;1),IF(O226=0,0,'General Information'!K$67),0)</f>
        <v>0</v>
      </c>
      <c r="M226" s="931">
        <f>IF(AND(L226&lt;&gt;0,AND(I226&lt;&gt;"&lt;select from menu&gt;",I226&lt;&gt;"")),L226,0)</f>
        <v>0</v>
      </c>
      <c r="N226" s="1664" t="str">
        <f>CHOOSE(L226+1,"Not to be included in this RFA","A REQUIRED input field for this RFA","An OPTIONAL input field for this RFA","Input is not tracked")</f>
        <v>Not to be included in this RFA</v>
      </c>
      <c r="O226" s="2529">
        <v>0</v>
      </c>
    </row>
    <row r="227" spans="1:16" ht="10.35" hidden="1" customHeight="1">
      <c r="B227" s="91"/>
      <c r="D227" s="1694"/>
      <c r="E227" s="1695"/>
      <c r="F227" s="1695"/>
      <c r="G227" s="1314"/>
      <c r="H227" s="1314"/>
      <c r="I227" s="1314"/>
      <c r="J227" s="1670"/>
      <c r="K227" s="1670"/>
      <c r="L227" s="1670"/>
      <c r="M227" s="1671"/>
      <c r="N227" s="1670"/>
    </row>
    <row r="228" spans="1:16" ht="17.45" hidden="1" customHeight="1">
      <c r="B228" s="1676"/>
      <c r="D228" s="944"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$0 PU)</v>
      </c>
      <c r="E228" s="1082"/>
      <c r="F228" s="1082"/>
      <c r="G228" s="271"/>
      <c r="H228" s="271"/>
      <c r="I228" s="1711">
        <f>IF(L228&lt;&gt;0,IF(AND(County_Size="Large",DS_NHTF_Min_Units_Req_Large_Active="Yes"),DS_NHTF_Min_Units_Req_Large,IF(AND(County_Size="Medium",DS_NHTF_Min_Units_Req_Medium_Active="Yes"),DS_NHTF_Min_Units_Req_Medium,0))*DS_NHTF_Req_PU,0)</f>
        <v>0</v>
      </c>
      <c r="J228" s="1664"/>
      <c r="K228" s="905"/>
      <c r="L228" s="953">
        <v>0</v>
      </c>
      <c r="M228" s="931">
        <f>IF(AND(L228&lt;&gt;0,AND(I228&gt;0,I228&lt;&gt;"")),L228,0)</f>
        <v>0</v>
      </c>
      <c r="N228" s="905" t="str">
        <f>CHOOSE(L228+1,"Not to be included in this RFA","A REQUIRED input field for this RFA","An OPTIONAL input field for this RFA","Input is not tracked")</f>
        <v>Not to be included in this RFA</v>
      </c>
    </row>
    <row r="229" spans="1:16" ht="10.35" hidden="1" customHeight="1">
      <c r="B229" s="1676"/>
      <c r="D229" s="1694"/>
      <c r="E229" s="1695"/>
      <c r="F229" s="1695"/>
      <c r="G229" s="1314"/>
      <c r="H229" s="1314"/>
      <c r="I229" s="1712"/>
      <c r="J229" s="1670"/>
      <c r="K229" s="1670"/>
      <c r="L229" s="1670"/>
      <c r="M229" s="1671"/>
      <c r="N229" s="1670"/>
    </row>
    <row r="230" spans="1:16" ht="17.45" hidden="1" customHeight="1">
      <c r="B230" s="91"/>
      <c r="D230" s="944" t="str">
        <f>"How many optional "&amp;TEXT(DS_NHTF_AMI_Units_Opt,"0%")&amp;" NHTF Units is the Applicant requesting?"</f>
        <v>How many optional 30% NHTF Units is the Applicant requesting?</v>
      </c>
      <c r="E230" s="1082"/>
      <c r="F230" s="1082"/>
      <c r="G230" s="271"/>
      <c r="H230" s="271"/>
      <c r="I230" s="1693"/>
      <c r="J230" s="1664"/>
      <c r="K230" s="905"/>
      <c r="L230" s="953">
        <v>0</v>
      </c>
      <c r="M230" s="931">
        <f>IF(AND(L230&lt;&gt;0,AND(I230&lt;&gt;"&lt;select from menu&gt;",I230&lt;&gt;"")),L230,0)</f>
        <v>0</v>
      </c>
      <c r="N230" s="1664" t="str">
        <f>CHOOSE(L230+1,"Not to be included in this RFA","A REQUIRED input field for this RFA","An OPTIONAL input field for this RFA","Input is not tracked")</f>
        <v>Not to be included in this RFA</v>
      </c>
    </row>
    <row r="231" spans="1:16" ht="30" hidden="1" customHeight="1">
      <c r="B231" s="91"/>
      <c r="C231" s="954"/>
      <c r="D231" s="3114" t="str">
        <f>IF(OR($I$183="",AND(County_Size&lt;&gt;"Medium",County_Size&lt;&gt;"Large")),"",IF(AND(N($I$183)&gt;0,County_Size&lt;&gt;"Medium",County_Size&lt;&gt;"Large"),"Select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31" s="3114"/>
      <c r="F231" s="3114"/>
      <c r="G231" s="3114"/>
      <c r="H231" s="3114"/>
      <c r="I231" s="3114"/>
      <c r="J231" s="1664"/>
      <c r="K231" s="266"/>
      <c r="M231" s="1665"/>
      <c r="N231" s="3263" t="str">
        <f>"Only one '1' should be entered in N"&amp;ROW(N214)&amp;" or within L"&amp;ROW(L226)&amp;":L"&amp;ROW(L230)&amp;"."</f>
        <v>Only one '1' should be entered in N214 or within L226:L230.</v>
      </c>
      <c r="P231" s="3"/>
    </row>
    <row r="232" spans="1:16" ht="10.35" hidden="1" customHeight="1">
      <c r="A232" s="24"/>
      <c r="B232" s="24"/>
      <c r="C232" s="24"/>
      <c r="D232" s="24"/>
      <c r="E232" s="471"/>
      <c r="F232" s="471"/>
      <c r="G232" s="471"/>
      <c r="H232" s="24"/>
      <c r="I232" s="24"/>
      <c r="J232" s="1664"/>
      <c r="K232" s="266"/>
      <c r="M232" s="1665"/>
      <c r="N232" s="3263"/>
      <c r="P232" s="3"/>
    </row>
    <row r="233" spans="1:16" ht="30" hidden="1" customHeight="1">
      <c r="B233" s="24"/>
      <c r="D233" s="3277" t="str">
        <f>"Based on the "&amp;TEXT(MIN(N(I230),DS_NHTF_Max_Units_Opt_Allowed),"0")&amp;" optional "&amp;TEXT(DS_NHTF_AMI_Units_Opt,"0%")&amp;" NHTF Units "&amp;IF(N(I230)&gt;DS_NHTF_Max_Units_Opt_Allowed,"limited","indicated")&amp;" above to be funded at "&amp;TEXT(DS_NHTF_Opt_PU,"$#,##0")&amp;" PU, the total funding for the Additional units is:"</f>
        <v>Based on the 0 optional 30% NHTF Units indicated above to be funded at $0 PU, the total funding for the Additional units is:</v>
      </c>
      <c r="E233" s="3277"/>
      <c r="F233" s="3277"/>
      <c r="G233" s="3277"/>
      <c r="H233" s="3277"/>
      <c r="I233" s="1710">
        <f>IF(L230&lt;&gt;0,MIN(N(I230),DS_NHTF_Max_Units_Opt_Allowed)*DS_NHTF_Opt_PU,0)</f>
        <v>0</v>
      </c>
      <c r="J233" s="1664"/>
      <c r="K233" s="266"/>
      <c r="M233" s="1665"/>
      <c r="N233" s="3263"/>
      <c r="P233" s="3"/>
    </row>
    <row r="234" spans="1:16" ht="10.35" hidden="1" customHeight="1">
      <c r="C234" s="88"/>
      <c r="J234" s="1664"/>
      <c r="K234" s="266"/>
      <c r="M234" s="1665"/>
      <c r="N234" s="1664"/>
      <c r="P234" s="3"/>
    </row>
    <row r="235" spans="1:16" ht="17.45" hidden="1" customHeight="1">
      <c r="D235" s="462" t="str">
        <f>"The total of all NHTF Funding for the combined total of "&amp;TEXT(IF(AND(County_Size="Large",DS_NHTF_Min_Units_Req_Large_Active="Yes"),DS_NHTF_Min_Units_Req_Large,IF(AND(County_Size="Medium",DS_NHTF_Min_Units_Req_Medium_Active="Yes"),DS_NHTF_Min_Units_Req_Medium,0))+MIN(N(I230),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5" s="769"/>
      <c r="F235" s="769"/>
      <c r="G235" s="769"/>
      <c r="H235" s="462"/>
      <c r="I235" s="1710">
        <f>N(I228)+N(I233)</f>
        <v>0</v>
      </c>
      <c r="J235" s="1723"/>
      <c r="K235" s="266"/>
      <c r="M235" s="1665"/>
      <c r="N235" s="1664"/>
      <c r="P235" s="3"/>
    </row>
    <row r="236" spans="1:16" ht="10.35" hidden="1" customHeight="1">
      <c r="C236" s="88"/>
      <c r="J236" s="1664"/>
      <c r="K236" s="266"/>
      <c r="M236" s="1665"/>
      <c r="N236" s="1664"/>
      <c r="P236" s="3"/>
    </row>
    <row r="237" spans="1:16" ht="35.1" hidden="1" customHeight="1">
      <c r="C237" s="3035" t="s">
        <v>1267</v>
      </c>
      <c r="D237" s="3035"/>
      <c r="E237" s="3035"/>
      <c r="F237" s="3035"/>
      <c r="G237" s="3035"/>
      <c r="H237" s="3035"/>
      <c r="I237" s="3035"/>
      <c r="J237" s="1664"/>
      <c r="K237" s="266"/>
      <c r="M237" s="1665"/>
      <c r="N237" s="1664"/>
      <c r="P237" s="3"/>
    </row>
    <row r="238" spans="1:16" ht="10.35" hidden="1" customHeight="1">
      <c r="C238" s="88"/>
      <c r="J238" s="1664"/>
      <c r="K238" s="266"/>
      <c r="M238" s="1665"/>
      <c r="N238" s="1664"/>
      <c r="P238" s="3"/>
    </row>
    <row r="239" spans="1:16" ht="14.45" hidden="1" customHeight="1">
      <c r="B239" s="316" t="str">
        <f>IF($N239=0,"...",MAX(B$4:B238)+1)</f>
        <v>...</v>
      </c>
      <c r="C239" s="1718" t="s">
        <v>1916</v>
      </c>
      <c r="J239" s="266"/>
      <c r="K239" s="266"/>
      <c r="M239" s="931"/>
      <c r="N239" s="820">
        <v>0</v>
      </c>
      <c r="P239" s="3"/>
    </row>
    <row r="240" spans="1:16" ht="10.35" hidden="1" customHeight="1">
      <c r="C240" s="88"/>
      <c r="J240" s="266"/>
      <c r="K240" s="266"/>
      <c r="M240" s="931"/>
      <c r="N240" s="905"/>
      <c r="P240" s="3"/>
    </row>
    <row r="241" spans="3:16" ht="14.45" hidden="1" customHeight="1">
      <c r="C241" s="21" t="s">
        <v>957</v>
      </c>
      <c r="D241" t="s">
        <v>1917</v>
      </c>
      <c r="J241" s="266"/>
      <c r="K241" s="266"/>
      <c r="M241" s="931"/>
      <c r="N241" s="905"/>
      <c r="P241" s="3"/>
    </row>
    <row r="242" spans="3:16" ht="14.45" hidden="1" customHeight="1">
      <c r="C242" s="88"/>
      <c r="E242" s="271" t="s">
        <v>1918</v>
      </c>
      <c r="F242" s="271"/>
      <c r="G242" s="271"/>
      <c r="H242" s="1240">
        <f>IF(N239=0,0,Data3!C165)</f>
        <v>0</v>
      </c>
      <c r="J242" s="266"/>
      <c r="K242" s="266"/>
      <c r="M242" s="931"/>
      <c r="N242" s="905"/>
      <c r="P242" s="3"/>
    </row>
    <row r="243" spans="3:16" ht="10.35" hidden="1" customHeight="1">
      <c r="C243" s="88"/>
      <c r="J243" s="266"/>
      <c r="K243" s="266"/>
      <c r="M243" s="931"/>
      <c r="N243" s="905"/>
      <c r="P243" s="3"/>
    </row>
    <row r="244" spans="3:16" ht="14.45" hidden="1" customHeight="1">
      <c r="C244" s="88"/>
      <c r="D244" s="3264" t="s">
        <v>1919</v>
      </c>
      <c r="E244" s="3264"/>
      <c r="F244" s="3264"/>
      <c r="G244" s="3264"/>
      <c r="H244" s="3264"/>
      <c r="I244" s="1264"/>
      <c r="J244" s="266"/>
      <c r="K244" s="266"/>
      <c r="L244" s="943">
        <f>IF(N239=0,0,O244)</f>
        <v>0</v>
      </c>
      <c r="M244" s="931">
        <f>IF(AND(L244&lt;&gt;0,I244&lt;&gt;""),L244,0)</f>
        <v>0</v>
      </c>
      <c r="N244" s="905" t="str">
        <f>CHOOSE(L244+1,"Not to be included in this RFA","A REQUIRED input field for this RFA","An OPTIONAL input field for this RFA")</f>
        <v>Not to be included in this RFA</v>
      </c>
      <c r="O244" s="354">
        <v>1</v>
      </c>
      <c r="P244" s="3"/>
    </row>
    <row r="245" spans="3:16" ht="5.0999999999999996" hidden="1" customHeight="1">
      <c r="C245" s="88"/>
      <c r="D245" s="941"/>
      <c r="E245" s="941"/>
      <c r="F245" s="941"/>
      <c r="G245" s="941"/>
      <c r="H245" s="941"/>
      <c r="J245" s="266"/>
      <c r="K245" s="266"/>
      <c r="M245" s="931"/>
      <c r="N245" s="905"/>
      <c r="P245" s="3"/>
    </row>
    <row r="246" spans="3:16" ht="14.45" hidden="1" customHeight="1">
      <c r="C246" s="88"/>
      <c r="D246" s="941"/>
      <c r="E246" s="271" t="s">
        <v>1920</v>
      </c>
      <c r="F246" s="271"/>
      <c r="G246" s="271"/>
      <c r="H246" s="271"/>
      <c r="I246" s="1240">
        <f>MIN(N(H242),N(I244))</f>
        <v>0</v>
      </c>
      <c r="J246" s="266"/>
      <c r="K246" s="266"/>
      <c r="M246" s="931"/>
      <c r="N246" s="905"/>
      <c r="P246" s="3"/>
    </row>
    <row r="247" spans="3:16" ht="14.45" hidden="1" customHeight="1">
      <c r="C247" s="88"/>
      <c r="J247" s="266"/>
      <c r="K247" s="266"/>
      <c r="M247" s="931"/>
      <c r="N247" s="905"/>
      <c r="P247" s="3"/>
    </row>
    <row r="248" spans="3:16" ht="14.45" hidden="1" customHeight="1">
      <c r="C248" s="21" t="str">
        <f>IF(AND($L244=0,$N248=1),"(a)",IF(AND($L244=1,$N248=1),"(b)","(-)"))</f>
        <v>(a)</v>
      </c>
      <c r="D248" t="s">
        <v>1921</v>
      </c>
      <c r="J248" s="266"/>
      <c r="K248" s="266"/>
      <c r="M248" s="931"/>
      <c r="N248" s="820">
        <v>1</v>
      </c>
      <c r="P248" s="3"/>
    </row>
    <row r="249" spans="3:16" ht="14.45" hidden="1" customHeight="1">
      <c r="C249" s="88"/>
      <c r="E249" s="271" t="s">
        <v>1922</v>
      </c>
      <c r="F249" s="271"/>
      <c r="G249" s="271"/>
      <c r="H249" s="1240">
        <f>Data3!C166</f>
        <v>8000000</v>
      </c>
      <c r="J249" s="266"/>
      <c r="K249" s="266"/>
      <c r="M249" s="931"/>
      <c r="N249" s="905"/>
      <c r="P249" s="3"/>
    </row>
    <row r="250" spans="3:16" ht="10.35" hidden="1" customHeight="1">
      <c r="C250" s="88"/>
      <c r="J250" s="266"/>
      <c r="K250" s="266"/>
      <c r="M250" s="931"/>
      <c r="N250" s="905"/>
      <c r="P250" s="3"/>
    </row>
    <row r="251" spans="3:16" ht="45" hidden="1" customHeight="1">
      <c r="C251" s="88"/>
      <c r="E251" s="53" t="s">
        <v>1233</v>
      </c>
      <c r="F251" s="53" t="s">
        <v>1923</v>
      </c>
      <c r="G251" s="53" t="s">
        <v>1924</v>
      </c>
      <c r="H251" s="53" t="s">
        <v>1925</v>
      </c>
      <c r="J251" s="266"/>
      <c r="K251" s="266"/>
      <c r="N251" s="872"/>
      <c r="P251" s="3"/>
    </row>
    <row r="252" spans="3:16" ht="17.45" hidden="1" customHeight="1">
      <c r="C252" s="88"/>
      <c r="E252" s="99">
        <v>0</v>
      </c>
      <c r="F252" s="1235"/>
      <c r="G252" s="100">
        <f>IF(County="Monroe",DS_CDBG_DR_PU_0Bd_Keys,DS_CDBG_DR_PU_0Bd_NonKeys)</f>
        <v>155709</v>
      </c>
      <c r="H252" s="103">
        <f>N(F252)*N(G252)</f>
        <v>0</v>
      </c>
      <c r="J252" s="266"/>
      <c r="K252" s="266"/>
      <c r="L252" s="943">
        <f>IF(OR(N$239=0,N$248=0),0,O252)</f>
        <v>0</v>
      </c>
      <c r="M252" s="931">
        <f>IF(AND(L252&lt;&gt;0,F252&lt;&gt;""),L252,0)</f>
        <v>0</v>
      </c>
      <c r="N252" s="905" t="str">
        <f>CHOOSE(L252+1,"Not to be included in this RFA","A REQUIRED input field for this RFA","An OPTIONAL input field for this RFA")</f>
        <v>Not to be included in this RFA</v>
      </c>
      <c r="O252" s="354">
        <v>1</v>
      </c>
      <c r="P252" s="3"/>
    </row>
    <row r="253" spans="3:16" ht="17.45" hidden="1" customHeight="1">
      <c r="C253" s="88"/>
      <c r="E253" s="101">
        <v>1</v>
      </c>
      <c r="F253" s="1236"/>
      <c r="G253" s="102">
        <f>IF(County="Monroe",DS_CDBG_DR_PU_1Bd_Keys,DS_CDBG_DR_PU_1Bd_NonKeys)</f>
        <v>178497</v>
      </c>
      <c r="H253" s="104">
        <f>N(F253)*N(G253)</f>
        <v>0</v>
      </c>
      <c r="J253" s="266"/>
      <c r="K253" s="266"/>
      <c r="L253" s="1288">
        <f t="shared" ref="L253:L256" si="12">IF(OR(N$239=0,N$248=0),0,O253)</f>
        <v>0</v>
      </c>
      <c r="M253" s="931">
        <f>IF(AND(L253&lt;&gt;0,F253&lt;&gt;""),L253,0)</f>
        <v>0</v>
      </c>
      <c r="N253" s="905" t="str">
        <f>CHOOSE(L253+1,"Not to be included in this RFA","A REQUIRED input field for this RFA","An OPTIONAL input field for this RFA")</f>
        <v>Not to be included in this RFA</v>
      </c>
      <c r="O253" s="354">
        <v>1</v>
      </c>
      <c r="P253" s="3"/>
    </row>
    <row r="254" spans="3:16" ht="17.45" hidden="1" customHeight="1">
      <c r="C254" s="88"/>
      <c r="E254" s="101">
        <v>2</v>
      </c>
      <c r="F254" s="1236"/>
      <c r="G254" s="102">
        <f>IF(County="Monroe",DS_CDBG_DR_PU_2Bd_Keys,DS_CDBG_DR_PU_2Bd_NonKeys)</f>
        <v>217058</v>
      </c>
      <c r="H254" s="104">
        <f>N(F254)*N(G254)</f>
        <v>0</v>
      </c>
      <c r="J254" s="266"/>
      <c r="K254" s="266"/>
      <c r="L254" s="1288">
        <f t="shared" si="12"/>
        <v>0</v>
      </c>
      <c r="M254" s="931">
        <f>IF(AND(L254&lt;&gt;0,F254&lt;&gt;""),L254,0)</f>
        <v>0</v>
      </c>
      <c r="N254" s="905" t="str">
        <f>CHOOSE(L254+1,"Not to be included in this RFA","A REQUIRED input field for this RFA","An OPTIONAL input field for this RFA")</f>
        <v>Not to be included in this RFA</v>
      </c>
      <c r="O254" s="354">
        <v>1</v>
      </c>
      <c r="P254" s="3"/>
    </row>
    <row r="255" spans="3:16" ht="17.45" hidden="1" customHeight="1">
      <c r="C255" s="88"/>
      <c r="E255" s="101">
        <v>3</v>
      </c>
      <c r="F255" s="1236"/>
      <c r="G255" s="102">
        <f>IF(County="Monroe",DS_CDBG_DR_PU_3Bd_Keys,DS_CDBG_DR_PU_3Bd_NonKeys)</f>
        <v>280804</v>
      </c>
      <c r="H255" s="104">
        <f>N(F255)*N(G255)</f>
        <v>0</v>
      </c>
      <c r="J255" s="266"/>
      <c r="K255" s="266"/>
      <c r="L255" s="1288">
        <f t="shared" si="12"/>
        <v>0</v>
      </c>
      <c r="M255" s="931">
        <f>IF(AND(L255&lt;&gt;0,F255&lt;&gt;""),L255,0)</f>
        <v>0</v>
      </c>
      <c r="N255" s="905" t="str">
        <f>CHOOSE(L255+1,"Not to be included in this RFA","A REQUIRED input field for this RFA","An OPTIONAL input field for this RFA")</f>
        <v>Not to be included in this RFA</v>
      </c>
      <c r="O255" s="354">
        <v>1</v>
      </c>
      <c r="P255" s="3"/>
    </row>
    <row r="256" spans="3:16" ht="17.45" hidden="1" customHeight="1" thickBot="1">
      <c r="C256" s="88"/>
      <c r="E256" s="506">
        <v>4</v>
      </c>
      <c r="F256" s="1237"/>
      <c r="G256" s="507">
        <f>IF(County="Monroe",DS_CDBG_DR_PU_4Bd_Keys,DS_CDBG_DR_PU_4Bd_NonKeys)</f>
        <v>308233</v>
      </c>
      <c r="H256" s="508">
        <f>N(F256)*N(G256)</f>
        <v>0</v>
      </c>
      <c r="J256" s="266"/>
      <c r="K256" s="266"/>
      <c r="L256" s="1288">
        <f t="shared" si="12"/>
        <v>0</v>
      </c>
      <c r="M256" s="931">
        <f>IF(AND(L256&lt;&gt;0,F256&lt;&gt;""),L256,0)</f>
        <v>0</v>
      </c>
      <c r="N256" s="905" t="str">
        <f>CHOOSE(L256+1,"Not to be included in this RFA","A REQUIRED input field for this RFA","An OPTIONAL input field for this RFA")</f>
        <v>Not to be included in this RFA</v>
      </c>
      <c r="O256" s="354">
        <v>1</v>
      </c>
      <c r="P256" s="3"/>
    </row>
    <row r="257" spans="2:16" ht="17.45" hidden="1" customHeight="1">
      <c r="C257" s="88"/>
      <c r="G257" s="925" t="str">
        <f>"Total "&amp;C245&amp;"-Assisted Units"</f>
        <v>Total -Assisted Units</v>
      </c>
      <c r="H257" s="615">
        <f>SUM(F252:F256)</f>
        <v>0</v>
      </c>
      <c r="J257" s="266"/>
      <c r="K257" s="266"/>
      <c r="M257" s="931"/>
      <c r="N257" s="905"/>
      <c r="P257" s="3"/>
    </row>
    <row r="258" spans="2:16" ht="17.45" hidden="1" customHeight="1">
      <c r="C258" s="88"/>
      <c r="G258" s="925" t="str">
        <f>"Total Maximum "&amp;C245&amp;" Subsidy Allowed"</f>
        <v>Total Maximum  Subsidy Allowed</v>
      </c>
      <c r="H258" s="105">
        <f>SUM(H252:H256)</f>
        <v>0</v>
      </c>
      <c r="J258" s="266"/>
      <c r="K258" s="266"/>
      <c r="M258" s="931"/>
      <c r="N258" s="905"/>
      <c r="P258" s="3"/>
    </row>
    <row r="259" spans="2:16" ht="5.0999999999999996" hidden="1" customHeight="1">
      <c r="C259" s="88"/>
      <c r="J259" s="266"/>
      <c r="K259" s="266"/>
      <c r="M259" s="931"/>
      <c r="N259" s="905"/>
      <c r="P259" s="3"/>
    </row>
    <row r="260" spans="2:16" ht="30" hidden="1" customHeight="1">
      <c r="C260" s="88"/>
      <c r="E260" s="2960" t="s">
        <v>1908</v>
      </c>
      <c r="F260" s="2960"/>
      <c r="G260" s="2960"/>
      <c r="H260" s="2960"/>
      <c r="I260" s="1233">
        <f>IF(N248=0,0,MIN(H249,H258))</f>
        <v>0</v>
      </c>
      <c r="J260" s="266"/>
      <c r="K260" s="266"/>
      <c r="M260" s="931"/>
      <c r="N260" s="905"/>
      <c r="P260" s="3"/>
    </row>
    <row r="261" spans="2:16" ht="10.35" hidden="1" customHeight="1">
      <c r="C261" s="88"/>
      <c r="J261" s="266"/>
      <c r="K261" s="266"/>
      <c r="M261" s="931"/>
      <c r="N261" s="905"/>
      <c r="P261" s="3"/>
    </row>
    <row r="262" spans="2:16" ht="17.45" hidden="1" customHeight="1">
      <c r="C262" s="88"/>
      <c r="D262" s="3264" t="s">
        <v>1928</v>
      </c>
      <c r="E262" s="3264"/>
      <c r="F262" s="3264"/>
      <c r="G262" s="3264"/>
      <c r="H262" s="3264"/>
      <c r="I262" s="1239"/>
      <c r="J262" s="266"/>
      <c r="K262" s="266"/>
      <c r="L262" s="1288">
        <f>IF(OR(N$239=0,N$248=0),0,O262)</f>
        <v>0</v>
      </c>
      <c r="M262" s="931">
        <f>IF(AND(L262&lt;&gt;0,I262&lt;&gt;""),L262,0)</f>
        <v>0</v>
      </c>
      <c r="N262" s="905" t="str">
        <f>CHOOSE(L262+1,"Not to be included in this RFA","A REQUIRED input field for this RFA","An OPTIONAL input field for this RFA")</f>
        <v>Not to be included in this RFA</v>
      </c>
      <c r="O262" s="354">
        <v>1</v>
      </c>
      <c r="P262" s="3"/>
    </row>
    <row r="263" spans="2:16" ht="5.0999999999999996" hidden="1" customHeight="1">
      <c r="C263" s="88"/>
      <c r="D263" s="941"/>
      <c r="E263" s="941"/>
      <c r="F263" s="941"/>
      <c r="G263" s="941"/>
      <c r="H263" s="941"/>
      <c r="J263" s="266"/>
      <c r="K263" s="266"/>
      <c r="M263" s="931"/>
      <c r="N263" s="905"/>
      <c r="P263" s="3"/>
    </row>
    <row r="264" spans="2:16" ht="17.45" hidden="1" customHeight="1">
      <c r="C264" s="88"/>
      <c r="D264" s="941"/>
      <c r="E264" s="271" t="s">
        <v>1929</v>
      </c>
      <c r="F264" s="271"/>
      <c r="G264" s="271"/>
      <c r="H264" s="271"/>
      <c r="I264" s="1240" cm="1">
        <f t="array" ref="I264">MIN(N(Max_CDBG_DR_Dev),N(CDBG_DR_Dev_Request_Amount))</f>
        <v>0</v>
      </c>
      <c r="J264" s="266"/>
      <c r="K264" s="266"/>
      <c r="L264" s="310"/>
      <c r="M264" s="931"/>
      <c r="N264" s="905"/>
      <c r="O264" s="268"/>
      <c r="P264" s="3"/>
    </row>
    <row r="265" spans="2:16" ht="14.45" hidden="1" customHeight="1">
      <c r="C265" s="88"/>
      <c r="J265" s="266"/>
      <c r="K265" s="266"/>
      <c r="M265" s="931"/>
      <c r="N265" s="905"/>
      <c r="P265" s="3"/>
    </row>
    <row r="266" spans="2:16" ht="14.45" hidden="1" customHeight="1">
      <c r="B266" s="316" t="str">
        <f>IF($N266=0,"...",MAX(B$4:B265)+1)</f>
        <v>...</v>
      </c>
      <c r="C266" s="1718" t="s">
        <v>1273</v>
      </c>
      <c r="F266" s="336" t="s">
        <v>1274</v>
      </c>
      <c r="J266" s="905"/>
      <c r="K266" s="905"/>
      <c r="N266" s="1544">
        <v>0</v>
      </c>
      <c r="P266" s="3"/>
    </row>
    <row r="267" spans="2:16" ht="10.35" hidden="1" customHeight="1">
      <c r="J267" s="905"/>
      <c r="K267" s="905"/>
      <c r="P267" s="3"/>
    </row>
    <row r="268" spans="2:16" ht="17.45" hidden="1" customHeight="1">
      <c r="D268" s="945" t="s">
        <v>1275</v>
      </c>
      <c r="E268" s="276"/>
      <c r="F268" s="276"/>
      <c r="G268" s="276"/>
      <c r="H268" s="977"/>
      <c r="J268" s="905"/>
      <c r="K268" s="905"/>
      <c r="P268" s="3"/>
    </row>
    <row r="269" spans="2:16" ht="17.45" hidden="1" customHeight="1">
      <c r="D269" s="905" t="s">
        <v>1276</v>
      </c>
      <c r="E269" s="6"/>
      <c r="F269" s="6"/>
      <c r="G269" s="6"/>
      <c r="H269" s="311"/>
      <c r="J269" s="905"/>
      <c r="K269" s="905"/>
      <c r="P269" s="3"/>
    </row>
    <row r="270" spans="2:16" ht="17.45" hidden="1" customHeight="1">
      <c r="D270" s="539" t="s">
        <v>1277</v>
      </c>
      <c r="E270" s="333"/>
      <c r="F270" s="333"/>
      <c r="G270" s="333"/>
      <c r="H270" s="540"/>
      <c r="J270" s="905"/>
      <c r="K270" s="905"/>
      <c r="P270" s="3"/>
    </row>
    <row r="271" spans="2:16" ht="17.45" hidden="1" customHeight="1">
      <c r="D271" s="67" t="s">
        <v>1278</v>
      </c>
      <c r="E271" s="277"/>
      <c r="F271" s="277"/>
      <c r="G271" s="277"/>
      <c r="H271" s="325"/>
      <c r="J271" s="905"/>
      <c r="K271" s="905"/>
      <c r="P271" s="3"/>
    </row>
    <row r="272" spans="2:16" ht="10.35" hidden="1" customHeight="1">
      <c r="D272" s="905"/>
      <c r="E272" s="6"/>
      <c r="F272" s="6"/>
      <c r="G272" s="6"/>
      <c r="H272" s="311"/>
      <c r="J272" s="905"/>
      <c r="K272" s="905"/>
      <c r="P272" s="3"/>
    </row>
    <row r="273" spans="2:17" ht="30" hidden="1" customHeight="1">
      <c r="D273" s="905"/>
      <c r="E273" s="2960" t="s">
        <v>1909</v>
      </c>
      <c r="F273" s="2960"/>
      <c r="G273" s="2960"/>
      <c r="H273" s="2960"/>
      <c r="I273" s="977">
        <f>MIN(H268,H271)</f>
        <v>0</v>
      </c>
      <c r="J273" s="905"/>
      <c r="K273" s="905"/>
      <c r="P273" s="3"/>
    </row>
    <row r="274" spans="2:17" ht="10.35" hidden="1" customHeight="1">
      <c r="J274" s="905"/>
      <c r="K274" s="905"/>
      <c r="P274" s="3"/>
    </row>
    <row r="275" spans="2:17" ht="17.45" hidden="1" customHeight="1">
      <c r="C275" s="88" t="s">
        <v>957</v>
      </c>
      <c r="D275" t="s">
        <v>1279</v>
      </c>
      <c r="I275" s="976"/>
      <c r="J275" s="266"/>
      <c r="K275" s="266"/>
      <c r="L275" s="943">
        <f>N266</f>
        <v>0</v>
      </c>
      <c r="M275" s="931">
        <f>IF(AND(L275&lt;&gt;0,I275&lt;&gt;""),L275,0)</f>
        <v>0</v>
      </c>
      <c r="N275" s="905" t="str">
        <f>CHOOSE(L275+1,"Not to be included in this RFA","A REQUIRED input field for this RFA","An OPTIONAL input field for this RFA")</f>
        <v>Not to be included in this RFA</v>
      </c>
      <c r="P275" s="3"/>
    </row>
    <row r="276" spans="2:17" ht="5.0999999999999996" hidden="1" customHeight="1">
      <c r="J276" s="905"/>
      <c r="K276" s="905"/>
      <c r="P276" s="3"/>
    </row>
    <row r="277" spans="2:17" ht="17.45" hidden="1" customHeight="1">
      <c r="E277" s="271" t="s">
        <v>1280</v>
      </c>
      <c r="F277" s="271"/>
      <c r="G277" s="271"/>
      <c r="H277" s="271"/>
      <c r="I277" s="862">
        <v>0</v>
      </c>
      <c r="J277" s="905"/>
      <c r="K277" s="905"/>
      <c r="P277" s="3"/>
    </row>
    <row r="278" spans="2:17" ht="14.45" hidden="1" customHeight="1">
      <c r="J278" s="905"/>
      <c r="K278" s="905"/>
      <c r="P278" s="3"/>
    </row>
    <row r="279" spans="2:17" ht="14.45" customHeight="1">
      <c r="B279" s="316">
        <f>IF(AND($L$298=0,$L$309=0),"...",MAX(B$4:B278)+1)</f>
        <v>3</v>
      </c>
      <c r="C279" s="2977" t="s">
        <v>1281</v>
      </c>
      <c r="D279" s="2977"/>
      <c r="E279" s="2977"/>
      <c r="F279" s="2977"/>
      <c r="G279" s="2977"/>
      <c r="H279" s="2977"/>
      <c r="I279" s="2977"/>
      <c r="J279" s="905"/>
      <c r="K279" s="905"/>
    </row>
    <row r="280" spans="2:17" ht="10.35" customHeight="1">
      <c r="J280" s="905"/>
      <c r="K280" s="905"/>
    </row>
    <row r="281" spans="2:17" ht="14.45" customHeight="1">
      <c r="B281" s="3"/>
      <c r="C281" t="s">
        <v>1282</v>
      </c>
      <c r="J281" s="905"/>
      <c r="K281" s="905"/>
      <c r="L281"/>
    </row>
    <row r="282" spans="2:17" ht="10.35" customHeight="1">
      <c r="B282" s="3"/>
      <c r="C282" s="92"/>
      <c r="D282" s="941"/>
      <c r="E282" s="941"/>
      <c r="F282" s="941"/>
      <c r="G282" s="941"/>
      <c r="H282" s="941"/>
      <c r="J282" s="905"/>
      <c r="K282" s="905"/>
      <c r="M282" s="931"/>
      <c r="N282" s="905"/>
    </row>
    <row r="283" spans="2:17">
      <c r="B283" s="3"/>
      <c r="C283" s="92"/>
      <c r="D283" s="3267" t="s">
        <v>1283</v>
      </c>
      <c r="E283" s="3267"/>
      <c r="F283" s="3267"/>
      <c r="G283" s="3267"/>
      <c r="H283" s="3267"/>
      <c r="J283" s="905"/>
      <c r="K283" s="905"/>
      <c r="M283" s="931"/>
      <c r="N283" s="905"/>
    </row>
    <row r="284" spans="2:17" hidden="1">
      <c r="B284" s="3"/>
      <c r="C284" s="92"/>
      <c r="D284" s="6"/>
      <c r="E284" s="276" t="str">
        <f>Data3!D174</f>
        <v>Per Development - Broward, Miami-Dade</v>
      </c>
      <c r="F284" s="276"/>
      <c r="G284" s="276"/>
      <c r="H284" s="982" t="str">
        <f>IF(O284=0,"",IF(County="&lt;select one&gt;","Select a County",IF(OR(County="Broward",County="Miami-Dade"),Data3!C174,"NA")))</f>
        <v/>
      </c>
      <c r="J284" s="905"/>
      <c r="K284" s="905"/>
      <c r="M284" s="931"/>
      <c r="N284" s="905"/>
      <c r="O284" s="953">
        <v>0</v>
      </c>
      <c r="Q284" s="6" t="str">
        <f t="shared" ref="Q284:Q294" si="13">IF(O284="","",IF(O284=0,"Not ","")&amp;"Applicable to this RFA")</f>
        <v>Not Applicable to this RFA</v>
      </c>
    </row>
    <row r="285" spans="2:17" hidden="1">
      <c r="B285" s="3"/>
      <c r="C285" s="92"/>
      <c r="D285" s="6"/>
      <c r="E285" s="276" t="str">
        <f>Data3!D175</f>
        <v>Per Development - Hillsborough, Orange, Palm Beach</v>
      </c>
      <c r="F285" s="276"/>
      <c r="G285" s="276"/>
      <c r="H285" s="982" t="str">
        <f>IF(O285=0,"",IF(County="&lt;select one&gt;","Select a County",IF(OR(County="Hillsborough",County="Orange",County="Palm Beach"),Data3!C175,"NA")))</f>
        <v/>
      </c>
      <c r="J285" s="905"/>
      <c r="K285" s="905"/>
      <c r="M285" s="931"/>
      <c r="N285" s="905"/>
      <c r="O285" s="953">
        <v>0</v>
      </c>
      <c r="Q285" s="6" t="str">
        <f t="shared" si="13"/>
        <v>Not Applicable to this RFA</v>
      </c>
    </row>
    <row r="286" spans="2:17" hidden="1">
      <c r="B286" s="3"/>
      <c r="C286" s="92"/>
      <c r="D286" s="6"/>
      <c r="E286" s="276" t="str">
        <f>Data3!D176</f>
        <v>Per Development - Duval, Pinellas</v>
      </c>
      <c r="F286" s="276"/>
      <c r="G286" s="276"/>
      <c r="H286" s="982" t="str">
        <f>IF(O286=0,"",IF(County="&lt;select one&gt;","Select a County",IF(OR(County="Duval",County="Pinellas"),Data3!C176,"NA")))</f>
        <v/>
      </c>
      <c r="J286" s="905"/>
      <c r="K286" s="905"/>
      <c r="M286" s="931"/>
      <c r="N286" s="905"/>
      <c r="O286" s="953">
        <v>0</v>
      </c>
      <c r="Q286" s="6" t="str">
        <f t="shared" si="13"/>
        <v>Not Applicable to this RFA</v>
      </c>
    </row>
    <row r="287" spans="2:17" hidden="1">
      <c r="B287" s="3"/>
      <c r="C287" s="92"/>
      <c r="D287" s="6"/>
      <c r="E287" s="276" t="str">
        <f>Data3!D177</f>
        <v>Per Development - Small Counties</v>
      </c>
      <c r="F287" s="276"/>
      <c r="G287" s="276"/>
      <c r="H287" s="982" t="str">
        <f>IF(O287=0,"",IF(County="&lt;select one&gt;","Select a County",IF(AND(VLOOKUP(County,DS_County_Sizes,8,FALSE)="Small",County&lt;&gt;"Monroe"),Data3!C177,"NA")))</f>
        <v/>
      </c>
      <c r="J287" s="905"/>
      <c r="K287" s="905"/>
      <c r="M287" s="931"/>
      <c r="N287" s="1517" t="str">
        <f ca="1">IF(IFERROR(FIND("County&lt;&gt;""Monroe""",_xlfn.FORMULATEXT(H287)),0)&gt;0,"(Excludes Monroe)","(Includes Monroe)")</f>
        <v>(Excludes Monroe)</v>
      </c>
      <c r="O287" s="953">
        <v>0</v>
      </c>
      <c r="Q287" s="6" t="str">
        <f t="shared" si="13"/>
        <v>Not Applicable to this RFA</v>
      </c>
    </row>
    <row r="288" spans="2:17">
      <c r="B288" s="3"/>
      <c r="C288" s="92"/>
      <c r="D288" s="6"/>
      <c r="E288" s="276" t="str">
        <f>Data3!D178</f>
        <v>Per Development - Medium Counties</v>
      </c>
      <c r="F288" s="276"/>
      <c r="G288" s="276"/>
      <c r="H288" s="982" t="str">
        <f>IF(O288=0,"",IF(County="&lt;select one&gt;","Select a County",IF(VLOOKUP(County,DS_County_Sizes,8,FALSE)="Medium",Data3!C178,"NA")))</f>
        <v>Select a County</v>
      </c>
      <c r="J288" s="905"/>
      <c r="K288" s="905"/>
      <c r="M288" s="931"/>
      <c r="N288" s="905"/>
      <c r="O288" s="953">
        <v>1</v>
      </c>
      <c r="Q288" s="6" t="str">
        <f t="shared" si="13"/>
        <v>Applicable to this RFA</v>
      </c>
    </row>
    <row r="289" spans="2:17">
      <c r="B289" s="3"/>
      <c r="C289" s="92"/>
      <c r="D289" s="6"/>
      <c r="E289" s="276" t="str">
        <f>Data3!D179</f>
        <v>Per Development - Large Counties</v>
      </c>
      <c r="F289" s="276"/>
      <c r="G289" s="276"/>
      <c r="H289" s="983" t="str">
        <f>IF(O289=0,"",IF(County="&lt;select one&gt;","Select a County",IF(VLOOKUP(County,DS_County_Sizes,8,FALSE)="Large",Data3!C179,"NA")))</f>
        <v>Select a County</v>
      </c>
      <c r="J289" s="905"/>
      <c r="K289" s="905"/>
      <c r="M289" s="931"/>
      <c r="N289" s="905"/>
      <c r="O289" s="953">
        <v>1</v>
      </c>
      <c r="Q289" s="6" t="str">
        <f t="shared" si="13"/>
        <v>Applicable to this RFA</v>
      </c>
    </row>
    <row r="290" spans="2:17" hidden="1">
      <c r="B290" s="3"/>
      <c r="C290" s="92"/>
      <c r="D290" s="6"/>
      <c r="E290" s="276" t="str">
        <f>Data3!D180</f>
        <v>Per Development - Edit for Specific Demographic</v>
      </c>
      <c r="F290" s="276"/>
      <c r="G290" s="276"/>
      <c r="H290" s="982" t="str">
        <f>IF(O290=0,"",IF(County="&lt;select one&gt;","Select a County",IF(AND(VLOOKUP(County,DS_County_Sizes,8,FALSE)="Small",OR(Demographic="Persons with a Disabiling Condition",Demographic="Persons with Developmental Disabilities")),Data3!C180,"NA")))</f>
        <v/>
      </c>
      <c r="J290" s="905"/>
      <c r="K290" s="905"/>
      <c r="M290" s="931"/>
      <c r="N290" s="905"/>
      <c r="O290" s="953">
        <v>0</v>
      </c>
      <c r="Q290" s="6" t="str">
        <f t="shared" si="13"/>
        <v>Not Applicable to this RFA</v>
      </c>
    </row>
    <row r="291" spans="2:17" hidden="1">
      <c r="B291" s="3"/>
      <c r="C291" s="92"/>
      <c r="D291" s="6"/>
      <c r="E291" s="276" t="str">
        <f>Data3!D181</f>
        <v>Per Development - Keys Workforce (&lt;61 units)</v>
      </c>
      <c r="F291" s="276"/>
      <c r="G291" s="276"/>
      <c r="H291" s="982" t="str">
        <f>IF(O291=0,"",IF(County="&lt;select one&gt;","Select a County",IF(County="Monroe",Data3!C181,"NA")))</f>
        <v/>
      </c>
      <c r="J291" s="905"/>
      <c r="K291" s="905"/>
      <c r="M291" s="931"/>
      <c r="N291" s="905"/>
      <c r="O291" s="953">
        <v>0</v>
      </c>
      <c r="Q291" s="6" t="str">
        <f t="shared" si="13"/>
        <v>Not Applicable to this RFA</v>
      </c>
    </row>
    <row r="292" spans="2:17" hidden="1">
      <c r="B292" s="3"/>
      <c r="C292" s="92"/>
      <c r="D292" s="6"/>
      <c r="E292" s="276" t="s">
        <v>829</v>
      </c>
      <c r="F292" s="276"/>
      <c r="G292" s="276"/>
      <c r="H292" s="982" t="str">
        <f>IF(O292=0,"",IF(County="&lt;select one&gt;","Select a County",IF(AND(County="Monroe",Total_Units&gt;60),Data3!C182,"NA")))</f>
        <v/>
      </c>
      <c r="J292" s="905"/>
      <c r="K292" s="905"/>
      <c r="M292" s="931"/>
      <c r="N292" s="905"/>
      <c r="O292" s="953">
        <v>0</v>
      </c>
      <c r="Q292" s="6" t="str">
        <f t="shared" si="13"/>
        <v>Not Applicable to this RFA</v>
      </c>
    </row>
    <row r="293" spans="2:17" hidden="1">
      <c r="B293" s="3"/>
      <c r="C293" s="92"/>
      <c r="D293" s="6"/>
      <c r="E293" s="276" t="s">
        <v>831</v>
      </c>
      <c r="F293" s="276"/>
      <c r="G293" s="276"/>
      <c r="H293" s="982" t="str">
        <f>IF(O293=0,"",IF(County="&lt;select one&gt;","Select a County",IF(County="Monroe",Data3!C183,"NA")))</f>
        <v/>
      </c>
      <c r="J293" s="905"/>
      <c r="K293" s="905"/>
      <c r="M293" s="931"/>
      <c r="N293" s="905"/>
      <c r="O293" s="897">
        <f>O291</f>
        <v>0</v>
      </c>
      <c r="Q293" s="6" t="str">
        <f t="shared" si="13"/>
        <v>Not Applicable to this RFA</v>
      </c>
    </row>
    <row r="294" spans="2:17" hidden="1">
      <c r="B294" s="3"/>
      <c r="C294" s="92"/>
      <c r="D294" s="6"/>
      <c r="E294" s="276" t="s">
        <v>832</v>
      </c>
      <c r="F294" s="276"/>
      <c r="G294" s="276"/>
      <c r="H294" s="982" t="str">
        <f>IF(O294=0,"",IF(County="&lt;select one&gt;","Select a County",IF(AND(County="Monroe",Total_Units&gt;60),Data3!C184,"NA")))</f>
        <v/>
      </c>
      <c r="J294" s="905"/>
      <c r="K294" s="905"/>
      <c r="M294" s="931"/>
      <c r="N294" s="905"/>
      <c r="O294" s="929">
        <f>O292</f>
        <v>0</v>
      </c>
      <c r="Q294" s="6" t="str">
        <f t="shared" si="13"/>
        <v>Not Applicable to this RFA</v>
      </c>
    </row>
    <row r="295" spans="2:17" ht="10.35" customHeight="1">
      <c r="B295" s="3"/>
      <c r="C295" s="92"/>
      <c r="D295" s="6"/>
      <c r="E295" s="6"/>
      <c r="F295" s="6"/>
      <c r="G295" s="6"/>
      <c r="H295" s="6"/>
      <c r="J295" s="905"/>
      <c r="K295" s="905"/>
      <c r="M295" s="931"/>
      <c r="N295" s="905"/>
    </row>
    <row r="296" spans="2:17" ht="30" customHeight="1">
      <c r="B296" s="3"/>
      <c r="C296" s="92"/>
      <c r="D296" s="6"/>
      <c r="E296" s="2960" t="s">
        <v>1907</v>
      </c>
      <c r="F296" s="2960"/>
      <c r="G296" s="2960"/>
      <c r="H296" s="2960"/>
      <c r="I296" s="975" t="str">
        <f>IF(AND(O284=1,H284&lt;&gt;"NA"),H284,IF(AND(O285=1,H285&lt;&gt;"NA"),H285,IF(AND(O286=1,H286&lt;&gt;"NA"),H286,IF(AND(O287=1,H287&lt;&gt;"NA"),H287,IF(AND(O288=1,H288&lt;&gt;"NA"),H288,IF(AND(O289=1,H289&lt;&gt;"NA"),H289,IF(AND(O290=1,H290&lt;&gt;"NA"),H290,IF(AND(O291=1,H291&lt;&gt;"NA",Total_Units&lt;61),MIN(H291,Total_Units*H293),IF(AND(O292=1,H292&lt;&gt;"NA",Total_Units&gt;60),MIN(H292,H291+(Total_Units-60)*H294),0)))))))))</f>
        <v>Select a County</v>
      </c>
      <c r="J296" s="905"/>
      <c r="K296" s="905"/>
      <c r="M296" s="931"/>
      <c r="N296" s="905"/>
    </row>
    <row r="297" spans="2:17" ht="10.35" customHeight="1">
      <c r="B297" s="3"/>
      <c r="C297" s="92"/>
      <c r="D297" s="941"/>
      <c r="E297" s="941"/>
      <c r="F297" s="941"/>
      <c r="G297" s="941"/>
      <c r="H297" s="941"/>
      <c r="J297" s="905"/>
      <c r="K297" s="905"/>
      <c r="M297" s="931"/>
      <c r="N297" s="905"/>
    </row>
    <row r="298" spans="2:17" ht="17.45" customHeight="1">
      <c r="B298" s="3"/>
      <c r="C298" s="92" t="str">
        <f>IF($L298=0,"-","a")</f>
        <v>a</v>
      </c>
      <c r="D298" s="3292" t="s">
        <v>1284</v>
      </c>
      <c r="E298" s="3292"/>
      <c r="F298" s="3292"/>
      <c r="G298" s="3292"/>
      <c r="H298" s="3292"/>
      <c r="I298" s="976"/>
      <c r="J298" s="905"/>
      <c r="K298" s="905"/>
      <c r="L298" s="953">
        <v>1</v>
      </c>
      <c r="M298" s="931">
        <f>IF(AND(L298&lt;&gt;0,I298&lt;&gt;""),L298,0)</f>
        <v>0</v>
      </c>
      <c r="N298" s="905" t="str">
        <f>CHOOSE(L298+1,"Not to be included in this RFA","A REQUIRED input field for this RFA","An OPTIONAL input field for this RFA")</f>
        <v>A REQUIRED input field for this RFA</v>
      </c>
    </row>
    <row r="299" spans="2:17" ht="5.0999999999999996" customHeight="1">
      <c r="D299" s="6"/>
      <c r="J299" s="905"/>
      <c r="K299" s="905"/>
      <c r="P299" s="3"/>
    </row>
    <row r="300" spans="2:17" ht="17.45" customHeight="1">
      <c r="D300" s="6"/>
      <c r="E300" s="271" t="s">
        <v>1285</v>
      </c>
      <c r="F300" s="271"/>
      <c r="G300" s="271"/>
      <c r="H300" s="271"/>
      <c r="I300" s="862">
        <f>MIN(N(Max_Competitive_HC),N(Competitive_HC_Request_Amount))</f>
        <v>0</v>
      </c>
      <c r="J300" s="905"/>
      <c r="K300" s="905"/>
      <c r="P300" s="3"/>
    </row>
    <row r="301" spans="2:17" ht="10.35" customHeight="1">
      <c r="D301" s="6"/>
      <c r="J301" s="905"/>
      <c r="K301" s="905"/>
      <c r="P301" s="3"/>
    </row>
    <row r="302" spans="2:17" ht="35.1" hidden="1" customHeight="1">
      <c r="C302" s="92" t="str">
        <f>IF($L309=0,"-","a")</f>
        <v>-</v>
      </c>
      <c r="D302" s="2943" t="s">
        <v>2689</v>
      </c>
      <c r="E302" s="2943"/>
      <c r="F302" s="2943"/>
      <c r="G302" s="2943"/>
      <c r="H302" s="2943"/>
      <c r="I302" s="2943"/>
      <c r="J302" s="2351"/>
      <c r="K302" s="2351"/>
      <c r="N302" s="820">
        <v>0</v>
      </c>
      <c r="P302" s="3"/>
    </row>
    <row r="303" spans="2:17" ht="17.45" hidden="1" customHeight="1">
      <c r="D303" s="2355"/>
      <c r="E303" s="2961" t="s">
        <v>697</v>
      </c>
      <c r="F303" s="2961"/>
      <c r="G303" s="3287" t="str">
        <f>IF(Non_Comp_App_4HC="Yes","(a Non-Competitive Housing Credit Request Amount is not required in this RFA)","")</f>
        <v/>
      </c>
      <c r="H303" s="3287"/>
      <c r="I303" s="3287"/>
      <c r="J303" s="2351"/>
      <c r="K303" s="2351"/>
      <c r="L303" s="2356">
        <f>IF(N302=0,0,O303)</f>
        <v>0</v>
      </c>
      <c r="M303" s="2352">
        <f>IF(AND(L303&lt;&gt;0,I303&lt;&gt;""),L303,0)</f>
        <v>0</v>
      </c>
      <c r="N303" s="2351" t="str">
        <f>CHOOSE(L303+1,"Not to be included in this RFA","A REQUIRED input field for this RFA","An OPTIONAL input field for this RFA")</f>
        <v>Not to be included in this RFA</v>
      </c>
      <c r="O303" s="354">
        <v>1</v>
      </c>
      <c r="P303" s="3"/>
    </row>
    <row r="304" spans="2:17" ht="6" hidden="1" customHeight="1">
      <c r="D304" s="2355"/>
      <c r="J304" s="2351"/>
      <c r="K304" s="2351"/>
      <c r="P304" s="3"/>
    </row>
    <row r="305" spans="3:17" ht="14.45" hidden="1" customHeight="1">
      <c r="D305" s="2355" t="s">
        <v>2690</v>
      </c>
      <c r="I305" s="2372"/>
      <c r="J305" s="2351"/>
      <c r="K305" s="2351"/>
      <c r="L305" s="2356">
        <f>IF(L$303=0,0,IF(Non_Comp_App_4HC="Yes",1,O305))</f>
        <v>0</v>
      </c>
      <c r="M305" s="2352">
        <f>IF(AND(L305&lt;&gt;0,I305&lt;&gt;""),L305,0)</f>
        <v>0</v>
      </c>
      <c r="N305" s="2351" t="str">
        <f>CHOOSE(L305+1,"Not to be included in this RFA","A REQUIRED input field for this RFA","An OPTIONAL input field for this RFA","Not Tracked in this RFA")</f>
        <v>Not to be included in this RFA</v>
      </c>
      <c r="O305" s="354">
        <v>3</v>
      </c>
      <c r="P305" s="3"/>
    </row>
    <row r="306" spans="3:17" ht="6" hidden="1" customHeight="1">
      <c r="D306" s="2355"/>
      <c r="J306" s="2351"/>
      <c r="K306" s="2351"/>
      <c r="P306" s="3"/>
    </row>
    <row r="307" spans="3:17" ht="14.45" hidden="1" customHeight="1">
      <c r="D307" s="2355" t="s">
        <v>2691</v>
      </c>
      <c r="I307" s="2373"/>
      <c r="J307" s="2351"/>
      <c r="K307" s="2351"/>
      <c r="L307" s="2356">
        <f>IF(L$303=0,0,IF(Non_Comp_App_4HC="Yes",1,O307))</f>
        <v>0</v>
      </c>
      <c r="M307" s="2352">
        <f>IF(AND(L307&lt;&gt;0,I307&lt;&gt;""),L307,0)</f>
        <v>0</v>
      </c>
      <c r="N307" s="2351" t="str">
        <f>CHOOSE(L307+1,"Not to be included in this RFA","A REQUIRED input field for this RFA","An OPTIONAL input field for this RFA","Not Tracked in this RFA")</f>
        <v>Not to be included in this RFA</v>
      </c>
      <c r="O307" s="354">
        <v>3</v>
      </c>
      <c r="P307" s="3"/>
    </row>
    <row r="308" spans="3:17" ht="6" hidden="1" customHeight="1">
      <c r="D308" s="2355"/>
      <c r="J308" s="2351"/>
      <c r="K308" s="2351"/>
      <c r="P308" s="3"/>
    </row>
    <row r="309" spans="3:17" ht="17.25" hidden="1" customHeight="1">
      <c r="C309" s="92" t="str">
        <f>IF(OR($L309=0,$N$302=1),"","a")</f>
        <v/>
      </c>
      <c r="D309" s="3292" t="s">
        <v>1286</v>
      </c>
      <c r="E309" s="3292"/>
      <c r="F309" s="3292"/>
      <c r="G309" s="3292"/>
      <c r="H309" s="3292"/>
      <c r="I309" s="976"/>
      <c r="J309" s="905"/>
      <c r="K309" s="905"/>
      <c r="L309" s="2357">
        <v>0</v>
      </c>
      <c r="M309" s="2352">
        <f>IF(AND(L309&lt;&gt;0,I309&lt;&gt;""),L309,0)</f>
        <v>0</v>
      </c>
      <c r="N309" s="2351" t="str">
        <f>CHOOSE(L309+1,"Not to be included in this RFA","A REQUIRED input field for this RFA","An OPTIONAL input field for this RFA")</f>
        <v>Not to be included in this RFA</v>
      </c>
      <c r="P309" s="3"/>
    </row>
    <row r="310" spans="3:17" ht="10.35" hidden="1" customHeight="1">
      <c r="J310" s="905"/>
      <c r="K310" s="905"/>
      <c r="P310" s="3"/>
    </row>
    <row r="311" spans="3:17">
      <c r="C311" s="92" t="str" cm="1">
        <f t="array" ref="C311">IF($L$312=0,"-",IFERROR(CHAR(CODE(LOOKUP(2,1/(COUNTIF(C$282:C310,"&gt;"&amp;C$282:C310&amp;"*")=0),C$282:C310))+1),"b"))</f>
        <v>b</v>
      </c>
      <c r="D311" s="941" t="s">
        <v>1287</v>
      </c>
      <c r="J311" s="905"/>
      <c r="K311" s="905"/>
      <c r="P311" s="3"/>
    </row>
    <row r="312" spans="3:17" ht="17.45" customHeight="1">
      <c r="E312" s="3008" t="s">
        <v>697</v>
      </c>
      <c r="F312" s="3008"/>
      <c r="J312" s="905"/>
      <c r="K312" s="905"/>
      <c r="L312" s="943">
        <f>IF(AND(L$298=0,L$309=0),0,O312)</f>
        <v>1</v>
      </c>
      <c r="M312" s="931">
        <f>IF(AND(L312&lt;&gt;0,AND(E312&lt;&gt;"&lt;select from menu&gt;",E312&lt;&gt;"")),L312,0)</f>
        <v>0</v>
      </c>
      <c r="N312" s="905" t="str">
        <f>IF(AND($L$298=0,$L$309=0,$L312&lt;&gt;0),"ENTER A '0' IN COLUMN L IN THIS ROW",CHOOSE(L312+1,"Not to be included in this RFA","A REQUIRED input field for this RFA","An OPTIONAL input field for this RFA"))</f>
        <v>A REQUIRED input field for this RFA</v>
      </c>
      <c r="O312" s="953">
        <v>1</v>
      </c>
      <c r="P312" s="3"/>
    </row>
    <row r="313" spans="3:17" ht="10.35" customHeight="1">
      <c r="J313" s="905"/>
      <c r="K313" s="905"/>
      <c r="P313" s="3"/>
    </row>
    <row r="314" spans="3:17" ht="15" customHeight="1">
      <c r="C314" s="92" t="str" cm="1">
        <f t="array" ref="C314">IF($L$312=0,"-",IFERROR(CHAR(CODE(LOOKUP(2,1/(COUNTIF(C$282:C313,"&gt;"&amp;C$282:C313&amp;"*")=0),C$282:C313))+1),"b"))</f>
        <v>c</v>
      </c>
      <c r="D314" s="941" t="s">
        <v>1288</v>
      </c>
      <c r="J314" s="905"/>
      <c r="K314" s="905"/>
      <c r="P314" s="3"/>
      <c r="Q314" s="6"/>
    </row>
    <row r="315" spans="3:17" ht="35.1" hidden="1" customHeight="1">
      <c r="C315" s="92"/>
      <c r="D315" s="90" t="str">
        <f>IF($L316=0," ",LOWER(ROMAN(1)))</f>
        <v xml:space="preserve"> </v>
      </c>
      <c r="E315" s="2943" t="s">
        <v>1749</v>
      </c>
      <c r="F315" s="2943"/>
      <c r="G315" s="2943"/>
      <c r="H315" s="2943"/>
      <c r="I315" s="2943"/>
      <c r="J315" s="905"/>
      <c r="K315" s="905"/>
      <c r="P315" s="3"/>
      <c r="Q315" s="6"/>
    </row>
    <row r="316" spans="3:17" ht="35.1" hidden="1" customHeight="1">
      <c r="C316" s="92"/>
      <c r="D316" s="941"/>
      <c r="E316" s="3078" t="s">
        <v>697</v>
      </c>
      <c r="F316" s="3078"/>
      <c r="G316" s="3237" t="s">
        <v>1751</v>
      </c>
      <c r="H316" s="3237"/>
      <c r="I316" s="3237"/>
      <c r="J316" s="905"/>
      <c r="K316" s="905"/>
      <c r="L316" s="943">
        <f>IF(L309=0,0,IF(N(MMRB_Request_Amount)&gt;0,3,2))</f>
        <v>0</v>
      </c>
      <c r="M316" s="931">
        <f>IF(AND(L316&lt;&gt;0,E316&lt;&gt;""),L316,0)</f>
        <v>0</v>
      </c>
      <c r="N316" s="905" t="str">
        <f>CHOOSE(L316+1,"Not to be included in this RFA","A REQUIRED input field for this RFA","An OPTIONAL input field for this RFA","Not Applicable")</f>
        <v>Not to be included in this RFA</v>
      </c>
      <c r="P316" s="3"/>
      <c r="Q316" s="1702"/>
    </row>
    <row r="317" spans="3:17" ht="15" hidden="1" customHeight="1">
      <c r="C317" s="92"/>
      <c r="D317" s="941"/>
      <c r="J317" s="905"/>
      <c r="K317" s="905"/>
      <c r="P317" s="3"/>
      <c r="Q317" s="1702"/>
    </row>
    <row r="318" spans="3:17" ht="30" customHeight="1">
      <c r="D318" s="2502" t="str" cm="1">
        <f t="array" ref="D318">IF($L319=0," ",LOWER(ROMAN(MAX(_xlfn.ARABIC(D$315:D317))+1)))</f>
        <v>i</v>
      </c>
      <c r="E318" s="2943" t="s">
        <v>1289</v>
      </c>
      <c r="F318" s="2943"/>
      <c r="G318" s="2943"/>
      <c r="H318" s="2943"/>
      <c r="I318" s="2943"/>
      <c r="J318" s="905"/>
      <c r="K318" s="905"/>
      <c r="P318" s="3"/>
      <c r="Q318" s="6"/>
    </row>
    <row r="319" spans="3:17" ht="17.45" customHeight="1">
      <c r="E319" s="3008" t="s">
        <v>697</v>
      </c>
      <c r="F319" s="3008"/>
      <c r="G319" s="3280" t="str">
        <f>IF(Multiphase_subsequent_qualified="Yes","Data entries may confirm eligibility",IF(OR(Multiphase_subsequent="&lt;select from menu&gt;",Multiphase_subsequent="No"),"","Data entries do not confirm eligibility"))</f>
        <v/>
      </c>
      <c r="H319" s="3280"/>
      <c r="I319" s="3280"/>
      <c r="J319" s="905"/>
      <c r="K319" s="905"/>
      <c r="L319" s="943">
        <f>IF(AND(L$298=0,L$309=0),0,O319)</f>
        <v>1</v>
      </c>
      <c r="M319" s="931">
        <f>IF(AND(L319&lt;&gt;0,AND(E319&lt;&gt;"&lt;select from menu&gt;",E319&lt;&gt;"")),L319,0)</f>
        <v>0</v>
      </c>
      <c r="N319" s="905" t="str">
        <f>IF(AND($L$298=0,$L$309=0,$L319&lt;&gt;0),"ENTER A '0' IN COLUMN L IN THIS ROW",CHOOSE(L319+1,"Not to be included in this RFA","A REQUIRED input field for this RFA","An OPTIONAL input field for this RFA"))</f>
        <v>A REQUIRED input field for this RFA</v>
      </c>
      <c r="O319" s="953">
        <v>1</v>
      </c>
      <c r="P319" s="3"/>
      <c r="Q319" s="6"/>
    </row>
    <row r="320" spans="3:17" ht="30" customHeight="1">
      <c r="E320" s="2994" t="s">
        <v>1290</v>
      </c>
      <c r="F320" s="2994"/>
      <c r="G320" s="2994"/>
      <c r="H320" s="2994"/>
      <c r="I320" s="2994"/>
      <c r="J320" s="905"/>
      <c r="K320" s="905"/>
      <c r="P320" s="3"/>
      <c r="Q320" s="6"/>
    </row>
    <row r="321" spans="4:17" ht="17.45" customHeight="1">
      <c r="E321" s="3008"/>
      <c r="F321" s="3008"/>
      <c r="G321" s="3281" t="str">
        <f>IF(AND(Multiphase_subsequent&lt;&gt;"Yes",App_number_first_phase&lt;&gt;""),"No response is needed.","")</f>
        <v/>
      </c>
      <c r="H321" s="3281"/>
      <c r="I321" s="3281"/>
      <c r="J321" s="905"/>
      <c r="K321" s="905"/>
      <c r="L321" s="943">
        <f>IF(L319=0,0,IF(E319="Yes",1,2))</f>
        <v>2</v>
      </c>
      <c r="M321" s="931">
        <f>IF(AND(L321&lt;&gt;0,E321&lt;&gt;""),L321,0)</f>
        <v>0</v>
      </c>
      <c r="N321" s="905" t="str">
        <f>CHOOSE(L321+1,"Not to be included in this RFA","A REQUIRED input field for this RFA","An OPTIONAL input field for this RFA")</f>
        <v>An OPTIONAL input field for this RFA</v>
      </c>
      <c r="P321" s="3"/>
      <c r="Q321" s="6"/>
    </row>
    <row r="322" spans="4:17">
      <c r="J322" s="905"/>
      <c r="K322" s="905"/>
      <c r="L322" s="355"/>
      <c r="M322" s="6"/>
      <c r="N322" s="6"/>
      <c r="P322" s="3"/>
      <c r="Q322" s="6"/>
    </row>
    <row r="323" spans="4:17">
      <c r="D323" s="2502" t="str" cm="1">
        <f t="array" ref="D323">IF($L324=0," ",LOWER(ROMAN(MAX(_xlfn.ARABIC(D$315:D322))+1)))</f>
        <v>ii</v>
      </c>
      <c r="E323" s="941" t="str">
        <f>"Are any buildings in the proposed Development located in a HUD-designated SADDA"&amp;IF(County="&lt;select one&gt;",""," for "&amp;County&amp;" County")&amp;"?"</f>
        <v>Are any buildings in the proposed Development located in a HUD-designated SADDA?</v>
      </c>
      <c r="F323" s="941"/>
      <c r="J323" s="905"/>
      <c r="K323" s="905"/>
      <c r="P323" s="3"/>
      <c r="Q323" s="6"/>
    </row>
    <row r="324" spans="4:17" ht="17.45" customHeight="1">
      <c r="E324" s="3008" t="s">
        <v>697</v>
      </c>
      <c r="F324" s="3008"/>
      <c r="G324" s="3259" t="str">
        <f>IF(Small_Area_DDA_qualified="Yes","Data entries confirm eligibility",IF(OR(E324="&lt;select from menu&gt;",E324="No"),"","Data entries do not confirm eligibility"))</f>
        <v/>
      </c>
      <c r="H324" s="3259"/>
      <c r="I324" s="3259"/>
      <c r="J324" s="905"/>
      <c r="K324" s="905"/>
      <c r="L324" s="943">
        <f>IF(AND(L$298=0,L$309=0),0,O324)</f>
        <v>1</v>
      </c>
      <c r="M324" s="931">
        <f>IF(AND(L324&lt;&gt;0,AND(E324&lt;&gt;"&lt;select from menu&gt;",E324&lt;&gt;"")),L324,0)</f>
        <v>0</v>
      </c>
      <c r="N324" s="905" t="str">
        <f>IF(AND($L$298=0,$L$309=0,$L324&lt;&gt;0),"ENTER A '0' IN COLUMN L IN THIS ROW",CHOOSE(L324+1,"Not to be included in this RFA","A REQUIRED input field for this RFA","An OPTIONAL input field for this RFA"))</f>
        <v>A REQUIRED input field for this RFA</v>
      </c>
      <c r="O324" s="953">
        <v>1</v>
      </c>
      <c r="P324" s="3"/>
      <c r="Q324" s="6"/>
    </row>
    <row r="325" spans="4:17">
      <c r="E325" s="17" t="str">
        <f>"If “Yes”, provide the SADDA ZCTA Number(s)*"&amp;IF(County="&lt;select one&gt;",""," for "&amp;County&amp;" County")&amp;":"</f>
        <v>If “Yes”, provide the SADDA ZCTA Number(s)*:</v>
      </c>
      <c r="F325" s="17"/>
      <c r="J325" s="905"/>
      <c r="K325" s="905"/>
      <c r="P325" s="3"/>
      <c r="Q325" s="6"/>
    </row>
    <row r="326" spans="4:17" ht="30" customHeight="1">
      <c r="E326" s="3008"/>
      <c r="F326" s="3008"/>
      <c r="G326" s="3259" t="str">
        <f>IF(OR(E326="",County="&lt;select one&gt;"),"",IF(AND(E326&lt;&gt;"",Small_Area_DDA="&lt;select from menu&gt;"),"Please respond to above question.",IF(AND(E326&lt;&gt;"",Small_Area_DDA="No"),"No response is needed.",IF(ISNA(VLOOKUP(E326,IF(LocalHFA_App_Year=2022,DS_2022_ZCTAs_Sorted,IF(LocalHFA_App_Year=2023,DS_2023_ZCTAs_Sorted,DS_2024_ZCTAs_Sorted)),1,FALSE)),"Invalid Entry - The ZCTA is not in the HUD "&amp;IF(LocalHFA_App_Year=2022,2022,IF(LocalHFA_App_Year=2023,2023,2024))&amp;" database",IF(County=IFERROR(VLOOKUP(E326,IF(LocalHFA_App_Year=2022,DS_2022_ZCTAs_Sorted,IF(LocalHFA_App_Year=2023,DS_2023_ZCTAs_Sorted,DS_2024_ZCTAs_Sorted)),2,FALSE),""),"The ZCTA is in the HUD "&amp;IF(LocalHFA_App_Year=2022,2022,IF(LocalHFA_App_Year=2023,2023,2024))&amp;" database for "&amp;IFERROR(VLOOKUP(E326,IF(LocalHFA_App_Year=2022,DS_2022_ZCTAs_Sorted,IF(LocalHFA_App_Year=2023,DS_2023_ZCTAs_Sorted,DS_2024_ZCTAs_Sorted)),2,FALSE),"")&amp;" County.","The ZCTA is located in "&amp;IFERROR(VLOOKUP(E326,IF(LocalHFA_App_Year=2022,DS_2022_ZCTAs_Sorted,IF(LocalHFA_App_Year=2023,DS_2023_ZCTAs_Sorted,DS_2024_ZCTAs_Sorted)),2,FALSE),"")&amp;" County, not the proposed Development's county of "&amp;County&amp;".")))))</f>
        <v/>
      </c>
      <c r="H326" s="3259"/>
      <c r="I326" s="3259"/>
      <c r="J326" s="905"/>
      <c r="K326" s="905"/>
      <c r="L326" s="929">
        <f>IF(L324=0,0,IF(E324="Yes",1,2))</f>
        <v>2</v>
      </c>
      <c r="M326" s="931">
        <f>IF(AND(L326&lt;&gt;0,E326&lt;&gt;""),L326,0)</f>
        <v>0</v>
      </c>
      <c r="N326" s="905" t="str">
        <f>CHOOSE(L326+1,"Not to be included in this RFA","A REQUIRED input field for this RFA","An OPTIONAL input field for this RFA")</f>
        <v>An OPTIONAL input field for this RFA</v>
      </c>
      <c r="P326" s="3"/>
      <c r="Q326" s="2498"/>
    </row>
    <row r="327" spans="4:17" ht="30" customHeight="1">
      <c r="E327" s="3232"/>
      <c r="F327" s="3232"/>
      <c r="G327" s="3259" t="str">
        <f>IF(OR(E327="",County="&lt;select one&gt;"),"",IF(AND(E327&lt;&gt;"",Small_Area_DDA="&lt;select from menu&gt;"),"Please respond to above question.",IF(AND(E327&lt;&gt;"",Small_Area_DDA="No"),"No response is needed.",IF(ISNA(VLOOKUP(E327,IF(LocalHFA_App_Year=2022,DS_2022_ZCTAs_Sorted,IF(LocalHFA_App_Year=2023,DS_2023_ZCTAs_Sorted,DS_2024_ZCTAs_Sorted)),1,FALSE)),"Invalid Entry - The ZCTA is not in the HUD "&amp;IF(LocalHFA_App_Year=2022,2022,IF(LocalHFA_App_Year=2023,2023,2024))&amp;" database",IF(County=IFERROR(VLOOKUP(E327,IF(LocalHFA_App_Year=2022,DS_2022_ZCTAs_Sorted,IF(LocalHFA_App_Year=2023,DS_2023_ZCTAs_Sorted,DS_2024_ZCTAs_Sorted)),2,FALSE),""),"The ZCTA is in the HUD "&amp;IF(LocalHFA_App_Year=2022,2022,IF(LocalHFA_App_Year=2023,2023,2024))&amp;" database for "&amp;IFERROR(VLOOKUP(E327,IF(LocalHFA_App_Year=2022,DS_2022_ZCTAs_Sorted,IF(LocalHFA_App_Year=2023,DS_2023_ZCTAs_Sorted,DS_2024_ZCTAs_Sorted)),2,FALSE),"")&amp;" County.","The ZCTA is located in "&amp;IFERROR(VLOOKUP(E327,IF(LocalHFA_App_Year=2022,DS_2022_ZCTAs_Sorted,IF(LocalHFA_App_Year=2023,DS_2023_ZCTAs_Sorted,DS_2024_ZCTAs_Sorted)),2,FALSE),"")&amp;" County, not the proposed Development's county of "&amp;County&amp;".")))))</f>
        <v/>
      </c>
      <c r="H327" s="3259"/>
      <c r="I327" s="3259"/>
      <c r="J327" s="905"/>
      <c r="K327" s="905"/>
      <c r="L327" s="943">
        <f>IF(L$324=0,0,2)</f>
        <v>2</v>
      </c>
      <c r="M327" s="931">
        <f>IF(AND(L327&lt;&gt;0,E327&lt;&gt;""),L327,0)</f>
        <v>0</v>
      </c>
      <c r="N327" s="905" t="str">
        <f>CHOOSE(L327+1,"Not to be included in this RFA","A REQUIRED input field for this RFA","An OPTIONAL input field for this RFA")</f>
        <v>An OPTIONAL input field for this RFA</v>
      </c>
      <c r="P327" s="3"/>
      <c r="Q327" s="6"/>
    </row>
    <row r="328" spans="4:17" ht="30" customHeight="1">
      <c r="E328" s="3232"/>
      <c r="F328" s="3232"/>
      <c r="G328" s="3259" t="str">
        <f>IF(OR(E328="",County="&lt;select one&gt;"),"",IF(AND(E328&lt;&gt;"",Small_Area_DDA="&lt;select from menu&gt;"),"Please respond to above question.",IF(AND(E328&lt;&gt;"",Small_Area_DDA="No"),"No response is needed.",IF(ISNA(VLOOKUP(E328,IF(LocalHFA_App_Year=2022,DS_2022_ZCTAs_Sorted,IF(LocalHFA_App_Year=2023,DS_2023_ZCTAs_Sorted,DS_2024_ZCTAs_Sorted)),1,FALSE)),"Invalid Entry - The ZCTA is not in the HUD "&amp;IF(LocalHFA_App_Year=2022,2022,IF(LocalHFA_App_Year=2023,2023,2024))&amp;" database",IF(County=IFERROR(VLOOKUP(E328,IF(LocalHFA_App_Year=2022,DS_2022_ZCTAs_Sorted,IF(LocalHFA_App_Year=2023,DS_2023_ZCTAs_Sorted,DS_2024_ZCTAs_Sorted)),2,FALSE),""),"The ZCTA is in the HUD "&amp;IF(LocalHFA_App_Year=2022,2022,IF(LocalHFA_App_Year=2023,2023,2024))&amp;" database for "&amp;IFERROR(VLOOKUP(E328,IF(LocalHFA_App_Year=2022,DS_2022_ZCTAs_Sorted,IF(LocalHFA_App_Year=2023,DS_2023_ZCTAs_Sorted,DS_2024_ZCTAs_Sorted)),2,FALSE),"")&amp;" County.","The ZCTA is located in "&amp;IFERROR(VLOOKUP(E328,IF(LocalHFA_App_Year=2022,DS_2022_ZCTAs_Sorted,IF(LocalHFA_App_Year=2023,DS_2023_ZCTAs_Sorted,DS_2024_ZCTAs_Sorted)),2,FALSE),"")&amp;" County, not the proposed Development's county of "&amp;County&amp;".")))))</f>
        <v/>
      </c>
      <c r="H328" s="3259"/>
      <c r="I328" s="3259"/>
      <c r="J328" s="905"/>
      <c r="K328" s="905"/>
      <c r="L328" s="943">
        <f>IF(L$324=0,0,2)</f>
        <v>2</v>
      </c>
      <c r="M328" s="931">
        <f>IF(AND(L328&lt;&gt;0,E328&lt;&gt;""),L328,0)</f>
        <v>0</v>
      </c>
      <c r="N328" s="905" t="str">
        <f>CHOOSE(L328+1,"Not to be included in this RFA","A REQUIRED input field for this RFA","An OPTIONAL input field for this RFA")</f>
        <v>An OPTIONAL input field for this RFA</v>
      </c>
      <c r="P328" s="3"/>
      <c r="Q328" s="6"/>
    </row>
    <row r="329" spans="4:17">
      <c r="E329" s="89" t="s">
        <v>1291</v>
      </c>
      <c r="F329" s="89"/>
      <c r="J329" s="905"/>
      <c r="K329" s="905"/>
      <c r="P329" s="3"/>
    </row>
    <row r="330" spans="4:17" ht="10.35" customHeight="1">
      <c r="E330" s="89"/>
      <c r="F330" s="89"/>
      <c r="J330" s="905"/>
      <c r="K330" s="905"/>
      <c r="P330" s="3"/>
    </row>
    <row r="331" spans="4:17">
      <c r="D331" s="2502" t="str" cm="1">
        <f t="array" ref="D331">IF($L332=0," ",LOWER(ROMAN(MAX(_xlfn.ARABIC(D$315:D330))+1)))</f>
        <v>iii</v>
      </c>
      <c r="E331" s="941" t="s">
        <v>1292</v>
      </c>
      <c r="F331" s="941"/>
      <c r="J331" s="905"/>
      <c r="K331" s="905"/>
      <c r="L331" s="310"/>
      <c r="P331" s="3"/>
    </row>
    <row r="332" spans="4:17" ht="17.45" customHeight="1">
      <c r="E332" s="3234" t="str">
        <f>IF(County="&lt;select one&gt;","Please identify County.",IF(NOT(ISNA(VLOOKUP(County,IF(LocalHFA_App_Year=2022,DS_NonMetro_DDAs_2022,IF(LocalHFA_App_Year=2023,DS_NonMetro_DDAs_2023,DS_NonMetro_DDAs_2024)),1,FALSE))),"Yes","No"))</f>
        <v>Please identify County.</v>
      </c>
      <c r="F332" s="3236"/>
      <c r="G332" s="3259" t="str">
        <f>IF(DDA_nonmetro_qualified="Yes","Data entries confirm eligibility","")</f>
        <v/>
      </c>
      <c r="H332" s="3259"/>
      <c r="I332" s="3259"/>
      <c r="J332" s="905"/>
      <c r="K332" s="905"/>
      <c r="L332" s="943">
        <f>IF(AND(L$298=0,L$309=0),0,O332)</f>
        <v>3</v>
      </c>
      <c r="M332" s="931">
        <f>IF(AND(L332&lt;&gt;0,E332&lt;&gt;"Please identify County first."),L332,0)</f>
        <v>3</v>
      </c>
      <c r="N332" s="905" t="str">
        <f>IF(AND($L$298=0,$L$309=0,$L332&lt;&gt;0),"ENTER A '0' IN COLUMN L IN THIS ROW",CHOOSE(L332+1,"Not to be included in this RFA","A REQUIRED input field for this RFA","An OPTIONAL input field for this RFA","In the RFA but not to be tracked as an input field"))</f>
        <v>In the RFA but not to be tracked as an input field</v>
      </c>
      <c r="O332" s="953">
        <v>3</v>
      </c>
      <c r="P332" s="3"/>
    </row>
    <row r="333" spans="4:17">
      <c r="E333" s="17" t="s">
        <v>1293</v>
      </c>
      <c r="F333" s="17"/>
      <c r="J333" s="905"/>
      <c r="K333" s="905"/>
      <c r="N333" s="312" t="s">
        <v>1294</v>
      </c>
      <c r="P333" s="3"/>
    </row>
    <row r="334" spans="4:17" ht="17.100000000000001" customHeight="1">
      <c r="E334" s="3236" t="str">
        <f>IF(DDA_nonmetro="Yes",County,"")</f>
        <v/>
      </c>
      <c r="F334" s="3236"/>
      <c r="G334" s="3259"/>
      <c r="H334" s="3259"/>
      <c r="I334" s="3259"/>
      <c r="J334" s="905"/>
      <c r="K334" s="905"/>
      <c r="L334"/>
      <c r="P334" s="3"/>
    </row>
    <row r="335" spans="4:17" ht="10.35" customHeight="1">
      <c r="E335" s="905"/>
      <c r="F335" s="905"/>
      <c r="G335" s="905"/>
      <c r="H335" s="905"/>
      <c r="I335" s="905"/>
      <c r="J335" s="905"/>
      <c r="K335" s="905"/>
      <c r="P335" s="3"/>
    </row>
    <row r="336" spans="4:17">
      <c r="D336" s="2502" t="str" cm="1">
        <f t="array" ref="D336">IF($L337=0," ",LOWER(ROMAN(MAX(_xlfn.ARABIC(D$315:D335))+1)))</f>
        <v>iv</v>
      </c>
      <c r="E336" s="941" t="str">
        <f>"Is the proposed Development located in a HUD-Designated QCT"&amp;IF(County="&lt;select one&gt;",""," for "&amp;County&amp;" County")&amp;"?"</f>
        <v>Is the proposed Development located in a HUD-Designated QCT?</v>
      </c>
      <c r="F336" s="941"/>
      <c r="J336" s="905"/>
      <c r="K336" s="905"/>
      <c r="P336" s="3"/>
    </row>
    <row r="337" spans="4:20" ht="17.45" customHeight="1">
      <c r="E337" s="3008" t="s">
        <v>697</v>
      </c>
      <c r="F337" s="3008"/>
      <c r="G337" s="3259" t="str">
        <f>IF(QCT_qualified="Yes","Data entries confirm eligibility",IF(OR(E337="&lt;select from menu&gt;",E337="No"),"","Data entries do not confirm eligibility"))</f>
        <v/>
      </c>
      <c r="H337" s="3259"/>
      <c r="I337" s="3259"/>
      <c r="J337" s="905"/>
      <c r="K337" s="905"/>
      <c r="L337" s="943">
        <f>IF(AND(L$298=0,L$309=0),0,O337)</f>
        <v>1</v>
      </c>
      <c r="M337" s="931">
        <f>IF(AND(L337&lt;&gt;0,AND(E337&lt;&gt;"&lt;select from menu&gt;",E337&lt;&gt;"")),L337,0)</f>
        <v>0</v>
      </c>
      <c r="N337" s="905" t="str">
        <f>IF(AND($L$298=0,$L$309=0,$L337&lt;&gt;0),"ENTER A '0' IN COLUMN L IN THIS ROW",CHOOSE(L337+1,"Not to be included in this RFA","A REQUIRED input field for this RFA","An OPTIONAL input field for this RFA"))</f>
        <v>A REQUIRED input field for this RFA</v>
      </c>
      <c r="O337" s="953">
        <v>1</v>
      </c>
      <c r="P337" s="3"/>
    </row>
    <row r="338" spans="4:20">
      <c r="E338" s="17" t="s">
        <v>1295</v>
      </c>
      <c r="F338" s="17"/>
      <c r="J338" s="905"/>
      <c r="K338" s="905"/>
      <c r="P338" s="3"/>
    </row>
    <row r="339" spans="4:20" ht="17.45" customHeight="1">
      <c r="E339" s="3236" t="str">
        <f>IF(AND(QCT="Yes",NOT(ISNA(VLOOKUP(County,IF(LocalHFA_App_Year=2022,DS_2022_Metro_QCT_Counties,IF(LocalHFA_App_Year=2023,DS_2023_Metro_QCT_Counties,DS_2024_Metro_QCT_Counties)),1,FALSE)))),"Metro",IF(AND(QCT="Yes",NOT(ISNA(VLOOKUP(County,IF(LocalHFA_App_Year=2022,DS_2022_NonMetro_QCT_Counties,IF(LocalHFA_App_Year=2023,DS_2023_NonMetro_QCT_Counties,DS_2024_NonMetro_QCT_Counties)),1,FALSE)))),"Non-Metro",IF(AND(QCT="Yes",County&lt;&gt;"&lt;select one&gt;",ISNA(VLOOKUP(County,IF(LocalHFA_App_Year=2022,DS_2022_NonMetro_QCT_Counties,IF(LocalHFA_App_Year=2023,DS_2023_NonMetro_QCT_Counties,DS_2024_NonMetro_QCT_Counties)),1,FALSE)),ISNA(VLOOKUP(County,IF(LocalHFA_App_Year=2022,DS_2022_NonMetro_QCT_Counties,IF(LocalHFA_App_Year=2023,DS_2023_NonMetro_QCT_Counties,DS_2024_NonMetro_QCT_Counties)),1,FALSE))),County&amp;" County does not have a QCT in the Metro or Non-Metro areas.","")))</f>
        <v/>
      </c>
      <c r="F339" s="3236"/>
      <c r="G339" s="3236"/>
      <c r="H339" s="3236"/>
      <c r="I339" s="310"/>
      <c r="J339" s="905"/>
      <c r="K339" s="905"/>
      <c r="P339" s="3"/>
    </row>
    <row r="340" spans="4:20">
      <c r="E340" s="17" t="str">
        <f>"If “Yes”, indicate the HUD-designated QCT census tract number*"&amp;IF(County="&lt;select one&gt;",""," for "&amp;County&amp;" County")&amp;":"</f>
        <v>If “Yes”, indicate the HUD-designated QCT census tract number*:</v>
      </c>
      <c r="F340" s="17"/>
      <c r="J340" s="905"/>
      <c r="K340" s="905"/>
      <c r="L340" s="310"/>
      <c r="P340" s="3"/>
    </row>
    <row r="341" spans="4:20" ht="30" customHeight="1">
      <c r="E341" s="3258"/>
      <c r="F341" s="3258"/>
      <c r="G341" s="3241" t="str">
        <f>IF(OR(QCT_metro_or_nonmetro="",QCT_metro_or_nonmetro="Non-Metro",$E341=""),"",IF(AND($E337&lt;&gt;"&lt;select one&gt;",County="&lt;select one&gt;"),"Please select a County",IF(AND(QCT="Yes",QCT_metro_or_nonmetro="Metro",NOT(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IF(IFERROR(VLOOKUP(QCT_number,IF(LocalHFA_App_Year=2022,DS_2022_County_QCTs,IF(LocalHFA_App_Year=2023,DS_2023_County_QCTs,DS_2024_County_QCTs)),1),0)=QCT_number,"The QCT is in the "&amp;County&amp;" County HUD "&amp;IF(LocalHFA_App_Year=2022,2022,IF(LocalHFA_App_Year=2023,2023,2024))&amp;" Metro QCT database.","The QCT and "&amp;County&amp;" County are in the HUD "&amp;IF(LocalHFA_App_Year=2022,2022,IF(LocalHFA_App_Year=2023,2023,2024))&amp;" Metro QCT database, but the QCT is NOT in "&amp;County&amp;" County."),IF(AND(QCT="Yes",QCT_metro_or_nonmetro="Metro",NOT(ISNA(VLOOKUP(QCT_number,IF(LocalHFA_App_Year=2022,DS_2022_Metro_QCTs_Sorted,IF(LocalHFA_App_Year=2023,DS_2023_Metro_QCTs_Sorted,DS_2024_Metro_QCTs_Sorted)),1,FALSE))),ISNA(VLOOKUP(County,IF(LocalHFA_App_Year=2022,DS_2022_Metro_QCT_Counties,IF(LocalHFA_App_Year=2023,DS_2023_Metro_QCT_Counties,DS_2024_Metro_QCT_Counties)),1,FALSE))),"The QCT is in the HUD "&amp;IF(LocalHFA_App_Year=2022,2022,IF(LocalHFA_App_Year=2023,2023,2024))&amp;" Metro QCT database, but "&amp;County&amp;" County is NOT.",IF(AND(QCT="Yes",QCT_metro_or_nonmetro="Metro",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County&amp;" County is in the HUD "&amp;IF(LocalHFA_App_Year=2022,2022,IF(LocalHFA_App_Year=2023,2023,2024))&amp;" Metro QCT database, but the QCT is NOT.",IF(AND(QCT="Yes",QCT_number&lt;&gt;""),"Neither the QCT nor "&amp;County&amp;" County are in the HUD "&amp;IF(LocalHFA_App_Year=2022,2022,IF(LocalHFA_App_Year=2023,2023,2024))&amp;" Metro QCT database.",IF(AND(QCT="&lt;select one&gt;",Data2!O$11="Metro"),"Please respond to above question.","")))))))</f>
        <v/>
      </c>
      <c r="H341" s="3241"/>
      <c r="I341" s="3241"/>
      <c r="J341" s="269"/>
      <c r="K341" s="269"/>
      <c r="L341" s="3248">
        <f>IF(L337=0,0,IF(E337="Yes",1,2))</f>
        <v>2</v>
      </c>
      <c r="M341" s="3070">
        <f>IF(AND(L341&lt;&gt;0,E341&lt;&gt;""),L341,0)</f>
        <v>0</v>
      </c>
      <c r="N341" s="2714" t="str">
        <f>CHOOSE(L341+1,"Not to be included in this RFA","A REQUIRED input field for this RFA","An OPTIONAL input field for this RFA")</f>
        <v>An OPTIONAL input field for this RFA</v>
      </c>
      <c r="P341" s="3"/>
    </row>
    <row r="342" spans="4:20" ht="30" customHeight="1">
      <c r="E342" s="3008"/>
      <c r="F342" s="3008"/>
      <c r="G342" s="3241" t="str">
        <f>IF(OR(QCT_metro_or_nonmetro="",QCT_metro_or_nonmetro="Metro",$E341=""),"",IF(AND($E337&lt;&gt;"&lt;select one&gt;",County="&lt;select one&gt;"),"",IF(AND(QCT="Yes",QCT_metro_or_nonmetro="Non-Metro",NOT(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IF(IFERROR(VLOOKUP(QCT_number,IF(LocalHFA_App_Year=2022,DS_2022_County_QCTs,IF(LocalHFA_App_Year=2023,DS_2023_County_QCTs,DS_2024_County_QCTs)),1),0)=QCT_number,"The QCT is in the "&amp;County&amp;" County HUD "&amp;IF(LocalHFA_App_Year=2022,2022,IF(LocalHFA_App_Year=2023,2023,2024))&amp;" Non-Metro QCT database.","The QCT and "&amp;County&amp;" County are in the HUD "&amp;IF(LocalHFA_App_Year=2022,2022,IF(LocalHFA_App_Year=2023,2023,2024))&amp;" Non-Metro QCT database, but the QCT is NOT in "&amp;County&amp;" County."),IF(AND(QCT="Yes",QCT_metro_or_nonmetro="Non-Metro",NOT(ISNA(VLOOKUP(QCT_number,IF(LocalHFA_App_Year=2022,DS_2022_NonMetro_QCTs_Sorted,IF(LocalHFA_App_Year=2023,DS_2023_NonMetro_QCTs_Sorted,DS_2024_NonMetro_QCTs_Sorted)),1,FALSE))),ISNA(VLOOKUP(County,IF(LocalHFA_App_Year=2022,DS_2022_NonMetro_QCT_Counties,IF(LocalHFA_App_Year=2023,DS_2023_NonMetro_QCT_Counties,DS_2024_NonMetro_QCT_Counties)),1,FALSE))),"The QCT is in the HUD "&amp;IF(LocalHFA_App_Year=2022,2022,IF(LocalHFA_App_Year=2023,2023,2024))&amp;" Non-Metro QCT database, but "&amp;County&amp;" County is NOT.",IF(AND(QCT="Yes",QCT_metro_or_nonmetro="Non-Metro",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County&amp;" County is in the HUD "&amp;IF(LocalHFA_App_Year=2022,2022,IF(LocalHFA_App_Year=2023,2023,2024))&amp;" NonMetro QCT database, but the QCT is NOT.",IF(AND(QCT="Yes",QCT_number&lt;&gt;""),"Neither the QCT nor "&amp;County&amp;" County are in the HUD "&amp;IF(LocalHFA_App_Year=2022,2022,IF(LocalHFA_App_Year=2023,2023,2024))&amp;" Non-Metro QCT database.",IF(AND(QCT="&lt;select one&gt;",Data2!O$11="Non-Metro"),"Please respond to above question.","")))))))</f>
        <v/>
      </c>
      <c r="H342" s="3240"/>
      <c r="I342" s="3240"/>
      <c r="J342" s="269"/>
      <c r="K342" s="269"/>
      <c r="L342" s="3248"/>
      <c r="M342" s="3070"/>
      <c r="N342" s="2714"/>
      <c r="P342" s="3"/>
      <c r="T342" s="1351"/>
    </row>
    <row r="343" spans="4:20" ht="14.45" customHeight="1">
      <c r="E343" s="89" t="s">
        <v>1296</v>
      </c>
      <c r="F343" s="905"/>
      <c r="G343" s="905"/>
      <c r="H343" s="905"/>
      <c r="I343" s="905"/>
      <c r="J343" s="905"/>
      <c r="K343" s="905"/>
      <c r="N343" s="268"/>
      <c r="P343" s="3"/>
    </row>
    <row r="344" spans="4:20" ht="10.35" customHeight="1">
      <c r="E344" s="905"/>
      <c r="F344" s="905"/>
      <c r="G344" s="905"/>
      <c r="H344" s="905"/>
      <c r="I344" s="905"/>
      <c r="J344" s="905"/>
      <c r="K344" s="905"/>
      <c r="P344" s="3"/>
    </row>
    <row r="345" spans="4:20" ht="30" hidden="1" customHeight="1">
      <c r="D345" s="2502" t="str" cm="1">
        <f t="array" ref="D345">IF($L346=0," ",LOWER(ROMAN(MAX(_xlfn.ARABIC(D$315:D344))+1)))</f>
        <v xml:space="preserve"> </v>
      </c>
      <c r="E345" s="3255" t="str">
        <f>"Are any buildings in the proposed Development located in a Geographic Areas of Opportunity"&amp;IF(OR(AND(Multiphase_subsequent="Yes",App_number_first_phase&lt;&gt;""),AND(Small_Area_DDA="Yes",OR(AND(SADDA_ZCTA_1&lt;&gt;"",IF(IFERROR(FIND("The ZCTA is in the HUD ",Comment_SADDA_ZCTA_1),0)&gt;0,TRUE,FALSE)),AND(SADDA_ZCTA_2&lt;&gt;"",IFERROR(FIND("The ZCTA is in the HUD ",Comment_SADDA_ZCTA_2),0)&gt;0),AND(SADDA_ZCTA_3&lt;&gt;"",IFERROR(FIND("The ZCTA is in the HUD ",Comment_SADDA_ZCTA_3),0)&gt;0))),DDA_nonmetro="Yes",AND(QCT="Yes",QCT_number&lt;&gt;"",OR(AND(QCT_metro_or_nonmetro="Metro",OR(IFERROR(FIND("NOT",$G341),0)=0,IFERROR(LEFT($G341,7)="Neither",FALSE)=FALSE)),AND(QCT_metro_or_nonmetro="Non-Metro",OR(IFERROR(FIND("NOT",$G342),0)=0,IFERROR(LEFT($G342,7)="Neither",FALSE)=FALSE))))),"?",", which may have the option of qualifying for a QAP-Designation basis boost?")</f>
        <v>Are any buildings in the proposed Development located in a Geographic Areas of Opportunity, which may have the option of qualifying for a QAP-Designation basis boost?</v>
      </c>
      <c r="F345" s="2959"/>
      <c r="G345" s="2959"/>
      <c r="H345" s="2959"/>
      <c r="I345" s="2959"/>
      <c r="J345" s="269"/>
      <c r="K345" s="269"/>
      <c r="N345" s="268"/>
      <c r="P345" s="3"/>
      <c r="Q345" s="1315"/>
    </row>
    <row r="346" spans="4:20" ht="35.1" hidden="1" customHeight="1">
      <c r="E346" s="3008" t="s">
        <v>697</v>
      </c>
      <c r="F346" s="3008"/>
      <c r="G346" s="3249"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46" s="3250"/>
      <c r="I346" s="3250"/>
      <c r="J346" s="1415"/>
      <c r="K346" s="905"/>
      <c r="L346" s="810">
        <f>IF($L$298=0,0,O346)</f>
        <v>0</v>
      </c>
      <c r="M346" s="931">
        <f>IF(AND(L346&lt;&gt;0,AND(E346&lt;&gt;"&lt;select from menu&gt;",E346&lt;&gt;"")),L346,0)</f>
        <v>0</v>
      </c>
      <c r="N346" s="905" t="str">
        <f>IF(AND($L$298=0,$L346&lt;&gt;0),"ENTER A '0' IN COLUMN L IN THIS ROW",CHOOSE(L346+1,"Not to be included in this RFA","A REQUIRED input field for this RFA","An OPTIONAL input field for this RFA"))</f>
        <v>Not to be included in this RFA</v>
      </c>
      <c r="O346" s="953">
        <v>0</v>
      </c>
      <c r="P346" s="3"/>
      <c r="Q346" s="1315"/>
    </row>
    <row r="347" spans="4:20" hidden="1">
      <c r="E347" s="17" t="s">
        <v>1297</v>
      </c>
      <c r="F347" s="17"/>
      <c r="J347" s="905"/>
      <c r="K347" s="905"/>
      <c r="N347" s="268"/>
      <c r="P347" s="3"/>
    </row>
    <row r="348" spans="4:20" ht="30" hidden="1" customHeight="1">
      <c r="E348" s="3008"/>
      <c r="F348" s="3008"/>
      <c r="G348" s="3240" t="str">
        <f>IF(AND($E$346&lt;&gt;"&lt;select one&gt;",$E348&lt;&gt;"",County="&lt;select one&gt;"),"Please select a County",IF(AND(Geo_Area_of_Opp_boost="Yes",NOT(ISNA(VLOOKUP(E348,DS_2024_GAO_QCTs_Sorted,1,FALSE))),NOT(ISNA(VLOOKUP(County,DS_2024_GAO_Counties,1,FALSE)))),IF(IFERROR(VLOOKUP(E348,DS_2024_County_GAOs,1),0)=E348,"The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County."),IF(AND(Geo_Area_of_Opp_boost="Yes",NOT(ISNA(VLOOKUP(E348,DS_2024_GAO_QCTs_Sorted,1,FALSE))),ISNA(VLOOKUP(County,DS_2024_GAO_Counties,1,FALSE))),"The given QCT is in the 2024 GAO listing, but "&amp;County&amp;" County is NOT.",IF(AND(Geo_Area_of_Opp_boost="Yes",ISNA(VLOOKUP(E348,DS_2024_GAO_QCTs_Sorted,1,FALSE)),NOT(ISNA(VLOOKUP(County,DS_2024_GAO_Counties,1,FALSE)))),County&amp;"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8" s="3241"/>
      <c r="I348" s="3241"/>
      <c r="J348" s="905"/>
      <c r="K348" s="905"/>
      <c r="L348" s="943">
        <f>IF($E$346="No",0,IF($E$346="Yes",1,IF($L$346=0,0,2)))</f>
        <v>0</v>
      </c>
      <c r="M348" s="931">
        <f>IF(AND(L348&lt;&gt;0,E348&lt;&gt;""),L348,0)</f>
        <v>0</v>
      </c>
      <c r="N348" s="873" t="str">
        <f>CHOOSE(L348+1,"Not to be included in this RFA","A REQUIRED input field for this RFA","An OPTIONAL input field for this RFA")</f>
        <v>Not to be included in this RFA</v>
      </c>
      <c r="O348" s="2294"/>
      <c r="P348" s="2294"/>
      <c r="Q348" s="2294"/>
    </row>
    <row r="349" spans="4:20" ht="30" hidden="1" customHeight="1">
      <c r="E349" s="3232"/>
      <c r="F349" s="3232"/>
      <c r="G349" s="3242" t="str">
        <f>IF(AND($E$346&lt;&gt;"&lt;select one&gt;",$E349&lt;&gt;"",County="&lt;select one&gt;"),"Please select a County",IF(AND(Geo_Area_of_Opp_boost="Yes",NOT(ISNA(VLOOKUP(E349,DS_2024_GAO_QCTs_Sorted,1,FALSE))),NOT(ISNA(VLOOKUP(County,DS_2024_GAO_Counties,1,FALSE)))),IF(IFERROR(VLOOKUP(E349,DS_2024_County_GAOs,1),0)=E349,"The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County."),IF(AND(Geo_Area_of_Opp_boost="Yes",NOT(ISNA(VLOOKUP(E349,DS_2024_GAO_QCTs_Sorted,1,FALSE))),ISNA(VLOOKUP(County,DS_2024_GAO_Counties,1,FALSE))),"The given QCT is in the 2024 GAO listing, but "&amp;County&amp;" County is NOT.",IF(AND(Geo_Area_of_Opp_boost="Yes",ISNA(VLOOKUP(E349,DS_2024_GAO_QCTs_Sorted,1,FALSE)),NOT(ISNA(VLOOKUP(County,DS_2024_GAO_Counties,1,FALSE)))),County&amp;"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9" s="3243"/>
      <c r="I349" s="3243"/>
      <c r="J349" s="905"/>
      <c r="K349" s="905"/>
      <c r="L349" s="943">
        <f>IF($E$346="No",0,IF(AND($E$346="Yes",$E$348&lt;&gt;""),2,IF($L$346=0,0,2)))</f>
        <v>0</v>
      </c>
      <c r="M349" s="931">
        <f>IF(AND(L349&lt;&gt;0,E349&lt;&gt;""),L349,0)</f>
        <v>0</v>
      </c>
      <c r="N349" s="873" t="str">
        <f>CHOOSE(L349+1,"Not to be included in this RFA","A REQUIRED input field for this RFA","An OPTIONAL input field for this RFA")</f>
        <v>Not to be included in this RFA</v>
      </c>
      <c r="O349" s="2294"/>
      <c r="P349" s="2294"/>
      <c r="Q349" s="2294"/>
    </row>
    <row r="350" spans="4:20" ht="30" hidden="1" customHeight="1">
      <c r="D350" s="30"/>
      <c r="E350" s="3232"/>
      <c r="F350" s="3232"/>
      <c r="G350" s="3256" t="str">
        <f>IF(AND($E$346&lt;&gt;"&lt;select one&gt;",$E350&lt;&gt;"",County="&lt;select one&gt;"),"Please select a County",IF(AND(Geo_Area_of_Opp_boost="Yes",NOT(ISNA(VLOOKUP(E350,DS_2024_GAO_QCTs_Sorted,1,FALSE))),NOT(ISNA(VLOOKUP(County,DS_2024_GAO_Counties,1,FALSE)))),IF(IFERROR(VLOOKUP(E350,DS_2024_County_GAOs,1),0)=E350,"The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County."),IF(AND(Geo_Area_of_Opp_boost="Yes",NOT(ISNA(VLOOKUP(E350,DS_2024_GAO_QCTs_Sorted,1,FALSE))),ISNA(VLOOKUP(County,DS_2024_GAO_Counties,1,FALSE))),"The given QCT is in the 2024 GAO listing, but "&amp;County&amp;" County is NOT.",IF(AND(Geo_Area_of_Opp_boost="Yes",ISNA(VLOOKUP(E350,DS_2024_GAO_QCTs_Sorted,1,FALSE)),NOT(ISNA(VLOOKUP(County,DS_2024_GAO_Counties,1,FALSE)))),County&amp;"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50" s="3257"/>
      <c r="I350" s="3257"/>
      <c r="J350" s="905"/>
      <c r="K350" s="905"/>
      <c r="L350" s="943">
        <f>IF($E$346="No",0,IF(AND($E$346="Yes",$E$348&lt;&gt;""),2,IF($L$346=0,0,2)))</f>
        <v>0</v>
      </c>
      <c r="M350" s="931">
        <f>IF(AND(L350&lt;&gt;0,E350&lt;&gt;""),L350,0)</f>
        <v>0</v>
      </c>
      <c r="N350" s="873" t="str">
        <f>CHOOSE(L350+1,"Not to be included in this RFA","A REQUIRED input field for this RFA","An OPTIONAL input field for this RFA")</f>
        <v>Not to be included in this RFA</v>
      </c>
      <c r="O350" s="2294"/>
      <c r="P350" s="2294"/>
      <c r="Q350" s="2294"/>
    </row>
    <row r="351" spans="4:20" ht="14.45" hidden="1" customHeight="1">
      <c r="E351" s="47" t="s">
        <v>1298</v>
      </c>
      <c r="F351" s="47"/>
      <c r="J351" s="905"/>
      <c r="K351" s="905"/>
      <c r="P351" s="3"/>
      <c r="Q351" s="2500"/>
    </row>
    <row r="352" spans="4:20" ht="14.45" hidden="1" customHeight="1">
      <c r="E352" s="47" t="s">
        <v>1296</v>
      </c>
      <c r="F352" s="47"/>
      <c r="J352" s="905"/>
      <c r="K352" s="905"/>
      <c r="P352" s="3"/>
      <c r="Q352" s="2500"/>
    </row>
    <row r="353" spans="4:21" ht="10.35" hidden="1" customHeight="1">
      <c r="D353" s="30"/>
      <c r="J353" s="905"/>
      <c r="K353" s="905"/>
      <c r="P353" s="3"/>
    </row>
    <row r="354" spans="4:21" ht="35.1" hidden="1" customHeight="1">
      <c r="D354" s="2502" t="str" cm="1">
        <f t="array" ref="D354">IF($L355=0," ",LOWER(ROMAN(MAX(_xlfn.ARABIC(D$315:D353))+1)))</f>
        <v xml:space="preserve"> </v>
      </c>
      <c r="E354" s="2943" t="str">
        <f>"Did the Applicant indicate it qualifies for the Urban Center Designation"&amp;IF('Proximity, Mand.Dist., RECAP'!L85&gt;0," or the MetroRail Station Designation","")&amp;" at Section 4.A.5."&amp;'Proximity, Mand.Dist., RECAP'!A78&amp;".?"</f>
        <v>Did the Applicant indicate it qualifies for the Urban Center Designation or the MetroRail Station Designation at Section 4.A.5.i.?</v>
      </c>
      <c r="F354" s="2943"/>
      <c r="G354" s="2943"/>
      <c r="H354" s="2943"/>
      <c r="I354" s="2943"/>
      <c r="J354" s="905"/>
      <c r="K354" s="905"/>
      <c r="P354" s="3"/>
      <c r="Q354" s="269"/>
      <c r="U354" s="1700"/>
    </row>
    <row r="355" spans="4:21" ht="17.45" hidden="1" customHeight="1">
      <c r="D355" s="30"/>
      <c r="F355" s="3246" t="str">
        <f>IF(AND(UrbanCenter="&lt;select one&gt;",MetroRail="&lt;select one&gt;"),"",IF(AND(UrbanCenter="Yes",MetroRail&lt;&gt;"Yes"),"A response of ""Yes"" was provided for Urban Center.",IF(AND(UrbanCenter&lt;&gt;"Yes",MetroRail="Yes"),"A response of ""Yes"" was provided for MetroRail.",IF(AND(UrbanCenter="Yes",MetroRail="Yes"),"A response of ""Yes"" was provided for both Urban Center and MetroRail.",IF(AND(UrbanCenter="No",MetroRail="No"),"A response of ""No"" was provided for both.",IF(AND(UrbanCenter="No",MetroRail="&lt;select one&gt;"),"A response of ""No"" was provided for Urban Center.",IF(AND(UrbanCenter="&lt;select one&gt;",MetroRail="No"),"A response of ""No"" was provided for MetroRail.","")))))))</f>
        <v/>
      </c>
      <c r="G355" s="3246"/>
      <c r="H355" s="3246"/>
      <c r="I355" s="3246"/>
      <c r="J355" s="905"/>
      <c r="K355" s="905"/>
      <c r="L355" s="810">
        <f>IF($L$298=0,0,O355)</f>
        <v>0</v>
      </c>
      <c r="M355" s="931">
        <f>IF(AND(L355&lt;&gt;0,AND(F355&lt;&gt;"&lt;select from menu&gt;",F355&lt;&gt;"")),L355,0)</f>
        <v>0</v>
      </c>
      <c r="N355" s="905" t="str">
        <f>IF(AND($L$298=0,$L355&lt;&gt;0),"ENTER A '0' IN COLUMN L IN THIS ROW",CHOOSE(L355+1,"Not to be included in this RFA","A REQUIRED input field for this RFA","An OPTIONAL input field for this RFA"))</f>
        <v>Not to be included in this RFA</v>
      </c>
      <c r="O355" s="953">
        <v>0</v>
      </c>
      <c r="P355" s="3"/>
      <c r="Q355" s="269"/>
      <c r="U355" s="1700"/>
    </row>
    <row r="356" spans="4:21" ht="14.45" hidden="1" customHeight="1">
      <c r="D356" s="30"/>
      <c r="E356" s="1613"/>
      <c r="F356" s="1613"/>
      <c r="G356" s="1613"/>
      <c r="H356" s="1613"/>
      <c r="I356" s="1613"/>
      <c r="J356" s="2411"/>
      <c r="K356" s="2411"/>
      <c r="L356" s="2414"/>
      <c r="M356" s="2412"/>
      <c r="N356" s="2411"/>
      <c r="O356" s="1564"/>
      <c r="P356" s="3"/>
      <c r="Q356" s="269"/>
      <c r="U356" s="2411"/>
    </row>
    <row r="357" spans="4:21" ht="35.1" hidden="1" customHeight="1">
      <c r="D357" s="30"/>
      <c r="E357" s="2943"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4.A.5.i.(2) or the name of the applicable MetroRail Station at Section 4.A.i.(4)?</v>
      </c>
      <c r="F357" s="2943"/>
      <c r="G357" s="2943"/>
      <c r="H357" s="2943"/>
      <c r="I357" s="2943"/>
      <c r="J357" s="905"/>
      <c r="K357" s="905"/>
      <c r="P357" s="3"/>
      <c r="Q357" s="269"/>
      <c r="U357" s="1700"/>
    </row>
    <row r="358" spans="4:21" ht="35.1" hidden="1" customHeight="1">
      <c r="D358" s="30"/>
      <c r="E358" s="1314"/>
      <c r="F358" s="3247" t="str">
        <f>IF(AND(UrbanCenter="No",MetroRail="No"),"",IF(UrbanCenter="Yes","The "&amp;UrbanCenter_Tier&amp;" "&amp;UrbanCenter_Name&amp;" Urban Center","")&amp;IF(AND(UrbanCenter="Yes",MetroRail="Yes")," and the ",IF(AND(UrbanCenter="No",MetroRail="Yes"),"The ",""))&amp;IF(MetroRail="Yes",MetroRail_Name&amp;" MetorRail Station","")&amp;IF(AND(UrbanCenter="Yes",MetroRail="Yes")," were identified.",IF(AND(UrbanCenter&lt;&gt;"Yes",MetroRail&lt;&gt;"Yes"),""," was identifed.")))</f>
        <v/>
      </c>
      <c r="G358" s="3247"/>
      <c r="H358" s="3247"/>
      <c r="I358" s="3247"/>
      <c r="J358" s="905"/>
      <c r="K358" s="905"/>
      <c r="P358" s="3"/>
      <c r="Q358" s="269"/>
      <c r="U358" s="1700"/>
    </row>
    <row r="359" spans="4:21" ht="14.45" hidden="1" customHeight="1">
      <c r="D359" s="30"/>
      <c r="E359" s="1613"/>
      <c r="F359" s="903"/>
      <c r="G359" s="903"/>
      <c r="H359" s="903"/>
      <c r="I359" s="903"/>
      <c r="J359" s="2411"/>
      <c r="K359" s="2411"/>
      <c r="P359" s="3"/>
      <c r="Q359" s="269"/>
      <c r="U359" s="2411"/>
    </row>
    <row r="360" spans="4:21" ht="35.1" hidden="1" customHeight="1">
      <c r="D360" s="30"/>
      <c r="E360" s="2749" t="str">
        <f>"Does the proposed Development qualify for the QAP-Designation Urban Center Area of Opportunity basis boost"&amp;IF('Proximity, Mand.Dist., RECAP'!L85&gt;0," or the MetroRail Station Area of Opportunity basis boost","")&amp;"?"</f>
        <v>Does the proposed Development qualify for the QAP-Designation Urban Center Area of Opportunity basis boost or the MetroRail Station Area of Opportunity basis boost?</v>
      </c>
      <c r="F360" s="2749"/>
      <c r="G360" s="2749"/>
      <c r="H360" s="2749"/>
      <c r="I360" s="2749"/>
      <c r="J360" s="905"/>
      <c r="K360" s="905"/>
      <c r="P360" s="3"/>
      <c r="Q360" s="269"/>
      <c r="U360" s="1700"/>
    </row>
    <row r="361" spans="4:21" ht="17.45" hidden="1" customHeight="1">
      <c r="D361" s="30"/>
      <c r="E361" s="2382"/>
      <c r="F361" s="2380" t="s">
        <v>2716</v>
      </c>
      <c r="G361" s="882" t="str">
        <f>IF(AND(Earned_HUD_Boost&lt;&gt;"Yes",IFERROR(FIND("Yes",UrbanCenter_indication),0)&gt;0,IFERROR(FIND("Urban Center",UrbanCenter_indication),0)&gt;0),"Yes",IF(AND(IFERROR(FIND("No",UrbanCenter_indication),0)&gt;0,UrbanCenter_identified="NA"),"No",""))</f>
        <v/>
      </c>
      <c r="H361" s="1654" t="str">
        <f>IF('Proximity, Mand.Dist., RECAP'!L85&gt;0,"MetroRail Station AofO:","")</f>
        <v>MetroRail Station AofO:</v>
      </c>
      <c r="I361" s="2413" t="str">
        <f>IF(AND(Earned_HUD_Boost&lt;&gt;"Yes",IFERROR(FIND("Yes",UrbanCenter_indication),0)&gt;0,IFERROR(FIND("MetroRail",UrbanCenter_indication),0)&gt;0),"Yes",IF(AND(IFERROR(FIND("No",UrbanCenter_indication),0)&gt;0,UrbanCenter_identified="NA"),"No",""))</f>
        <v/>
      </c>
      <c r="J361" s="905"/>
      <c r="K361" s="905"/>
      <c r="P361" s="3"/>
      <c r="Q361" s="269"/>
      <c r="U361" s="1700"/>
    </row>
    <row r="362" spans="4:21" ht="10.35" hidden="1" customHeight="1">
      <c r="D362" s="30"/>
      <c r="J362" s="905"/>
      <c r="K362" s="905"/>
      <c r="P362" s="3"/>
      <c r="Q362" s="269"/>
      <c r="U362" s="1700"/>
    </row>
    <row r="363" spans="4:21" ht="30" hidden="1" customHeight="1">
      <c r="D363" s="2501" t="str" cm="1">
        <f t="array" ref="D363">IF($L364=0," ",LOWER(ROMAN(MAX(_xlfn.ARABIC(D$315:D362))+1)))</f>
        <v xml:space="preserve"> </v>
      </c>
      <c r="E363" s="2943" t="s">
        <v>1722</v>
      </c>
      <c r="F363" s="2943"/>
      <c r="G363" s="2943"/>
      <c r="H363" s="2943"/>
      <c r="I363" s="2943"/>
      <c r="J363" s="905"/>
      <c r="K363" s="905"/>
      <c r="O363" s="115"/>
      <c r="P363" s="113"/>
      <c r="Q363" s="269"/>
    </row>
    <row r="364" spans="4:21" ht="35.1" hidden="1" customHeight="1">
      <c r="D364" s="30"/>
      <c r="E364" s="3234" t="str">
        <f>IF(AND(Earned_HUD_Boost&lt;&gt;"Yes",AND(OR(LGAO_Designation="Yes",LGAO_Documentation="Yes"),AND(LGC_Loan_Face+LGC_Grant_Face&gt;0,LGC_Loan_Face+LGC_Grant_Face&gt;=IFERROR(VLOOKUP(County,DS_CountyData,4),1000000000)),OR(LG_Name1&lt;&gt;"",LG_Name2&lt;&gt;"",LG_Name3&lt;&gt;"",LG_Name4&lt;&gt;"",LG_Name5&lt;&gt;""))),"Yes",IF(OR(AND(Multiphase_subsequent="&lt;select from menu&gt;",Small_Area_DDA="&lt;select from menu&gt;",DDA_nonmetro="Please identify County.",QCT="&lt;select from menu&gt;"),AND(LGAO_Designation="&lt;select one&gt;",LGAO_Documentation="&lt;select one&gt;"),LGC_Loan_Face+LGC_Grant_Face&gt;0,LGC_Loan_Face+LGC_Grant_Face=0,AND(LG_Name1="",LG_Name2="",LG_Name3="",LG_Name4="",LG_Name5="")),"TBD","No"))</f>
        <v>TBD</v>
      </c>
      <c r="F364" s="3236"/>
      <c r="G364" s="3251" t="str">
        <f>IF(LGAO_Number="No",IF(Earned_HUD_Boost="Yes","The Development appears to qualify for a HUD basis boost, disqualifying it from a QAP basis boost.",IF(OR(LGAO_Designation="No",LGAO_Documentation="No"),"The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qualifications.","")))))),IF(LGAO_Number="TBD","","The Development appears to qualify for this QAP basis boost, subject to verifications."))</f>
        <v/>
      </c>
      <c r="H364" s="3252"/>
      <c r="I364" s="3252"/>
      <c r="J364" s="2292"/>
      <c r="K364" s="905"/>
      <c r="L364" s="810">
        <f>IF($L$298=0,0,O364)</f>
        <v>0</v>
      </c>
      <c r="M364" s="931">
        <f>IF(AND(L364&lt;&gt;0,AND(E364&lt;&gt;"&lt;select from menu&gt;",E364&lt;&gt;"")),L364,0)</f>
        <v>0</v>
      </c>
      <c r="N364" s="905" t="str">
        <f>IF(AND($L$298=0,$L364&lt;&gt;0),"ENTER A '0' IN COLUMN L IN THIS ROW",CHOOSE(L364+1,"Not to be included in this RFA","A REQUIRED input field for this RFA","An OPTIONAL input field for this RFA"))</f>
        <v>Not to be included in this RFA</v>
      </c>
      <c r="O364" s="953">
        <v>0</v>
      </c>
      <c r="P364" s="113"/>
      <c r="Q364" s="269"/>
    </row>
    <row r="365" spans="4:21" ht="10.35" hidden="1" customHeight="1">
      <c r="D365" s="30"/>
      <c r="J365" s="905"/>
      <c r="K365" s="905"/>
      <c r="O365" s="24"/>
      <c r="P365" s="113"/>
      <c r="Q365" s="269"/>
    </row>
    <row r="366" spans="4:21" ht="30" hidden="1" customHeight="1">
      <c r="D366" s="2501" t="str" cm="1">
        <f t="array" ref="D366">IF($L367=0," ",LOWER(ROMAN(MAX(_xlfn.ARABIC(D$315:D364))+1)))</f>
        <v xml:space="preserve"> </v>
      </c>
      <c r="E366" s="2943" t="s">
        <v>1723</v>
      </c>
      <c r="F366" s="2943"/>
      <c r="G366" s="2943"/>
      <c r="H366" s="2943"/>
      <c r="I366" s="2943"/>
      <c r="J366" s="905"/>
      <c r="K366" s="905"/>
      <c r="O366" s="115"/>
      <c r="P366" s="113"/>
      <c r="Q366" s="269"/>
    </row>
    <row r="367" spans="4:21" ht="35.1" hidden="1" customHeight="1">
      <c r="D367" s="30"/>
      <c r="E367" s="3008" t="s">
        <v>697</v>
      </c>
      <c r="F367" s="3008"/>
      <c r="G367" s="3253" t="str">
        <f>IF(PHA_Area_of_Opp_boost="Yes",IF(Earned_HUD_Boost="Yes","The Development appears to qualify for a HUD basis boost, disqualifying it from any QAP basis boost.",""),"")&amp;IF(AND(PHA_Area_of_Opp_boost="Yes",Earned_HUD_Boost&lt;&gt;"Yes"),IF(AND(IF(L477&gt;0,PHA_land_lease="&lt;select from menu&gt;",TRUE),IF(L480&gt;0,PHA_as_Principal="&lt;select from menu&gt;",TRUE),IF(L483&gt;0,PHA_Name="",TRUE)),"The PHA information at "&amp;A474&amp;". below is not yet complete.",IF(AND(OR(AND(L477&gt;0,PHA_land_lease&lt;&gt;""),AND(L480&gt;0,PHA_as_Principal&lt;&gt;"")),AND(L483&gt;0,PHA_Name="")),"The name of the PHA is missing below.",IF(AND(L483&gt;0,PHA_Name&lt;&gt;"",OR(AND(L477&gt;0,PHA_land_lease="&lt;select from menu&gt;"),AND(L480&gt;0,PHA_as_Principal="&lt;select from menu&gt;"))),"The Applicant has not yet identified the role of the PHA below.",""))),"")</f>
        <v/>
      </c>
      <c r="H367" s="3254"/>
      <c r="I367" s="3254"/>
      <c r="J367" s="905"/>
      <c r="K367" s="905"/>
      <c r="L367" s="810">
        <f>IF($L$298=0,0,O367)</f>
        <v>0</v>
      </c>
      <c r="M367" s="931">
        <f>IF(AND(L367&lt;&gt;0,AND(E367&lt;&gt;"&lt;select from menu&gt;",E367&lt;&gt;"")),L367,0)</f>
        <v>0</v>
      </c>
      <c r="N367" s="905" t="str">
        <f>IF(AND($L$298=0,$L367&lt;&gt;0),"ENTER A '0' IN COLUMN L IN THIS ROW",CHOOSE(L367+1,"Not to be included in this RFA","A REQUIRED input field for this RFA","An OPTIONAL input field for this RFA"))</f>
        <v>Not to be included in this RFA</v>
      </c>
      <c r="O367" s="953">
        <v>0</v>
      </c>
      <c r="P367" s="113"/>
      <c r="Q367" s="269"/>
    </row>
    <row r="368" spans="4:21" ht="10.35" hidden="1" customHeight="1">
      <c r="D368" s="30"/>
      <c r="J368" s="905"/>
      <c r="K368" s="905"/>
      <c r="P368" s="3"/>
    </row>
    <row r="369" spans="2:17" ht="14.45" customHeight="1">
      <c r="D369" s="2501" t="str" cm="1">
        <f t="array" ref="D369">IF($L370=0," ",LOWER(ROMAN(MAX(_xlfn.ARABIC(D$315:D367))+1)))</f>
        <v>v</v>
      </c>
      <c r="E369" s="384" t="s">
        <v>1724</v>
      </c>
      <c r="F369" s="941"/>
      <c r="J369" s="905"/>
      <c r="K369" s="905"/>
      <c r="P369" s="3"/>
    </row>
    <row r="370" spans="2:17" ht="17.45" customHeight="1">
      <c r="D370" s="30"/>
      <c r="E370" s="3234" t="str">
        <f>IF(L370=0,"",IF(AND(OR(Demographic=Data1!A25,Demographic=Data1!A26,Demographic=Data1!A27,Demographic=Data1!A28),Earned_HUD_Boost="No"),"Yes","No"))</f>
        <v>Yes</v>
      </c>
      <c r="F370" s="3234"/>
      <c r="G370" s="3235" t="str">
        <f>"(Self populates based on required responses to (ii) - ("&amp;IF(L367&gt;0,D366,IF(L364&gt;0,D363,IF(L355&gt;0,D354,IF(L346&gt;0,D345,D336))))&amp;") above)"</f>
        <v>(Self populates based on required responses to (ii) - (iv) above)</v>
      </c>
      <c r="H370" s="3235"/>
      <c r="I370" s="3235"/>
      <c r="J370" s="905"/>
      <c r="K370" s="905"/>
      <c r="L370" s="810">
        <f>IF($L$298=0,0,O370)</f>
        <v>3</v>
      </c>
      <c r="M370" s="931">
        <f>IF(AND(L370&lt;&gt;0,AND(E370&lt;&gt;"&lt;select from menu&gt;",E370&lt;&gt;"")),L370,0)</f>
        <v>3</v>
      </c>
      <c r="N370" s="905" t="str">
        <f>IF(AND($L$298=0,$L370&lt;&gt;0),"ENTER A '0' IN COLUMN L IN THIS ROW",CHOOSE(L370+1,"Not to be included in this RFA","A REQUIRED input field for this RFA","An OPTIONAL input field for this RFA","Not tracked in this RFA"))</f>
        <v>Not tracked in this RFA</v>
      </c>
      <c r="O370" s="953">
        <v>3</v>
      </c>
      <c r="P370" s="3"/>
      <c r="Q370" s="24"/>
    </row>
    <row r="371" spans="2:17" ht="10.35" customHeight="1">
      <c r="D371" s="30"/>
      <c r="J371" s="905"/>
      <c r="K371" s="905"/>
      <c r="P371" s="3"/>
    </row>
    <row r="372" spans="2:17" hidden="1">
      <c r="C372" s="92" t="str" cm="1">
        <f t="array" ref="C372">IF($L$298=0,"-",IFERROR(CHAR(CODE(LOOKUP(2,1/(COUNTIF(C$282:C371,"&gt;"&amp;C$282:C371&amp;"*")=0),C$282:C371))+1),"b"))</f>
        <v>d</v>
      </c>
      <c r="D372" s="941" t="s">
        <v>1299</v>
      </c>
      <c r="J372" s="905"/>
      <c r="K372" s="905"/>
      <c r="P372" s="3"/>
    </row>
    <row r="373" spans="2:17" ht="30" hidden="1" customHeight="1">
      <c r="E373" s="2943" t="s">
        <v>1300</v>
      </c>
      <c r="F373" s="2943"/>
      <c r="G373" s="2943"/>
      <c r="H373" s="2943"/>
      <c r="I373" s="2943"/>
      <c r="J373" s="905"/>
      <c r="K373" s="905"/>
      <c r="P373" s="3"/>
    </row>
    <row r="374" spans="2:17" ht="24.95" hidden="1" customHeight="1">
      <c r="E374" s="3008" t="s">
        <v>697</v>
      </c>
      <c r="F374" s="3008"/>
      <c r="G374" s="3237" t="str">
        <f>IF(AND(E374="Yes",'General Information'!F32="Family"),"","Invalid Entry - only applicants who select the Family demographic are eligible for this funding goal")</f>
        <v>Invalid Entry - only applicants who select the Family demographic are eligible for this funding goal</v>
      </c>
      <c r="H374" s="3237"/>
      <c r="I374" s="3237"/>
      <c r="J374" s="905"/>
      <c r="K374" s="905"/>
      <c r="L374" s="810">
        <f>IF($L$298=0,0,O374)</f>
        <v>0</v>
      </c>
      <c r="M374" s="931">
        <f>IF(AND(L374&lt;&gt;0,AND(E374&lt;&gt;"&lt;select from menu&gt;",E374&lt;&gt;"")),L374,0)</f>
        <v>0</v>
      </c>
      <c r="N374" s="905" t="str">
        <f>IF(AND($L$298=0,$L374&lt;&gt;0),"ENTER A '0' IN COLUMN L IN THIS ROW",CHOOSE(L374+1,"Not to be included in this RFA","A REQUIRED input field for this RFA","An OPTIONAL input field for this RFA"))</f>
        <v>Not to be included in this RFA</v>
      </c>
      <c r="O374" s="953">
        <v>0</v>
      </c>
      <c r="P374" s="3"/>
    </row>
    <row r="375" spans="2:17" ht="30" hidden="1" customHeight="1">
      <c r="E375" s="2943" t="s">
        <v>1301</v>
      </c>
      <c r="F375" s="2943"/>
      <c r="G375" s="2943"/>
      <c r="H375" s="2943"/>
      <c r="I375" s="2943"/>
      <c r="J375" s="922"/>
      <c r="K375" s="922"/>
      <c r="P375" s="3"/>
    </row>
    <row r="376" spans="2:17" ht="30" hidden="1" customHeight="1">
      <c r="E376" s="3008" t="s">
        <v>697</v>
      </c>
      <c r="F376" s="3008"/>
      <c r="G376" s="3237" t="str">
        <f>IF(GeoAofO_SADDA_Goal="Yes",IF(GeoAofO_SADDA_Goal_EntireSite="&lt;select from menu&gt;","Please indicate which of the criteria has been met",IF(GeoAofO_SADDA_Goal_EntireSite="Located entirely in a GAO",IF(OR(Geo_Area_of_Opp_boost&lt;&gt;"Yes",AND(GAO_Number1&lt;&gt;"",OR(IFERROR(FIND("but",Comment_GAO_Number1),0)&gt;0,IFERROR(FIND("neither",Comment_GAO_Number1),0)&gt;0)),AND(GAO_Number2&lt;&gt;"",OR(IFERROR(FIND("but",Comment_GAO_Number2),0)&gt;0,IFERROR(FIND("neither",Comment_GAO_Number2),0)&gt;0)),AND(GAO_Number3&lt;&gt;"",OR(IFERROR(FIND("but",Comment_GAO_Number3),0)&gt;0,IFERROR(FIND("neither",Comment_GAO_Number3),0)&gt;0))),"The responses above in ("&amp;B279&amp;")("&amp;C314&amp;")("&amp;D345&amp;") do not verify the GAO status.",""),IF(GeoAofO_SADDA_Goal_EntireSite="Located entirely in a SADDA",IF(OR(Small_Area_DDA&lt;&gt;"Yes",AND(SADDA_ZCTA_1&lt;&gt;"",IFERROR(FIND("not",Comment_SADDA_ZCTA_1),0)&gt;0),AND(SADDA_ZCTA_2&lt;&gt;"",IFERROR(FIND("not",Comment_SADDA_ZCTA_2),0)&gt;0),AND(SADDA_ZCTA_3&lt;&gt;"",IFERROR(FIND("not",Comment_SADDA_ZCTA_3),0)&gt;0)),"The responses above in ("&amp;B279&amp;")("&amp;C314&amp;")("&amp;D323&amp;") do not verify the SADDA status.",""),IF(GeoAofO_SADDA_Goal_EntireSite="Located entirely in GAO &amp; SADDA",IF(OR(Geo_Area_of_Opp_boost&lt;&gt;"Yes",AND(GAO_Number1&lt;&gt;"",OR(IFERROR(FIND("but",Comment_GAO_Number1),0)&gt;0,IFERROR(FIND("neither",Comment_GAO_Number1),0)&gt;0)),AND(GAO_Number2&lt;&gt;"",OR(IFERROR(FIND("but",Comment_GAO_Number2),0)&gt;0,IFERROR(FIND("neither",Comment_GAO_Number2),0)&gt;0)),AND(GAO_Number3&lt;&gt;"",OR(IFERROR(FIND("but",Comment_GAO_Number3),0)&gt;0,IFERROR(FIND("neither",Comment_GAO_Number3),0)&gt;0))),"The responses above in ("&amp;B279&amp;")("&amp;C314&amp;")("&amp;D345&amp;") do not verify the GAO status. ","")&amp;IF(OR(Small_Area_DDA&lt;&gt;"Yes",AND(SADDA_ZCTA_1&lt;&gt;"",IFERROR(FIND("not",Comment_SADDA_ZCTA_1),0)&gt;0),AND(SADDA_ZCTA_2&lt;&gt;"",IFERROR(FIND("not",Comment_SADDA_ZCTA_2),0)&gt;0),AND(SADDA_ZCTA_3&lt;&gt;"",IFERROR(FIND("not",Comment_SADDA_ZCTA_3),0)&gt;0)),"The responses above in ("&amp;B279&amp;")("&amp;C314&amp;")("&amp;D323&amp;") do not verify the SADDA status.",""),"")))),"")</f>
        <v/>
      </c>
      <c r="H376" s="3237"/>
      <c r="I376" s="3237"/>
      <c r="J376" s="905"/>
      <c r="K376" s="905"/>
      <c r="L376" s="943">
        <f>IF(L374=0,0,IF(E374="Yes",1,2))</f>
        <v>0</v>
      </c>
      <c r="M376" s="931">
        <f>IF(AND(L376&lt;&gt;0,AND(E376&lt;&gt;"&lt;select from menu&gt;",E376&lt;&gt;"")),L376,0)</f>
        <v>0</v>
      </c>
      <c r="N376" s="905" t="str">
        <f>CHOOSE(L376+1,"Not to be included in this RFA","A REQUIRED input field for this RFA","An OPTIONAL input field for this RFA")</f>
        <v>Not to be included in this RFA</v>
      </c>
    </row>
    <row r="377" spans="2:17" ht="10.35" customHeight="1">
      <c r="E377" s="31"/>
      <c r="F377" s="31"/>
      <c r="J377" s="905"/>
      <c r="K377" s="905"/>
      <c r="L377" s="355"/>
    </row>
    <row r="378" spans="2:17">
      <c r="C378" s="92" t="str" cm="1">
        <f t="array" ref="C378">IF($L$312=0,"-",IFERROR(CHAR(CODE(LOOKUP(2,1/(COUNTIF(C$282:C377,"&gt;"&amp;C$282:C377&amp;"*")=0),C$282:C377))+1),"b"))</f>
        <v>e</v>
      </c>
      <c r="D378" s="941" t="s">
        <v>2092</v>
      </c>
      <c r="E378" s="31"/>
      <c r="F378" s="31"/>
      <c r="J378" s="905"/>
      <c r="K378" s="905"/>
    </row>
    <row r="379" spans="2:17" ht="10.35" customHeight="1">
      <c r="E379" s="31"/>
      <c r="F379" s="31"/>
      <c r="J379" s="905"/>
      <c r="K379" s="905"/>
    </row>
    <row r="380" spans="2:17" ht="17.45" hidden="1" customHeight="1">
      <c r="B380" s="316" t="str">
        <f>IF(OR($L$309=0,$L382=0),"...",MAX(B$4:B378)+1)</f>
        <v>...</v>
      </c>
      <c r="C380" t="s">
        <v>2383</v>
      </c>
      <c r="E380" s="31"/>
      <c r="F380" s="31"/>
      <c r="J380" s="1855"/>
      <c r="K380" s="1855"/>
    </row>
    <row r="381" spans="2:17" ht="10.35" hidden="1" customHeight="1">
      <c r="B381" s="316"/>
      <c r="E381" s="31"/>
      <c r="F381" s="31"/>
      <c r="J381" s="1855"/>
      <c r="K381" s="1855"/>
    </row>
    <row r="382" spans="2:17" ht="17.45" hidden="1" customHeight="1">
      <c r="B382" s="316"/>
      <c r="C382" s="10" t="s">
        <v>957</v>
      </c>
      <c r="D382" s="1857" t="s">
        <v>1302</v>
      </c>
      <c r="E382" s="31"/>
      <c r="F382" s="31"/>
      <c r="I382" s="984"/>
      <c r="J382" s="905"/>
      <c r="K382" s="9"/>
      <c r="L382" s="810">
        <f>IF(L309=0,0,IF(AND(E316&lt;&gt;"&lt;select from menu&gt;",E316&lt;&gt;"Requesting Corporation-issued MMRB in this Application"),3,O382))</f>
        <v>0</v>
      </c>
      <c r="M382" s="931">
        <f>IF(AND(L382&lt;&gt;0,I382&lt;&gt;""),L382,0)</f>
        <v>0</v>
      </c>
      <c r="N382" s="905" t="str">
        <f>CHOOSE(L382+1,"Not to be included in this RFA","A REQUIRED input field for this RFA","An OPTIONAL input field for this RFA","Not Applicable")</f>
        <v>Not to be included in this RFA</v>
      </c>
      <c r="O382" s="953">
        <v>0</v>
      </c>
    </row>
    <row r="383" spans="2:17" ht="14.45" hidden="1" customHeight="1">
      <c r="B383" s="91"/>
      <c r="C383" s="941"/>
      <c r="E383" s="3233" t="str">
        <f>IF(AND(L382=1,MMRB_Request_Amount&lt;&gt;ConstrAnalysis__1st_Mtg,ConstrAnalysis__1st_Type="FHFC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match.",IF(AND(L382=1,N(MMRB_Request_Amount)&gt;0,ConstrAnalysis__1st_Type&lt;&gt;"FHFC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selected.",IF(AND(N(MMRB_Request_Amount)&gt;0,OR(N(LocalHFA_App_Year)=Data1!$F$746,N(LocalHFA_App_Year)=Data1!$F$745)),"The Applicant has indicated they will be using Local Bonds. Therefore, the Corporate-Issued MMRB Loan Request Amount (above) should be left blank.","")))</f>
        <v/>
      </c>
      <c r="F383" s="3233"/>
      <c r="G383" s="3233"/>
      <c r="H383" s="3233"/>
      <c r="I383" s="3233"/>
      <c r="J383" s="905"/>
      <c r="K383" s="905"/>
    </row>
    <row r="384" spans="2:17" ht="14.45" hidden="1" customHeight="1">
      <c r="B384" s="91"/>
      <c r="C384" s="941"/>
      <c r="E384" s="3233"/>
      <c r="F384" s="3233"/>
      <c r="G384" s="3233"/>
      <c r="H384" s="3233"/>
      <c r="I384" s="3233"/>
      <c r="J384" s="905"/>
      <c r="K384" s="905"/>
    </row>
    <row r="385" spans="2:14" ht="10.35" hidden="1" customHeight="1">
      <c r="E385" s="31"/>
      <c r="F385" s="31"/>
      <c r="J385" s="905"/>
      <c r="K385" s="905"/>
    </row>
    <row r="386" spans="2:14" ht="14.45" hidden="1" customHeight="1">
      <c r="C386" s="25" t="s">
        <v>959</v>
      </c>
      <c r="D386" s="2806" t="s">
        <v>2093</v>
      </c>
      <c r="E386" s="2806"/>
      <c r="F386" s="2806"/>
      <c r="G386" s="2806"/>
      <c r="H386" s="2806"/>
      <c r="I386" s="2806"/>
      <c r="J386" s="905"/>
      <c r="K386" s="905"/>
    </row>
    <row r="387" spans="2:14" ht="14.45" hidden="1" customHeight="1">
      <c r="C387" s="50"/>
      <c r="D387" s="2806"/>
      <c r="E387" s="2806"/>
      <c r="F387" s="2806"/>
      <c r="G387" s="2806"/>
      <c r="H387" s="2806"/>
      <c r="I387" s="2806"/>
      <c r="J387" s="905"/>
      <c r="K387" s="905"/>
    </row>
    <row r="388" spans="2:14" ht="10.35" hidden="1" customHeight="1">
      <c r="E388" s="31"/>
      <c r="F388" s="31"/>
      <c r="J388" s="905"/>
      <c r="K388" s="905"/>
    </row>
    <row r="389" spans="2:14">
      <c r="B389" s="316">
        <f>IF($N$389=0,"...",MAX(B$4:B388)+1)</f>
        <v>4</v>
      </c>
      <c r="C389" s="2977" t="s">
        <v>1303</v>
      </c>
      <c r="D389" s="2977"/>
      <c r="E389" s="2977"/>
      <c r="F389" s="2977"/>
      <c r="G389" s="2977"/>
      <c r="H389" s="2977"/>
      <c r="I389" s="2977"/>
      <c r="J389" s="905"/>
      <c r="K389" s="905"/>
      <c r="N389" s="313">
        <v>1</v>
      </c>
    </row>
    <row r="390" spans="2:14" ht="10.35" customHeight="1">
      <c r="B390" s="79"/>
      <c r="C390" s="17"/>
      <c r="D390" s="17"/>
      <c r="E390" s="17"/>
      <c r="F390" s="17"/>
      <c r="G390" s="17"/>
      <c r="H390" s="17"/>
      <c r="I390" s="17"/>
      <c r="J390" s="905"/>
      <c r="K390" s="905"/>
    </row>
    <row r="391" spans="2:14" ht="14.45" customHeight="1">
      <c r="C391" s="88" t="str">
        <f>IF($N$396=0,"",IF($N$389=0,"","(a)"))</f>
        <v/>
      </c>
      <c r="D391" s="2943" t="s">
        <v>1304</v>
      </c>
      <c r="E391" s="2943"/>
      <c r="F391" s="2943"/>
      <c r="G391" s="2943"/>
      <c r="H391" s="2943"/>
      <c r="I391" s="2943"/>
      <c r="J391" s="905"/>
      <c r="K391" s="905"/>
    </row>
    <row r="392" spans="2:14" ht="10.35" customHeight="1">
      <c r="E392" s="31"/>
      <c r="F392" s="31"/>
      <c r="J392" s="905"/>
      <c r="K392" s="905"/>
    </row>
    <row r="393" spans="2:14" ht="17.45" customHeight="1">
      <c r="E393" s="933" t="s">
        <v>1305</v>
      </c>
      <c r="F393" s="933"/>
      <c r="G393" s="985"/>
      <c r="H393" s="33"/>
      <c r="J393" s="267"/>
      <c r="K393" s="267"/>
      <c r="L393" s="943" cm="1">
        <f t="array" aca="1" ref="L393" ca="1">IF($N$389=0,0,IF(CELL("type",G394)="b",2,1))</f>
        <v>2</v>
      </c>
      <c r="M393" s="931">
        <f ca="1">IF(AND(L393&lt;&gt;0,G393&lt;&gt;""),L393,0)</f>
        <v>0</v>
      </c>
      <c r="N393" s="905" t="str">
        <f ca="1">CHOOSE(L393+1,"Not to be included in this RFA","A REQUIRED input field for this RFA","An OPTIONAL input field for this RFA")</f>
        <v>An OPTIONAL input field for this RFA</v>
      </c>
    </row>
    <row r="394" spans="2:14" ht="17.45" customHeight="1">
      <c r="E394" s="933" t="s">
        <v>1306</v>
      </c>
      <c r="F394" s="933"/>
      <c r="G394" s="55"/>
      <c r="H394" s="34"/>
      <c r="J394" s="905"/>
      <c r="K394" s="905"/>
      <c r="L394" s="943" cm="1">
        <f t="array" aca="1" ref="L394" ca="1">IF($N$389=0,0,IF(CELL("type",G393)="b",2,1))</f>
        <v>2</v>
      </c>
      <c r="M394" s="931">
        <f ca="1">IF(AND(L394&lt;&gt;0,G394&lt;&gt;""),L394,0)</f>
        <v>0</v>
      </c>
      <c r="N394" s="905" t="str">
        <f ca="1">CHOOSE(L394+1,"Not to be included in this RFA","A REQUIRED input field for this RFA","An OPTIONAL input field for this RFA")</f>
        <v>An OPTIONAL input field for this RFA</v>
      </c>
    </row>
    <row r="395" spans="2:14" ht="10.35" customHeight="1">
      <c r="E395" s="31"/>
      <c r="F395" s="31"/>
      <c r="J395" s="905"/>
      <c r="K395" s="905"/>
    </row>
    <row r="396" spans="2:14" ht="30" hidden="1" customHeight="1">
      <c r="C396" s="88" t="str">
        <f>IF(N396=0,"","(b)")</f>
        <v/>
      </c>
      <c r="D396" s="2943" t="s">
        <v>1307</v>
      </c>
      <c r="E396" s="2943"/>
      <c r="F396" s="2943"/>
      <c r="G396" s="2943"/>
      <c r="H396" s="2943"/>
      <c r="I396" s="2943"/>
      <c r="J396" s="922"/>
      <c r="K396" s="922"/>
      <c r="N396" s="313">
        <v>0</v>
      </c>
    </row>
    <row r="397" spans="2:14" ht="10.35" hidden="1" customHeight="1">
      <c r="E397" s="31"/>
      <c r="F397" s="31"/>
      <c r="J397" s="905"/>
      <c r="K397" s="905"/>
    </row>
    <row r="398" spans="2:14" ht="15.6" hidden="1" customHeight="1">
      <c r="E398" s="3244" t="s">
        <v>1308</v>
      </c>
      <c r="F398" s="3245"/>
      <c r="G398" s="35" t="s">
        <v>1309</v>
      </c>
      <c r="H398" s="35" t="s">
        <v>1310</v>
      </c>
      <c r="J398" s="267"/>
      <c r="K398" s="267"/>
      <c r="L398" s="336" t="s">
        <v>1311</v>
      </c>
    </row>
    <row r="399" spans="2:14" ht="17.45" hidden="1" customHeight="1">
      <c r="E399" s="3230" t="s">
        <v>137</v>
      </c>
      <c r="F399" s="3231"/>
      <c r="G399" s="46"/>
      <c r="H399" s="56"/>
      <c r="J399" s="905"/>
      <c r="K399" s="905"/>
      <c r="L399" s="953">
        <f>IF($N$396=0,0,2)</f>
        <v>0</v>
      </c>
      <c r="M399" s="931">
        <f>IF(AND(L399&lt;&gt;0,G399&lt;&gt;""),L399,0)</f>
        <v>0</v>
      </c>
      <c r="N399" s="905" t="str">
        <f>CHOOSE(L399+1,"Not to be included in this RFA","A REQUIRED input field for this RFA","An OPTIONAL input field for this RFA")</f>
        <v>Not to be included in this RFA</v>
      </c>
    </row>
    <row r="400" spans="2:14" ht="17.45" hidden="1" customHeight="1">
      <c r="E400" s="3230" t="s">
        <v>1312</v>
      </c>
      <c r="F400" s="3231"/>
      <c r="G400" s="46"/>
      <c r="H400" s="56"/>
      <c r="J400" s="905"/>
      <c r="K400" s="905"/>
      <c r="L400" s="953">
        <f>IF($N$396=0,0,2)</f>
        <v>0</v>
      </c>
      <c r="M400" s="931">
        <f>IF(AND(L400&lt;&gt;0,G400&lt;&gt;""),L400,0)</f>
        <v>0</v>
      </c>
      <c r="N400" s="905" t="str">
        <f>CHOOSE(L400+1,"Not to be included in this RFA","A REQUIRED input field for this RFA","An OPTIONAL input field for this RFA")</f>
        <v>Not to be included in this RFA</v>
      </c>
    </row>
    <row r="401" spans="1:17" ht="17.45" hidden="1" customHeight="1">
      <c r="E401" s="3230" t="s">
        <v>1313</v>
      </c>
      <c r="F401" s="3231"/>
      <c r="G401" s="46"/>
      <c r="H401" s="56"/>
      <c r="J401" s="905"/>
      <c r="K401" s="905"/>
      <c r="L401" s="953">
        <f>IF($N$396=0,0,2)</f>
        <v>0</v>
      </c>
      <c r="M401" s="931">
        <f>IF(AND(L401&lt;&gt;0,G401&lt;&gt;""),L401,0)</f>
        <v>0</v>
      </c>
      <c r="N401" s="905" t="str">
        <f>CHOOSE(L401+1,"Not to be included in this RFA","A REQUIRED input field for this RFA","An OPTIONAL input field for this RFA")</f>
        <v>Not to be included in this RFA</v>
      </c>
    </row>
    <row r="402" spans="1:17" ht="17.45" hidden="1" customHeight="1">
      <c r="E402" s="3230" t="s">
        <v>129</v>
      </c>
      <c r="F402" s="3231"/>
      <c r="G402" s="46"/>
      <c r="H402" s="56"/>
      <c r="J402" s="905"/>
      <c r="K402" s="905"/>
      <c r="L402" s="953">
        <f>IF($N$396=0,0,2)</f>
        <v>0</v>
      </c>
      <c r="M402" s="931">
        <f>IF(AND(L402&lt;&gt;0,G402&lt;&gt;""),L402,0)</f>
        <v>0</v>
      </c>
      <c r="N402" s="905" t="str">
        <f>CHOOSE(L402+1,"Not to be included in this RFA","A REQUIRED input field for this RFA","An OPTIONAL input field for this RFA")</f>
        <v>Not to be included in this RFA</v>
      </c>
    </row>
    <row r="403" spans="1:17" ht="10.35" hidden="1" customHeight="1">
      <c r="E403" s="32"/>
      <c r="F403" s="32"/>
      <c r="G403" s="31"/>
      <c r="H403" s="31"/>
      <c r="J403" s="905"/>
      <c r="K403" s="905"/>
    </row>
    <row r="404" spans="1:17" ht="14.45" customHeight="1">
      <c r="A404" s="93" t="str" cm="1">
        <f t="array" ref="A404">CHAR(CODE(LOOKUP(2,1/(COUNTIF(A$3:A403,"&gt;"&amp;A$3:A403&amp;"*")=0),A$3:A403))+1)</f>
        <v>b</v>
      </c>
      <c r="B404" s="2975" t="s">
        <v>1314</v>
      </c>
      <c r="C404" s="2975"/>
      <c r="D404" s="2975"/>
      <c r="E404" s="2975"/>
      <c r="F404" s="2975"/>
      <c r="G404" s="2975"/>
      <c r="H404" s="2975"/>
      <c r="I404" s="2975"/>
      <c r="J404" s="905"/>
      <c r="K404" s="905"/>
    </row>
    <row r="405" spans="1:17" ht="10.35" hidden="1" customHeight="1">
      <c r="A405" s="93"/>
      <c r="B405" s="21"/>
      <c r="C405" s="21"/>
      <c r="D405" s="21"/>
      <c r="E405" s="21"/>
      <c r="F405" s="21"/>
      <c r="G405" s="21"/>
      <c r="H405" s="21"/>
      <c r="I405" s="21"/>
      <c r="J405" s="905"/>
      <c r="K405" s="905"/>
    </row>
    <row r="406" spans="1:17" ht="44.1" hidden="1" customHeight="1">
      <c r="B406" s="91" t="str">
        <f>IF($L$407+$L$408=0,"...",1)</f>
        <v>...</v>
      </c>
      <c r="C406" s="2943" t="s">
        <v>2094</v>
      </c>
      <c r="D406" s="2943"/>
      <c r="E406" s="2943"/>
      <c r="F406" s="2943"/>
      <c r="G406" s="2943"/>
      <c r="H406" s="2943"/>
      <c r="I406" s="2943"/>
      <c r="J406" s="922"/>
      <c r="K406" s="922"/>
      <c r="N406" s="356">
        <v>0</v>
      </c>
      <c r="O406" s="905"/>
      <c r="Q406" s="821" t="s">
        <v>1315</v>
      </c>
    </row>
    <row r="407" spans="1:17" ht="17.45" hidden="1" customHeight="1">
      <c r="C407" s="803" t="str">
        <f>IF(Data1!$B758=TRUE,"Yes","No")</f>
        <v>No</v>
      </c>
      <c r="D407" s="36"/>
      <c r="E407" s="2977" t="s">
        <v>264</v>
      </c>
      <c r="F407" s="2977"/>
      <c r="G407" s="2977"/>
      <c r="H407" s="31"/>
      <c r="J407" s="922"/>
      <c r="K407" s="701"/>
      <c r="L407" s="943">
        <f>IF(N$406=0,0,IF(Data1!B759=TRUE,2,N$406))</f>
        <v>0</v>
      </c>
      <c r="M407" s="931">
        <f>IF(AND(L407&lt;&gt;0,Data1!B758=TRUE),L407,0)</f>
        <v>0</v>
      </c>
      <c r="N407" s="905" t="str">
        <f>CHOOSE(L407+1,"Not to be included in this RFA","A REQUIRED input field for this RFA","An OPTIONAL input field for this RFA")</f>
        <v>Not to be included in this RFA</v>
      </c>
    </row>
    <row r="408" spans="1:17" ht="17.45" hidden="1" customHeight="1">
      <c r="C408" s="803" t="str">
        <f>IF(Data1!$B759=TRUE,"Yes","No")</f>
        <v>No</v>
      </c>
      <c r="D408" s="36"/>
      <c r="E408" s="2977" t="s">
        <v>602</v>
      </c>
      <c r="F408" s="2977"/>
      <c r="G408" s="2977"/>
      <c r="H408" s="31"/>
      <c r="J408" s="922"/>
      <c r="K408" s="701"/>
      <c r="L408" s="943">
        <f>IF(N$406=0,0,IF(Data1!B758=TRUE,2,N$406))</f>
        <v>0</v>
      </c>
      <c r="M408" s="931">
        <f>IF(AND(L408&lt;&gt;0,Data1!B759=TRUE),L408,0)</f>
        <v>0</v>
      </c>
      <c r="N408" s="905" t="str">
        <f>CHOOSE(L408+1,"Not to be included in this RFA","A REQUIRED input field for this RFA","An OPTIONAL input field for this RFA")</f>
        <v>Not to be included in this RFA</v>
      </c>
    </row>
    <row r="409" spans="1:17" ht="10.35" hidden="1" customHeight="1">
      <c r="E409" s="32"/>
      <c r="F409" s="32"/>
      <c r="G409" s="31"/>
      <c r="H409" s="31"/>
      <c r="J409" s="905"/>
      <c r="K409" s="905"/>
    </row>
    <row r="410" spans="1:17" ht="14.45" customHeight="1">
      <c r="B410" s="91">
        <f>IF(B406="","...",MAX(B$406:B409)+1)</f>
        <v>1</v>
      </c>
      <c r="C410" s="2969" t="s">
        <v>1316</v>
      </c>
      <c r="D410" s="2969"/>
      <c r="E410" s="2969"/>
      <c r="F410" s="2969"/>
      <c r="G410" s="2969"/>
      <c r="H410" s="2969"/>
      <c r="I410" s="2969"/>
      <c r="J410" s="905"/>
      <c r="K410" s="905"/>
    </row>
    <row r="411" spans="1:17" ht="10.35" customHeight="1">
      <c r="B411" s="91"/>
      <c r="C411" s="17"/>
      <c r="D411" s="17"/>
      <c r="E411" s="17"/>
      <c r="F411" s="17"/>
      <c r="G411" s="17"/>
      <c r="H411" s="17"/>
      <c r="I411" s="17"/>
      <c r="J411" s="905"/>
      <c r="K411" s="905"/>
    </row>
    <row r="412" spans="1:17" ht="14.45" customHeight="1">
      <c r="C412" s="2806" t="s">
        <v>2864</v>
      </c>
      <c r="D412" s="2806"/>
      <c r="E412" s="2806"/>
      <c r="F412" s="2806"/>
      <c r="G412" s="2806"/>
      <c r="H412" s="2806"/>
      <c r="I412" s="2806"/>
      <c r="J412" s="922"/>
      <c r="K412" s="922"/>
    </row>
    <row r="413" spans="1:17" ht="10.35" customHeight="1">
      <c r="E413" s="32"/>
      <c r="F413" s="32"/>
      <c r="G413" s="31"/>
      <c r="H413" s="31"/>
      <c r="I413" s="1"/>
      <c r="J413" s="905"/>
      <c r="K413" s="905"/>
    </row>
    <row r="414" spans="1:17" ht="14.45" hidden="1" customHeight="1">
      <c r="C414" t="s">
        <v>1317</v>
      </c>
      <c r="E414" s="32"/>
      <c r="F414" s="32"/>
      <c r="G414" s="31"/>
      <c r="H414" s="31"/>
      <c r="I414" s="1"/>
      <c r="J414" s="905"/>
      <c r="K414" s="905"/>
      <c r="N414" s="812">
        <f>'General Information'!K67</f>
        <v>0</v>
      </c>
    </row>
    <row r="415" spans="1:17" ht="10.35" hidden="1" customHeight="1">
      <c r="E415" s="32"/>
      <c r="F415" s="32"/>
      <c r="G415" s="31"/>
      <c r="H415" s="31"/>
      <c r="I415" s="1"/>
      <c r="J415" s="905"/>
      <c r="K415" s="905"/>
    </row>
    <row r="416" spans="1:17" ht="14.45" hidden="1" customHeight="1">
      <c r="D416" t="s">
        <v>1318</v>
      </c>
      <c r="I416" s="882" t="str">
        <f>IF(Self_Sourced_Applicant="Yes","Yes",IF(Self_Sourced_Applicant="No","No","NA"))</f>
        <v>NA</v>
      </c>
      <c r="J416" s="905"/>
      <c r="K416" s="905"/>
    </row>
    <row r="417" spans="1:14" ht="10.35" hidden="1" customHeight="1">
      <c r="E417" s="32"/>
      <c r="F417" s="32"/>
      <c r="G417" s="31"/>
      <c r="H417" s="31"/>
      <c r="I417" s="1"/>
      <c r="J417" s="905"/>
      <c r="K417" s="905"/>
    </row>
    <row r="418" spans="1:14" ht="30" hidden="1" customHeight="1">
      <c r="D418" s="2943" t="s">
        <v>1319</v>
      </c>
      <c r="E418" s="2943"/>
      <c r="F418" s="2943"/>
      <c r="G418" s="2943"/>
      <c r="H418" s="2943"/>
      <c r="I418" s="2943"/>
      <c r="J418" s="905"/>
      <c r="K418" s="905"/>
    </row>
    <row r="419" spans="1:14" ht="15.6" hidden="1" customHeight="1">
      <c r="E419" s="2943"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19" s="2943"/>
      <c r="G419" s="2943"/>
      <c r="H419" s="2943"/>
      <c r="I419" s="986" t="str">
        <f>IF(I$416&lt;&gt;"Yes","",ROUNDUP(MAX(1000000,50%*N(Eligible_SAIL_Request_Amount)),2))</f>
        <v/>
      </c>
      <c r="J419" s="905"/>
      <c r="K419" s="905"/>
    </row>
    <row r="420" spans="1:14" ht="15.6" hidden="1" customHeight="1">
      <c r="E420" s="2943" t="str">
        <f>IF(Self_Sourced_Applicant&lt;&gt;"Yes","are no additional points available to be awarded.",CHAR(149)&amp;" What is the minimum contribution required to meet the 75% hurdle? (1 point)")</f>
        <v>are no additional points available to be awarded.</v>
      </c>
      <c r="F420" s="2943"/>
      <c r="G420" s="2943"/>
      <c r="H420" s="2943"/>
      <c r="I420" s="986" t="str">
        <f>IF(I$416&lt;&gt;"Yes","",ROUNDUP(MAX(1000000,75%*N(Eligible_SAIL_Request_Amount)),2))</f>
        <v/>
      </c>
      <c r="J420" s="905"/>
      <c r="K420" s="905"/>
    </row>
    <row r="421" spans="1:14" ht="15.6" hidden="1" customHeight="1">
      <c r="E421" s="2943" t="str">
        <f>IF(Self_Sourced_Applicant&lt;&gt;"Yes","",CHAR(149)&amp;" What is the minimum contribution required to meet the 100% hurdle? (2 points)")</f>
        <v/>
      </c>
      <c r="F421" s="2943"/>
      <c r="G421" s="2943"/>
      <c r="H421" s="2943"/>
      <c r="I421" s="986" t="str">
        <f>IF(I$416&lt;&gt;"Yes","",ROUNDUP(MAX(1000000,100%*N(Eligible_SAIL_Request_Amount)),2))</f>
        <v/>
      </c>
      <c r="J421" s="905"/>
      <c r="K421" s="905"/>
    </row>
    <row r="422" spans="1:14" ht="14.45" hidden="1" customHeight="1">
      <c r="D422" s="954"/>
      <c r="E422" s="2943" t="str">
        <f>IF(Self_Sourced_Applicant&lt;&gt;"Yes","",CHAR(149)&amp;" What is the amount of Self-Sourced funding entered under the Permanent Funding Sources area in the Permanent Analysis section of the Pro Forma?")</f>
        <v/>
      </c>
      <c r="F422" s="2943"/>
      <c r="G422" s="2943"/>
      <c r="H422" s="2943"/>
      <c r="I422" s="3238" t="str">
        <f>IF(I$416&lt;&gt;"Yes","",SUMIF('Pro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22" s="905"/>
      <c r="K422" s="905"/>
    </row>
    <row r="423" spans="1:14" ht="14.45" hidden="1" customHeight="1">
      <c r="D423" s="954"/>
      <c r="E423" s="2943"/>
      <c r="F423" s="2943"/>
      <c r="G423" s="2943"/>
      <c r="H423" s="2943"/>
      <c r="I423" s="3239"/>
      <c r="J423" s="905"/>
      <c r="K423" s="905"/>
    </row>
    <row r="424" spans="1:14" ht="30" hidden="1" customHeight="1">
      <c r="E424" s="6" t="s">
        <v>1320</v>
      </c>
      <c r="F424" s="32"/>
      <c r="G424" s="31"/>
      <c r="H424" s="31"/>
      <c r="I424" s="782" t="str">
        <f>IF(I$416&lt;&gt;"Yes","NA",IF(I422&gt;=I421,2,IF(I422&gt;=I420,1,IF(I422&gt;=I419,0,"Does not qualify as a Self-Sourced Application"))))</f>
        <v>NA</v>
      </c>
      <c r="J424" s="905"/>
      <c r="K424" s="905"/>
    </row>
    <row r="425" spans="1:14" ht="10.35" hidden="1" customHeight="1">
      <c r="E425" s="32"/>
      <c r="F425" s="32"/>
      <c r="G425" s="31"/>
      <c r="H425" s="31"/>
      <c r="I425" s="1"/>
      <c r="J425" s="905"/>
      <c r="K425" s="905"/>
    </row>
    <row r="426" spans="1:14" ht="14.45" customHeight="1">
      <c r="A426" s="93" t="str" cm="1">
        <f t="array" ref="A426">IF(N426=0,"",CHAR(CODE(LOOKUP(2,1/(COUNTIF(A$3:A413,"&gt;"&amp;A$3:A413&amp;"*")=0),A$3:A413))+1))</f>
        <v>c</v>
      </c>
      <c r="B426" s="2975" t="s">
        <v>1321</v>
      </c>
      <c r="C426" s="2975"/>
      <c r="D426" s="2975"/>
      <c r="E426" s="2975"/>
      <c r="F426" s="2975"/>
      <c r="G426" s="2975"/>
      <c r="H426" s="2975"/>
      <c r="I426" s="2975"/>
      <c r="J426" s="905"/>
      <c r="K426" s="905"/>
      <c r="L426"/>
      <c r="N426" s="313">
        <v>1</v>
      </c>
    </row>
    <row r="427" spans="1:14">
      <c r="B427" t="s">
        <v>1322</v>
      </c>
      <c r="J427" s="905"/>
      <c r="K427" s="905"/>
    </row>
    <row r="428" spans="1:14" ht="10.35" customHeight="1">
      <c r="J428" s="905"/>
      <c r="K428" s="905"/>
    </row>
    <row r="429" spans="1:14" ht="14.45" customHeight="1">
      <c r="A429" s="93" t="str" cm="1">
        <f t="array" ref="A429">IF(N429=0,"",CHAR(CODE(LOOKUP(2,1/(COUNTIF(A$3:A428,"&gt;"&amp;A$3:A428&amp;"*")=0),A$3:A428))+1))</f>
        <v>d</v>
      </c>
      <c r="B429" s="2975" t="s">
        <v>928</v>
      </c>
      <c r="C429" s="2975"/>
      <c r="D429" s="2975"/>
      <c r="E429" s="2975"/>
      <c r="F429" s="2975"/>
      <c r="G429" s="2975"/>
      <c r="H429" s="2975"/>
      <c r="I429" s="2975"/>
      <c r="J429" s="905"/>
      <c r="K429" s="905"/>
      <c r="L429"/>
      <c r="N429" s="313">
        <v>1</v>
      </c>
    </row>
    <row r="430" spans="1:14" ht="10.35" customHeight="1">
      <c r="A430" s="363"/>
      <c r="B430" s="17"/>
      <c r="C430" s="17"/>
      <c r="D430" s="17"/>
      <c r="E430" s="17"/>
      <c r="F430" s="17"/>
      <c r="G430" s="17"/>
      <c r="H430" s="17"/>
      <c r="I430" s="17"/>
      <c r="J430" s="905"/>
      <c r="K430" s="905"/>
      <c r="L430"/>
      <c r="M430" s="931"/>
      <c r="N430" s="905"/>
    </row>
    <row r="431" spans="1:14" ht="14.45" customHeight="1">
      <c r="B431" s="91">
        <f>IF($N$431=0,"...",1)</f>
        <v>1</v>
      </c>
      <c r="C431" s="470"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v>
      </c>
      <c r="D431" s="470"/>
      <c r="E431" s="470"/>
      <c r="F431" s="470"/>
      <c r="G431" s="470"/>
      <c r="H431" s="470"/>
      <c r="I431" s="470"/>
      <c r="J431" s="905"/>
      <c r="K431" s="905"/>
      <c r="L431"/>
      <c r="N431" s="313">
        <v>1</v>
      </c>
    </row>
    <row r="432" spans="1:14" ht="10.35" customHeight="1">
      <c r="J432" s="905"/>
      <c r="K432" s="905"/>
    </row>
    <row r="433" spans="1:14" ht="106.5" customHeight="1">
      <c r="C433" s="2806"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Request Amount; and (ii) the qualified funding proposals demonstrate Cash Funding for an amount that is equal to at least 3 percent of the sum of the Applicant’s Eligible SAIL Request Amount, the Applicant will receive preference in the funding selection process.</v>
      </c>
      <c r="D433" s="2806"/>
      <c r="E433" s="2806"/>
      <c r="F433" s="2806"/>
      <c r="G433" s="2806"/>
      <c r="H433" s="2806"/>
      <c r="I433" s="2806"/>
      <c r="J433" s="905"/>
      <c r="K433" s="905"/>
    </row>
    <row r="434" spans="1:14" ht="10.35" customHeight="1">
      <c r="J434" s="905"/>
      <c r="K434" s="905"/>
    </row>
    <row r="435" spans="1:14" ht="17.45" customHeight="1">
      <c r="C435" s="6" t="s">
        <v>1323</v>
      </c>
      <c r="I435" s="987">
        <f>IF(SUMIF('Pro Forma'!P244:P268,"Yes",'Pro Forma'!H244:H268)&gt;0,SUMIF('Pro Forma'!P244:P268,"Yes",'Pro Forma'!H244:H268),0)</f>
        <v>0</v>
      </c>
      <c r="J435" s="905"/>
      <c r="K435" s="905"/>
    </row>
    <row r="436" spans="1:14" ht="17.45" customHeight="1">
      <c r="C436" s="6" t="str">
        <f>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3 percent of the Applicant's Eligible SAIL Request Amount:</v>
      </c>
      <c r="I436" s="988">
        <f>DS_Qualifying_FAFP_Percent*CHOOSE(DS_Qualifying_FAFP_Basis_Code+1,0,SAIL_Request_Amount,SAIL_Request_Amount+Grant_Request_Amount,Grant_Request_Amount,ARP_Request_Amount,SAIL_Request_Amount+ARP_Request_Amount,Grant_Request_Amount)</f>
        <v>0</v>
      </c>
      <c r="J436" s="905"/>
      <c r="K436" s="905"/>
    </row>
    <row r="437" spans="1:14" ht="17.45" customHeight="1">
      <c r="C437" s="6" t="s">
        <v>1324</v>
      </c>
      <c r="I437" s="364" t="str">
        <f>IF(VALUE(I436)=0,"TBD",IF(VALUE(I435)&gt;=VALUE(I436),"Yes","No"))</f>
        <v>TBD</v>
      </c>
      <c r="J437" s="620"/>
      <c r="K437" s="620"/>
    </row>
    <row r="438" spans="1:14" ht="10.35" customHeight="1">
      <c r="J438" s="905"/>
      <c r="K438" s="905"/>
    </row>
    <row r="439" spans="1:14" ht="14.45" customHeight="1">
      <c r="B439" s="91">
        <f>IF($L$441=0,"...",MAX(B$431:B438)+1)</f>
        <v>2</v>
      </c>
      <c r="C439" t="s">
        <v>1325</v>
      </c>
      <c r="J439" s="905"/>
      <c r="K439" s="905"/>
    </row>
    <row r="440" spans="1:14" ht="10.35" customHeight="1">
      <c r="J440" s="905"/>
      <c r="K440" s="905"/>
    </row>
    <row r="441" spans="1:14" ht="30" customHeight="1">
      <c r="C441" s="2806" t="s">
        <v>1326</v>
      </c>
      <c r="D441" s="2806"/>
      <c r="E441" s="2806"/>
      <c r="F441" s="2806"/>
      <c r="G441" s="2806"/>
      <c r="H441" s="2806"/>
      <c r="I441" s="980" t="s">
        <v>697</v>
      </c>
      <c r="J441" s="905"/>
      <c r="K441" s="905"/>
      <c r="L441" s="953">
        <v>1</v>
      </c>
      <c r="M441" s="931">
        <f>IF(AND(L441&lt;&gt;0,AND(D439&lt;&gt;"&lt;select from menu&gt;",D439&lt;&gt;"")),L441,0)</f>
        <v>0</v>
      </c>
      <c r="N441" s="905" t="str">
        <f>IF(AND(OR(N429=0,N431=0),L441&lt;&gt;0),"ENTER A '0' IN COLUMN L IN THIS ROW",CHOOSE(L441+1,"Not to be included in this RFA","A REQUIRED RFA item","An OPTIONAL input field for this RFA"))</f>
        <v>A REQUIRED RFA item</v>
      </c>
    </row>
    <row r="442" spans="1:14" ht="10.35" customHeight="1">
      <c r="J442" s="905"/>
      <c r="K442" s="905"/>
    </row>
    <row r="443" spans="1:14" ht="17.45" customHeight="1">
      <c r="C443" t="s">
        <v>1327</v>
      </c>
      <c r="I443" s="882" t="str">
        <f>IF(OR(DonationOfLand="&lt;select from menu&gt;",DonationOfLand="No"),IF(Total_Cash_Funding_Met="Yes","Yes",IF(Total_Cash_Funding_Met="TBD","TBD","No")),DonationOfLand)</f>
        <v>TBD</v>
      </c>
      <c r="J443" s="905"/>
      <c r="K443" s="905"/>
    </row>
    <row r="444" spans="1:14" ht="10.35" customHeight="1">
      <c r="J444" s="905"/>
      <c r="K444" s="905"/>
    </row>
    <row r="445" spans="1:14" hidden="1">
      <c r="A445" s="93" t="str" cm="1">
        <f t="array" ref="A445">IF(N445=0,"",CHAR(CODE(LOOKUP(2,1/(COUNTIF(A$3:A442,"&gt;"&amp;A$3:A442&amp;"*")=0),A$3:A442))+1))</f>
        <v/>
      </c>
      <c r="B445" s="2975" t="s">
        <v>929</v>
      </c>
      <c r="C445" s="2975"/>
      <c r="D445" s="2975"/>
      <c r="E445" s="2975"/>
      <c r="F445" s="2975"/>
      <c r="G445" s="2975"/>
      <c r="H445" s="2975"/>
      <c r="I445" s="2975"/>
      <c r="J445" s="905"/>
      <c r="K445" s="905"/>
      <c r="L445"/>
      <c r="N445" s="313">
        <v>0</v>
      </c>
    </row>
    <row r="446" spans="1:14" ht="10.35" hidden="1" customHeight="1">
      <c r="A446" s="365"/>
      <c r="I446" s="21"/>
      <c r="J446" s="905"/>
      <c r="K446" s="905"/>
      <c r="L446" s="246"/>
      <c r="M446" s="931"/>
      <c r="N446" s="905"/>
    </row>
    <row r="447" spans="1:14" ht="17.45" hidden="1" customHeight="1">
      <c r="B447" s="941" t="s">
        <v>1328</v>
      </c>
      <c r="C447" s="941"/>
      <c r="I447" s="971" t="str">
        <f>IF(N445=0,"",IF(AND(Total_Corp_Funding_PSAU=0,Development_Category="&lt;select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47" s="1335"/>
      <c r="K447" s="905"/>
    </row>
    <row r="448" spans="1:14" ht="10.35" hidden="1" customHeight="1">
      <c r="J448" s="905"/>
      <c r="K448" s="905"/>
    </row>
    <row r="449" spans="1:14" ht="14.45" hidden="1" customHeight="1">
      <c r="A449" s="93" t="str" cm="1">
        <f t="array" ref="A449">IF(N449=0,"",CHAR(CODE(LOOKUP(2,1/(COUNTIF(A$3:A448,"&gt;"&amp;A$3:A448&amp;"*")=0),A$3:A448))+1))</f>
        <v/>
      </c>
      <c r="B449" s="25" t="s">
        <v>1329</v>
      </c>
      <c r="J449" s="905"/>
      <c r="K449" s="905"/>
      <c r="N449" s="313">
        <v>0</v>
      </c>
    </row>
    <row r="450" spans="1:14" ht="10.35" hidden="1" customHeight="1">
      <c r="J450" s="905"/>
      <c r="K450" s="905"/>
    </row>
    <row r="451" spans="1:14" ht="35.1" hidden="1" customHeight="1">
      <c r="B451" s="2943" t="s">
        <v>2498</v>
      </c>
      <c r="C451" s="2943"/>
      <c r="D451" s="2943"/>
      <c r="E451" s="2943"/>
      <c r="F451" s="2943"/>
      <c r="G451" s="2943"/>
      <c r="H451" s="2943"/>
      <c r="I451" s="2943"/>
      <c r="J451" s="905"/>
      <c r="K451" s="905"/>
      <c r="N451" s="821" t="s">
        <v>1810</v>
      </c>
    </row>
    <row r="452" spans="1:14" ht="10.35" hidden="1" customHeight="1">
      <c r="B452" s="47"/>
      <c r="J452" s="905"/>
      <c r="K452" s="905"/>
    </row>
    <row r="453" spans="1:14" ht="14.45" hidden="1" customHeight="1">
      <c r="B453" s="316" t="str">
        <f>IF(N$449=0,"…",1)</f>
        <v>…</v>
      </c>
      <c r="C453" s="1718" t="s">
        <v>1330</v>
      </c>
      <c r="J453" s="905"/>
      <c r="K453" s="905"/>
    </row>
    <row r="454" spans="1:14" ht="10.35" hidden="1" customHeight="1">
      <c r="J454" s="905"/>
      <c r="K454" s="905"/>
    </row>
    <row r="455" spans="1:14" ht="14.45" hidden="1" customHeight="1">
      <c r="C455" t="s">
        <v>1331</v>
      </c>
      <c r="G455" s="43" t="s">
        <v>1581</v>
      </c>
      <c r="H455" s="43" t="s">
        <v>1582</v>
      </c>
      <c r="I455" s="43" t="s">
        <v>1795</v>
      </c>
      <c r="J455" s="905"/>
      <c r="K455" s="905"/>
    </row>
    <row r="456" spans="1:14" ht="14.45" hidden="1" customHeight="1">
      <c r="C456" s="2951"/>
      <c r="D456" s="2951"/>
      <c r="E456" s="2951"/>
      <c r="F456" s="2951"/>
      <c r="G456" s="1098"/>
      <c r="H456" s="1098"/>
      <c r="I456" s="1099">
        <f>G456-H456</f>
        <v>0</v>
      </c>
      <c r="J456" s="905"/>
      <c r="K456" s="905"/>
      <c r="L456" s="929">
        <f>IF($N$116=0,0,2)</f>
        <v>0</v>
      </c>
      <c r="M456" s="931">
        <f>IF(AND(L456&lt;&gt;0,C456&lt;&gt;"",I456&lt;&gt;""),L456,0)</f>
        <v>0</v>
      </c>
      <c r="N456" s="905" t="str">
        <f>CHOOSE(L456+1,"Not to be included in this RFA","A REQUIRED RFA item","An OPTIONAL input field for this RFA")</f>
        <v>Not to be included in this RFA</v>
      </c>
    </row>
    <row r="457" spans="1:14" ht="14.45" hidden="1" customHeight="1">
      <c r="C457" s="2941"/>
      <c r="D457" s="2941"/>
      <c r="E457" s="2941"/>
      <c r="F457" s="2941"/>
      <c r="G457" s="1098"/>
      <c r="H457" s="1098"/>
      <c r="I457" s="1099">
        <f>G457-H457</f>
        <v>0</v>
      </c>
      <c r="J457" s="905"/>
      <c r="K457" s="905"/>
      <c r="L457" s="929">
        <f>IF($N$116=0,0,2)</f>
        <v>0</v>
      </c>
      <c r="M457" s="931">
        <f>IF(AND(L457&lt;&gt;0,C457&lt;&gt;"",I457&lt;&gt;""),L457,0)</f>
        <v>0</v>
      </c>
      <c r="N457" s="905" t="str">
        <f>CHOOSE(L457+1,"Not to be included in this RFA","A REQUIRED RFA item","An OPTIONAL input field for this RFA")</f>
        <v>Not to be included in this RFA</v>
      </c>
    </row>
    <row r="458" spans="1:14" ht="14.45" hidden="1" customHeight="1">
      <c r="C458" s="2941"/>
      <c r="D458" s="2941"/>
      <c r="E458" s="2941"/>
      <c r="F458" s="2941"/>
      <c r="G458" s="1098"/>
      <c r="H458" s="1098"/>
      <c r="I458" s="1099">
        <f>G458-H458</f>
        <v>0</v>
      </c>
      <c r="J458" s="905"/>
      <c r="K458" s="905"/>
      <c r="L458" s="929">
        <f>IF($N$116=0,0,2)</f>
        <v>0</v>
      </c>
      <c r="M458" s="931">
        <f>IF(AND(L458&lt;&gt;0,C458&lt;&gt;"",I458&lt;&gt;""),L458,0)</f>
        <v>0</v>
      </c>
      <c r="N458" s="905" t="str">
        <f>CHOOSE(L458+1,"Not to be included in this RFA","A REQUIRED RFA item","An OPTIONAL input field for this RFA")</f>
        <v>Not to be included in this RFA</v>
      </c>
    </row>
    <row r="459" spans="1:14" ht="14.45" hidden="1" customHeight="1">
      <c r="C459" s="2941"/>
      <c r="D459" s="2941"/>
      <c r="E459" s="2941"/>
      <c r="F459" s="2941"/>
      <c r="G459" s="1098"/>
      <c r="H459" s="1098"/>
      <c r="I459" s="1099">
        <f>G459-H459</f>
        <v>0</v>
      </c>
      <c r="J459" s="905"/>
      <c r="K459" s="905"/>
      <c r="L459" s="929">
        <f>IF($N$116=0,0,2)</f>
        <v>0</v>
      </c>
      <c r="M459" s="931">
        <f>IF(AND(L459&lt;&gt;0,C459&lt;&gt;"",I459&lt;&gt;""),L459,0)</f>
        <v>0</v>
      </c>
      <c r="N459" s="905" t="str">
        <f>CHOOSE(L459+1,"Not to be included in this RFA","A REQUIRED RFA item","An OPTIONAL input field for this RFA")</f>
        <v>Not to be included in this RFA</v>
      </c>
    </row>
    <row r="460" spans="1:14" ht="14.45" hidden="1" customHeight="1">
      <c r="C460" s="2941"/>
      <c r="D460" s="2941"/>
      <c r="E460" s="2941"/>
      <c r="F460" s="2941"/>
      <c r="G460" s="1098"/>
      <c r="H460" s="1098"/>
      <c r="I460" s="1099">
        <f>G460-H460</f>
        <v>0</v>
      </c>
      <c r="J460" s="905"/>
      <c r="K460" s="905"/>
      <c r="L460" s="929">
        <f>IF($N$116=0,0,2)</f>
        <v>0</v>
      </c>
      <c r="M460" s="931">
        <f>IF(AND(L460&lt;&gt;0,C460&lt;&gt;"",I460&lt;&gt;""),L460,0)</f>
        <v>0</v>
      </c>
      <c r="N460" s="905" t="str">
        <f>CHOOSE(L460+1,"Not to be included in this RFA","A REQUIRED RFA item","An OPTIONAL input field for this RFA")</f>
        <v>Not to be included in this RFA</v>
      </c>
    </row>
    <row r="461" spans="1:14" ht="10.35" hidden="1" customHeight="1">
      <c r="J461" s="905"/>
      <c r="K461" s="905"/>
    </row>
    <row r="462" spans="1:14" ht="14.45" hidden="1" customHeight="1">
      <c r="B462" s="316" t="str">
        <f>IF(N$449=0,"…",MAX(B$453:B461)+1)</f>
        <v>…</v>
      </c>
      <c r="C462" s="1718" t="s">
        <v>1332</v>
      </c>
      <c r="I462" s="870">
        <f>SUM(I456:I460)</f>
        <v>0</v>
      </c>
      <c r="J462" s="905"/>
      <c r="K462" s="905"/>
    </row>
    <row r="463" spans="1:14" ht="10.35" hidden="1" customHeight="1">
      <c r="J463" s="905"/>
      <c r="K463" s="905"/>
    </row>
    <row r="464" spans="1:14" ht="50.1" hidden="1" customHeight="1">
      <c r="B464" s="2943" t="s">
        <v>1333</v>
      </c>
      <c r="C464" s="2943"/>
      <c r="D464" s="2943"/>
      <c r="E464" s="2943"/>
      <c r="F464" s="2943"/>
      <c r="G464" s="2943"/>
      <c r="H464" s="2943"/>
      <c r="I464" s="2943"/>
      <c r="J464" s="905"/>
      <c r="K464" s="905"/>
    </row>
    <row r="465" spans="1:14" ht="10.35" hidden="1" customHeight="1">
      <c r="I465" s="871"/>
      <c r="J465" s="905"/>
      <c r="K465" s="905"/>
    </row>
    <row r="466" spans="1:14" ht="14.45" hidden="1" customHeight="1">
      <c r="C466" t="s">
        <v>1334</v>
      </c>
      <c r="I466" s="868">
        <f>IF(Total_Units=0,0,I155/Total_Units)</f>
        <v>0</v>
      </c>
      <c r="J466" s="905"/>
      <c r="K466" s="905"/>
    </row>
    <row r="467" spans="1:14" ht="10.35" hidden="1" customHeight="1">
      <c r="J467" s="905"/>
      <c r="K467" s="905"/>
    </row>
    <row r="468" spans="1:14" ht="14.45" hidden="1" customHeight="1">
      <c r="C468" t="s">
        <v>1335</v>
      </c>
      <c r="I468" s="867">
        <f>IF(I466&gt;50%,I462,ROUNDDOWN(I462*I466,2))</f>
        <v>0</v>
      </c>
      <c r="J468" s="905"/>
      <c r="K468" s="905"/>
    </row>
    <row r="469" spans="1:14" ht="10.35" hidden="1" customHeight="1">
      <c r="J469" s="905"/>
      <c r="K469" s="905"/>
    </row>
    <row r="470" spans="1:14" ht="14.45" hidden="1" customHeight="1">
      <c r="B470" s="88"/>
      <c r="C470" t="s">
        <v>1336</v>
      </c>
      <c r="I470" s="867">
        <f>Eligible_HOME_Request_Amount</f>
        <v>0</v>
      </c>
      <c r="J470" s="905"/>
      <c r="K470" s="905"/>
    </row>
    <row r="471" spans="1:14" ht="10.35" hidden="1" customHeight="1">
      <c r="J471" s="905"/>
      <c r="K471" s="905"/>
    </row>
    <row r="472" spans="1:14" ht="14.45" hidden="1" customHeight="1">
      <c r="B472" s="88"/>
      <c r="C472" t="s">
        <v>1337</v>
      </c>
      <c r="I472" s="863">
        <f>IF(I470=0,0,I468/I470)</f>
        <v>0</v>
      </c>
      <c r="J472" s="905"/>
      <c r="K472" s="905"/>
    </row>
    <row r="473" spans="1:14" ht="10.35" hidden="1" customHeight="1">
      <c r="J473" s="905"/>
      <c r="K473" s="905"/>
    </row>
    <row r="474" spans="1:14">
      <c r="A474" s="93" t="str" cm="1">
        <f t="array" ref="A474">IF(SUM(L477:L480)=0,"",CHAR(CODE(LOOKUP(2,1/(COUNTIF(A$3:A473,"&gt;"&amp;A$3:A473&amp;"*")=0),A$3:A473))+1))</f>
        <v>e</v>
      </c>
      <c r="B474" s="2975" t="s">
        <v>1338</v>
      </c>
      <c r="C474" s="2975"/>
      <c r="D474" s="2975"/>
      <c r="E474" s="2975"/>
      <c r="F474" s="2975"/>
      <c r="G474" s="2975"/>
      <c r="H474" s="2975"/>
      <c r="I474" s="2975"/>
      <c r="J474" s="905"/>
      <c r="K474" s="905"/>
    </row>
    <row r="475" spans="1:14" ht="10.35" customHeight="1">
      <c r="B475" s="941"/>
      <c r="C475" s="941"/>
      <c r="J475" s="905"/>
      <c r="K475" s="905"/>
    </row>
    <row r="476" spans="1:14" ht="65.099999999999994" customHeight="1">
      <c r="B476" s="91">
        <f>IF(L477&gt;0,1,"")</f>
        <v>1</v>
      </c>
      <c r="C476" s="2943" t="s">
        <v>1339</v>
      </c>
      <c r="D476" s="2943"/>
      <c r="E476" s="2943"/>
      <c r="F476" s="2943"/>
      <c r="G476" s="2943"/>
      <c r="H476" s="2943"/>
      <c r="I476" s="2943"/>
      <c r="J476" s="905"/>
      <c r="K476" s="905"/>
    </row>
    <row r="477" spans="1:14" ht="17.45" customHeight="1">
      <c r="B477" s="1"/>
      <c r="C477" s="1"/>
      <c r="D477" s="3008" t="s">
        <v>697</v>
      </c>
      <c r="E477" s="3008"/>
      <c r="F477" s="3008"/>
      <c r="G477" s="2977"/>
      <c r="H477" s="2977"/>
      <c r="I477" s="2977"/>
      <c r="J477" s="905"/>
      <c r="K477" s="905"/>
      <c r="L477" s="953">
        <v>2</v>
      </c>
      <c r="M477" s="931">
        <f>IF(AND(L477&lt;&gt;0,AND(D477&lt;&gt;"&lt;select from menu&gt;",D477&lt;&gt;"")),L477,0)</f>
        <v>0</v>
      </c>
      <c r="N477" s="905" t="str">
        <f>CHOOSE(L477+1,"Not to be included in this RFA","A REQUIRED input field for this RFA","An OPTIONAL input field for this RFA")</f>
        <v>An OPTIONAL input field for this RFA</v>
      </c>
    </row>
    <row r="478" spans="1:14" ht="10.35" customHeight="1">
      <c r="B478" s="1"/>
      <c r="C478" s="1"/>
      <c r="E478" s="51"/>
      <c r="F478" s="51"/>
      <c r="J478" s="905"/>
      <c r="K478" s="905"/>
    </row>
    <row r="479" spans="1:14" ht="35.1" customHeight="1">
      <c r="B479" s="91">
        <f>MAX(B$476:B478)+1</f>
        <v>2</v>
      </c>
      <c r="C479" s="2943" t="s">
        <v>1340</v>
      </c>
      <c r="D479" s="2943"/>
      <c r="E479" s="2943"/>
      <c r="F479" s="2943"/>
      <c r="G479" s="2943"/>
      <c r="H479" s="2943"/>
      <c r="I479" s="2943"/>
      <c r="J479" s="905"/>
      <c r="K479" s="905"/>
    </row>
    <row r="480" spans="1:14" ht="17.45" customHeight="1">
      <c r="B480" s="1"/>
      <c r="C480" s="1"/>
      <c r="D480" s="3008" t="s">
        <v>697</v>
      </c>
      <c r="E480" s="3008"/>
      <c r="F480" s="3008"/>
      <c r="G480" s="2977"/>
      <c r="H480" s="2977"/>
      <c r="I480" s="2977"/>
      <c r="J480" s="905"/>
      <c r="K480" s="905"/>
      <c r="L480" s="953">
        <v>2</v>
      </c>
      <c r="M480" s="931">
        <f>IF(AND(L480&lt;&gt;0,AND(D480&lt;&gt;"&lt;select from menu&gt;",D480&lt;&gt;"")),L480,0)</f>
        <v>0</v>
      </c>
      <c r="N480" s="905" t="str">
        <f>CHOOSE(L480+1,"Not to be included in this RFA","A REQUIRED input field for this RFA","An OPTIONAL input field for this RFA")</f>
        <v>An OPTIONAL input field for this RFA</v>
      </c>
    </row>
    <row r="481" spans="1:17" ht="10.35" customHeight="1">
      <c r="J481" s="905"/>
      <c r="K481" s="905"/>
    </row>
    <row r="482" spans="1:17" ht="35.1" customHeight="1">
      <c r="B482" s="2101"/>
      <c r="C482" s="2943" t="str">
        <f>"If a Public Housing Authority has "&amp;IF(AND(M477&gt;0,M480&gt;0),"one of the above-described relationships","the above relationship")&amp;" with the Applicant, state the name of the Public Housing Authority."</f>
        <v>If a Public Housing Authority has the above relationship with the Applicant, state the name of the Public Housing Authority.</v>
      </c>
      <c r="D482" s="2943"/>
      <c r="E482" s="2943"/>
      <c r="F482" s="2943"/>
      <c r="G482" s="2943"/>
      <c r="H482" s="2943"/>
      <c r="I482" s="2943"/>
      <c r="J482" s="905"/>
      <c r="K482" s="905"/>
    </row>
    <row r="483" spans="1:17" ht="17.45" customHeight="1">
      <c r="D483" s="3266"/>
      <c r="E483" s="3266"/>
      <c r="F483" s="3266"/>
      <c r="G483" s="3266"/>
      <c r="H483" s="3266"/>
      <c r="I483" s="3266"/>
      <c r="J483" s="905"/>
      <c r="K483" s="905"/>
      <c r="L483" s="953">
        <v>2</v>
      </c>
      <c r="M483" s="931">
        <f>IF(AND(L483&lt;&gt;0,D483&lt;&gt;""),L483,0)</f>
        <v>0</v>
      </c>
      <c r="N483" s="905" t="str">
        <f>CHOOSE(L483+1,"Not to be included in this RFA","A REQUIRED input field for this RFA","An OPTIONAL input field for this RFA")</f>
        <v>An OPTIONAL input field for this RFA</v>
      </c>
    </row>
    <row r="484" spans="1:17" ht="10.35" customHeight="1">
      <c r="J484" s="905"/>
      <c r="K484" s="905"/>
    </row>
    <row r="485" spans="1:17" ht="20.100000000000001" hidden="1" customHeight="1">
      <c r="B485" s="91">
        <f>MAX(B$476:B484)+1</f>
        <v>3</v>
      </c>
      <c r="C485" s="2943" t="s">
        <v>2087</v>
      </c>
      <c r="D485" s="2943"/>
      <c r="E485" s="2943"/>
      <c r="F485" s="2943"/>
      <c r="G485" s="2943"/>
      <c r="H485" s="2943"/>
      <c r="I485" s="2943"/>
      <c r="J485" s="1430"/>
      <c r="K485" s="1430"/>
    </row>
    <row r="486" spans="1:17" ht="17.45" hidden="1" customHeight="1">
      <c r="D486" s="3008" t="s">
        <v>697</v>
      </c>
      <c r="E486" s="3008"/>
      <c r="F486" s="3008"/>
      <c r="J486" s="1430"/>
      <c r="K486" s="1430"/>
      <c r="L486" s="1433">
        <v>0</v>
      </c>
      <c r="M486" s="1431">
        <f>IF(AND(L486&lt;&gt;0,AND(D486&lt;&gt;"&lt;select from menu&gt;",D486&lt;&gt;"")),L486,0)</f>
        <v>0</v>
      </c>
      <c r="N486" s="1430" t="str">
        <f>CHOOSE(L486+1,"Not to be included in this RFA","A REQUIRED input field for this RFA","An OPTIONAL input field for this RFA")</f>
        <v>Not to be included in this RFA</v>
      </c>
    </row>
    <row r="487" spans="1:17" ht="50.1" hidden="1" customHeight="1">
      <c r="D487" s="3288" t="str">
        <f>IF(AND(HUD_CNI_Goal="Yes",PHA_Name=""),"One of the qualifications for this goal is that the PHA named in in (2) above or its instrumentality must have been a recipient of the "&amp;"HUD Choice Neighborhoods Implementation Grant funding commitment issued by HUD no earlier than December 31, 2019.  State the name of the PHA or its instrumentality in (2) above.","")</f>
        <v/>
      </c>
      <c r="E487" s="3288"/>
      <c r="F487" s="3288"/>
      <c r="G487" s="3288"/>
      <c r="H487" s="3288"/>
      <c r="I487" s="3288"/>
      <c r="J487" s="1430"/>
      <c r="K487" s="1430"/>
    </row>
    <row r="488" spans="1:17" ht="14.45" hidden="1" customHeight="1">
      <c r="A488" s="93" t="str" cm="1">
        <f t="array" ref="A488">IF(L488=0,"",CHAR(CODE(LOOKUP(2,1/(COUNTIF(A$3:A480,"&gt;"&amp;A$3:A480&amp;"*")=0),A$3:A480))+1))</f>
        <v/>
      </c>
      <c r="B488" s="21" t="s">
        <v>1341</v>
      </c>
      <c r="J488" s="905"/>
      <c r="K488" s="905"/>
      <c r="L488" s="953">
        <v>0</v>
      </c>
      <c r="M488" s="931">
        <f>IF(AND(L488&lt;&gt;0,D488&lt;&gt;""),L488,0)</f>
        <v>0</v>
      </c>
      <c r="N488" s="905" t="str">
        <f>CHOOSE(L488+1,"Not to be included in this RFA","A REQUIRED input field for this RFA","An OPTIONAL input field for this RFA")</f>
        <v>Not to be included in this RFA</v>
      </c>
    </row>
    <row r="489" spans="1:17" ht="10.35" hidden="1" customHeight="1">
      <c r="J489" s="905"/>
      <c r="K489" s="905"/>
    </row>
    <row r="490" spans="1:17" ht="17.45" hidden="1" customHeight="1">
      <c r="B490" s="6" t="s">
        <v>1342</v>
      </c>
      <c r="I490" s="980" t="s">
        <v>697</v>
      </c>
      <c r="J490" s="905"/>
      <c r="K490" s="905"/>
    </row>
    <row r="491" spans="1:17" ht="10.35" hidden="1" customHeight="1">
      <c r="J491" s="905"/>
      <c r="K491" s="905"/>
    </row>
    <row r="492" spans="1:17">
      <c r="A492" s="93" t="str" cm="1">
        <f t="array" ref="A492">IF(N492=0,"",CHAR(CODE(LOOKUP(2,1/(COUNTIF(A$3:A491,"&gt;"&amp;A$3:A491&amp;"*")=0),A$3:A491))+1))</f>
        <v>f</v>
      </c>
      <c r="B492" s="87" t="s">
        <v>1343</v>
      </c>
      <c r="C492" s="87"/>
      <c r="D492" s="87"/>
      <c r="E492" s="87"/>
      <c r="F492" s="6"/>
      <c r="G492" s="6"/>
      <c r="H492" s="6"/>
      <c r="I492" s="6"/>
      <c r="M492" s="931"/>
      <c r="N492" s="313">
        <v>1</v>
      </c>
    </row>
    <row r="493" spans="1:17" ht="35.1" customHeight="1">
      <c r="B493" s="2960" t="str">
        <f>IF(O526&gt;0,"The Request Amount"&amp;IF(O$526&gt;1,"s","")&amp;" for the "&amp;IF(O496&gt;0,"Competitive Housing Credit","")&amp;IF(AND(O496=1,O$526&gt;1,SUM(O497:O$520)&gt;1,SUM(O$496:O496)&gt;0),", ",IF(AND(O496=1,O$526&gt;1,SUM(O497:O$525)=1,SUM(O$496:O496)&gt;0)," and ",""))&amp;IF(O499&gt;0,"Workforce","")&amp;IF(AND(O499=1,O$526&gt;1,SUM(O500:O$525)&gt;1,SUM(O$496:O499)&gt;0),", ",IF(AND(O499=1,O$526&gt;1,SUM(O500:O$525)=1,SUM(O$496:O499)&gt;0)," and ",""))&amp;IF(O503&gt;0,"SAIL","")&amp;IF(AND(O503=1,O$526&gt;1,SUM(O504:O$525)&gt;1,SUM(O$496:O503)&gt;0),", ",IF(AND(O503=1,O$526&gt;1,SUM(O504:O$525)=1,SUM(O$496:O503)&gt;0)," and ",""))&amp;IF(O508&gt;0,"RRLP","")&amp;IF(AND(O508=1,O$526&gt;1,SUM(O509:O$525)&gt;1,SUM(O$496:O508)&gt;0),", ",IF(AND(O508=1,O$526&gt;1,SUM(O509:O$525)=1,SUM(O$496:O508)&gt;0)," and ",""))&amp;IF(O512&gt;0,"HOME","")&amp;IF(AND(O512=1,O$526&gt;1,SUM(O513:O$525)&gt;1,SUM(O$496:O512)&gt;0),", ",IF(AND(O512=1,O$526&gt;1,SUM(O513:O$525)=1,SUM(O$496:O512)&gt;0)," and ",""))&amp;IF(O516&gt;0,"HOME-ARP","")&amp;IF(AND(O516=1,O$526&gt;1,SUM(O517:O$525)&gt;1,SUM(O$496:O516)&gt;0),", ",IF(AND(O516=1,O$526&gt;1,SUM(O517:O$525)=1,SUM(O$496:O516)&gt;0)," and ",""))&amp;IF(O518&gt;0,"Grant","")&amp;IF(AND(O518=1,O$526&gt;1,SUM(O519:O$525)&gt;1,SUM(O$496:O518)&gt;0),", ",IF(AND(O518=1,O$526&gt;1,SUM(O519:O$525)=1,SUM(O$496:O518)&gt;0),", ",""))&amp;IF(O520&gt;0,"NHTF","")&amp;IF(AND(O520=1,O$526&gt;1,SUM(O521:O$525)&gt;1,SUM(O$496:O520)&gt;0),", ",IF(AND(O520=1,O$526&gt;1,SUM(O521:O$525)=1,SUM(O$496:O520)&gt;0)," and ",""))&amp;IF(O522&gt;0,"CDBG-DR","")&amp;" source"&amp;IF(O$526&gt;1,"s","")&amp;" ha"&amp;IF(O526&gt;1,"ve","s")&amp;" been reduced to the maximum eligible amount"&amp;IF(SUM(O496:O525)&gt;1,"s","")&amp;".","")</f>
        <v/>
      </c>
      <c r="C493" s="2960"/>
      <c r="D493" s="2960"/>
      <c r="E493" s="2960"/>
      <c r="F493" s="2960"/>
      <c r="G493" s="2960"/>
      <c r="H493" s="2960"/>
      <c r="I493" s="2960"/>
    </row>
    <row r="494" spans="1:17" ht="30" customHeight="1">
      <c r="B494" s="2806" t="s">
        <v>1344</v>
      </c>
      <c r="C494" s="2806"/>
      <c r="D494" s="2806"/>
      <c r="E494" s="2806"/>
      <c r="F494" s="2806"/>
      <c r="G494" s="2806"/>
      <c r="H494" s="2806"/>
      <c r="I494" s="2806"/>
    </row>
    <row r="495" spans="1:17" ht="10.35" customHeight="1"/>
    <row r="496" spans="1:17" ht="17.45" customHeight="1">
      <c r="B496" s="316">
        <f>IF($N$496=0,"...",1)</f>
        <v>1</v>
      </c>
      <c r="C496" s="6" t="s">
        <v>1345</v>
      </c>
      <c r="I496" s="977">
        <f>IF(N496=0,0,1)*N(Eligible_Competitive_HC_Request_Amount)</f>
        <v>0</v>
      </c>
      <c r="N496" s="313">
        <v>1</v>
      </c>
      <c r="O496" s="899">
        <f>IF(N496=0,0,IF(AND(L298&gt;0,N(Eligible_Competitive_HC_Request_Amount)&lt;N(Competitive_HC_Request_Amount)),1,0))</f>
        <v>0</v>
      </c>
      <c r="P496" s="931"/>
      <c r="Q496" s="905"/>
    </row>
    <row r="497" spans="2:17" ht="17.45" customHeight="1">
      <c r="B497" s="6"/>
      <c r="C497" s="334" t="str">
        <f>"The Eligible Housing Credit Request Amount is multiplied by "&amp;TEXT(IF($N497=0,1,DS_Lev_MP_HC),"0.0")</f>
        <v>The Eligible Housing Credit Request Amount is multiplied by 8.5</v>
      </c>
      <c r="D497" s="335"/>
      <c r="E497" s="335"/>
      <c r="F497" s="335"/>
      <c r="G497" s="335"/>
      <c r="H497" s="335"/>
      <c r="I497" s="332">
        <f>I496*IF($N497=0,1,DS_Lev_MP_HC)</f>
        <v>0</v>
      </c>
      <c r="N497" s="313">
        <v>1</v>
      </c>
      <c r="P497" s="931"/>
      <c r="Q497" s="905"/>
    </row>
    <row r="498" spans="2:17" ht="10.35" customHeight="1">
      <c r="B498" s="6"/>
      <c r="C498" s="6"/>
      <c r="I498" s="332"/>
      <c r="N498" s="905"/>
      <c r="P498" s="931"/>
      <c r="Q498" s="905"/>
    </row>
    <row r="499" spans="2:17" ht="17.45" hidden="1" customHeight="1">
      <c r="B499" s="316" t="str">
        <f>IF($N499=0,"...",MAX(B$496:B498)+1)</f>
        <v>...</v>
      </c>
      <c r="C499" s="276" t="s">
        <v>1346</v>
      </c>
      <c r="I499" s="311">
        <f>IF(N499=0,0,1)*N(Eligible_Workforce_Request_Amount)</f>
        <v>0</v>
      </c>
      <c r="N499" s="313">
        <v>0</v>
      </c>
      <c r="O499" s="899">
        <f>IF(N499=0,0,IF(AND(N4&gt;0,N(Eligible_Workforce_Request_Amount)&lt;N(Workforce_Request_Amount)),1,0))</f>
        <v>0</v>
      </c>
      <c r="P499" s="931"/>
      <c r="Q499" s="905"/>
    </row>
    <row r="500" spans="2:17" ht="17.45" hidden="1" customHeight="1">
      <c r="B500" s="6"/>
      <c r="C500" s="333" t="s">
        <v>1347</v>
      </c>
      <c r="D500" s="275"/>
      <c r="E500" s="275"/>
      <c r="F500" s="275"/>
      <c r="G500" s="275"/>
      <c r="H500" s="275"/>
      <c r="I500" s="563"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500=0,"NA","No"))</f>
        <v>Yes</v>
      </c>
      <c r="J500" s="1329"/>
      <c r="N500" s="313">
        <v>1</v>
      </c>
      <c r="P500" s="931"/>
      <c r="Q500" s="905"/>
    </row>
    <row r="501" spans="2:17" ht="17.45" hidden="1" customHeight="1">
      <c r="B501" s="6"/>
      <c r="C501" s="334" t="str">
        <f>"If the proposed Development qualifies for a Housing Credit basis boost, multiply by "&amp;TEXT(IF(OR($N500=0,$N499=0),1,DS_Lev_MP_Loan),"0.00")</f>
        <v>If the proposed Development qualifies for a Housing Credit basis boost, multiply by 1.00</v>
      </c>
      <c r="D501" s="335"/>
      <c r="E501" s="335"/>
      <c r="F501" s="335"/>
      <c r="G501" s="335"/>
      <c r="H501" s="335"/>
      <c r="I501" s="325">
        <f>I499*IF(I500="Yes",IF(OR($N500=0,$N499=0),1,DS_Lev_MP_Loan),1)</f>
        <v>0</v>
      </c>
      <c r="J501" s="1329"/>
      <c r="N501" s="905"/>
      <c r="P501" s="931"/>
      <c r="Q501" s="905"/>
    </row>
    <row r="502" spans="2:17" ht="10.35" hidden="1" customHeight="1">
      <c r="B502" s="6"/>
      <c r="C502" s="6"/>
      <c r="I502" s="311"/>
      <c r="J502" s="1329"/>
      <c r="N502" s="905"/>
      <c r="P502" s="931"/>
      <c r="Q502" s="905"/>
    </row>
    <row r="503" spans="2:17" ht="17.45" customHeight="1">
      <c r="B503" s="316">
        <f>IF($N503=0,"...",MAX(B$496:B502)+1)</f>
        <v>2</v>
      </c>
      <c r="C503" s="276" t="s">
        <v>1348</v>
      </c>
      <c r="D503" s="271"/>
      <c r="E503" s="271"/>
      <c r="F503" s="271"/>
      <c r="G503" s="271"/>
      <c r="H503" s="271"/>
      <c r="I503" s="977">
        <f>IF(N503=0,0,1)*N(Eligible_SAIL_Request_Amount)</f>
        <v>0</v>
      </c>
      <c r="J503" s="1329"/>
      <c r="N503" s="313">
        <v>1</v>
      </c>
      <c r="O503" s="899">
        <f>IF(N503=0,0,IF(AND(N19&gt;0,N(Eligible_SAIL_Request_Amount)&lt;N(SAIL_Request_Amount)),1,0))</f>
        <v>0</v>
      </c>
      <c r="P503" s="931"/>
      <c r="Q503" s="905"/>
    </row>
    <row r="504" spans="2:17" ht="17.45" hidden="1" customHeight="1">
      <c r="B504" s="316"/>
      <c r="C504" s="6" t="s">
        <v>1347</v>
      </c>
      <c r="I504" s="364"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504=0,"NA","No"))</f>
        <v>Yes</v>
      </c>
      <c r="J504" s="1329"/>
      <c r="N504" s="313">
        <v>0</v>
      </c>
      <c r="P504" s="931"/>
      <c r="Q504" s="813" t="s">
        <v>1349</v>
      </c>
    </row>
    <row r="505" spans="2:17" ht="17.45" hidden="1" customHeight="1">
      <c r="B505" s="316"/>
      <c r="C505" s="334" t="str">
        <f>IF(I504="No","There is no Housing Credit basis boost leveraging factor for the proposed Development.","The proposed Development qualifies for a Housing Credit basis boost, multiply by "&amp;TEXT(IF(OR($N503=0,$N504=0),1,DS_Lev_MP_Loan),"0.00")&amp;".")</f>
        <v>The proposed Development qualifies for a Housing Credit basis boost, multiply by 1.00.</v>
      </c>
      <c r="D505" s="335"/>
      <c r="E505" s="335"/>
      <c r="F505" s="335"/>
      <c r="G505" s="335"/>
      <c r="H505" s="335"/>
      <c r="I505" s="332">
        <f>I503*IF(I504="Yes",IF(OR($N503=0,$N504=0),1,DS_Lev_MP_Loan),1)</f>
        <v>0</v>
      </c>
      <c r="J505" s="1329"/>
      <c r="N505" s="905"/>
      <c r="P505" s="905"/>
      <c r="Q505" s="905"/>
    </row>
    <row r="506" spans="2:17" ht="17.45" hidden="1" customHeight="1">
      <c r="B506" s="316"/>
      <c r="C506" s="1502" t="str">
        <f>"Multiply the resulting amount by the Live Local Levaraging Multiplier of "&amp;TEXT(IF(N506=0,1,IF(OR(DS_SAIL_ELI_Inclusive_PD="Yes",DS_SAIL_ELI_Inclusive_PU="Yes"),Data3!L95,Data3!K95)),"0.0000000")</f>
        <v>Multiply the resulting amount by the Live Local Levaraging Multiplier of 1.0000000</v>
      </c>
      <c r="D506" s="1456"/>
      <c r="E506" s="1456"/>
      <c r="F506" s="1456"/>
      <c r="G506" s="1456"/>
      <c r="H506" s="1456"/>
      <c r="I506" s="2069">
        <f>I505*IF(N506=0,1,IF(OR(DS_SAIL_ELI_Inclusive_PD="Yes",DS_SAIL_ELI_Inclusive_PU="Yes"),Data3!L95,Data3!K95))</f>
        <v>0</v>
      </c>
      <c r="J506" s="1329"/>
      <c r="K506" s="1329"/>
      <c r="L506" s="1357"/>
      <c r="M506" s="1329"/>
      <c r="N506" s="313">
        <v>0</v>
      </c>
      <c r="P506" s="1758"/>
      <c r="Q506" s="2378"/>
    </row>
    <row r="507" spans="2:17" ht="10.35" customHeight="1" thickBot="1">
      <c r="B507" s="316"/>
      <c r="C507" s="6"/>
      <c r="I507" s="332"/>
      <c r="J507" s="1329"/>
      <c r="N507" s="905"/>
      <c r="P507" s="931"/>
      <c r="Q507" s="905"/>
    </row>
    <row r="508" spans="2:17" ht="17.45" hidden="1" customHeight="1">
      <c r="B508" s="316" t="str">
        <f>IF($N508=0,"...",MAX(B$496:B507)+1)</f>
        <v>...</v>
      </c>
      <c r="C508" s="276" t="s">
        <v>1953</v>
      </c>
      <c r="D508" s="271"/>
      <c r="E508" s="271"/>
      <c r="F508" s="271"/>
      <c r="G508" s="271"/>
      <c r="H508" s="271"/>
      <c r="I508" s="977" cm="1">
        <f t="array" ref="I508">IF(N508=0,0,1)*N(Eligible_RRLP_Base_Request_Amount)</f>
        <v>0</v>
      </c>
      <c r="J508" s="1329"/>
      <c r="N508" s="313">
        <v>0</v>
      </c>
      <c r="O508" s="899" cm="1">
        <f t="array" ref="O508">IF(N508=0,0,IF(AND(N69&gt;0,N(Eligible_RRLP_Base_Request_Amount)&lt;N(RRLP_Base_Request_Amount)),1,0))</f>
        <v>0</v>
      </c>
      <c r="P508" s="931"/>
      <c r="Q508" s="2378"/>
    </row>
    <row r="509" spans="2:17" ht="17.45" hidden="1" customHeight="1">
      <c r="B509" s="316"/>
      <c r="C509" s="333" t="s">
        <v>1347</v>
      </c>
      <c r="D509" s="275"/>
      <c r="E509" s="275"/>
      <c r="F509" s="275"/>
      <c r="G509" s="275"/>
      <c r="H509" s="275"/>
      <c r="I509" s="364"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509=0,"NA","No"))</f>
        <v>Yes</v>
      </c>
      <c r="J509" s="1329"/>
      <c r="N509" s="313">
        <v>1</v>
      </c>
      <c r="P509" s="931"/>
      <c r="Q509" s="905"/>
    </row>
    <row r="510" spans="2:17" ht="17.45" hidden="1" customHeight="1">
      <c r="B510" s="316"/>
      <c r="C510" s="334" t="str">
        <f>"If the proposed Development qualifies for a Housing Credit basis boost, multiply by "&amp;TEXT(IF(OR($N508=0,$N509=0),1,DS_Lev_MP_Loan),"0.00")</f>
        <v>If the proposed Development qualifies for a Housing Credit basis boost, multiply by 1.00</v>
      </c>
      <c r="D510" s="335"/>
      <c r="E510" s="335"/>
      <c r="F510" s="335"/>
      <c r="G510" s="335"/>
      <c r="H510" s="335"/>
      <c r="I510" s="325">
        <f>I508*IF(I509="Yes",IF(OR($N508=0,$N509=0),1,DS_Lev_MP_Loan),1)</f>
        <v>0</v>
      </c>
      <c r="J510" s="1329"/>
      <c r="N510" s="905"/>
      <c r="P510" s="931"/>
      <c r="Q510" s="905"/>
    </row>
    <row r="511" spans="2:17" ht="10.35" hidden="1" customHeight="1">
      <c r="B511" s="316"/>
      <c r="C511" s="6"/>
      <c r="I511" s="311"/>
      <c r="J511" s="1329"/>
      <c r="N511" s="905"/>
      <c r="P511" s="931"/>
      <c r="Q511" s="905"/>
    </row>
    <row r="512" spans="2:17" ht="17.45" hidden="1" customHeight="1">
      <c r="B512" s="316" t="str">
        <f>IF($N512=0,"...",MAX(B$496:B511)+1)</f>
        <v>...</v>
      </c>
      <c r="C512" s="276" t="s">
        <v>1350</v>
      </c>
      <c r="D512" s="271"/>
      <c r="E512" s="271"/>
      <c r="F512" s="271"/>
      <c r="G512" s="271"/>
      <c r="H512" s="271"/>
      <c r="I512" s="977">
        <f>IF(N512=0,0,1)*N(Eligible_HOME_Request_Amount)</f>
        <v>0</v>
      </c>
      <c r="J512" s="1329"/>
      <c r="N512" s="313">
        <v>0</v>
      </c>
      <c r="O512" s="899">
        <f>IF(N512=0,0,IF(AND(N116&gt;0,N(Eligible_HOME_Request_Amount)&lt;N(HOME_Request_Amount)),1,0))</f>
        <v>0</v>
      </c>
      <c r="P512" s="931"/>
      <c r="Q512" s="905"/>
    </row>
    <row r="513" spans="2:17" ht="17.45" hidden="1" customHeight="1">
      <c r="B513" s="316"/>
      <c r="C513" s="6" t="s">
        <v>1347</v>
      </c>
      <c r="I513" s="364"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513=0,"NA","No"))</f>
        <v>Yes</v>
      </c>
      <c r="J513" s="1329"/>
      <c r="N513" s="313">
        <v>1</v>
      </c>
      <c r="P513" s="931"/>
      <c r="Q513" s="905"/>
    </row>
    <row r="514" spans="2:17" ht="17.45" hidden="1" customHeight="1">
      <c r="B514" s="316"/>
      <c r="C514" s="334" t="str">
        <f>"If the proposed Development qualifies for a Housing Credit basis boost, multiply by "&amp;TEXT(IF(OR($N512=0,$N513=0),1,DS_Lev_MP_Loan),"0.00")</f>
        <v>If the proposed Development qualifies for a Housing Credit basis boost, multiply by 1.00</v>
      </c>
      <c r="D514" s="335"/>
      <c r="E514" s="335"/>
      <c r="F514" s="335"/>
      <c r="G514" s="335"/>
      <c r="H514" s="335"/>
      <c r="I514" s="325">
        <f>I512*IF(I513="Yes",IF(OR($N512=0,$N513=0),1,DS_Lev_MP_Loan),1)</f>
        <v>0</v>
      </c>
      <c r="N514" s="905"/>
      <c r="P514" s="931"/>
      <c r="Q514" s="905"/>
    </row>
    <row r="515" spans="2:17" ht="10.35" hidden="1" customHeight="1">
      <c r="B515" s="316"/>
      <c r="C515" s="6"/>
      <c r="I515" s="311"/>
      <c r="N515" s="905"/>
      <c r="P515" s="931"/>
      <c r="Q515" s="905"/>
    </row>
    <row r="516" spans="2:17" ht="17.45" hidden="1" customHeight="1">
      <c r="B516" s="316" t="str">
        <f>IF($N516=0,"...",MAX(B$496:B515)+1)</f>
        <v>...</v>
      </c>
      <c r="C516" s="276" t="s">
        <v>1351</v>
      </c>
      <c r="D516" s="271"/>
      <c r="E516" s="271"/>
      <c r="F516" s="271"/>
      <c r="G516" s="271"/>
      <c r="H516" s="271"/>
      <c r="I516" s="977">
        <f>IF(N516=0,0,1)*N(Eligible_ARP_Request_Amount)</f>
        <v>0</v>
      </c>
      <c r="N516" s="313">
        <v>0</v>
      </c>
      <c r="O516" s="899">
        <f>IF(N516=0,0,IF(AND(N192&gt;0,N(Eligible_ARP_Request_Amount)&lt;N(ARP_Request_Amount)),1,0))</f>
        <v>0</v>
      </c>
      <c r="P516" s="931"/>
      <c r="Q516" s="905"/>
    </row>
    <row r="517" spans="2:17" ht="10.35" hidden="1" customHeight="1">
      <c r="B517" s="316"/>
      <c r="C517" s="6"/>
      <c r="I517" s="311"/>
      <c r="N517" s="905"/>
      <c r="P517" s="931"/>
      <c r="Q517" s="905"/>
    </row>
    <row r="518" spans="2:17" ht="17.45" hidden="1" customHeight="1">
      <c r="B518" s="316" t="str">
        <f>IF($N518=0,"...",MAX(B$496:B517)+1)</f>
        <v>...</v>
      </c>
      <c r="C518" s="276" t="s">
        <v>1352</v>
      </c>
      <c r="D518" s="271"/>
      <c r="E518" s="271"/>
      <c r="F518" s="271"/>
      <c r="G518" s="271"/>
      <c r="H518" s="271"/>
      <c r="I518" s="977">
        <f>IF(N518=0,0,1)*N(Eligible_Grant_Request_Amount)</f>
        <v>0</v>
      </c>
      <c r="N518" s="313">
        <v>0</v>
      </c>
      <c r="O518" s="899">
        <f>IF(N518=0,0,IF(AND(N205&gt;0,N(Eligible_Grant_Request_Amount)&lt;N(Grant_Request_Amount)),1,0))</f>
        <v>0</v>
      </c>
      <c r="P518" s="931"/>
      <c r="Q518" s="905"/>
    </row>
    <row r="519" spans="2:17" ht="10.35" hidden="1" customHeight="1">
      <c r="B519" s="316"/>
      <c r="C519" s="6"/>
      <c r="I519" s="311"/>
      <c r="N519" s="905"/>
      <c r="P519" s="931"/>
      <c r="Q519" s="905"/>
    </row>
    <row r="520" spans="2:17" ht="17.45" hidden="1" customHeight="1">
      <c r="B520" s="316" t="str">
        <f>IF($N520=0,"...",MAX(B$496:B519)+1)</f>
        <v>...</v>
      </c>
      <c r="C520" s="276" t="s">
        <v>1353</v>
      </c>
      <c r="D520" s="271"/>
      <c r="E520" s="271"/>
      <c r="F520" s="271"/>
      <c r="G520" s="271"/>
      <c r="H520" s="271"/>
      <c r="I520" s="977">
        <f>IF($N520=0,0,1)*IF($N214&gt;0,N(Eligible_NHTF_Request_Amount),NHTF_Funding_Combined_Units)</f>
        <v>0</v>
      </c>
      <c r="N520" s="313">
        <v>0</v>
      </c>
      <c r="O520" s="899">
        <f>IF(N520=0,0,IF(AND(N214&gt;0,N(Eligible_NHTF_Request_Amount)&lt;N(NHTF_Request_Amount)),1,0))</f>
        <v>0</v>
      </c>
      <c r="P520" s="931"/>
      <c r="Q520" s="905"/>
    </row>
    <row r="521" spans="2:17" ht="10.35" hidden="1" customHeight="1">
      <c r="B521" s="316"/>
      <c r="C521" s="6"/>
      <c r="I521" s="311"/>
      <c r="N521" s="905"/>
      <c r="P521" s="931"/>
      <c r="Q521" s="905"/>
    </row>
    <row r="522" spans="2:17" ht="17.45" hidden="1" customHeight="1">
      <c r="B522" s="316" t="str">
        <f>IF($N522=0,"...",MAX(B$496:B521)+1)</f>
        <v>...</v>
      </c>
      <c r="C522" s="276" t="s">
        <v>1927</v>
      </c>
      <c r="D522" s="271"/>
      <c r="E522" s="271"/>
      <c r="F522" s="271"/>
      <c r="G522" s="271"/>
      <c r="H522" s="271"/>
      <c r="I522" s="977">
        <f>IF(N522=0,0,1)*(N(Eligible_CDBG_DR_Land_Request_Amount)+N(Eligible_CDBG_DR_Dev_Request_Amount))</f>
        <v>0</v>
      </c>
      <c r="N522" s="313">
        <v>0</v>
      </c>
      <c r="O522" s="899">
        <f>IF(N522=0,0,IF(AND(N239&gt;0,N(Eligible_CDBG_DR_Dev_Request_Amount)&lt;N(CDBG_DR_Dev_Request_Amount)),1,0))</f>
        <v>0</v>
      </c>
      <c r="P522" s="931"/>
      <c r="Q522" s="905"/>
    </row>
    <row r="523" spans="2:17" ht="17.45" hidden="1" customHeight="1">
      <c r="B523" s="316"/>
      <c r="C523" s="277" t="s">
        <v>1347</v>
      </c>
      <c r="D523" s="255"/>
      <c r="E523" s="255"/>
      <c r="F523" s="255"/>
      <c r="G523" s="255"/>
      <c r="H523" s="255"/>
      <c r="I523" s="364"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523=0,"NA","No"))</f>
        <v>Yes</v>
      </c>
      <c r="J523" s="1329"/>
      <c r="N523" s="313">
        <v>1</v>
      </c>
      <c r="P523" s="931"/>
      <c r="Q523" s="905"/>
    </row>
    <row r="524" spans="2:17" ht="17.45" hidden="1" customHeight="1">
      <c r="B524" s="316"/>
      <c r="C524" s="334" t="str">
        <f>"If the proposed Development qualifies for a Housing Credit basis boost, multiply by "&amp;TEXT(IF(OR($N522=0,$N523=0),1,DS_Lev_MP_Loan),"0.00")</f>
        <v>If the proposed Development qualifies for a Housing Credit basis boost, multiply by 1.00</v>
      </c>
      <c r="D524" s="335"/>
      <c r="E524" s="335"/>
      <c r="F524" s="335"/>
      <c r="G524" s="335"/>
      <c r="H524" s="335"/>
      <c r="I524" s="325">
        <f>I522*IF(I523="Yes",IF(OR($N522=0,$N523=0),1,DS_Lev_MP_Loan),1)</f>
        <v>0</v>
      </c>
      <c r="N524" s="905"/>
      <c r="P524" s="931"/>
      <c r="Q524" s="905"/>
    </row>
    <row r="525" spans="2:17" ht="10.35" hidden="1" customHeight="1" thickBot="1">
      <c r="B525" s="316"/>
      <c r="C525" s="6"/>
      <c r="I525" s="311"/>
      <c r="N525" s="905"/>
      <c r="P525" s="931"/>
      <c r="Q525" s="905"/>
    </row>
    <row r="526" spans="2:17" ht="17.45" customHeight="1" thickTop="1">
      <c r="B526" s="316">
        <f>IF($N526=0,"...",MAX(B$496:B525)+1)</f>
        <v>3</v>
      </c>
      <c r="C526" s="276" t="str">
        <f>"Corp. Funding Sources leveraging subtotal"&amp;IF(N496*N497+N499*N500+N503*N504+N512*N513&gt;0,", incl. of applicable HC basis boost multipliers","")</f>
        <v>Corp. Funding Sources leveraging subtotal, incl. of applicable HC basis boost multipliers</v>
      </c>
      <c r="D526" s="271"/>
      <c r="E526" s="271"/>
      <c r="F526" s="271"/>
      <c r="G526" s="271"/>
      <c r="H526" s="271"/>
      <c r="I526" s="977">
        <f>(I497+I501+I506+I510+I514+I516+I518+I520+I524)</f>
        <v>0</v>
      </c>
      <c r="N526" s="313">
        <v>1</v>
      </c>
      <c r="O526" s="631">
        <f>SUM(O496:O525)</f>
        <v>0</v>
      </c>
      <c r="P526" s="931"/>
      <c r="Q526" s="813" t="s">
        <v>1354</v>
      </c>
    </row>
    <row r="527" spans="2:17" ht="10.35" customHeight="1">
      <c r="B527" s="316"/>
      <c r="C527" s="6"/>
      <c r="I527" s="311"/>
      <c r="N527" s="905"/>
      <c r="P527" s="931"/>
      <c r="Q527" s="905"/>
    </row>
    <row r="528" spans="2:17" ht="17.45" customHeight="1">
      <c r="B528" s="316">
        <f>IF($N528=0,"...",MAX(B$496:B527)+1)</f>
        <v>4</v>
      </c>
      <c r="C528" s="6" t="s">
        <v>1355</v>
      </c>
      <c r="I528" s="989" t="str">
        <f>IF(County="Broward","Yes","No")</f>
        <v>No</v>
      </c>
      <c r="N528" s="313">
        <v>1</v>
      </c>
      <c r="P528" s="931"/>
      <c r="Q528" s="905"/>
    </row>
    <row r="529" spans="1:17" ht="17.45" customHeight="1">
      <c r="B529" s="6"/>
      <c r="C529" s="334" t="str">
        <f>"If the proposed Development is located in Broward County, multiply by "&amp;TEXT(IF($N528=0,1,DS_Lev_MP_Broward),"0.00")</f>
        <v>If the proposed Development is located in Broward County, multiply by 0.88</v>
      </c>
      <c r="D529" s="335"/>
      <c r="E529" s="335"/>
      <c r="F529" s="335"/>
      <c r="G529" s="335"/>
      <c r="H529" s="335"/>
      <c r="I529" s="332">
        <f>I526*IF(I528="Yes",IF($N528=0,1,DS_Lev_MP_Broward),1)</f>
        <v>0</v>
      </c>
      <c r="N529" s="905"/>
      <c r="P529" s="905"/>
      <c r="Q529" s="905"/>
    </row>
    <row r="530" spans="1:17" ht="10.35" customHeight="1">
      <c r="B530" s="6"/>
      <c r="C530" s="6"/>
      <c r="I530" s="332"/>
      <c r="N530" s="905"/>
      <c r="P530" s="931"/>
      <c r="Q530" s="905"/>
    </row>
    <row r="531" spans="1:17" ht="17.45" customHeight="1">
      <c r="B531" s="91">
        <f>IF($N531=0,"...",MAX(B$496:B530)+1)</f>
        <v>5</v>
      </c>
      <c r="C531" s="3261" t="s">
        <v>1356</v>
      </c>
      <c r="D531" s="3261"/>
      <c r="E531" s="3261"/>
      <c r="F531" s="3261"/>
      <c r="G531" s="3261"/>
      <c r="H531" s="3261"/>
      <c r="I531" s="989" t="str">
        <f>IF(OR(PHA_land_lease="Yes",PHA_as_Principal="Yes"),"Yes","No")</f>
        <v>No</v>
      </c>
      <c r="N531" s="313">
        <v>1</v>
      </c>
      <c r="P531" s="931"/>
      <c r="Q531" s="905"/>
    </row>
    <row r="532" spans="1:17" ht="17.45" customHeight="1">
      <c r="B532" s="6"/>
      <c r="C532" s="3262" t="str">
        <f>"If "&amp;IF(I531="Yes","yes","no")&amp;", multiply by "&amp;TEXT(IF(OR($N$531=0,I531="No"),1,DS_Lev_MP_PHA),"0.00")</f>
        <v>If no, multiply by 1.00</v>
      </c>
      <c r="D532" s="3262"/>
      <c r="E532" s="3262"/>
      <c r="F532" s="3262"/>
      <c r="G532" s="3262"/>
      <c r="H532" s="3262"/>
      <c r="I532" s="332">
        <f>I529*IF(I531="Yes",IF($N531=0,1,DS_Lev_MP_PHA),1)</f>
        <v>0</v>
      </c>
      <c r="N532" s="905"/>
      <c r="P532" s="905"/>
      <c r="Q532" s="905"/>
    </row>
    <row r="533" spans="1:17" ht="10.35" customHeight="1">
      <c r="B533" s="6"/>
      <c r="C533" s="6"/>
      <c r="I533" s="332"/>
      <c r="N533" s="905"/>
      <c r="P533" s="931"/>
      <c r="Q533" s="905"/>
    </row>
    <row r="534" spans="1:17" ht="45" customHeight="1">
      <c r="B534" s="91">
        <f>IF($N534=0,"...",MAX(B$496:B533)+1)</f>
        <v>6</v>
      </c>
      <c r="C534" s="2807" t="str">
        <f>"What is the overall Development Type Leveraging Multiplier derived from the bottom row of the 'Unit Characteristics' table from Section 4.A.4."&amp;'Proposed Development Info'!A122&amp;". (Breakdown of Number of Units) in the Proposed Development Info tab?"</f>
        <v>What is the overall Development Type Leveraging Multiplier derived from the bottom row of the 'Unit Characteristics' table from Section 4.A.4.d. (Breakdown of Number of Units) in the Proposed Development Info tab?</v>
      </c>
      <c r="D534" s="2807"/>
      <c r="E534" s="2807"/>
      <c r="F534" s="2807"/>
      <c r="G534" s="2807"/>
      <c r="H534" s="2807"/>
      <c r="I534" s="990">
        <f>'Proposed Development Info'!I150</f>
        <v>0</v>
      </c>
      <c r="N534" s="313">
        <v>1</v>
      </c>
      <c r="P534" s="931"/>
      <c r="Q534" s="813" t="s">
        <v>1354</v>
      </c>
    </row>
    <row r="535" spans="1:17" ht="17.45" customHeight="1">
      <c r="B535" s="6"/>
      <c r="C535" s="905" t="s">
        <v>1357</v>
      </c>
      <c r="D535" s="905"/>
      <c r="E535" s="905"/>
      <c r="F535" s="905"/>
      <c r="G535" s="905"/>
      <c r="H535" s="905"/>
      <c r="I535" s="325">
        <f>I532*IF($N534=0,1,I534)</f>
        <v>0</v>
      </c>
      <c r="J535" s="470"/>
      <c r="K535" s="470"/>
    </row>
    <row r="536" spans="1:17" ht="17.45" customHeight="1">
      <c r="C536" s="335" t="str">
        <f>"What is the Applicant's total Corporation's funding per Set-Aside Unit ("&amp;TEXT(IF(Minimum_SetAside_per_Sec_42=DS_IRS_AIT,SUM('Units, Set-Asides, Bldgs'!F79:F90),SUM('Units, Set-Asides, Bldgs'!F52:F65)),"0")&amp;" SAUs)?"</f>
        <v>What is the Applicant's total Corporation's funding per Set-Aside Unit (0 SAUs)?</v>
      </c>
      <c r="D536" s="335"/>
      <c r="E536" s="335"/>
      <c r="F536" s="335"/>
      <c r="G536" s="335"/>
      <c r="H536" s="335"/>
      <c r="I536" s="2187">
        <f>IFERROR(ROUND(IF(MAX(total_HC_units_NonAIT+SUM('Units, Set-Asides, Bldgs'!$F61:$F65),total_HC_units_AIT+SUM('Units, Set-Asides, Bldgs'!$F86:$F90))=0,0,Funding!$I535/IF(OR(Minimum_SetAside_per_Sec_42="Average Income Test",AND(Minimum_SetAside_per_Sec_42=DS_FHFC_NonHC,DS_FHFC_NonHC_Table="AIT")),total_HC_units_AIT+SUM('Units, Set-Asides, Bldgs'!$F86:$F90),total_HC_units_NonAIT+SUM('Units, Set-Asides, Bldgs'!$F61:$F65))),2),"See Set-Aside Chart")</f>
        <v>0</v>
      </c>
      <c r="J536" s="470"/>
      <c r="K536" s="470"/>
      <c r="L536"/>
      <c r="N536" t="s">
        <v>1358</v>
      </c>
      <c r="Q536" s="814" t="s">
        <v>1358</v>
      </c>
    </row>
    <row r="537" spans="1:17" ht="10.35" customHeight="1">
      <c r="L537"/>
    </row>
    <row r="538" spans="1:17" ht="17.45" customHeight="1">
      <c r="A538" s="93"/>
      <c r="B538" s="2975" t="s">
        <v>1359</v>
      </c>
      <c r="C538" s="2975"/>
      <c r="D538" s="2975"/>
      <c r="E538" s="2975"/>
      <c r="F538" s="2975"/>
      <c r="G538" s="2975"/>
      <c r="H538" s="2975"/>
      <c r="I538" s="2975"/>
      <c r="L538"/>
      <c r="N538" s="313">
        <v>1</v>
      </c>
    </row>
    <row r="539" spans="1:17" ht="10.35" customHeight="1">
      <c r="L539"/>
    </row>
    <row r="540" spans="1:17" ht="65.099999999999994" customHeight="1">
      <c r="B540" s="2943"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applicable",""),IF(DS_FLJobs_SAIL="Yes","SAIL",IF(DS_FLJobs_RRLP="Yes","RRLP",IF(DS_FLJobs_HOME="Yes","HOME","??")))&amp;" funding")&amp;". The number of "&amp;IF(AND(IFERROR(MATCH(Data1!$A$188,DS_DevCat_DDMenu,0),0)&gt;0,IFERROR(MATCH(Data1!$A$189,DS_DevCat_DDMenu,0),0)&gt;0,IFERROR(MATCH(Data1!$A$190,DS_DevCat_DDMenu,0),0)&gt;0),"NC, A/R and R",IF(AND(IFERROR(MATCH(Data1!$A$188,DS_DevCat_DDMenu,0),0)&gt;0,IFERROR(MATCH(Data1!$A$189,DS_DevCat_DDMenu,0),0)&gt;0),"NC and A/R",IF(AND(IFERROR(MATCH(Data1!$A$188,DS_DevCat_DDMenu,0),0)&gt;0,IFERROR(MATCH(Data1!$A$190,DS_DevCat_DDMenu,0),0)&gt;0),"NC and R",IF(AND(IFERROR(MATCH(Data1!$A$189,DS_DevCat_DDMenu,0),0)&gt;0,IFERROR(MATCH(Data1!$A$190,DS_DevCat_DDMenu,0),0)&gt;0),"A/R and R",IF(IFERROR(MATCH(Data1!$A$188,DS_DevCat_DDMenu,0),0)&gt;0,"NC",IF(IFERROR(MATCH(Data1!$A$189,DS_DevCat_DDMenu,0),0)&gt;0,"A/R",IF(IFERROR(MATCH(Data1!$A$190,DS_DevCat_DDMenu,0),0)&gt;0,"R","??")))))))&amp;" units are taken from the Unit Characteristic Chart at Section 4.A.4."&amp;'Proposed Development Info'!A122&amp;". in the 'Proposed Development Info' tab."</f>
        <v>In order to earn the Florida Job Creation Funding Preference, the Applicant will need to earn a Florida Job Creation score equal to or greater than 4.30, which represents the number of Florida jobs per $1,000,000 of implied eligible housing credit equity and SAIL funding, as applicable. The number of NC units are taken from the Unit Characteristic Chart at Section 4.A.4.d. in the 'Proposed Development Info' tab.</v>
      </c>
      <c r="C540" s="2943"/>
      <c r="D540" s="2943"/>
      <c r="E540" s="2943"/>
      <c r="F540" s="2943"/>
      <c r="G540" s="2943"/>
      <c r="H540" s="2943"/>
      <c r="I540" s="2943"/>
      <c r="L540"/>
    </row>
    <row r="541" spans="1:17" ht="10.35" customHeight="1">
      <c r="L541"/>
    </row>
    <row r="542" spans="1:17" ht="14.45" customHeight="1">
      <c r="B542" s="905" t="s">
        <v>1360</v>
      </c>
      <c r="L542"/>
    </row>
    <row r="543" spans="1:17" ht="10.35" customHeight="1">
      <c r="L543"/>
    </row>
    <row r="544" spans="1:17" ht="30" customHeight="1">
      <c r="B544" s="3004" t="str">
        <f>IF('Proposed Development Info'!H150=0,IF(COUNTIF(DS_DevCat_Sequence,"&gt;0")&gt;1," [ ","")&amp;IF(Data1!$B$188=1,"( 0 NC MF Units x "&amp;TEXT(DS_FLJobs_MFNC,"0.000")&amp;" )"&amp;IF(SUM('Proposed Development Info'!O132:O133)&gt;0," + ( 0 NC SF Units x "&amp;TEXT(DS_FLJobs_SFNC,"0.000")&amp;" )",""),"")&amp;IF(AND(Data1!$B$188=1,Data1!$B$189+Data1!$B$190&gt;0)," + ","")&amp;IF(Data1!$B$189=1,"( 0 A/R MF Units x "&amp;TEXT(DS_FLJobs_MFAR,"0.000")&amp;" )","")&amp;IF(AND(Data1!$B$188+Data1!$B$189&gt;0,Data1!$B$190&gt;0)," + ","")&amp;IF(Data1!$B$190=1,"( 0 R MF Units x "&amp;TEXT(DS_FLJobs_MFRO,"0.000")&amp;" ) ","")&amp;IF(COUNTIF(DS_DevCat_Sequence,"&gt;0")&gt;1," ] ",""),IF(IF(SUM('Proposed Development Info'!H127:H131)+SUM('Proposed Development Info'!H134:H135)&gt;0,1,0)+IF(SUM('Proposed Development Info'!H132:H133)&gt;0,1,0)+IF(SUM('Proposed Development Info'!H136:H142)&gt;0,1,0)+IF(SUM('Proposed Development Info'!H143:H149)&gt;0,1,0)&gt;1," [ ","")&amp;IF(SUM('Proposed Development Info'!H127:H131)+SUM('Proposed Development Info'!H134:H135)&gt;0,"( "&amp;TEXT(SUM('Proposed Development Info'!H127:H131)+SUM('Proposed Development Info'!H134:H135),"0")&amp;" NC MF Units x "&amp;TEXT(DS_FLJobs_MFNC,"0.000")&amp;" )","")&amp;IF(AND(SUM('Proposed Development Info'!H127:H131)+SUM('Proposed Development Info'!H134:H135)&gt;0,SUM('Proposed Development Info'!H132:H133)+SUM('Proposed Development Info'!H136:H149)&gt;0)," + ","")&amp;IF(SUM('Proposed Development Info'!H132:H133)&gt;0,"( "&amp;TEXT(SUM('Proposed Development Info'!H132:H133),"0")&amp;" NC SF Units x "&amp;TEXT(DS_FLJobs_SFNC,"0.000")&amp;" )","")&amp;IF(AND(SUM('Proposed Development Info'!H132:H133)&gt;0,SUM('Proposed Development Info'!H136:H149)&gt;0)," + ","")&amp;IF(SUM('Proposed Development Info'!H136:H142)&gt;0,"( "&amp;TEXT(SUM('Proposed Development Info'!H136:H142),"0")&amp;" A/R MF Units x "&amp;TEXT(DS_FLJobs_MFAR,"0.000")&amp;" )","")&amp;IF(AND(SUM('Proposed Development Info'!H127:H142)&gt;0,SUM('Proposed Development Info'!H143:H149)&gt;0)," + ","")&amp;IF(SUM('Proposed Development Info'!H143:H149)&gt;0,"( "&amp;TEXT(SUM('Proposed Development Info'!H143:H149),"0")&amp;" R MF Units x "&amp;TEXT(DS_FLJobs_MFRO,"0.000")&amp;" ) ","")&amp;IF(IF(SUM('Proposed Development Info'!H127:H131)+SUM('Proposed Development Info'!H134:H135)&gt;0,1,0)+IF(SUM('Proposed Development Info'!H132:H133)&gt;0,1,0)+IF(SUM('Proposed Development Info'!H136:H142)&gt;0,1,0)+IF(SUM('Proposed Development Info'!H143:H149)&gt;0,1,0)&gt;1," ]",""))&amp;" x 1,000,000 / ( "&amp;IF(Data3!H209=1,TEXT(Eligible_Competitive_HC_Request_Amount,"$#,##0")&amp;" HC x "&amp;TEXT(DS_FLJobs_MP_HC,"0.0")&amp;IF(SUM(Data3!H210:H217)&gt;0," + "," ) "),"")&amp;IF(Data3!H210=1,TEXT(Eligible_Workforce_Request_Amount,"$#,##0")&amp;" Workforce"&amp;IF(SUM(Data3!H211:H217)&gt;0," + "," ) "),"")&amp;IF(Data3!H211=1,TEXT(Eligible_SAIL_Request_Amount,"$#,##0")&amp;" SAIL"&amp;IF(SUM(Data3!H212:H217)&gt;0," + "," ) "),"")&amp;IF(Data3!H212=1,TEXT(Eligible_RRLP_Base_Request_Amount,"$#,##0")&amp;" RRLP"&amp;IF(SUM(Data3!H213:H217)&gt;0," + "," ) "),"")&amp;IF(Data3!H213=1,TEXT(Eligible_HOME_Request_Amount,"$#,##0")&amp;" HOME"&amp;IF(SUM(Data3!H214:H217)&gt;0," + "," ) "),"")&amp;IF(Data3!H214=1,TEXT(Eligible_ARP_Request_Amount,"$#,##0")&amp;" HOME-ARP"&amp;IF(SUM(Data3!H215:H217)&gt;0," + "," ) "),"")&amp;IF(Data3!H215=1,TEXT(Eligible_Grant_Request_Amount,"$#,##0")&amp;" Grant"&amp;IF(SUM(Data3!H216:H217)&gt;0," + "," ) "),"")&amp;IF(Data3!H216=1,TEXT(Eligible_NHTF_Request_Amount,"$#,##0")&amp;" NHTF"&amp;IF(Data3!H217&gt;0," + "," ) "),"")&amp;IF(Data3!H217=1,TEXT(Eligible_CDBG_DR_Dev_Request_Amount+Eligible_CDBG_DR_Land_Request_Amount,"$#,##0")&amp;" CDBG-DR )","")&amp;IF(SUM(Data3!H209:H217)=0,"?? )","")&amp;"= Florida Job Creation Score of "&amp;TEXT(FLJobs_Score,"0.00")&amp;"."</f>
        <v>( 0 NC MF Units x 4.374 ) x 1,000,000 / ( $0 HC x 8.5 + $0 SAIL ) = Florida Job Creation Score of 0.00.</v>
      </c>
      <c r="C544" s="3260"/>
      <c r="D544" s="3260"/>
      <c r="E544" s="3260"/>
      <c r="F544" s="3260"/>
      <c r="G544" s="3260"/>
      <c r="H544" s="3260"/>
      <c r="I544" s="3260"/>
      <c r="L544"/>
    </row>
    <row r="545" spans="2:12" ht="10.35" customHeight="1">
      <c r="L545"/>
    </row>
    <row r="546" spans="2:12" ht="17.45" customHeight="1">
      <c r="B546" s="905" t="str">
        <f>"A Florida Job Creation score of "&amp;TEXT(FLJobs_Score,"0.00")&amp;IF(FLJobs_Score&gt;=DS_FLJobs_Min_Score1," earns"," does NOT earn")&amp;" the Florida Job Creation Funding Preference."</f>
        <v>A Florida Job Creation score of 0.00 does NOT earn the Florida Job Creation Funding Preference.</v>
      </c>
      <c r="L546"/>
    </row>
    <row r="547" spans="2:12" ht="10.35" customHeight="1"/>
    <row r="551" spans="2:12">
      <c r="B551" s="470"/>
      <c r="C551" s="470"/>
      <c r="D551" s="470"/>
      <c r="E551" s="470"/>
      <c r="F551" s="470"/>
      <c r="G551" s="470"/>
      <c r="H551" s="470"/>
      <c r="I551" s="470"/>
    </row>
    <row r="552" spans="2:12">
      <c r="B552" s="470"/>
      <c r="C552" s="470"/>
      <c r="D552" s="470"/>
      <c r="E552" s="470"/>
      <c r="F552" s="470"/>
      <c r="G552" s="470"/>
      <c r="H552" s="470"/>
      <c r="I552" s="470"/>
    </row>
  </sheetData>
  <sheetProtection algorithmName="SHA-512" hashValue="vfq2xR7zUCOf6fhv8R+3dE4P9YUUjLHKsNFpEL7okZ0tdTxrj4ysQZKZkIcPiUOt2MzgAbwMRe+MnjzUIfhqWg==" saltValue="nOFduE3OtmtIRYU0gBJw+Q==" spinCount="100000" sheet="1" formatRows="0" selectLockedCells="1"/>
  <sortState xmlns:xlrd2="http://schemas.microsoft.com/office/spreadsheetml/2017/richdata2" ref="Q211:U214">
    <sortCondition ref="U211:U214"/>
  </sortState>
  <mergeCells count="192">
    <mergeCell ref="D133:H133"/>
    <mergeCell ref="D302:I302"/>
    <mergeCell ref="E303:F303"/>
    <mergeCell ref="G303:I303"/>
    <mergeCell ref="D487:I487"/>
    <mergeCell ref="C482:I482"/>
    <mergeCell ref="B35:D35"/>
    <mergeCell ref="B36:D36"/>
    <mergeCell ref="B38:D38"/>
    <mergeCell ref="B39:D39"/>
    <mergeCell ref="B40:D40"/>
    <mergeCell ref="B42:D42"/>
    <mergeCell ref="B44:D44"/>
    <mergeCell ref="C410:I410"/>
    <mergeCell ref="E199:H199"/>
    <mergeCell ref="D309:H309"/>
    <mergeCell ref="E321:F321"/>
    <mergeCell ref="E324:F324"/>
    <mergeCell ref="E326:F326"/>
    <mergeCell ref="G328:I328"/>
    <mergeCell ref="E327:F327"/>
    <mergeCell ref="D220:H220"/>
    <mergeCell ref="E273:H273"/>
    <mergeCell ref="D298:H298"/>
    <mergeCell ref="D97:H97"/>
    <mergeCell ref="D111:H111"/>
    <mergeCell ref="D72:I72"/>
    <mergeCell ref="E63:H63"/>
    <mergeCell ref="E105:H105"/>
    <mergeCell ref="D65:H65"/>
    <mergeCell ref="H59:I59"/>
    <mergeCell ref="E131:H131"/>
    <mergeCell ref="E129:H129"/>
    <mergeCell ref="E118:G118"/>
    <mergeCell ref="D71:I71"/>
    <mergeCell ref="E77:I77"/>
    <mergeCell ref="E29:I29"/>
    <mergeCell ref="E31:I31"/>
    <mergeCell ref="E37:I37"/>
    <mergeCell ref="E47:I47"/>
    <mergeCell ref="E49:I49"/>
    <mergeCell ref="E53:H53"/>
    <mergeCell ref="E34:I34"/>
    <mergeCell ref="E79:H79"/>
    <mergeCell ref="E93:H93"/>
    <mergeCell ref="E319:F319"/>
    <mergeCell ref="E318:I318"/>
    <mergeCell ref="G319:I319"/>
    <mergeCell ref="G334:I334"/>
    <mergeCell ref="E315:I315"/>
    <mergeCell ref="E316:F316"/>
    <mergeCell ref="I167:I172"/>
    <mergeCell ref="D173:H173"/>
    <mergeCell ref="D175:H175"/>
    <mergeCell ref="E296:H296"/>
    <mergeCell ref="D207:G207"/>
    <mergeCell ref="D209:H209"/>
    <mergeCell ref="D201:H201"/>
    <mergeCell ref="C190:I190"/>
    <mergeCell ref="D231:I231"/>
    <mergeCell ref="I214:I219"/>
    <mergeCell ref="E312:F312"/>
    <mergeCell ref="G321:I321"/>
    <mergeCell ref="H21:I21"/>
    <mergeCell ref="E27:I27"/>
    <mergeCell ref="I38:I44"/>
    <mergeCell ref="E45:I45"/>
    <mergeCell ref="K1:AG2"/>
    <mergeCell ref="C412:I412"/>
    <mergeCell ref="E348:F348"/>
    <mergeCell ref="E349:F349"/>
    <mergeCell ref="I192:I197"/>
    <mergeCell ref="A1:I1"/>
    <mergeCell ref="D21:G21"/>
    <mergeCell ref="D101:G101"/>
    <mergeCell ref="D107:H107"/>
    <mergeCell ref="C4:I4"/>
    <mergeCell ref="D244:H244"/>
    <mergeCell ref="D6:H6"/>
    <mergeCell ref="D59:G59"/>
    <mergeCell ref="C237:I237"/>
    <mergeCell ref="E51:H51"/>
    <mergeCell ref="I35:I36"/>
    <mergeCell ref="E23:I23"/>
    <mergeCell ref="D233:H233"/>
    <mergeCell ref="D184:I184"/>
    <mergeCell ref="D186:H186"/>
    <mergeCell ref="N184:N186"/>
    <mergeCell ref="D55:H55"/>
    <mergeCell ref="L3:R3"/>
    <mergeCell ref="E408:G408"/>
    <mergeCell ref="D483:I483"/>
    <mergeCell ref="B464:I464"/>
    <mergeCell ref="B426:I426"/>
    <mergeCell ref="B451:I451"/>
    <mergeCell ref="E13:H13"/>
    <mergeCell ref="M341:M342"/>
    <mergeCell ref="G316:I316"/>
    <mergeCell ref="G327:I327"/>
    <mergeCell ref="E328:F328"/>
    <mergeCell ref="G326:I326"/>
    <mergeCell ref="E320:I320"/>
    <mergeCell ref="G324:I324"/>
    <mergeCell ref="D222:H222"/>
    <mergeCell ref="E260:H260"/>
    <mergeCell ref="D262:H262"/>
    <mergeCell ref="D283:H283"/>
    <mergeCell ref="C279:I279"/>
    <mergeCell ref="E25:I25"/>
    <mergeCell ref="N231:N233"/>
    <mergeCell ref="D418:I418"/>
    <mergeCell ref="B544:I544"/>
    <mergeCell ref="E399:F399"/>
    <mergeCell ref="B494:I494"/>
    <mergeCell ref="D477:F477"/>
    <mergeCell ref="D480:F480"/>
    <mergeCell ref="C476:I476"/>
    <mergeCell ref="C479:I479"/>
    <mergeCell ref="B474:I474"/>
    <mergeCell ref="E402:F402"/>
    <mergeCell ref="B429:I429"/>
    <mergeCell ref="C433:I433"/>
    <mergeCell ref="C534:H534"/>
    <mergeCell ref="B538:I538"/>
    <mergeCell ref="B540:I540"/>
    <mergeCell ref="B493:I493"/>
    <mergeCell ref="E407:G407"/>
    <mergeCell ref="C485:I485"/>
    <mergeCell ref="D486:F486"/>
    <mergeCell ref="C531:H531"/>
    <mergeCell ref="C532:H532"/>
    <mergeCell ref="C459:F459"/>
    <mergeCell ref="C460:F460"/>
    <mergeCell ref="B445:I445"/>
    <mergeCell ref="C441:H441"/>
    <mergeCell ref="N341:N342"/>
    <mergeCell ref="L341:L342"/>
    <mergeCell ref="E332:F332"/>
    <mergeCell ref="E334:F334"/>
    <mergeCell ref="G346:I346"/>
    <mergeCell ref="G364:I364"/>
    <mergeCell ref="G367:I367"/>
    <mergeCell ref="E360:I360"/>
    <mergeCell ref="E345:I345"/>
    <mergeCell ref="E363:I363"/>
    <mergeCell ref="E366:I366"/>
    <mergeCell ref="E357:I357"/>
    <mergeCell ref="E346:F346"/>
    <mergeCell ref="G350:I350"/>
    <mergeCell ref="E337:F337"/>
    <mergeCell ref="E341:F342"/>
    <mergeCell ref="E339:H339"/>
    <mergeCell ref="G341:I341"/>
    <mergeCell ref="G342:I342"/>
    <mergeCell ref="G332:I332"/>
    <mergeCell ref="G337:I337"/>
    <mergeCell ref="E422:H423"/>
    <mergeCell ref="I422:I423"/>
    <mergeCell ref="G348:I348"/>
    <mergeCell ref="G349:I349"/>
    <mergeCell ref="C457:F457"/>
    <mergeCell ref="E421:H421"/>
    <mergeCell ref="E419:H419"/>
    <mergeCell ref="E420:H420"/>
    <mergeCell ref="B404:I404"/>
    <mergeCell ref="E398:F398"/>
    <mergeCell ref="F355:I355"/>
    <mergeCell ref="F358:I358"/>
    <mergeCell ref="G480:I480"/>
    <mergeCell ref="G477:I477"/>
    <mergeCell ref="C456:F456"/>
    <mergeCell ref="C406:I406"/>
    <mergeCell ref="E400:F400"/>
    <mergeCell ref="E401:F401"/>
    <mergeCell ref="E367:F367"/>
    <mergeCell ref="E350:F350"/>
    <mergeCell ref="E354:I354"/>
    <mergeCell ref="D396:I396"/>
    <mergeCell ref="E383:I384"/>
    <mergeCell ref="E370:F370"/>
    <mergeCell ref="D391:I391"/>
    <mergeCell ref="C389:I389"/>
    <mergeCell ref="G370:I370"/>
    <mergeCell ref="E376:F376"/>
    <mergeCell ref="E364:F364"/>
    <mergeCell ref="G376:I376"/>
    <mergeCell ref="G374:I374"/>
    <mergeCell ref="E374:F374"/>
    <mergeCell ref="E373:I373"/>
    <mergeCell ref="E375:I375"/>
    <mergeCell ref="D386:I387"/>
    <mergeCell ref="C458:F458"/>
  </mergeCells>
  <conditionalFormatting sqref="G348:I350">
    <cfRule type="expression" dxfId="559" priority="435">
      <formula>$E348=""</formula>
    </cfRule>
    <cfRule type="expression" dxfId="558" priority="436">
      <formula>AND($E348&lt;&gt;"",OR(IFERROR(FIND("Neither",$G348),0)&gt;0,IFERROR(FIND(", but",$G348),0)&gt;0))</formula>
    </cfRule>
    <cfRule type="expression" dxfId="557" priority="437">
      <formula>$G348="The given Census Tract Number is a GAO Census Tract in "&amp;County&amp;" County."</formula>
    </cfRule>
  </conditionalFormatting>
  <conditionalFormatting sqref="G376">
    <cfRule type="cellIs" dxfId="556" priority="479" operator="equal">
      <formula>"Please indicate which of the criteria has been met"</formula>
    </cfRule>
  </conditionalFormatting>
  <conditionalFormatting sqref="E321 E326:F328 E341 E348:F350 G393:G394 D483 G399:H402">
    <cfRule type="cellIs" dxfId="555" priority="632" operator="notEqual">
      <formula>""</formula>
    </cfRule>
  </conditionalFormatting>
  <conditionalFormatting sqref="E312 E316 E319 E324 E337 E346 E367 E374 E376 I226 D477 D480 I441">
    <cfRule type="cellIs" dxfId="554" priority="191" operator="notEqual">
      <formula>"&lt;select from menu&gt;"</formula>
    </cfRule>
  </conditionalFormatting>
  <conditionalFormatting sqref="I382">
    <cfRule type="expression" dxfId="553" priority="483">
      <formula>$J$382="**"</formula>
    </cfRule>
    <cfRule type="cellIs" dxfId="552" priority="484" operator="notEqual">
      <formula>""</formula>
    </cfRule>
  </conditionalFormatting>
  <conditionalFormatting sqref="I226">
    <cfRule type="cellIs" dxfId="551" priority="192" operator="notEqual">
      <formula>"&lt;select from menu&gt;"</formula>
    </cfRule>
  </conditionalFormatting>
  <conditionalFormatting sqref="I309">
    <cfRule type="expression" dxfId="550" priority="271">
      <formula>AND(N(I309)&gt;0,$L309&gt;0)</formula>
    </cfRule>
  </conditionalFormatting>
  <conditionalFormatting sqref="G341">
    <cfRule type="expression" dxfId="549" priority="402" stopIfTrue="1">
      <formula>$E$339="Non-Metro"</formula>
    </cfRule>
  </conditionalFormatting>
  <conditionalFormatting sqref="G326:I328">
    <cfRule type="cellIs" dxfId="548" priority="344" operator="equal">
      <formula>"Please respond to above question."</formula>
    </cfRule>
    <cfRule type="expression" dxfId="547" priority="349" stopIfTrue="1">
      <formula>LEFT($G326,MAX(19,MIN(0,LEN($G326))))="The ZCTA is located"</formula>
    </cfRule>
    <cfRule type="expression" dxfId="546" priority="352" stopIfTrue="1">
      <formula>$G326="Invalid Entry - The ZCTA is not in the HUD 2023 database"</formula>
    </cfRule>
    <cfRule type="expression" dxfId="545" priority="354">
      <formula>IFERROR(FIND(" database for ",$G326),0)&gt;0</formula>
    </cfRule>
    <cfRule type="expression" dxfId="544" priority="356" stopIfTrue="1">
      <formula>$E326=""</formula>
    </cfRule>
  </conditionalFormatting>
  <conditionalFormatting sqref="G341:I342">
    <cfRule type="expression" dxfId="543" priority="403">
      <formula>$E$341=""</formula>
    </cfRule>
    <cfRule type="expression" dxfId="542" priority="404">
      <formula>AND($E$337="&lt;select from menu&gt;",$E$341&lt;&gt;"",$G341="")</formula>
    </cfRule>
    <cfRule type="expression" dxfId="541" priority="405">
      <formula>FIND("NOT",$G341)&gt;0</formula>
    </cfRule>
    <cfRule type="expression" dxfId="540" priority="408">
      <formula>IFERROR(LEFT($G341,7)="Neither",FALSE)=TRUE</formula>
    </cfRule>
    <cfRule type="cellIs" dxfId="539" priority="411" operator="equal">
      <formula>"Please respond to above question."</formula>
    </cfRule>
  </conditionalFormatting>
  <conditionalFormatting sqref="G342">
    <cfRule type="expression" dxfId="538" priority="419" stopIfTrue="1">
      <formula>$E$339="Metro"</formula>
    </cfRule>
  </conditionalFormatting>
  <conditionalFormatting sqref="I447">
    <cfRule type="cellIs" dxfId="537" priority="514" operator="equal">
      <formula>"No"</formula>
    </cfRule>
    <cfRule type="cellIs" dxfId="536" priority="518" operator="equal">
      <formula>"Dev. Category? (§4.A.4.a.)"</formula>
    </cfRule>
    <cfRule type="cellIs" dxfId="535" priority="537" operator="equal">
      <formula>"Total Units? (§4.A.6.a.)"</formula>
    </cfRule>
  </conditionalFormatting>
  <conditionalFormatting sqref="H7:H11 I13">
    <cfRule type="cellIs" dxfId="534" priority="66" operator="equal">
      <formula>"Select a County"</formula>
    </cfRule>
  </conditionalFormatting>
  <conditionalFormatting sqref="H33 H28 H30 H35:H36">
    <cfRule type="cellIs" dxfId="533" priority="75" operator="equal">
      <formula>"Select a Dev. Category"</formula>
    </cfRule>
  </conditionalFormatting>
  <conditionalFormatting sqref="H22 H24 H26 H28 H30 H32">
    <cfRule type="cellIs" dxfId="532" priority="71" operator="equal">
      <formula>"Select a County"</formula>
    </cfRule>
  </conditionalFormatting>
  <conditionalFormatting sqref="H46 H48 H50">
    <cfRule type="cellIs" dxfId="531" priority="81" operator="equal">
      <formula>"Identify Status"</formula>
    </cfRule>
  </conditionalFormatting>
  <conditionalFormatting sqref="G374">
    <cfRule type="expression" dxfId="530" priority="469" stopIfTrue="1">
      <formula>GeoAofO_SADDA_Goal="&lt;select from menu&gt;"</formula>
    </cfRule>
    <cfRule type="expression" dxfId="529" priority="473" stopIfTrue="1">
      <formula>GeoAofO_SADDA_Goal="No"</formula>
    </cfRule>
    <cfRule type="cellIs" dxfId="528" priority="474" operator="equal">
      <formula>"Invalid Entry - only applicants who select the Family demographic are eligible for this funding goal"</formula>
    </cfRule>
  </conditionalFormatting>
  <conditionalFormatting sqref="I209">
    <cfRule type="cellIs" dxfId="527" priority="182" stopIfTrue="1" operator="greaterThan">
      <formula>$H$207</formula>
    </cfRule>
    <cfRule type="expression" dxfId="526" priority="183">
      <formula>AND(N(I209)&gt;0,N(I209)&lt;=$H207)</formula>
    </cfRule>
  </conditionalFormatting>
  <conditionalFormatting sqref="A445:I448">
    <cfRule type="expression" dxfId="525" priority="513">
      <formula>$N$445=0</formula>
    </cfRule>
  </conditionalFormatting>
  <conditionalFormatting sqref="A426:I428">
    <cfRule type="expression" dxfId="524" priority="501">
      <formula>$N$426=0</formula>
    </cfRule>
  </conditionalFormatting>
  <conditionalFormatting sqref="A179:I180">
    <cfRule type="expression" dxfId="523" priority="152">
      <formula>$L$179=0</formula>
    </cfRule>
  </conditionalFormatting>
  <conditionalFormatting sqref="A405:I409">
    <cfRule type="expression" dxfId="522" priority="492">
      <formula>$N$406=0</formula>
    </cfRule>
  </conditionalFormatting>
  <conditionalFormatting sqref="C399:I402">
    <cfRule type="expression" dxfId="521" priority="490">
      <formula>$L399=0</formula>
    </cfRule>
  </conditionalFormatting>
  <conditionalFormatting sqref="A226:I227">
    <cfRule type="expression" dxfId="520" priority="190">
      <formula>$L$226=0</formula>
    </cfRule>
  </conditionalFormatting>
  <conditionalFormatting sqref="A380:I388">
    <cfRule type="expression" dxfId="519" priority="480">
      <formula>OR($L$382=0,$L$309=0)</formula>
    </cfRule>
  </conditionalFormatting>
  <conditionalFormatting sqref="B372:I376">
    <cfRule type="expression" dxfId="518" priority="276">
      <formula>$L$374=0</formula>
    </cfRule>
  </conditionalFormatting>
  <conditionalFormatting sqref="B366:E366 B368:I368 B367:G367">
    <cfRule type="expression" dxfId="517" priority="444">
      <formula>$L$367=0</formula>
    </cfRule>
  </conditionalFormatting>
  <conditionalFormatting sqref="B363:E363 B365:I365 B364:G364">
    <cfRule type="expression" dxfId="516" priority="441">
      <formula>$L$364=0</formula>
    </cfRule>
  </conditionalFormatting>
  <conditionalFormatting sqref="B345:I353">
    <cfRule type="expression" dxfId="515" priority="266">
      <formula>$L$346=0</formula>
    </cfRule>
  </conditionalFormatting>
  <conditionalFormatting sqref="B336:I336 B338:I344 B337:F337">
    <cfRule type="expression" dxfId="514" priority="20">
      <formula>$L$337=0</formula>
    </cfRule>
  </conditionalFormatting>
  <conditionalFormatting sqref="B331:I331 B333:I335 B332:F332">
    <cfRule type="expression" dxfId="513" priority="362">
      <formula>$L$332=0</formula>
    </cfRule>
  </conditionalFormatting>
  <conditionalFormatting sqref="B323:I330">
    <cfRule type="expression" dxfId="512" priority="21">
      <formula>$L$324=0</formula>
    </cfRule>
  </conditionalFormatting>
  <conditionalFormatting sqref="B318:I318 B320:I320 B319:G319 B322:I322 B321:G321">
    <cfRule type="expression" dxfId="511" priority="265">
      <formula>$L$319=0</formula>
    </cfRule>
  </conditionalFormatting>
  <conditionalFormatting sqref="B311:I313">
    <cfRule type="expression" dxfId="510" priority="275">
      <formula>$L$312=0</formula>
    </cfRule>
  </conditionalFormatting>
  <conditionalFormatting sqref="A309:I310">
    <cfRule type="expression" dxfId="509" priority="269">
      <formula>$L$309=0</formula>
    </cfRule>
  </conditionalFormatting>
  <conditionalFormatting sqref="A281:I301 B345:I354 B362:I377 B361:D361 G361:I361 B356:E356 B355:D355 F355 B357:I357 B359:I360 B358:D358 F358">
    <cfRule type="expression" dxfId="508" priority="18">
      <formula>$L$298=0</formula>
    </cfRule>
  </conditionalFormatting>
  <conditionalFormatting sqref="A279:I301 A302:B307 A308:I320 A362:I388 A361:D361 G361:I361 A356:E356 A355:D355 F355 A357:I357 A359:I360 A358:D358 F358 A322:I354 A321:G321">
    <cfRule type="expression" dxfId="507" priority="9">
      <formula>AND($L$298=0,$L$309=0)</formula>
    </cfRule>
  </conditionalFormatting>
  <conditionalFormatting sqref="A266:I278">
    <cfRule type="expression" dxfId="506" priority="235">
      <formula>$L$275=0</formula>
    </cfRule>
  </conditionalFormatting>
  <conditionalFormatting sqref="A205:I212">
    <cfRule type="expression" dxfId="505" priority="173">
      <formula>$L$209=0</formula>
    </cfRule>
  </conditionalFormatting>
  <conditionalFormatting sqref="A116:I165">
    <cfRule type="expression" dxfId="504" priority="134">
      <formula>$L$133=0</formula>
    </cfRule>
  </conditionalFormatting>
  <conditionalFormatting sqref="B121:H125">
    <cfRule type="expression" dxfId="503" priority="136">
      <formula>$L121=0</formula>
    </cfRule>
  </conditionalFormatting>
  <conditionalFormatting sqref="A60:I68 A59:H59">
    <cfRule type="expression" dxfId="502" priority="86">
      <formula>$L$65=0</formula>
    </cfRule>
  </conditionalFormatting>
  <conditionalFormatting sqref="A19:I20">
    <cfRule type="expression" dxfId="501" priority="68">
      <formula>AND($L$55=0,$L$65=0)</formula>
    </cfRule>
  </conditionalFormatting>
  <conditionalFormatting sqref="A4:I18">
    <cfRule type="expression" dxfId="500" priority="64">
      <formula>$L$15=0</formula>
    </cfRule>
  </conditionalFormatting>
  <conditionalFormatting sqref="B35:H36 B37:I37 B38:H44 B45:I49 B22:I34">
    <cfRule type="expression" dxfId="499" priority="70">
      <formula>$O22=0</formula>
    </cfRule>
  </conditionalFormatting>
  <conditionalFormatting sqref="A284:I294">
    <cfRule type="expression" dxfId="498" priority="267">
      <formula>$O284=0</formula>
    </cfRule>
  </conditionalFormatting>
  <conditionalFormatting sqref="N298 N309">
    <cfRule type="expression" dxfId="497" priority="78">
      <formula>AND($L$298=1,$L$309=1)</formula>
    </cfRule>
  </conditionalFormatting>
  <conditionalFormatting sqref="A538:I547">
    <cfRule type="expression" dxfId="496" priority="3482">
      <formula>$N$538=0</formula>
    </cfRule>
  </conditionalFormatting>
  <conditionalFormatting sqref="I437">
    <cfRule type="cellIs" dxfId="495" priority="509" operator="equal">
      <formula>"No"</formula>
    </cfRule>
    <cfRule type="cellIs" dxfId="494" priority="510" operator="equal">
      <formula>"Yes"</formula>
    </cfRule>
  </conditionalFormatting>
  <conditionalFormatting sqref="B431:I438">
    <cfRule type="expression" dxfId="493" priority="506">
      <formula>$N$431=0</formula>
    </cfRule>
  </conditionalFormatting>
  <conditionalFormatting sqref="A429:I444">
    <cfRule type="expression" dxfId="492" priority="502">
      <formula>$N$429=0</formula>
    </cfRule>
  </conditionalFormatting>
  <conditionalFormatting sqref="I441">
    <cfRule type="cellIs" dxfId="491" priority="512" operator="notEqual">
      <formula>"&lt;select from menu&gt;"</formula>
    </cfRule>
  </conditionalFormatting>
  <conditionalFormatting sqref="L441">
    <cfRule type="expression" dxfId="490" priority="256">
      <formula>AND($N$429=0,$L431&lt;&gt;0)</formula>
    </cfRule>
  </conditionalFormatting>
  <conditionalFormatting sqref="I490">
    <cfRule type="cellIs" dxfId="489" priority="1299" operator="notEqual">
      <formula>"&lt;select from menu&gt;"</formula>
    </cfRule>
  </conditionalFormatting>
  <conditionalFormatting sqref="D369:I369">
    <cfRule type="expression" dxfId="488" priority="454">
      <formula>AND($L$298=0,$L$309=0)</formula>
    </cfRule>
  </conditionalFormatting>
  <conditionalFormatting sqref="B369:I369 B371:I371 B370:E370 G370">
    <cfRule type="expression" dxfId="487" priority="452">
      <formula>$L$370=0</formula>
    </cfRule>
  </conditionalFormatting>
  <conditionalFormatting sqref="E131">
    <cfRule type="expression" dxfId="486" priority="141">
      <formula>IFERROR(FIND(" NOT ",E131),0)&gt;0</formula>
    </cfRule>
  </conditionalFormatting>
  <conditionalFormatting sqref="F121:F125">
    <cfRule type="cellIs" dxfId="485" priority="137" operator="greaterThan">
      <formula>0</formula>
    </cfRule>
  </conditionalFormatting>
  <conditionalFormatting sqref="K382">
    <cfRule type="cellIs" dxfId="484" priority="239" operator="equal">
      <formula>"**"</formula>
    </cfRule>
  </conditionalFormatting>
  <conditionalFormatting sqref="E383:I384">
    <cfRule type="expression" dxfId="483" priority="486">
      <formula>IFERROR(LEFT(E$383,6)="Please","")=TRUE</formula>
    </cfRule>
  </conditionalFormatting>
  <conditionalFormatting sqref="E7:I11">
    <cfRule type="expression" dxfId="482" priority="65">
      <formula>$O7=0</formula>
    </cfRule>
  </conditionalFormatting>
  <conditionalFormatting sqref="E199:I199">
    <cfRule type="expression" dxfId="481" priority="172">
      <formula>ARP_Request_Amount&gt;Max_ARP</formula>
    </cfRule>
  </conditionalFormatting>
  <conditionalFormatting sqref="D207:I207">
    <cfRule type="expression" dxfId="480" priority="174">
      <formula>Grant_Request_Amount&gt;Max_Grant</formula>
    </cfRule>
  </conditionalFormatting>
  <conditionalFormatting sqref="D220:I220">
    <cfRule type="expression" dxfId="479" priority="186">
      <formula>AND(NHTF_Request_Amount&gt;Max_NHTF,NHTF_Request_Amount&lt;&gt;"")</formula>
    </cfRule>
  </conditionalFormatting>
  <conditionalFormatting sqref="E13:I13">
    <cfRule type="expression" dxfId="478" priority="67">
      <formula>Workforce_Request_Amount&gt;Max_Workforce</formula>
    </cfRule>
  </conditionalFormatting>
  <conditionalFormatting sqref="E53:I53">
    <cfRule type="expression" dxfId="477" priority="84">
      <formula>SAIL_Request_Amount&gt;Max_SAIL</formula>
    </cfRule>
  </conditionalFormatting>
  <conditionalFormatting sqref="E63:I63">
    <cfRule type="expression" dxfId="476" priority="88">
      <formula>ELI_Request_Amount&gt;Max_ELI</formula>
    </cfRule>
  </conditionalFormatting>
  <conditionalFormatting sqref="E129:I129">
    <cfRule type="expression" dxfId="475" priority="140">
      <formula>HOME_Request_Amount&gt;Max_HOME</formula>
    </cfRule>
  </conditionalFormatting>
  <conditionalFormatting sqref="I207">
    <cfRule type="expression" dxfId="474" priority="176">
      <formula>$L$209=0</formula>
    </cfRule>
  </conditionalFormatting>
  <conditionalFormatting sqref="E273:I273">
    <cfRule type="expression" dxfId="473" priority="236">
      <formula>TBD_Request_Amount&gt;Max_TBD</formula>
    </cfRule>
  </conditionalFormatting>
  <conditionalFormatting sqref="E296:I296">
    <cfRule type="expression" dxfId="472" priority="268">
      <formula>Competitive_HC_Request_Amount&gt;Max_Competitive_HC</formula>
    </cfRule>
  </conditionalFormatting>
  <conditionalFormatting sqref="B496:I498">
    <cfRule type="expression" dxfId="471" priority="1302">
      <formula>$N$496=0</formula>
    </cfRule>
  </conditionalFormatting>
  <conditionalFormatting sqref="B503:I507">
    <cfRule type="expression" dxfId="470" priority="1300">
      <formula>$N$503=0</formula>
    </cfRule>
  </conditionalFormatting>
  <conditionalFormatting sqref="B528:I530">
    <cfRule type="expression" dxfId="469" priority="2511">
      <formula>$N$528=0</formula>
    </cfRule>
  </conditionalFormatting>
  <conditionalFormatting sqref="B533:I533 B531:C532 I531:I532">
    <cfRule type="expression" dxfId="468" priority="2512">
      <formula>$N$531=0</formula>
    </cfRule>
  </conditionalFormatting>
  <conditionalFormatting sqref="B534:I537">
    <cfRule type="expression" dxfId="467" priority="3481">
      <formula>$N$534=0</formula>
    </cfRule>
  </conditionalFormatting>
  <conditionalFormatting sqref="B504:I505">
    <cfRule type="expression" dxfId="466" priority="1609">
      <formula>$N$504=0</formula>
    </cfRule>
  </conditionalFormatting>
  <conditionalFormatting sqref="B497:I497">
    <cfRule type="expression" dxfId="465" priority="1304">
      <formula>$N$497=0</formula>
    </cfRule>
  </conditionalFormatting>
  <conditionalFormatting sqref="B518:I519">
    <cfRule type="expression" dxfId="464" priority="2288">
      <formula>$N$518=0</formula>
    </cfRule>
  </conditionalFormatting>
  <conditionalFormatting sqref="B516:I517">
    <cfRule type="expression" dxfId="463" priority="2269">
      <formula>$N$516=0</formula>
    </cfRule>
  </conditionalFormatting>
  <conditionalFormatting sqref="B500:I501">
    <cfRule type="expression" dxfId="462" priority="1442">
      <formula>$N$500=0</formula>
    </cfRule>
  </conditionalFormatting>
  <conditionalFormatting sqref="B499:I502">
    <cfRule type="expression" dxfId="461" priority="1305">
      <formula>$N$499=0</formula>
    </cfRule>
  </conditionalFormatting>
  <conditionalFormatting sqref="B512:I515">
    <cfRule type="expression" dxfId="460" priority="1981">
      <formula>$N$512=0</formula>
    </cfRule>
  </conditionalFormatting>
  <conditionalFormatting sqref="B513:I514">
    <cfRule type="expression" dxfId="459" priority="1982">
      <formula>$N$513=0</formula>
    </cfRule>
  </conditionalFormatting>
  <conditionalFormatting sqref="B520:I521">
    <cfRule type="expression" dxfId="458" priority="2294">
      <formula>$N$520=0</formula>
    </cfRule>
  </conditionalFormatting>
  <conditionalFormatting sqref="A488:I491">
    <cfRule type="expression" dxfId="457" priority="1298">
      <formula>$L$488=0</formula>
    </cfRule>
  </conditionalFormatting>
  <conditionalFormatting sqref="A389:I403">
    <cfRule type="expression" dxfId="456" priority="487">
      <formula>$N$389=0</formula>
    </cfRule>
  </conditionalFormatting>
  <conditionalFormatting sqref="A396:I403">
    <cfRule type="expression" dxfId="455" priority="488">
      <formula>$N$396=0</formula>
    </cfRule>
    <cfRule type="expression" dxfId="454" priority="489">
      <formula>SUM($L$399:$L$402)=0</formula>
    </cfRule>
  </conditionalFormatting>
  <conditionalFormatting sqref="B493:I493">
    <cfRule type="cellIs" dxfId="453" priority="1301" operator="notEqual">
      <formula>""</formula>
    </cfRule>
  </conditionalFormatting>
  <conditionalFormatting sqref="B526:I526">
    <cfRule type="expression" dxfId="452" priority="2510">
      <formula>$N$526=0</formula>
    </cfRule>
  </conditionalFormatting>
  <conditionalFormatting sqref="A492:I537">
    <cfRule type="expression" dxfId="451" priority="56">
      <formula>$N$492=0</formula>
    </cfRule>
  </conditionalFormatting>
  <conditionalFormatting sqref="B439:I442">
    <cfRule type="expression" dxfId="450" priority="511">
      <formula>$L$441=0</formula>
    </cfRule>
  </conditionalFormatting>
  <conditionalFormatting sqref="I424">
    <cfRule type="expression" dxfId="449" priority="499">
      <formula>IFERROR(FIND("not",I424),0)&gt;0</formula>
    </cfRule>
  </conditionalFormatting>
  <conditionalFormatting sqref="A414:I425">
    <cfRule type="expression" dxfId="448" priority="496">
      <formula>$N$414=0</formula>
    </cfRule>
  </conditionalFormatting>
  <conditionalFormatting sqref="I419:I423">
    <cfRule type="expression" dxfId="447" priority="497">
      <formula>$I$416&lt;&gt;"Yes"</formula>
    </cfRule>
  </conditionalFormatting>
  <conditionalFormatting sqref="I32">
    <cfRule type="expression" dxfId="446" priority="74">
      <formula>$L$55=0</formula>
    </cfRule>
  </conditionalFormatting>
  <conditionalFormatting sqref="E32:I32">
    <cfRule type="expression" dxfId="445" priority="72">
      <formula>AND($O$32=1,County="Miami-Dade",SAIL_Request_Amount&lt;$H$32)</formula>
    </cfRule>
    <cfRule type="expression" dxfId="444" priority="73">
      <formula>AND($O$32=1,County="Miami-Dade",N($I$55)&gt;0,N($I$55)&lt;$H$32)</formula>
    </cfRule>
  </conditionalFormatting>
  <conditionalFormatting sqref="L382 O382">
    <cfRule type="expression" dxfId="443" priority="240">
      <formula>AND($L$309=0,$L$382=1)</formula>
    </cfRule>
  </conditionalFormatting>
  <conditionalFormatting sqref="B362:I362 B360:E360 B361:D361 G361 B354:E354 B356:E357 B355:D355 F355 B359:I359 B358:D358 F358">
    <cfRule type="expression" dxfId="442" priority="438">
      <formula>$L$355=0</formula>
    </cfRule>
  </conditionalFormatting>
  <conditionalFormatting sqref="E339:H339">
    <cfRule type="cellIs" dxfId="441" priority="14" operator="notEqual">
      <formula>""</formula>
    </cfRule>
    <cfRule type="expression" dxfId="440" priority="397">
      <formula>IFERROR(RIGHT($E339,6),"")="areas."</formula>
    </cfRule>
  </conditionalFormatting>
  <conditionalFormatting sqref="H50">
    <cfRule type="cellIs" dxfId="439" priority="83" operator="equal">
      <formula>"Need Costs"</formula>
    </cfRule>
  </conditionalFormatting>
  <conditionalFormatting sqref="I142 I145">
    <cfRule type="cellIs" dxfId="438" priority="142" operator="equal">
      <formula>"Need Costs"</formula>
    </cfRule>
  </conditionalFormatting>
  <conditionalFormatting sqref="I155">
    <cfRule type="expression" dxfId="437" priority="144">
      <formula>andI($I155&lt;&gt;"",$I155&gt;=$I$151)</formula>
    </cfRule>
  </conditionalFormatting>
  <conditionalFormatting sqref="I155 I158 I161">
    <cfRule type="expression" dxfId="436" priority="143">
      <formula>AND($I$155&lt;&gt;"",$I$155&lt;$I$151)</formula>
    </cfRule>
  </conditionalFormatting>
  <conditionalFormatting sqref="E156:H156">
    <cfRule type="expression" dxfId="435" priority="146">
      <formula>AND($I$155&lt;&gt;"",N($I$155)&lt;$I$151)</formula>
    </cfRule>
  </conditionalFormatting>
  <conditionalFormatting sqref="H126">
    <cfRule type="cellIs" dxfId="434" priority="138" operator="greaterThan">
      <formula>Total_Units</formula>
    </cfRule>
  </conditionalFormatting>
  <conditionalFormatting sqref="I126">
    <cfRule type="cellIs" dxfId="433" priority="139" operator="notEqual">
      <formula>""</formula>
    </cfRule>
  </conditionalFormatting>
  <conditionalFormatting sqref="N312 N319 N324 N332 N337 N355:N356 N364 N367 N370 N374 N346">
    <cfRule type="expression" dxfId="432" priority="135">
      <formula>LEFT(N312,5)="ENTER"</formula>
    </cfRule>
  </conditionalFormatting>
  <conditionalFormatting sqref="E320:I320">
    <cfRule type="expression" dxfId="431" priority="307">
      <formula>Multiphase_subsequent&lt;&gt;"Yes"</formula>
    </cfRule>
  </conditionalFormatting>
  <conditionalFormatting sqref="E325:I325 E329:I329">
    <cfRule type="expression" dxfId="430" priority="317">
      <formula>Small_Area_DDA&lt;&gt;"Yes"</formula>
    </cfRule>
  </conditionalFormatting>
  <conditionalFormatting sqref="E338:I340 E343:I343">
    <cfRule type="expression" dxfId="429" priority="395">
      <formula>QCT&lt;&gt;"Yes"</formula>
    </cfRule>
  </conditionalFormatting>
  <conditionalFormatting sqref="E347:I347 E351:I352">
    <cfRule type="expression" dxfId="428" priority="433">
      <formula>Geo_Area_of_Opp_boost&lt;&gt;"Yes"</formula>
    </cfRule>
  </conditionalFormatting>
  <conditionalFormatting sqref="E333:I334">
    <cfRule type="expression" dxfId="427" priority="390">
      <formula>DDA_nonmetro&lt;&gt;"Yes"</formula>
    </cfRule>
  </conditionalFormatting>
  <conditionalFormatting sqref="E357:I357 E359:I361 F358">
    <cfRule type="expression" dxfId="426" priority="440">
      <formula>IFERROR(FIND("Yes",UrbanCenter_indication),0)=0</formula>
    </cfRule>
  </conditionalFormatting>
  <conditionalFormatting sqref="E375:I376">
    <cfRule type="expression" dxfId="425" priority="476">
      <formula>GeoAofO_SADDA_Goal&lt;&gt;"Yes"</formula>
    </cfRule>
  </conditionalFormatting>
  <conditionalFormatting sqref="B479:I479 B481:I481 B480:G480">
    <cfRule type="expression" dxfId="424" priority="587">
      <formula>$L$480=0</formula>
    </cfRule>
  </conditionalFormatting>
  <conditionalFormatting sqref="B483:I483 B482:C482">
    <cfRule type="expression" dxfId="423" priority="313">
      <formula>$L$483=0</formula>
    </cfRule>
  </conditionalFormatting>
  <conditionalFormatting sqref="A474:I481 A483:I486 A482:C482 A487:D487">
    <cfRule type="expression" dxfId="422" priority="22">
      <formula>AND($L$477=0,$L$480=0,$L$483=0,$L$486=0)</formula>
    </cfRule>
  </conditionalFormatting>
  <conditionalFormatting sqref="C482:I482">
    <cfRule type="expression" dxfId="421" priority="630">
      <formula>AND(PHA_land_lease&lt;&gt;"Yes",PHA_as_Principal&lt;&gt;"Yes")</formula>
    </cfRule>
  </conditionalFormatting>
  <conditionalFormatting sqref="B476:I476 B478:I478 B477:G477">
    <cfRule type="expression" dxfId="420" priority="586">
      <formula>$L$477=0</formula>
    </cfRule>
  </conditionalFormatting>
  <conditionalFormatting sqref="A21:I58">
    <cfRule type="expression" dxfId="419" priority="69">
      <formula>$L$55=0</formula>
    </cfRule>
  </conditionalFormatting>
  <conditionalFormatting sqref="A228:I229">
    <cfRule type="expression" dxfId="418" priority="193">
      <formula>$L$228=0</formula>
    </cfRule>
  </conditionalFormatting>
  <conditionalFormatting sqref="G364:I364">
    <cfRule type="expression" dxfId="417" priority="442">
      <formula>E364="No"</formula>
    </cfRule>
  </conditionalFormatting>
  <conditionalFormatting sqref="G346:I346">
    <cfRule type="cellIs" dxfId="416" priority="427" operator="notEqual">
      <formula>""</formula>
    </cfRule>
  </conditionalFormatting>
  <conditionalFormatting sqref="G319:I319">
    <cfRule type="expression" dxfId="415" priority="304">
      <formula>IFERROR(FIND(" not ",G319),0)&gt;0</formula>
    </cfRule>
  </conditionalFormatting>
  <conditionalFormatting sqref="G324">
    <cfRule type="expression" dxfId="414" priority="316">
      <formula>$L$319=0</formula>
    </cfRule>
  </conditionalFormatting>
  <conditionalFormatting sqref="G324:I324">
    <cfRule type="expression" dxfId="413" priority="315">
      <formula>IFERROR(FIND(" not ",G324),0)&gt;0</formula>
    </cfRule>
  </conditionalFormatting>
  <conditionalFormatting sqref="G332">
    <cfRule type="expression" dxfId="412" priority="389">
      <formula>$L$319=0</formula>
    </cfRule>
  </conditionalFormatting>
  <conditionalFormatting sqref="G332:I332">
    <cfRule type="expression" dxfId="411" priority="369">
      <formula>IFERROR(FIND(" not ",G332),0)&gt;0</formula>
    </cfRule>
  </conditionalFormatting>
  <conditionalFormatting sqref="G337">
    <cfRule type="expression" dxfId="410" priority="394">
      <formula>$L$319=0</formula>
    </cfRule>
  </conditionalFormatting>
  <conditionalFormatting sqref="G337:I337">
    <cfRule type="expression" dxfId="409" priority="393">
      <formula>IFERROR(FIND(" not ",G337),0)&gt;0</formula>
    </cfRule>
  </conditionalFormatting>
  <conditionalFormatting sqref="D318">
    <cfRule type="expression" dxfId="408" priority="303">
      <formula>$L$324=0</formula>
    </cfRule>
  </conditionalFormatting>
  <conditionalFormatting sqref="D354:I354 D363:I363 E364 D366:I366 E367 D369:I369 E370 G370">
    <cfRule type="expression" dxfId="407" priority="426">
      <formula>Earned_HUD_Boost="Yes"</formula>
    </cfRule>
  </conditionalFormatting>
  <conditionalFormatting sqref="D315:I315 E316:I316">
    <cfRule type="expression" dxfId="406" priority="284">
      <formula>$L$309=0</formula>
    </cfRule>
  </conditionalFormatting>
  <conditionalFormatting sqref="I230">
    <cfRule type="expression" dxfId="405" priority="196">
      <formula>AND(N($I$230)&gt;0,N($I$230)&lt;=DS_NHTF_Max_Units_Opt_Allowed)</formula>
    </cfRule>
    <cfRule type="cellIs" dxfId="404" priority="4029" operator="greaterThan">
      <formula>DS_NHTF_Max_Units_Opt_Allowed</formula>
    </cfRule>
  </conditionalFormatting>
  <conditionalFormatting sqref="I226 E312:F312 E316:F316 E319:F319 E324:F324 E337:F337 E346:F346 E367:F367 E374:F374 E376:F376 I441 D477:F477 D480:F480 I490">
    <cfRule type="cellIs" dxfId="403" priority="19" operator="equal">
      <formula>""</formula>
    </cfRule>
  </conditionalFormatting>
  <conditionalFormatting sqref="B508:I511">
    <cfRule type="expression" dxfId="402" priority="1943">
      <formula>$N$492=0</formula>
    </cfRule>
  </conditionalFormatting>
  <conditionalFormatting sqref="B508:I511">
    <cfRule type="expression" dxfId="401" priority="1957">
      <formula>$N$508=0</formula>
    </cfRule>
  </conditionalFormatting>
  <conditionalFormatting sqref="B509:I510">
    <cfRule type="expression" dxfId="400" priority="1980">
      <formula>$N$509=0</formula>
    </cfRule>
  </conditionalFormatting>
  <conditionalFormatting sqref="A69:I115">
    <cfRule type="expression" dxfId="399" priority="89">
      <formula>$N$69=0</formula>
    </cfRule>
  </conditionalFormatting>
  <conditionalFormatting sqref="E85:H89">
    <cfRule type="expression" dxfId="398" priority="118">
      <formula>$L85=0</formula>
    </cfRule>
  </conditionalFormatting>
  <conditionalFormatting sqref="F85:F89">
    <cfRule type="cellIs" dxfId="397" priority="120" operator="greaterThan">
      <formula>0</formula>
    </cfRule>
  </conditionalFormatting>
  <conditionalFormatting sqref="H90">
    <cfRule type="cellIs" dxfId="396" priority="121" operator="greaterThan">
      <formula>Total_Units</formula>
    </cfRule>
  </conditionalFormatting>
  <conditionalFormatting sqref="D95:I95">
    <cfRule type="expression" dxfId="395" priority="126">
      <formula>N($I$95)&lt;N($I$97)</formula>
    </cfRule>
  </conditionalFormatting>
  <conditionalFormatting sqref="I97">
    <cfRule type="expression" dxfId="394" priority="127" stopIfTrue="1">
      <formula>N(I97)&gt;MIN(IF(AND($N$74&gt;0,$N$81=0),N(Max_RRLP_Base_1),IF(AND($N$74=0,$N$81&gt;0),N(Max_RRLP_Base_2),N(Max_RRLP_Base))),N(RRLP_Base_Request_Amount))</formula>
    </cfRule>
    <cfRule type="expression" dxfId="393" priority="128">
      <formula>AND(N(I97)&gt;0,N(I97)&lt;=MIN(IF(AND($N$74&gt;0,$N$81=0),N(Max_RRLP_Base_1),IF(AND($N$74=0,$N$81&gt;0),N(Max_RRLP_Base_2),N(Max_RRLP_Base))),N(RRLP_Base_Request_Amount)))</formula>
    </cfRule>
  </conditionalFormatting>
  <conditionalFormatting sqref="C101:I104 C106:I110 C105:E105 I105 C112:I115 C111:D111 I111">
    <cfRule type="expression" dxfId="392" priority="129">
      <formula>$L$107=0</formula>
    </cfRule>
  </conditionalFormatting>
  <conditionalFormatting sqref="E105:I105">
    <cfRule type="expression" dxfId="391" priority="133">
      <formula>RRLP_ELI_Request_Amount&gt;Max_RRLP_ELI</formula>
    </cfRule>
  </conditionalFormatting>
  <conditionalFormatting sqref="I65">
    <cfRule type="expression" dxfId="390" priority="53">
      <formula>Max_ELI=0</formula>
    </cfRule>
    <cfRule type="expression" dxfId="389" priority="3550">
      <formula>AND(N(I65)&gt;0,N(I65)&lt;=$I63)</formula>
    </cfRule>
    <cfRule type="expression" dxfId="388" priority="3551" stopIfTrue="1">
      <formula>N(I65)&gt;N(I63)</formula>
    </cfRule>
  </conditionalFormatting>
  <conditionalFormatting sqref="I107">
    <cfRule type="expression" dxfId="387" priority="3568">
      <formula>AND(N(I107)&gt;0,N(I107)&lt;=N(I105))</formula>
    </cfRule>
    <cfRule type="expression" dxfId="386" priority="3569" stopIfTrue="1">
      <formula>N(I107)&gt;N(I105)</formula>
    </cfRule>
  </conditionalFormatting>
  <conditionalFormatting sqref="I55">
    <cfRule type="expression" dxfId="385" priority="3529">
      <formula>AND(N(I55)&gt;0,OR(N(I55)&lt;=$I53,IF(AND(O32=1,County="Miami-Dade",I55&gt;=H32),TRUE,FALSE)))</formula>
    </cfRule>
    <cfRule type="expression" dxfId="384" priority="3530" stopIfTrue="1">
      <formula>N(I55)&gt;N(I53)</formula>
    </cfRule>
    <cfRule type="expression" dxfId="383" priority="3531" stopIfTrue="1">
      <formula>AND($O$32=1,County="Miami-Dade",N($I$55)&gt;0,N($I$55)&lt;$H$32)</formula>
    </cfRule>
  </conditionalFormatting>
  <conditionalFormatting sqref="I15">
    <cfRule type="expression" dxfId="382" priority="3505">
      <formula>AND(N(I15)&gt;0,N(I15)&lt;=$I13)</formula>
    </cfRule>
    <cfRule type="cellIs" dxfId="381" priority="3506" stopIfTrue="1" operator="greaterThan">
      <formula>$I13</formula>
    </cfRule>
  </conditionalFormatting>
  <conditionalFormatting sqref="I133">
    <cfRule type="expression" dxfId="380" priority="3586">
      <formula>AND(N(I133)&gt;0,N(I133)&lt;=$I129)</formula>
    </cfRule>
    <cfRule type="cellIs" dxfId="379" priority="3587" stopIfTrue="1" operator="greaterThan">
      <formula>$I129</formula>
    </cfRule>
  </conditionalFormatting>
  <conditionalFormatting sqref="I222">
    <cfRule type="expression" dxfId="378" priority="3622">
      <formula>AND(N(I222)&gt;0,N(I222)&lt;=$I220)</formula>
    </cfRule>
    <cfRule type="expression" dxfId="377" priority="3623" stopIfTrue="1">
      <formula>AND(NHTF_Request_Amount&gt;Max_NHTF,NHTF_Request_Amount&lt;&gt;"")</formula>
    </cfRule>
  </conditionalFormatting>
  <conditionalFormatting sqref="I275 I201">
    <cfRule type="expression" dxfId="376" priority="237">
      <formula>AND(N(I201)&gt;0,N(I201)&lt;=$I199)</formula>
    </cfRule>
    <cfRule type="cellIs" dxfId="375" priority="241" stopIfTrue="1" operator="greaterThan">
      <formula>$I199</formula>
    </cfRule>
  </conditionalFormatting>
  <conditionalFormatting sqref="I298">
    <cfRule type="expression" dxfId="374" priority="4126">
      <formula>AND(N(I298)&gt;0,N(I298)&lt;=$I296)</formula>
    </cfRule>
    <cfRule type="cellIs" dxfId="373" priority="4190" stopIfTrue="1" operator="greaterThan">
      <formula>$I$296</formula>
    </cfRule>
  </conditionalFormatting>
  <conditionalFormatting sqref="A239:I265">
    <cfRule type="expression" dxfId="372" priority="198">
      <formula>$N$239=0</formula>
    </cfRule>
  </conditionalFormatting>
  <conditionalFormatting sqref="I244">
    <cfRule type="expression" dxfId="371" priority="207">
      <formula>N(CDBG_DR_Land_Request_Amount)&gt;N(Max_CDBG_DR_Land)</formula>
    </cfRule>
    <cfRule type="expression" dxfId="370" priority="208">
      <formula>AND(I244&lt;&gt;"",N(CDBG_DR_Land_Request_Amount)&lt;=N(Max_CDBG_DR_Land))</formula>
    </cfRule>
  </conditionalFormatting>
  <conditionalFormatting sqref="E242:H242">
    <cfRule type="expression" dxfId="369" priority="200">
      <formula>N(CDBG_DR_Land_Request_Amount)&gt;N(Max_CDBG_DR_Land)</formula>
    </cfRule>
  </conditionalFormatting>
  <conditionalFormatting sqref="E260:I260">
    <cfRule type="expression" dxfId="368" priority="219">
      <formula>N(CDBG_DR_Dev_Request_Amount)&gt;N(Max_CDBG_DR_Dev)</formula>
    </cfRule>
  </conditionalFormatting>
  <conditionalFormatting sqref="E252:H256">
    <cfRule type="expression" dxfId="367" priority="213">
      <formula>$L252=0</formula>
    </cfRule>
  </conditionalFormatting>
  <conditionalFormatting sqref="F252:F256">
    <cfRule type="cellIs" dxfId="366" priority="214" operator="greaterThan">
      <formula>0</formula>
    </cfRule>
  </conditionalFormatting>
  <conditionalFormatting sqref="H257">
    <cfRule type="cellIs" dxfId="365" priority="215" operator="greaterThan">
      <formula>Total_Units</formula>
    </cfRule>
  </conditionalFormatting>
  <conditionalFormatting sqref="I262">
    <cfRule type="expression" dxfId="364" priority="234">
      <formula>AND(N(CDBG_DR_Dev_Request_Amount)&gt;0,N(CDBG_DR_Dev_Request_Amount)&lt;=Max_CDBG_DR_Dev)</formula>
    </cfRule>
  </conditionalFormatting>
  <conditionalFormatting sqref="I262">
    <cfRule type="expression" dxfId="363" priority="233" stopIfTrue="1">
      <formula>N(CDBG_DR_Dev_Request_Amount)&gt;N(Max_CDBG_DR_Dev)</formula>
    </cfRule>
  </conditionalFormatting>
  <conditionalFormatting sqref="B241:I247">
    <cfRule type="expression" dxfId="362" priority="199">
      <formula>$L$244=0</formula>
    </cfRule>
  </conditionalFormatting>
  <conditionalFormatting sqref="A248:I265">
    <cfRule type="expression" dxfId="361" priority="212">
      <formula>$N$248=0</formula>
    </cfRule>
  </conditionalFormatting>
  <conditionalFormatting sqref="B522:I525">
    <cfRule type="expression" dxfId="360" priority="2353">
      <formula>$N$522=0</formula>
    </cfRule>
  </conditionalFormatting>
  <conditionalFormatting sqref="B523:I524">
    <cfRule type="expression" dxfId="359" priority="2498">
      <formula>$N$523=0</formula>
    </cfRule>
  </conditionalFormatting>
  <conditionalFormatting sqref="C74:I79">
    <cfRule type="expression" dxfId="358" priority="98">
      <formula>AND(OR(N(Non_Competitive_HC_Request_Amount)&gt;0,N(MMRB_Request_Amount)&gt;0)=FALSE,$N$74&gt;0,$N$81&gt;0)</formula>
    </cfRule>
  </conditionalFormatting>
  <conditionalFormatting sqref="C81:I93">
    <cfRule type="expression" dxfId="357" priority="116">
      <formula>AND(OR(N(Non_Competitive_HC_Request_Amount)&gt;0,N(MMRB_Request_Amount)&gt;0),$N$81&gt;0,$N$74&gt;0)</formula>
    </cfRule>
  </conditionalFormatting>
  <conditionalFormatting sqref="E79:I79">
    <cfRule type="expression" dxfId="356" priority="115">
      <formula>AND(OR(N(Non_Competitive_HC_Request_Amount)&gt;0,N(MMRB_Request_Amount)&gt;0),$I$97&gt;$I$95,$N$74&gt;0)</formula>
    </cfRule>
  </conditionalFormatting>
  <conditionalFormatting sqref="E93:I93">
    <cfRule type="expression" dxfId="355" priority="124">
      <formula>AND(OR(N(Non_Competitive_HC_Request_Amount)&gt;0,N(MMRB_Request_Amount)&gt;0)=FALSE,$I$97&gt;$I$95,$N$81&gt;0)</formula>
    </cfRule>
  </conditionalFormatting>
  <conditionalFormatting sqref="C104:I105">
    <cfRule type="expression" dxfId="354" priority="132">
      <formula>$O$102+$O$103&lt;2</formula>
    </cfRule>
  </conditionalFormatting>
  <conditionalFormatting sqref="C102:I103">
    <cfRule type="expression" dxfId="353" priority="130">
      <formula>$O102=0</formula>
    </cfRule>
  </conditionalFormatting>
  <conditionalFormatting sqref="A449:I473">
    <cfRule type="expression" dxfId="352" priority="538">
      <formula>$N$449=0</formula>
    </cfRule>
  </conditionalFormatting>
  <conditionalFormatting sqref="C74:I80">
    <cfRule type="expression" dxfId="351" priority="93">
      <formula>$N$74=0</formula>
    </cfRule>
  </conditionalFormatting>
  <conditionalFormatting sqref="C71:I73">
    <cfRule type="expression" dxfId="350" priority="92">
      <formula>$N$74+$N$81&lt;2</formula>
    </cfRule>
  </conditionalFormatting>
  <conditionalFormatting sqref="C81:I94">
    <cfRule type="expression" dxfId="349" priority="117">
      <formula>$N$81=0</formula>
    </cfRule>
  </conditionalFormatting>
  <conditionalFormatting sqref="C95:I96">
    <cfRule type="expression" dxfId="348" priority="125">
      <formula>$N$74+$N$81&lt;2</formula>
    </cfRule>
  </conditionalFormatting>
  <conditionalFormatting sqref="I75:I76">
    <cfRule type="expression" dxfId="347" priority="107">
      <formula>$N$69=0</formula>
    </cfRule>
  </conditionalFormatting>
  <conditionalFormatting sqref="I75:I76">
    <cfRule type="expression" dxfId="346" priority="108">
      <formula>$N$74=0</formula>
    </cfRule>
  </conditionalFormatting>
  <conditionalFormatting sqref="E77:I77">
    <cfRule type="expression" dxfId="345" priority="112">
      <formula>$N$69=0</formula>
    </cfRule>
  </conditionalFormatting>
  <conditionalFormatting sqref="E77:I77">
    <cfRule type="expression" dxfId="344" priority="114">
      <formula>$N$74=0</formula>
    </cfRule>
  </conditionalFormatting>
  <conditionalFormatting sqref="A315:I317">
    <cfRule type="expression" dxfId="343" priority="283">
      <formula>$L$309=0</formula>
    </cfRule>
  </conditionalFormatting>
  <conditionalFormatting sqref="A485:I486 A487:D487">
    <cfRule type="expression" dxfId="342" priority="1293">
      <formula>$L$486=0</formula>
    </cfRule>
  </conditionalFormatting>
  <conditionalFormatting sqref="D486">
    <cfRule type="cellIs" dxfId="341" priority="1294" operator="notEqual">
      <formula>"&lt;select from menu&gt;"</formula>
    </cfRule>
  </conditionalFormatting>
  <conditionalFormatting sqref="D486:F486">
    <cfRule type="cellIs" dxfId="340" priority="1297" operator="equal">
      <formula>""</formula>
    </cfRule>
  </conditionalFormatting>
  <conditionalFormatting sqref="C372 B314:I314">
    <cfRule type="expression" dxfId="339" priority="456">
      <formula>AND($L$319=0,$L$324=0,$L$332=0,$L$337=0,$L$346=0,$L$364=0,$L$367=0,$L$374=0)</formula>
    </cfRule>
  </conditionalFormatting>
  <conditionalFormatting sqref="A214:I225">
    <cfRule type="expression" dxfId="338" priority="185">
      <formula>$L$222=0</formula>
    </cfRule>
  </conditionalFormatting>
  <conditionalFormatting sqref="D173:I173">
    <cfRule type="expression" dxfId="337" priority="148">
      <formula>AND(NHTF_Request_Amount&gt;Max_NHTF,NHTF_Request_Amount&lt;&gt;"")</formula>
    </cfRule>
  </conditionalFormatting>
  <conditionalFormatting sqref="I179">
    <cfRule type="cellIs" dxfId="336" priority="154" operator="equal">
      <formula>""</formula>
    </cfRule>
    <cfRule type="cellIs" dxfId="335" priority="156" operator="notEqual">
      <formula>"&lt;select from menu&gt;"</formula>
    </cfRule>
  </conditionalFormatting>
  <conditionalFormatting sqref="I175">
    <cfRule type="expression" dxfId="334" priority="149" stopIfTrue="1">
      <formula>AND(NHTF_Request_Amount&gt;Max_NHTF,NHTF_Request_Amount&lt;&gt;"")</formula>
    </cfRule>
    <cfRule type="expression" dxfId="333" priority="150">
      <formula>AND(N(I175)&gt;0,N(I175)&lt;=$I173)</formula>
    </cfRule>
  </conditionalFormatting>
  <conditionalFormatting sqref="A230:I238">
    <cfRule type="expression" dxfId="332" priority="194">
      <formula>$L$230=0</formula>
    </cfRule>
  </conditionalFormatting>
  <conditionalFormatting sqref="D231">
    <cfRule type="expression" dxfId="331" priority="4031">
      <formula>N(I230)&gt;DS_NHTF_Max_Units_Opt_Allowed</formula>
    </cfRule>
  </conditionalFormatting>
  <conditionalFormatting sqref="A213:I213">
    <cfRule type="expression" dxfId="330" priority="184">
      <formula>$N$214+SUM($L$226:$L$230)=0</formula>
    </cfRule>
  </conditionalFormatting>
  <conditionalFormatting sqref="A182:I182 A181:C181">
    <cfRule type="expression" dxfId="329" priority="157">
      <formula>$L$181=0</formula>
    </cfRule>
  </conditionalFormatting>
  <conditionalFormatting sqref="A167:I178">
    <cfRule type="expression" dxfId="328" priority="147">
      <formula>$N$167=0</formula>
    </cfRule>
  </conditionalFormatting>
  <conditionalFormatting sqref="A191:I204">
    <cfRule type="expression" dxfId="327" priority="171">
      <formula>$N$192=0</formula>
    </cfRule>
  </conditionalFormatting>
  <conditionalFormatting sqref="A166:I166">
    <cfRule type="expression" dxfId="326" priority="3604">
      <formula>$N$167+SUM($L$179:$L$183)+$N$192=0</formula>
    </cfRule>
  </conditionalFormatting>
  <conditionalFormatting sqref="A189:I190 A183:C188">
    <cfRule type="expression" dxfId="325" priority="165">
      <formula>$L$183=0</formula>
    </cfRule>
  </conditionalFormatting>
  <conditionalFormatting sqref="A235:I236">
    <cfRule type="expression" dxfId="324" priority="197">
      <formula>AND(DS_NHTF_Min_Units_Req_Large_Active&lt;&gt;"Yes",DS_NHTF_Min_Units_Req_Medium_Active&lt;&gt;"Yes")</formula>
    </cfRule>
  </conditionalFormatting>
  <conditionalFormatting sqref="A189:I189 A188:C188">
    <cfRule type="expression" dxfId="323" priority="169">
      <formula>DS_Max_ARP_Units=0</formula>
    </cfRule>
  </conditionalFormatting>
  <conditionalFormatting sqref="N181">
    <cfRule type="expression" dxfId="322" priority="59">
      <formula>AND(L181=0,OR(DS_ARP_Min_Units_Req_Large_Active="Yes",DS_ARP_Min_Units_Req_Medium_Active="Yes"))</formula>
    </cfRule>
  </conditionalFormatting>
  <conditionalFormatting sqref="N228">
    <cfRule type="expression" dxfId="321" priority="77">
      <formula>AND(L228=0,OR(DS_NHTF_Min_Units_Req_Large_Active="Yes",DS_NHTF_Min_Units_Req_Medium_Active="Yes"))</formula>
    </cfRule>
  </conditionalFormatting>
  <conditionalFormatting sqref="E321:F321">
    <cfRule type="expression" dxfId="320" priority="302">
      <formula>AND(Multiphase_subsequent&lt;&gt;"Yes",$E$321&lt;&gt;"")</formula>
    </cfRule>
    <cfRule type="expression" dxfId="319" priority="312">
      <formula>AND(Multiphase_subsequent&lt;&gt;"Yes",$E$321="")</formula>
    </cfRule>
  </conditionalFormatting>
  <conditionalFormatting sqref="E326:F328">
    <cfRule type="expression" dxfId="318" priority="314">
      <formula>AND(Small_Area_DDA&lt;&gt;"Yes",$E326="")</formula>
    </cfRule>
    <cfRule type="expression" dxfId="317" priority="321">
      <formula>AND(Small_Area_DDA&lt;&gt;"Yes",$E326&lt;&gt;"")</formula>
    </cfRule>
  </conditionalFormatting>
  <conditionalFormatting sqref="E341:F342">
    <cfRule type="expression" dxfId="316" priority="392">
      <formula>AND(QCT&lt;&gt;"Yes",QCT_number&lt;&gt;"")</formula>
    </cfRule>
    <cfRule type="expression" dxfId="315" priority="401">
      <formula>AND(QCT&lt;&gt;"Yes",QCT_number="")</formula>
    </cfRule>
  </conditionalFormatting>
  <conditionalFormatting sqref="E348:F350">
    <cfRule type="expression" dxfId="314" priority="423">
      <formula>AND(Geo_Area_of_Opp_boost&lt;&gt;"Yes",$E348&lt;&gt;"")</formula>
    </cfRule>
    <cfRule type="expression" dxfId="313" priority="434">
      <formula>AND(Geo_Area_of_Opp_boost&lt;&gt;"Yes",$E348="")</formula>
    </cfRule>
  </conditionalFormatting>
  <conditionalFormatting sqref="E376:F376">
    <cfRule type="expression" dxfId="312" priority="478">
      <formula>AND(GeoAofO_SADDA_Goal&lt;&gt;"Yes",GeoAofO_SADDA_Goal_EntireSite&lt;&gt;"&lt;select from menu&gt;")</formula>
    </cfRule>
  </conditionalFormatting>
  <conditionalFormatting sqref="G456:H456 C457">
    <cfRule type="expression" dxfId="311" priority="545">
      <formula>HOME_Match_Source_1_Name=""</formula>
    </cfRule>
  </conditionalFormatting>
  <conditionalFormatting sqref="G457:H457 C458">
    <cfRule type="expression" dxfId="310" priority="547">
      <formula>HOME_Match_Source_2_Name=""</formula>
    </cfRule>
  </conditionalFormatting>
  <conditionalFormatting sqref="G458:H458 C459">
    <cfRule type="expression" dxfId="309" priority="549">
      <formula>HOME_Match_Source_3_Name=""</formula>
    </cfRule>
  </conditionalFormatting>
  <conditionalFormatting sqref="G459:H459 C460">
    <cfRule type="expression" dxfId="308" priority="563">
      <formula>HOME_Match_Source_4_Name=""</formula>
    </cfRule>
  </conditionalFormatting>
  <conditionalFormatting sqref="G460:H460">
    <cfRule type="expression" dxfId="307" priority="573">
      <formula>HOME_Match_Source_5_Name=""</formula>
    </cfRule>
  </conditionalFormatting>
  <conditionalFormatting sqref="G455:H455">
    <cfRule type="expression" dxfId="306" priority="544">
      <formula>HOME_Match_Source_1_Name=""</formula>
    </cfRule>
  </conditionalFormatting>
  <conditionalFormatting sqref="D483:I483">
    <cfRule type="expression" dxfId="305" priority="575">
      <formula>AND($D$477&lt;&gt;"Yes",$D$480&lt;&gt;"Yes",$D$483&lt;&gt;"")</formula>
    </cfRule>
    <cfRule type="expression" dxfId="304" priority="588">
      <formula>AND($D$477&lt;&gt;"Yes",$D$480&lt;&gt;"Yes",$D$483="")</formula>
    </cfRule>
  </conditionalFormatting>
  <conditionalFormatting sqref="N4 N19 N59 N69 N74 N81 N101 N116 N167 N192 N205 N214 N239 N248 N302 N389 N396 N406 N426 N429 N431 N445 N449 N492 N496:N497 N499:N500 N503:N504 N508:N509 N512:N513 N516 N518 N520 N522:N523 N526 N528 N531 N534 N538 N506">
    <cfRule type="cellIs" dxfId="303" priority="258" operator="equal">
      <formula>0</formula>
    </cfRule>
  </conditionalFormatting>
  <conditionalFormatting sqref="I38:I44">
    <cfRule type="expression" dxfId="302" priority="58">
      <formula>SUM($O$38:$O$44)=0</formula>
    </cfRule>
  </conditionalFormatting>
  <conditionalFormatting sqref="B506:I506">
    <cfRule type="expression" dxfId="301" priority="1624">
      <formula>$N$506=0</formula>
    </cfRule>
  </conditionalFormatting>
  <conditionalFormatting sqref="C65:I67">
    <cfRule type="expression" dxfId="300" priority="54">
      <formula>Max_ELI=0</formula>
    </cfRule>
  </conditionalFormatting>
  <conditionalFormatting sqref="I35:I36">
    <cfRule type="expression" dxfId="299" priority="52">
      <formula>$O$35+$O$36=0</formula>
    </cfRule>
  </conditionalFormatting>
  <conditionalFormatting sqref="Q38:Q44">
    <cfRule type="expression" dxfId="298" priority="51">
      <formula>AND(O$35+O$36&gt;0,O38&gt;0)</formula>
    </cfRule>
  </conditionalFormatting>
  <conditionalFormatting sqref="Q35:Q36">
    <cfRule type="expression" dxfId="297" priority="50">
      <formula>AND(O35&gt;0,SUM(O$38:O$44)&gt;0)</formula>
    </cfRule>
  </conditionalFormatting>
  <conditionalFormatting sqref="I536">
    <cfRule type="cellIs" dxfId="296" priority="49" operator="equal">
      <formula>"See Set-Aside Chart"</formula>
    </cfRule>
  </conditionalFormatting>
  <conditionalFormatting sqref="D179:I179 D226:I226">
    <cfRule type="expression" dxfId="295" priority="153">
      <formula>Self_Sourced_Applicant&lt;&gt;"Yes"</formula>
    </cfRule>
  </conditionalFormatting>
  <conditionalFormatting sqref="C309">
    <cfRule type="cellIs" dxfId="294" priority="45" operator="equal">
      <formula>""</formula>
    </cfRule>
  </conditionalFormatting>
  <conditionalFormatting sqref="C302">
    <cfRule type="expression" dxfId="293" priority="43">
      <formula>$L$309=0</formula>
    </cfRule>
  </conditionalFormatting>
  <conditionalFormatting sqref="C302">
    <cfRule type="expression" dxfId="292" priority="42">
      <formula>$L$309=0</formula>
    </cfRule>
  </conditionalFormatting>
  <conditionalFormatting sqref="A302:I308">
    <cfRule type="expression" dxfId="291" priority="41">
      <formula>$N$302=0</formula>
    </cfRule>
    <cfRule type="expression" dxfId="290" priority="44">
      <formula>AND($L$298=0,$L$309=0)</formula>
    </cfRule>
  </conditionalFormatting>
  <conditionalFormatting sqref="I307">
    <cfRule type="expression" dxfId="289" priority="30">
      <formula>AND(Non_Comp_App_4HC="Yes",I307="&lt;select from menu&gt;")</formula>
    </cfRule>
    <cfRule type="expression" dxfId="288" priority="33">
      <formula>AND(Non_Comp_App_4HC&lt;&gt;"Yes",I307&lt;&gt;"&lt;select from menu&gt;")</formula>
    </cfRule>
    <cfRule type="cellIs" dxfId="287" priority="38" operator="notEqual">
      <formula>"&lt;select from menu&gt;"</formula>
    </cfRule>
  </conditionalFormatting>
  <conditionalFormatting sqref="I307">
    <cfRule type="cellIs" dxfId="286" priority="37" operator="equal">
      <formula>""</formula>
    </cfRule>
  </conditionalFormatting>
  <conditionalFormatting sqref="I305">
    <cfRule type="expression" dxfId="285" priority="31">
      <formula>AND(Non_Comp_App_4HC="Yes",I305="")</formula>
    </cfRule>
    <cfRule type="expression" dxfId="284" priority="32">
      <formula>AND(Non_Comp_App_4HC&lt;&gt;"Yes",I305&lt;&gt;"")</formula>
    </cfRule>
    <cfRule type="cellIs" dxfId="283" priority="36" operator="notEqual">
      <formula>""</formula>
    </cfRule>
  </conditionalFormatting>
  <conditionalFormatting sqref="D305:H305 D307:H307">
    <cfRule type="expression" dxfId="282" priority="35">
      <formula>Non_Comp_App_4HC&lt;&gt;"Yes"</formula>
    </cfRule>
  </conditionalFormatting>
  <conditionalFormatting sqref="I305 I307">
    <cfRule type="expression" dxfId="281" priority="34">
      <formula>Non_Comp_App_4HC&lt;&gt;"Yes"</formula>
    </cfRule>
  </conditionalFormatting>
  <conditionalFormatting sqref="E303">
    <cfRule type="expression" dxfId="280" priority="29">
      <formula>AND($L$298=0,$L$309=0)</formula>
    </cfRule>
  </conditionalFormatting>
  <conditionalFormatting sqref="E303">
    <cfRule type="expression" dxfId="279" priority="28">
      <formula>$N$302=0</formula>
    </cfRule>
  </conditionalFormatting>
  <conditionalFormatting sqref="E303">
    <cfRule type="cellIs" dxfId="278" priority="24" operator="notEqual">
      <formula>"&lt;select from menu&gt;"</formula>
    </cfRule>
  </conditionalFormatting>
  <conditionalFormatting sqref="E303">
    <cfRule type="cellIs" dxfId="277" priority="23" operator="equal">
      <formula>""</formula>
    </cfRule>
  </conditionalFormatting>
  <conditionalFormatting sqref="F355 F358 G361 I361">
    <cfRule type="cellIs" dxfId="276" priority="17" operator="notEqual">
      <formula>""</formula>
    </cfRule>
  </conditionalFormatting>
  <conditionalFormatting sqref="E334:F334">
    <cfRule type="expression" dxfId="275" priority="13">
      <formula>$E$332="No"</formula>
    </cfRule>
    <cfRule type="cellIs" dxfId="274" priority="16" operator="notEqual">
      <formula>""</formula>
    </cfRule>
  </conditionalFormatting>
  <conditionalFormatting sqref="E332:F332">
    <cfRule type="cellIs" dxfId="273" priority="15" operator="notEqual">
      <formula>"Please identify County."</formula>
    </cfRule>
  </conditionalFormatting>
  <conditionalFormatting sqref="E364:F364">
    <cfRule type="expression" dxfId="272" priority="12">
      <formula>OR(LGAO_Number="Yes",AND(LGAO_Number="No",$G$364&lt;&gt;""))</formula>
    </cfRule>
  </conditionalFormatting>
  <conditionalFormatting sqref="E370:F370">
    <cfRule type="expression" dxfId="271" priority="11">
      <formula>OR(Demographic_Area_of_Opp_boost="Yes",AND(Demographic_Area_of_Opp_boost="No",Demographic&lt;&gt;"&lt;select one&gt;"))</formula>
    </cfRule>
  </conditionalFormatting>
  <conditionalFormatting sqref="G376:I376">
    <cfRule type="expression" dxfId="270" priority="10">
      <formula>IFERROR(FIND("The responses above",$G376),0)&gt;0</formula>
    </cfRule>
  </conditionalFormatting>
  <conditionalFormatting sqref="C372:I376">
    <cfRule type="expression" dxfId="269" priority="8">
      <formula>Demographic&lt;&gt;"Family"</formula>
    </cfRule>
  </conditionalFormatting>
  <conditionalFormatting sqref="E376">
    <cfRule type="expression" dxfId="268" priority="455">
      <formula>GeoAofO_SADDA_Goal&lt;&gt;"Yes"</formula>
    </cfRule>
  </conditionalFormatting>
  <conditionalFormatting sqref="I183">
    <cfRule type="cellIs" dxfId="267" priority="3" operator="greaterThan">
      <formula>DS_ARP_Max_Units_Opt_Allowed</formula>
    </cfRule>
    <cfRule type="expression" dxfId="266" priority="4">
      <formula>AND($I$183&lt;&gt;"",$I$183&lt;=DS_ARP_Max_Units_Opt_Allowed)</formula>
    </cfRule>
  </conditionalFormatting>
  <conditionalFormatting sqref="I188">
    <cfRule type="expression" dxfId="265" priority="6">
      <formula>$L$181+$L$183=0</formula>
    </cfRule>
  </conditionalFormatting>
  <conditionalFormatting sqref="D184">
    <cfRule type="expression" dxfId="264" priority="7">
      <formula>N(HOME_ARP_Additional_Units)&gt;DS_Max_ARP_Opt_Units</formula>
    </cfRule>
  </conditionalFormatting>
  <conditionalFormatting sqref="D183:I188">
    <cfRule type="expression" dxfId="263" priority="2">
      <formula>$L$183=0</formula>
    </cfRule>
  </conditionalFormatting>
  <conditionalFormatting sqref="D188:I188">
    <cfRule type="expression" dxfId="262" priority="5">
      <formula>DS_Max_ARP_Units=0</formula>
    </cfRule>
  </conditionalFormatting>
  <conditionalFormatting sqref="D181:I181">
    <cfRule type="expression" dxfId="261" priority="1">
      <formula>$L$181=0</formula>
    </cfRule>
  </conditionalFormatting>
  <dataValidations count="15">
    <dataValidation type="list" allowBlank="1" showDropDown="1" showErrorMessage="1" error="To select this Resident Program, type in &quot;x&quot;." sqref="D407:D408"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3 I275 I65 I55 I209 I201 I298 I97 I107 I262" xr:uid="{F7FBB5B9-D898-4721-B016-C3730E19B926}">
      <formula1>DS_Request_Minimum</formula1>
      <formula2>DS_Request_Maximum</formula2>
    </dataValidation>
    <dataValidation type="custom" allowBlank="1" showInputMessage="1" showErrorMessage="1" sqref="L15 L55 L65 L222 L133 L209 L275 L367 L226 L316 L312 L348:L350 N492 O355:O356 L364 L370 L488 L456:L460 L477 L480 O121:O125 L298 L321 L374 L201 L399:L402 O382 L483 N406 L326:L328 L341 O65 L441 L446 L319 L324 L376 L393:L394 L407:L408 L355:L356 L121:L126 L486 L230 O364 O367 O303 O374 O346 L346 L337 L332 O85:O89 L85:L89 L97 L107 O107 O252:O256 O262 L244 O244 L252:L256 L262 L309 L303" xr:uid="{7D3A3F00-6AB4-4F7D-8734-CC839EC088E6}">
      <formula1>AND(L15&gt;=0,L15&lt;3,L15=ROUND(L15,0))</formula1>
    </dataValidation>
    <dataValidation type="whole" allowBlank="1" showErrorMessage="1" error="Input is restricted to a whole number." sqref="I309 H399:H402"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30" xr:uid="{82291D6A-4DA5-48FD-80D4-C04E1A983F8C}">
      <formula1>I230&lt;=IF(DS_NHTF_Max_Percent_Opt_Active="Yes",ROUNDUP(DS_NHTF_Max_Percent_Opt*Total_Units,0),IF(DS_NHTF_Max_Units_Opt_Active="Yes",DS_NHTF_Max_Units_Opt,MIN(DS_NHTF_Max_Units_Opt,ROUNDUP(DS_NHTF_Max_Percent_Opt*Total_Units,0))))</formula1>
    </dataValidation>
    <dataValidation type="whole" allowBlank="1" showInputMessage="1" showErrorMessage="1" error="Please enter a valid 5-digit ZCTA" sqref="E326:F328" xr:uid="{B32F858C-816A-40D0-A56D-EDB7198680FA}">
      <formula1>MIN(DS_ZCTAs_2024)</formula1>
      <formula2>MAX(DS_ZCTAs_2024)</formula2>
    </dataValidation>
    <dataValidation type="decimal" allowBlank="1" showInputMessage="1" showErrorMessage="1" error="Pleas enter a valid QCT" sqref="E341:F342" xr:uid="{4988DDA6-980D-4C47-A449-8A5EBE948C2B}">
      <formula1>IF(E339="Non-Metro",MIN(DS_2022_NonMetro_QCTs_Sorted,DS_2023_NonMetro_QCTs_Sorted,DS_2024_NonMetro_QCTs_Sorted),IF(E339="Metro",MIN(DS_2022_Metro_QCTs_Sorted,DS_2023_Metro_QCTs_Sorted,DS_2024_Metro_QCTs_Sorted),0))</formula1>
      <formula2>IF(E339="Non-Metro",MAX(DS_2022_NonMetro_QCTs_Sorted,DS_2023_NonMetro_QCTs_Sorted,DS_2024_NonMetro_QCTs_Sorted),IF(E339="Metro",MAX(DS_2022_Metro_QCTs_Sorted,DS_2023_Metro_QCTs_Sorted,DS_2024_Metro_QCTs_Sorted),0))</formula2>
    </dataValidation>
    <dataValidation type="list" allowBlank="1" showInputMessage="1" showErrorMessage="1" sqref="E316:F316" xr:uid="{6C4789C2-BA3D-4BAE-BA08-0A7C57B455D5}">
      <formula1>DS_HUDBoostYear_DDMenu</formula1>
    </dataValidation>
    <dataValidation type="decimal" allowBlank="1" showInputMessage="1" showErrorMessage="1" error="Please enter a valid GAofO QCT" sqref="E348:F350" xr:uid="{94128017-02FE-4CC1-B426-1929D22DC164}">
      <formula1>MIN(DS_2024_GAO_QCTs_Sorted)</formula1>
      <formula2>MAX(DS_2024_GAO_QCTs_Sorted)</formula2>
    </dataValidation>
    <dataValidation type="whole" allowBlank="1" showInputMessage="1" showErrorMessage="1" sqref="L382" xr:uid="{AB6E5203-25D0-47E8-9276-1D520B815D34}">
      <formula1>0</formula1>
      <formula2>3</formula2>
    </dataValidation>
    <dataValidation type="custom" allowBlank="1" showInputMessage="1" showErrorMessage="1" error="Please enter an appropriate response to the question above prior to responding to this question." sqref="E321:F321" xr:uid="{9549A48B-6676-4783-8BC2-6D4AE8544F32}">
      <formula1>Multiphase_subsequent="Yes"</formula1>
    </dataValidation>
    <dataValidation type="whole" allowBlank="1" showErrorMessage="1" error="Input is restricted to a whole number." sqref="I382" xr:uid="{9D59750F-5658-4EAC-816D-ED15407939DF}">
      <formula1>DS_Request_Minimum</formula1>
      <formula2>100000000</formula2>
    </dataValidation>
    <dataValidation type="custom" showInputMessage="1" showErrorMessage="1" error="An entry is needed to the left for the 'Name of the Source' column  prior to entering data here." sqref="G456:H460" xr:uid="{23690CB3-A1C8-4C36-9459-E745C9B6B861}">
      <formula1>$C456&lt;&gt;""</formula1>
    </dataValidation>
    <dataValidation type="custom" allowBlank="1" showInputMessage="1" showErrorMessage="1" sqref="L179 O305 L305 O307 L307 O370" xr:uid="{3AA5FA78-1372-40BD-A540-71A3195685DA}">
      <formula1>AND(L179&gt;=0,L179&lt;4,L179=ROUND(L179,0))</formula1>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ignoredErrors>
    <ignoredError sqref="B544"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34824" r:id="rId4" name="Check Box 8">
              <controlPr locked="0" defaultSize="0" autoFill="0" autoLine="0" autoPict="0">
                <anchor moveWithCells="1">
                  <from>
                    <xdr:col>3</xdr:col>
                    <xdr:colOff>47625</xdr:colOff>
                    <xdr:row>407</xdr:row>
                    <xdr:rowOff>0</xdr:rowOff>
                  </from>
                  <to>
                    <xdr:col>4</xdr:col>
                    <xdr:colOff>657225</xdr:colOff>
                    <xdr:row>410</xdr:row>
                    <xdr:rowOff>47625</xdr:rowOff>
                  </to>
                </anchor>
              </controlPr>
            </control>
          </mc:Choice>
        </mc:AlternateContent>
        <mc:AlternateContent xmlns:mc="http://schemas.openxmlformats.org/markup-compatibility/2006">
          <mc:Choice Requires="x14">
            <control shapeId="34825" r:id="rId5" name="Check Box 9">
              <controlPr locked="0" defaultSize="0" autoFill="0" autoLine="0" autoPict="0">
                <anchor moveWithCells="1">
                  <from>
                    <xdr:col>3</xdr:col>
                    <xdr:colOff>47625</xdr:colOff>
                    <xdr:row>406</xdr:row>
                    <xdr:rowOff>0</xdr:rowOff>
                  </from>
                  <to>
                    <xdr:col>4</xdr:col>
                    <xdr:colOff>657225</xdr:colOff>
                    <xdr:row>410</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18" id="{B4BF2410-56DC-45A9-9141-0866D881F7D3}">
            <xm:f>$G$342="The QCT is in the "&amp;County&amp;" County HUD "&amp;LEFT(Data2!$F$12,4)&amp;" Non-Metro QCT database."</xm:f>
            <x14:dxf>
              <font>
                <color rgb="FF7030A0"/>
              </font>
              <fill>
                <patternFill>
                  <bgColor rgb="FFCCFFCC"/>
                </patternFill>
              </fill>
            </x14:dxf>
          </x14:cfRule>
          <xm:sqref>G342:I342</xm:sqref>
        </x14:conditionalFormatting>
        <x14:conditionalFormatting xmlns:xm="http://schemas.microsoft.com/office/excel/2006/main">
          <x14:cfRule type="expression" priority="413" id="{15237086-CB5A-47BA-B992-428F393C6524}">
            <xm:f>$G$341="The QCT is in the "&amp;County&amp;" County HUD "&amp;LEFT(Data2!$F$12,4)&amp;" Metro QCT database."</xm:f>
            <x14:dxf>
              <font>
                <color rgb="FF7030A0"/>
              </font>
              <fill>
                <patternFill>
                  <bgColor rgb="FFCCFFCC"/>
                </patternFill>
              </fill>
            </x14:dxf>
          </x14:cfRule>
          <xm:sqref>G341:I341</xm:sqref>
        </x14:conditionalFormatting>
        <x14:conditionalFormatting xmlns:xm="http://schemas.microsoft.com/office/excel/2006/main">
          <x14:cfRule type="expression" priority="494" id="{00000000-000E-0000-1000-00000E010000}">
            <xm:f>Data1!$B758=TRUE</xm:f>
            <x14:dxf>
              <fill>
                <patternFill>
                  <bgColor theme="9" tint="0.79998168889431442"/>
                </patternFill>
              </fill>
            </x14:dxf>
          </x14:cfRule>
          <xm:sqref>D407:I408</xm:sqref>
        </x14:conditionalFormatting>
        <x14:conditionalFormatting xmlns:xm="http://schemas.microsoft.com/office/excel/2006/main">
          <x14:cfRule type="expression" priority="260" id="{E6712920-3663-4956-A10E-B22972243530}">
            <xm:f>Data1!$E$826="Yes"</xm:f>
            <x14:dxf>
              <font>
                <color theme="0"/>
              </font>
              <fill>
                <patternFill>
                  <bgColor theme="0"/>
                </patternFill>
              </fill>
              <border>
                <left/>
                <right/>
                <top/>
                <bottom/>
                <vertical/>
                <horizontal/>
              </border>
            </x14:dxf>
          </x14:cfRule>
          <xm:sqref>L4:Q40 P302:Q309 L41:M44 O41:Q44 L310:Q547 L45:Q301</xm:sqref>
        </x14:conditionalFormatting>
        <x14:conditionalFormatting xmlns:xm="http://schemas.microsoft.com/office/excel/2006/main">
          <x14:cfRule type="expression" priority="4409" id="{C3842296-C9C7-45B8-8FF8-3EEDDA734806}">
            <xm:f>(AND(N(MMRB_Request_Amount)&gt;0,OR(N(LocalHFA_App_Year)=Data1!$F$746,N(LocalHFA_App_Year)=Data1!$F$745)))</xm:f>
            <x14:dxf>
              <font>
                <color rgb="FFC00000"/>
              </font>
              <fill>
                <patternFill>
                  <bgColor rgb="FFFFEBFF"/>
                </patternFill>
              </fill>
            </x14:dxf>
          </x14:cfRule>
          <xm:sqref>E383:I384</xm:sqref>
        </x14:conditionalFormatting>
        <x14:conditionalFormatting xmlns:xm="http://schemas.microsoft.com/office/excel/2006/main">
          <x14:cfRule type="expression" priority="4410" id="{F88862A1-BAB9-4C99-9912-B882BB4F3341}">
            <xm:f>AND($I$382&gt;0,OR($E$316=Data1!$F$746,$E$316=Data1!$F$745))</xm:f>
            <x14:dxf>
              <font>
                <strike/>
                <color rgb="FFC00000"/>
              </font>
              <fill>
                <patternFill patternType="darkUp">
                  <fgColor theme="0" tint="-0.24994659260841701"/>
                  <bgColor rgb="FFFFEBFF"/>
                </patternFill>
              </fill>
            </x14:dxf>
          </x14:cfRule>
          <xm:sqref>I382</xm:sqref>
        </x14:conditionalFormatting>
        <x14:conditionalFormatting xmlns:xm="http://schemas.microsoft.com/office/excel/2006/main">
          <x14:cfRule type="expression" priority="4412" id="{F0C08865-CF32-44D0-9E2C-B23FAAE86308}">
            <xm:f>OR($E$316=Data1!$F$746,$E$316=Data1!$F$745)</xm:f>
            <x14:dxf>
              <font>
                <color theme="0" tint="-0.34998626667073579"/>
              </font>
            </x14:dxf>
          </x14:cfRule>
          <xm:sqref>C382:D382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DAD33C0-739A-4990-8403-E56557BB17B4}">
          <x14:formula1>
            <xm:f>Data2!$EA$112:$EA$115</xm:f>
          </x14:formula1>
          <xm:sqref>E376:F376</xm:sqref>
        </x14:dataValidation>
        <x14:dataValidation type="list" allowBlank="1" showInputMessage="1" showErrorMessage="1" xr:uid="{D575AB2E-7EE2-4316-8AF5-66943E25F8C1}">
          <x14:formula1>
            <xm:f>Data2!$EB$107:$EB$109</xm:f>
          </x14:formula1>
          <xm:sqref>E324:F324 I490 I441 D477:F477 E337:F337 E346:F346 E312:F312 E367:F367 E319:F319 D480:F480 E374:F374 I226 D486:F486 I179 E303:F303 I307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80"/>
  <sheetViews>
    <sheetView zoomScale="110" zoomScaleNormal="110" zoomScaleSheetLayoutView="136" zoomScalePageLayoutView="120" workbookViewId="0">
      <selection activeCell="K190" sqref="K190:N190"/>
    </sheetView>
  </sheetViews>
  <sheetFormatPr defaultColWidth="9.42578125" defaultRowHeight="12.75"/>
  <cols>
    <col min="1" max="1" width="1.5703125" style="116" customWidth="1"/>
    <col min="2" max="2" width="3.5703125" style="116" customWidth="1"/>
    <col min="3" max="3" width="3.42578125" style="116" customWidth="1"/>
    <col min="4" max="4" width="2.5703125" style="116" customWidth="1"/>
    <col min="5" max="5" width="10.85546875" style="116" customWidth="1"/>
    <col min="6" max="6" width="19.5703125" style="116" customWidth="1"/>
    <col min="7" max="7" width="3.5703125" style="116" customWidth="1"/>
    <col min="8" max="8" width="14.42578125" style="116" customWidth="1"/>
    <col min="9" max="9" width="2.5703125" style="116" customWidth="1"/>
    <col min="10" max="10" width="3.5703125" style="116" customWidth="1"/>
    <col min="11" max="11" width="14.42578125" style="116" customWidth="1"/>
    <col min="12" max="12" width="2.5703125" style="116" customWidth="1"/>
    <col min="13" max="13" width="3.5703125" style="116" customWidth="1"/>
    <col min="14" max="14" width="14.42578125" style="116" customWidth="1"/>
    <col min="15" max="15" width="1.5703125" style="116" customWidth="1"/>
    <col min="16" max="16" width="9.28515625" style="116" customWidth="1"/>
    <col min="17" max="17" width="19" style="116" customWidth="1"/>
    <col min="18" max="18" width="13.85546875" style="116" bestFit="1" customWidth="1"/>
    <col min="19" max="20" width="11.5703125" style="116" customWidth="1"/>
    <col min="21" max="21" width="14" style="116" customWidth="1"/>
    <col min="22" max="22" width="20.5703125" style="116" customWidth="1"/>
    <col min="23" max="23" width="13.28515625" style="116" customWidth="1"/>
    <col min="24" max="24" width="15.85546875" style="116" customWidth="1"/>
    <col min="25" max="16384" width="9.42578125" style="116"/>
  </cols>
  <sheetData>
    <row r="1" spans="1:22" customFormat="1" ht="35.85" customHeight="1" thickBot="1">
      <c r="A1" s="3368" t="s">
        <v>1361</v>
      </c>
      <c r="B1" s="3369"/>
      <c r="C1" s="3369"/>
      <c r="D1" s="3369"/>
      <c r="E1" s="3369"/>
      <c r="F1" s="3369"/>
      <c r="G1" s="3369"/>
      <c r="H1" s="3369"/>
      <c r="I1" s="3369"/>
      <c r="J1" s="3369"/>
      <c r="K1" s="3369"/>
      <c r="L1" s="3369"/>
      <c r="M1" s="3369"/>
      <c r="N1" s="3369"/>
      <c r="O1" s="3369"/>
      <c r="P1" s="3370"/>
      <c r="Q1" s="362"/>
      <c r="R1" s="24"/>
      <c r="S1" s="24"/>
      <c r="T1" s="24"/>
      <c r="U1" s="24"/>
      <c r="V1" s="24"/>
    </row>
    <row r="2" spans="1:22">
      <c r="A2" s="123"/>
      <c r="B2" s="130" t="str">
        <f>DS_TabLeftFooter&amp;" DEVELOPMENT COST PRO FORMA"</f>
        <v>RFA 2025-103 DEVELOPMENT COST PRO FORMA</v>
      </c>
      <c r="D2" s="123"/>
      <c r="E2" s="123"/>
      <c r="F2" s="123"/>
      <c r="G2" s="123"/>
      <c r="H2" s="123"/>
      <c r="I2" s="123"/>
      <c r="J2" s="123"/>
      <c r="K2" s="123"/>
      <c r="L2" s="123"/>
      <c r="M2" s="123"/>
      <c r="N2" s="123"/>
      <c r="O2" s="133"/>
      <c r="P2" s="132" t="str">
        <f>IF(OR(AND(Funding!L$309&gt;0,Data3!H$273="No"),Data3!H$274="Yes"),"(Page 1 of 8)","(Page 1 of 7)")</f>
        <v>(Page 1 of 7)</v>
      </c>
    </row>
    <row r="3" spans="1:22" ht="16.5">
      <c r="A3" s="123"/>
      <c r="B3" s="130"/>
      <c r="C3" s="130"/>
      <c r="D3" s="123"/>
      <c r="E3" s="123"/>
      <c r="F3" s="123"/>
      <c r="G3" s="228"/>
      <c r="H3" s="123"/>
      <c r="I3" s="123"/>
      <c r="J3" s="123"/>
      <c r="K3" s="123"/>
      <c r="L3" s="123"/>
      <c r="M3" s="123"/>
      <c r="N3" s="123"/>
      <c r="O3" s="133"/>
      <c r="P3" s="133"/>
    </row>
    <row r="4" spans="1:22">
      <c r="A4" s="123"/>
      <c r="B4" s="123"/>
      <c r="C4" s="123"/>
      <c r="D4" s="227" t="s">
        <v>1362</v>
      </c>
      <c r="E4" s="221">
        <v>1</v>
      </c>
      <c r="F4" s="131" t="s">
        <v>2402</v>
      </c>
      <c r="O4" s="133"/>
      <c r="P4" s="133"/>
    </row>
    <row r="5" spans="1:22">
      <c r="A5" s="123"/>
      <c r="B5" s="123"/>
      <c r="C5" s="148"/>
      <c r="D5" s="148"/>
      <c r="E5" s="226"/>
      <c r="F5" s="131" t="s">
        <v>1363</v>
      </c>
      <c r="O5" s="133"/>
      <c r="P5" s="133"/>
    </row>
    <row r="6" spans="1:22" hidden="1">
      <c r="A6" s="123"/>
      <c r="B6" s="123"/>
      <c r="C6" s="148"/>
      <c r="D6" s="148"/>
      <c r="E6" s="229"/>
      <c r="F6" s="131" t="s">
        <v>1364</v>
      </c>
      <c r="O6" s="133"/>
      <c r="P6" s="133"/>
    </row>
    <row r="7" spans="1:22" hidden="1">
      <c r="A7" s="123"/>
      <c r="B7" s="123"/>
      <c r="C7" s="148"/>
      <c r="D7" s="148"/>
      <c r="E7" s="230"/>
      <c r="F7" s="131" t="s">
        <v>1365</v>
      </c>
      <c r="O7" s="133"/>
      <c r="P7" s="133"/>
    </row>
    <row r="8" spans="1:22">
      <c r="A8" s="123"/>
      <c r="B8" s="123"/>
      <c r="C8" s="148"/>
      <c r="D8" s="148"/>
      <c r="E8" s="221">
        <f>MAX(E$4:E5)+1</f>
        <v>2</v>
      </c>
      <c r="F8" s="131" t="s">
        <v>1366</v>
      </c>
      <c r="O8" s="133"/>
      <c r="P8" s="133"/>
    </row>
    <row r="9" spans="1:22">
      <c r="A9" s="123"/>
      <c r="B9" s="123"/>
      <c r="C9" s="148"/>
      <c r="D9" s="148"/>
      <c r="E9" s="221"/>
      <c r="F9" s="131" t="s">
        <v>1367</v>
      </c>
      <c r="O9" s="133"/>
      <c r="P9" s="133"/>
    </row>
    <row r="10" spans="1:22" hidden="1">
      <c r="A10" s="123"/>
      <c r="B10" s="123"/>
      <c r="C10" s="148"/>
      <c r="D10" s="148"/>
      <c r="E10" s="229"/>
      <c r="F10" s="131" t="s">
        <v>1368</v>
      </c>
      <c r="O10" s="133"/>
      <c r="P10" s="133"/>
    </row>
    <row r="11" spans="1:22">
      <c r="A11" s="123"/>
      <c r="B11" s="123"/>
      <c r="C11" s="123"/>
      <c r="D11" s="123"/>
      <c r="E11" s="221">
        <f>MAX(E$4:E8)+1</f>
        <v>3</v>
      </c>
      <c r="F11" s="131" t="s">
        <v>1369</v>
      </c>
      <c r="O11" s="133"/>
      <c r="P11" s="133"/>
    </row>
    <row r="12" spans="1:22">
      <c r="A12" s="123"/>
      <c r="B12" s="123"/>
      <c r="C12" s="123"/>
      <c r="D12" s="123"/>
      <c r="E12" s="225"/>
      <c r="F12" s="131" t="s">
        <v>1370</v>
      </c>
      <c r="O12" s="133"/>
      <c r="P12" s="133"/>
    </row>
    <row r="13" spans="1:22">
      <c r="A13" s="123"/>
      <c r="B13" s="123"/>
      <c r="C13" s="123"/>
      <c r="D13" s="123"/>
      <c r="E13" s="225"/>
      <c r="F13" s="131" t="s">
        <v>1371</v>
      </c>
      <c r="O13" s="133"/>
      <c r="P13" s="133"/>
    </row>
    <row r="14" spans="1:22">
      <c r="A14" s="123"/>
      <c r="B14" s="123"/>
      <c r="C14" s="123"/>
      <c r="D14" s="123"/>
      <c r="E14" s="221">
        <f>MAX(E$4:E13)+1</f>
        <v>4</v>
      </c>
      <c r="F14" s="131" t="s">
        <v>2064</v>
      </c>
      <c r="O14" s="133"/>
      <c r="P14" s="133"/>
    </row>
    <row r="15" spans="1:22">
      <c r="A15" s="123"/>
      <c r="B15" s="123"/>
      <c r="C15" s="123"/>
      <c r="D15" s="123"/>
      <c r="E15" s="225"/>
      <c r="F15" s="131" t="s">
        <v>2096</v>
      </c>
      <c r="G15" s="224"/>
      <c r="H15" s="224"/>
      <c r="I15" s="224"/>
      <c r="J15" s="224"/>
      <c r="K15" s="224"/>
      <c r="L15" s="224"/>
      <c r="M15" s="224"/>
      <c r="N15" s="224"/>
      <c r="O15" s="133"/>
      <c r="P15" s="133"/>
    </row>
    <row r="16" spans="1:22">
      <c r="A16" s="123"/>
      <c r="B16" s="123"/>
      <c r="C16" s="123"/>
      <c r="D16" s="123"/>
      <c r="E16" s="225"/>
      <c r="F16" s="131" t="s">
        <v>2871</v>
      </c>
      <c r="G16" s="224"/>
      <c r="H16" s="224"/>
      <c r="I16" s="224"/>
      <c r="J16" s="224"/>
      <c r="K16" s="224"/>
      <c r="L16" s="224"/>
      <c r="M16" s="224"/>
      <c r="N16" s="224"/>
      <c r="O16" s="133"/>
      <c r="P16" s="133"/>
    </row>
    <row r="17" spans="1:20" hidden="1">
      <c r="A17" s="123"/>
      <c r="B17" s="123"/>
      <c r="C17" s="123"/>
      <c r="D17" s="123"/>
      <c r="E17" s="229"/>
      <c r="F17" s="131" t="s">
        <v>1372</v>
      </c>
      <c r="G17" s="224"/>
      <c r="H17" s="224"/>
      <c r="I17" s="224"/>
      <c r="J17" s="224"/>
      <c r="K17" s="224"/>
      <c r="L17" s="224"/>
      <c r="M17" s="224"/>
      <c r="N17" s="224"/>
      <c r="O17" s="133"/>
      <c r="P17" s="133"/>
    </row>
    <row r="18" spans="1:20" hidden="1">
      <c r="A18" s="123"/>
      <c r="B18" s="123"/>
      <c r="C18" s="123"/>
      <c r="D18" s="123"/>
      <c r="E18" s="230"/>
      <c r="F18" s="131" t="s">
        <v>1373</v>
      </c>
      <c r="O18" s="133"/>
      <c r="P18" s="133"/>
    </row>
    <row r="19" spans="1:20" hidden="1">
      <c r="A19" s="123"/>
      <c r="B19" s="123"/>
      <c r="C19" s="123"/>
      <c r="D19" s="123"/>
      <c r="E19" s="231"/>
      <c r="F19" s="148" t="s">
        <v>1374</v>
      </c>
      <c r="G19" s="123"/>
      <c r="H19" s="123"/>
      <c r="I19" s="123"/>
      <c r="J19" s="123"/>
      <c r="K19" s="123"/>
      <c r="L19" s="123"/>
      <c r="M19" s="123"/>
      <c r="N19" s="123"/>
      <c r="O19" s="133"/>
      <c r="P19" s="133"/>
    </row>
    <row r="20" spans="1:20">
      <c r="A20" s="123"/>
      <c r="B20" s="123"/>
      <c r="C20" s="123"/>
      <c r="D20" s="123"/>
      <c r="E20" s="221">
        <f>MAX(E$4:E18)+1</f>
        <v>5</v>
      </c>
      <c r="F20" s="148" t="s">
        <v>2073</v>
      </c>
      <c r="G20" s="123"/>
      <c r="H20" s="123"/>
      <c r="I20" s="123"/>
      <c r="J20" s="123"/>
      <c r="K20" s="123"/>
      <c r="L20" s="123"/>
      <c r="M20" s="123"/>
      <c r="N20" s="123"/>
      <c r="O20" s="133"/>
      <c r="P20" s="133"/>
    </row>
    <row r="21" spans="1:20">
      <c r="A21" s="123"/>
      <c r="B21" s="123"/>
      <c r="C21" s="123"/>
      <c r="D21" s="123"/>
      <c r="E21" s="223"/>
      <c r="F21" s="148" t="s">
        <v>2074</v>
      </c>
      <c r="G21" s="123"/>
      <c r="H21" s="123"/>
      <c r="I21" s="123"/>
      <c r="J21" s="123"/>
      <c r="K21" s="123"/>
      <c r="L21" s="123"/>
      <c r="M21" s="123"/>
      <c r="N21" s="123"/>
      <c r="O21" s="133"/>
      <c r="P21" s="133"/>
    </row>
    <row r="22" spans="1:20">
      <c r="A22" s="123"/>
      <c r="B22" s="123"/>
      <c r="C22" s="123"/>
      <c r="D22" s="123"/>
      <c r="E22" s="223"/>
      <c r="F22" s="148" t="s">
        <v>2075</v>
      </c>
      <c r="G22" s="123"/>
      <c r="H22" s="123"/>
      <c r="I22" s="123"/>
      <c r="J22" s="123"/>
      <c r="K22" s="123"/>
      <c r="L22" s="123"/>
      <c r="M22" s="123"/>
      <c r="N22" s="123"/>
      <c r="O22" s="133"/>
      <c r="P22" s="133"/>
    </row>
    <row r="23" spans="1:20">
      <c r="A23" s="123"/>
      <c r="B23" s="123"/>
      <c r="C23" s="123"/>
      <c r="D23" s="123"/>
      <c r="E23" s="222"/>
      <c r="F23" s="148" t="s">
        <v>2076</v>
      </c>
      <c r="G23" s="123"/>
      <c r="H23" s="123"/>
      <c r="I23" s="123"/>
      <c r="J23" s="123"/>
      <c r="K23" s="123"/>
      <c r="L23" s="123"/>
      <c r="M23" s="123"/>
      <c r="N23" s="123"/>
      <c r="O23" s="133"/>
      <c r="P23" s="133"/>
      <c r="T23" s="1282"/>
    </row>
    <row r="24" spans="1:20">
      <c r="A24" s="123"/>
      <c r="B24" s="123"/>
      <c r="C24" s="123"/>
      <c r="D24" s="123"/>
      <c r="E24" s="219"/>
      <c r="F24" s="148" t="s">
        <v>2077</v>
      </c>
      <c r="G24" s="123"/>
      <c r="H24" s="123"/>
      <c r="I24" s="123"/>
      <c r="J24" s="123"/>
      <c r="K24" s="123"/>
      <c r="L24" s="123"/>
      <c r="M24" s="123"/>
      <c r="N24" s="123"/>
      <c r="O24" s="133"/>
      <c r="P24" s="133"/>
    </row>
    <row r="25" spans="1:20">
      <c r="A25" s="123"/>
      <c r="B25" s="123"/>
      <c r="C25" s="123"/>
      <c r="D25" s="123"/>
      <c r="E25" s="221">
        <f>MAX(E$4:E23)+1</f>
        <v>6</v>
      </c>
      <c r="F25" s="148" t="s">
        <v>1375</v>
      </c>
      <c r="G25" s="123"/>
      <c r="H25" s="123"/>
      <c r="I25" s="123"/>
      <c r="J25" s="123"/>
      <c r="K25" s="123"/>
      <c r="L25" s="123"/>
      <c r="M25" s="123"/>
      <c r="N25" s="123"/>
      <c r="O25" s="133"/>
      <c r="P25" s="133"/>
    </row>
    <row r="26" spans="1:20">
      <c r="A26" s="123"/>
      <c r="B26" s="123"/>
      <c r="C26" s="123"/>
      <c r="D26" s="123"/>
      <c r="E26" s="219"/>
      <c r="F26" s="148" t="s">
        <v>1376</v>
      </c>
      <c r="G26" s="123"/>
      <c r="H26" s="123"/>
      <c r="I26" s="123"/>
      <c r="J26" s="123"/>
      <c r="K26" s="123"/>
      <c r="L26" s="123"/>
      <c r="M26" s="123"/>
      <c r="N26" s="123"/>
      <c r="O26" s="133"/>
      <c r="P26" s="133"/>
    </row>
    <row r="27" spans="1:20">
      <c r="A27" s="123"/>
      <c r="B27" s="123"/>
      <c r="C27" s="123"/>
      <c r="D27" s="123"/>
      <c r="E27" s="219"/>
      <c r="F27" s="148" t="s">
        <v>2065</v>
      </c>
      <c r="G27" s="123"/>
      <c r="H27" s="123"/>
      <c r="I27" s="123"/>
      <c r="J27" s="123"/>
      <c r="K27" s="123"/>
      <c r="L27" s="123"/>
      <c r="M27" s="123"/>
      <c r="N27" s="123"/>
      <c r="O27" s="133"/>
      <c r="P27" s="133"/>
    </row>
    <row r="28" spans="1:20">
      <c r="A28" s="123"/>
      <c r="B28" s="123"/>
      <c r="C28" s="123"/>
      <c r="D28" s="123"/>
      <c r="E28" s="221">
        <f>MAX(E$4:E27)+1</f>
        <v>7</v>
      </c>
      <c r="F28" s="148" t="s">
        <v>1377</v>
      </c>
      <c r="G28" s="123"/>
      <c r="H28" s="123"/>
      <c r="I28" s="123"/>
      <c r="J28" s="123"/>
      <c r="K28" s="123"/>
      <c r="L28" s="123"/>
      <c r="M28" s="123"/>
      <c r="N28" s="123"/>
      <c r="O28" s="133"/>
      <c r="P28" s="133"/>
    </row>
    <row r="29" spans="1:20">
      <c r="A29" s="123"/>
      <c r="B29" s="123"/>
      <c r="C29" s="123"/>
      <c r="D29" s="123"/>
      <c r="E29" s="219"/>
      <c r="F29" s="148" t="s">
        <v>1378</v>
      </c>
      <c r="G29" s="123"/>
      <c r="H29" s="123"/>
      <c r="I29" s="123"/>
      <c r="J29" s="123"/>
      <c r="K29" s="123"/>
      <c r="L29" s="123"/>
      <c r="M29" s="123"/>
      <c r="N29" s="123"/>
      <c r="O29" s="133"/>
      <c r="P29" s="133"/>
    </row>
    <row r="30" spans="1:20">
      <c r="A30" s="123"/>
      <c r="B30" s="123"/>
      <c r="C30" s="123"/>
      <c r="D30" s="123"/>
      <c r="F30" s="148" t="s">
        <v>2066</v>
      </c>
      <c r="G30" s="123"/>
      <c r="H30" s="123"/>
      <c r="I30" s="123"/>
      <c r="J30" s="123"/>
      <c r="K30" s="123"/>
      <c r="L30" s="123"/>
      <c r="M30" s="123"/>
      <c r="N30" s="123"/>
      <c r="O30" s="133"/>
      <c r="P30" s="133"/>
    </row>
    <row r="31" spans="1:20" hidden="1">
      <c r="A31" s="123"/>
      <c r="B31" s="123"/>
      <c r="C31" s="123"/>
      <c r="D31" s="123"/>
      <c r="E31" s="1424">
        <f>MAX(E$4:E30)+1</f>
        <v>8</v>
      </c>
      <c r="F31" s="148" t="s">
        <v>1379</v>
      </c>
      <c r="G31" s="123"/>
      <c r="H31" s="123"/>
      <c r="I31" s="123"/>
      <c r="J31" s="123"/>
      <c r="K31" s="123"/>
      <c r="L31" s="123"/>
      <c r="M31" s="123"/>
      <c r="N31" s="123"/>
      <c r="O31" s="133"/>
      <c r="P31" s="133"/>
    </row>
    <row r="32" spans="1:20" hidden="1">
      <c r="A32" s="123"/>
      <c r="B32" s="123"/>
      <c r="C32" s="123"/>
      <c r="D32" s="123"/>
      <c r="E32" s="1424"/>
      <c r="F32" s="148" t="s">
        <v>1380</v>
      </c>
      <c r="G32" s="123"/>
      <c r="H32" s="123"/>
      <c r="I32" s="123"/>
      <c r="J32" s="123"/>
      <c r="K32" s="123"/>
      <c r="L32" s="123"/>
      <c r="M32" s="123"/>
      <c r="N32" s="123"/>
      <c r="O32" s="133"/>
      <c r="P32" s="133"/>
    </row>
    <row r="33" spans="1:26">
      <c r="A33" s="123"/>
      <c r="B33" s="123"/>
      <c r="C33" s="123"/>
      <c r="D33" s="123"/>
      <c r="E33" s="219"/>
      <c r="G33" s="123"/>
      <c r="H33" s="123"/>
      <c r="I33" s="123"/>
      <c r="J33" s="123"/>
      <c r="K33" s="123"/>
      <c r="L33" s="123"/>
      <c r="M33" s="123"/>
      <c r="N33" s="123"/>
      <c r="O33" s="133"/>
      <c r="P33" s="133"/>
    </row>
    <row r="34" spans="1:26">
      <c r="A34" s="123"/>
      <c r="B34" s="123"/>
      <c r="C34" s="220" t="s">
        <v>1381</v>
      </c>
      <c r="D34" s="123"/>
      <c r="E34" s="219"/>
      <c r="F34" s="123"/>
      <c r="G34" s="123"/>
      <c r="H34" s="123"/>
      <c r="I34" s="123"/>
      <c r="J34" s="123"/>
      <c r="K34" s="123"/>
      <c r="L34" s="123"/>
      <c r="M34" s="123"/>
      <c r="N34" s="123"/>
      <c r="O34" s="133"/>
      <c r="P34" s="133"/>
    </row>
    <row r="35" spans="1:26">
      <c r="A35" s="123"/>
      <c r="B35" s="123"/>
      <c r="C35" s="220" t="s">
        <v>1382</v>
      </c>
      <c r="D35" s="123"/>
      <c r="E35" s="219"/>
      <c r="F35" s="148"/>
      <c r="G35" s="123"/>
      <c r="H35" s="123"/>
      <c r="I35" s="123"/>
      <c r="J35" s="123"/>
      <c r="K35" s="123"/>
      <c r="L35" s="123"/>
      <c r="M35" s="123"/>
      <c r="N35" s="123"/>
      <c r="O35" s="133"/>
      <c r="P35" s="133"/>
    </row>
    <row r="36" spans="1:26">
      <c r="A36" s="123"/>
      <c r="B36" s="147"/>
      <c r="D36" s="123"/>
      <c r="E36" s="123"/>
      <c r="F36" s="123"/>
      <c r="G36" s="123"/>
      <c r="H36" s="123"/>
      <c r="I36" s="123"/>
      <c r="J36" s="123"/>
      <c r="K36" s="123"/>
      <c r="L36" s="123"/>
      <c r="M36" s="123"/>
      <c r="N36" s="123"/>
      <c r="O36" s="133"/>
      <c r="P36" s="133"/>
    </row>
    <row r="37" spans="1:26">
      <c r="A37" s="123"/>
      <c r="B37" s="147"/>
      <c r="D37" s="123"/>
      <c r="E37" s="123"/>
      <c r="G37" s="123"/>
      <c r="I37" s="121" t="s">
        <v>1383</v>
      </c>
      <c r="J37" s="123"/>
      <c r="K37" s="3371" t="str">
        <f>IF(Development_Category=DS_Select_One,"Category Input Required",Development_Category)</f>
        <v>New Construction</v>
      </c>
      <c r="L37" s="3371"/>
      <c r="M37" s="3371"/>
      <c r="N37" s="3371"/>
      <c r="O37" s="133"/>
      <c r="P37" s="135" t="str">
        <f>IF(K37="Category Input Required","**","")</f>
        <v/>
      </c>
      <c r="R37" s="135" t="s">
        <v>1202</v>
      </c>
      <c r="S37" s="116" t="s">
        <v>1384</v>
      </c>
    </row>
    <row r="38" spans="1:26">
      <c r="A38" s="123"/>
      <c r="B38" s="147"/>
      <c r="D38" s="123"/>
      <c r="E38" s="123"/>
      <c r="G38" s="123"/>
      <c r="I38" s="378" t="s">
        <v>1385</v>
      </c>
      <c r="J38" s="123"/>
      <c r="K38" s="991" t="str">
        <f>IF(Total_Units&gt;0,Total_Units,"Total Units Required")</f>
        <v>Total Units Required</v>
      </c>
      <c r="L38" s="128"/>
      <c r="M38" s="128"/>
      <c r="N38" s="379"/>
      <c r="O38" s="133"/>
      <c r="P38" s="135" t="str">
        <f>IF(N(K38)=0,"**","")</f>
        <v>**</v>
      </c>
    </row>
    <row r="39" spans="1:26" ht="15" customHeight="1">
      <c r="A39" s="123"/>
      <c r="B39" s="147"/>
      <c r="D39" s="123"/>
      <c r="E39" s="123"/>
      <c r="F39" s="123"/>
      <c r="G39" s="3385" t="str">
        <f>IF(SUM(I44:I125)+SUM(L44:L125)&gt;0,"The "&amp;TEXT(SUM(I44:I125)+SUM(L44:L125),"0")&amp;" highlighted cell"&amp;IF(SUM(I44:I125)+SUM(L44:L125)&gt;1,"s","")&amp;" should be corrected to have a whole number","")</f>
        <v/>
      </c>
      <c r="H39" s="3385"/>
      <c r="I39" s="3385"/>
      <c r="J39" s="3385"/>
      <c r="K39" s="3385"/>
      <c r="L39" s="3385"/>
      <c r="M39" s="3385"/>
      <c r="N39" s="3385"/>
      <c r="Q39" s="3375" t="s">
        <v>1386</v>
      </c>
      <c r="R39" s="3376"/>
      <c r="S39" s="3376"/>
      <c r="T39" s="3376"/>
      <c r="U39" s="3376"/>
      <c r="V39" s="3376"/>
      <c r="W39" s="3376"/>
      <c r="X39" s="3376"/>
      <c r="Y39" s="3376"/>
      <c r="Z39" s="3377"/>
    </row>
    <row r="40" spans="1:26" ht="12.75" customHeight="1">
      <c r="A40" s="123"/>
      <c r="B40" s="123"/>
      <c r="C40" s="123"/>
      <c r="D40" s="123"/>
      <c r="E40" s="123"/>
      <c r="F40" s="123"/>
      <c r="G40" s="123"/>
      <c r="H40" s="1277">
        <v>1</v>
      </c>
      <c r="I40" s="123"/>
      <c r="J40" s="123"/>
      <c r="K40" s="1280">
        <f>IF(AND(E41=2,Data3!H272="Yes"),"",IF(AND(E41=2,Data3!H272="No"),"‡",2))</f>
        <v>2</v>
      </c>
      <c r="L40" s="123"/>
      <c r="M40" s="172"/>
      <c r="N40" s="1281">
        <v>3</v>
      </c>
      <c r="O40" s="133"/>
      <c r="P40" s="133"/>
      <c r="Q40" s="3378"/>
      <c r="R40" s="3379"/>
      <c r="S40" s="3379"/>
      <c r="T40" s="3379"/>
      <c r="U40" s="3379"/>
      <c r="V40" s="3379"/>
      <c r="W40" s="3379"/>
      <c r="X40" s="3379"/>
      <c r="Y40" s="3379"/>
      <c r="Z40" s="3380"/>
    </row>
    <row r="41" spans="1:26" ht="23.85" customHeight="1" thickBot="1">
      <c r="A41" s="123"/>
      <c r="B41" s="123"/>
      <c r="C41" s="123"/>
      <c r="D41" s="123"/>
      <c r="E41" s="494">
        <f>IF(OR(AND(Data3!H272="Yes",Data3!H273="Yes"),AND(Data3!H272="No",Data3!H273="Yes",Competitive_HC_Request_Amount=0,Non_Competitive_HC_Request_Amount=0)),2,3)</f>
        <v>3</v>
      </c>
      <c r="F41" s="123"/>
      <c r="G41" s="123"/>
      <c r="H41" s="217" t="str">
        <f>IF(E41=2,"PROPOSED                                                                         COSTS","HC ELIGIBLE                                                                               COSTS")</f>
        <v>HC ELIGIBLE                                                                               COSTS</v>
      </c>
      <c r="I41" s="218"/>
      <c r="J41" s="218"/>
      <c r="K41" s="217" t="str">
        <f>IF(AND(E41=2,Data3!H272="Yes"),"",IF(AND(E41=2,Data3!H272="No"),"See Note at Right","HC INELIGIBLE
COSTS"))</f>
        <v>HC INELIGIBLE
COSTS</v>
      </c>
      <c r="L41" s="217"/>
      <c r="M41" s="217"/>
      <c r="N41" s="217" t="s">
        <v>1387</v>
      </c>
      <c r="O41" s="133"/>
      <c r="P41" s="133"/>
      <c r="Q41" s="3381"/>
      <c r="R41" s="3382"/>
      <c r="S41" s="3382"/>
      <c r="T41" s="3382"/>
      <c r="U41" s="3382"/>
      <c r="V41" s="3382"/>
      <c r="W41" s="3382"/>
      <c r="X41" s="3382"/>
      <c r="Y41" s="3382"/>
      <c r="Z41" s="3383"/>
    </row>
    <row r="42" spans="1:26">
      <c r="A42" s="123"/>
      <c r="B42" s="130" t="s">
        <v>1388</v>
      </c>
      <c r="C42" s="123"/>
      <c r="D42" s="123"/>
      <c r="E42" s="123"/>
      <c r="F42" s="123"/>
      <c r="G42" s="123"/>
      <c r="H42" s="123"/>
      <c r="I42" s="123"/>
      <c r="J42" s="123"/>
      <c r="K42" s="123"/>
      <c r="L42" s="123"/>
      <c r="M42" s="123"/>
      <c r="N42" s="123"/>
      <c r="O42" s="133"/>
      <c r="P42" s="133"/>
      <c r="Q42" s="233"/>
      <c r="R42" s="233"/>
      <c r="S42" s="233"/>
      <c r="T42" s="233"/>
      <c r="U42" s="123"/>
      <c r="V42" s="123"/>
      <c r="W42" s="123"/>
      <c r="X42" s="123"/>
      <c r="Y42" s="123"/>
      <c r="Z42" s="123"/>
    </row>
    <row r="43" spans="1:26" ht="12.75" customHeight="1">
      <c r="A43" s="123"/>
      <c r="B43" s="145"/>
      <c r="C43" s="207" t="s">
        <v>1389</v>
      </c>
      <c r="D43" s="123"/>
      <c r="E43" s="123"/>
      <c r="F43" s="123"/>
      <c r="G43" s="123"/>
      <c r="H43" s="123"/>
      <c r="I43" s="123"/>
      <c r="J43" s="123"/>
      <c r="K43" s="123"/>
      <c r="L43" s="123"/>
      <c r="M43" s="123"/>
      <c r="N43" s="123"/>
      <c r="O43" s="133"/>
      <c r="P43" s="133"/>
      <c r="Q43" s="3399" t="str">
        <f>IF(AND(E41=2,Data3!H272="Yes"),"",IF(AND(E41=2,Data3!H272="No"),"‡ A Housing Credit Request Amount must be entered on the Funding Tab in order to view and input data into Column 2.",""))</f>
        <v/>
      </c>
      <c r="R43" s="3399"/>
      <c r="S43" s="3399"/>
      <c r="T43" s="3399"/>
      <c r="U43" s="3399"/>
      <c r="V43" s="3399"/>
      <c r="W43" s="3399"/>
      <c r="X43" s="3399"/>
      <c r="Y43" s="3399"/>
      <c r="Z43" s="3399"/>
    </row>
    <row r="44" spans="1:26">
      <c r="A44" s="123"/>
      <c r="B44" s="145"/>
      <c r="D44" s="159" t="s">
        <v>1390</v>
      </c>
      <c r="E44" s="123"/>
      <c r="F44" s="123"/>
      <c r="G44" s="123"/>
      <c r="H44" s="1437"/>
      <c r="I44" s="191"/>
      <c r="J44" s="177"/>
      <c r="K44" s="197"/>
      <c r="L44" s="191" t="str">
        <f>IF(N(K44)&lt;&gt;ROUNDDOWN(N(K44),0),1,"")</f>
        <v/>
      </c>
      <c r="M44" s="149"/>
      <c r="N44" s="992" t="str">
        <f>IF(AND($E$41=3,K44=0),"",IF(AND($E$41=3,K44&gt;0),K44,IF(AND($E$41=2,H44=0),"",IF(AND($E$41=2,H44&gt;0),H44))))</f>
        <v/>
      </c>
      <c r="O44" s="133"/>
      <c r="P44" s="133"/>
      <c r="Q44" s="3384" t="s">
        <v>1391</v>
      </c>
      <c r="R44" s="3384"/>
      <c r="S44" s="3384"/>
      <c r="T44" s="3384"/>
      <c r="U44" s="3384"/>
      <c r="V44" s="3384"/>
      <c r="W44" s="3384"/>
      <c r="X44" s="3384"/>
      <c r="Y44" s="3384"/>
      <c r="Z44" s="3384"/>
    </row>
    <row r="45" spans="1:26" ht="12.4" customHeight="1">
      <c r="B45" s="145"/>
      <c r="H45" s="211"/>
      <c r="I45" s="191"/>
      <c r="J45" s="149"/>
      <c r="K45" s="195"/>
      <c r="L45" s="191"/>
      <c r="M45" s="150"/>
      <c r="N45" s="149"/>
      <c r="O45" s="133"/>
      <c r="P45" s="133"/>
      <c r="Q45" s="3384"/>
      <c r="R45" s="3384"/>
      <c r="S45" s="3384"/>
      <c r="T45" s="3384"/>
      <c r="U45" s="3384"/>
      <c r="V45" s="3384"/>
      <c r="W45" s="3384"/>
      <c r="X45" s="3384"/>
      <c r="Y45" s="3384"/>
      <c r="Z45" s="3384"/>
    </row>
    <row r="46" spans="1:26" ht="13.5">
      <c r="B46" s="145"/>
      <c r="D46" s="159" t="s">
        <v>1392</v>
      </c>
      <c r="H46" s="2507"/>
      <c r="I46" s="191"/>
      <c r="J46" s="177"/>
      <c r="K46" s="197"/>
      <c r="L46" s="191" t="str">
        <f>IF(N(K46)&lt;&gt;ROUNDDOWN(N(K46),0),1,"")</f>
        <v/>
      </c>
      <c r="M46" s="149"/>
      <c r="N46" s="992" t="str">
        <f>IF(AND($E$41=3,K46=0),"",IF(AND($E$41=3,K46&gt;0),K46,IF(AND($E$41=2,H46=0),"",IF(AND($E$41=2,H46&gt;0),H46))))</f>
        <v/>
      </c>
      <c r="O46" s="133"/>
      <c r="P46" s="133"/>
      <c r="Q46" s="3384" t="s">
        <v>1393</v>
      </c>
      <c r="R46" s="3384"/>
      <c r="S46" s="3384"/>
      <c r="T46" s="3384"/>
      <c r="U46" s="3384"/>
      <c r="V46" s="3384"/>
      <c r="W46" s="3384"/>
      <c r="X46" s="3384"/>
      <c r="Y46" s="3384"/>
      <c r="Z46" s="3384"/>
    </row>
    <row r="47" spans="1:26" ht="12.4" customHeight="1">
      <c r="B47" s="145"/>
      <c r="H47" s="211"/>
      <c r="I47" s="191"/>
      <c r="J47" s="149"/>
      <c r="K47" s="195"/>
      <c r="L47" s="191"/>
      <c r="M47" s="150"/>
      <c r="N47" s="232"/>
      <c r="O47" s="133"/>
      <c r="P47" s="133"/>
      <c r="Q47" s="3384"/>
      <c r="R47" s="3384"/>
      <c r="S47" s="3384"/>
      <c r="T47" s="3384"/>
      <c r="U47" s="3384"/>
      <c r="V47" s="3384"/>
      <c r="W47" s="3384"/>
      <c r="X47" s="3384"/>
      <c r="Y47" s="3384"/>
      <c r="Z47" s="3384"/>
    </row>
    <row r="48" spans="1:26">
      <c r="A48" s="123"/>
      <c r="B48" s="145"/>
      <c r="D48" s="159" t="s">
        <v>2078</v>
      </c>
      <c r="E48" s="123"/>
      <c r="F48" s="123"/>
      <c r="G48" s="123"/>
      <c r="H48" s="197"/>
      <c r="I48" s="191"/>
      <c r="J48" s="177"/>
      <c r="K48" s="197"/>
      <c r="L48" s="191" t="str">
        <f>IF(N(K48)&lt;&gt;ROUNDDOWN(N(K48),0),1,"")</f>
        <v/>
      </c>
      <c r="M48" s="149"/>
      <c r="N48" s="162" t="str">
        <f>IF(H48+IF($E$41=3,K48,0)=0,"",H48+IF($E$41=3,K48,0))</f>
        <v/>
      </c>
      <c r="O48" s="133"/>
      <c r="P48" s="133"/>
    </row>
    <row r="49" spans="1:26" ht="12.4" customHeight="1">
      <c r="B49" s="145"/>
      <c r="H49" s="195"/>
      <c r="I49" s="191"/>
      <c r="J49" s="149"/>
      <c r="K49" s="195"/>
      <c r="L49" s="191"/>
      <c r="M49" s="150"/>
      <c r="N49" s="232"/>
      <c r="O49" s="133"/>
      <c r="P49" s="133"/>
    </row>
    <row r="50" spans="1:26" ht="12.75" customHeight="1">
      <c r="A50" s="123"/>
      <c r="B50" s="145"/>
      <c r="D50" s="210" t="s">
        <v>2079</v>
      </c>
      <c r="E50" s="123"/>
      <c r="F50" s="123"/>
      <c r="G50" s="123"/>
      <c r="H50" s="197"/>
      <c r="I50" s="191"/>
      <c r="J50" s="177"/>
      <c r="K50" s="197"/>
      <c r="L50" s="191" t="str">
        <f>IF(N(K50)&lt;&gt;ROUNDDOWN(N(K50),0),1,"")</f>
        <v/>
      </c>
      <c r="M50" s="149"/>
      <c r="N50" s="992" t="str">
        <f>IF(H50+IF($E$41=3,K50,0)=0,"",H50+IF($E$41=3,K50,0))</f>
        <v/>
      </c>
      <c r="O50" s="133"/>
      <c r="P50" s="133"/>
    </row>
    <row r="51" spans="1:26" ht="12.4" customHeight="1">
      <c r="B51" s="145"/>
      <c r="H51" s="195"/>
      <c r="I51" s="191"/>
      <c r="J51" s="149"/>
      <c r="K51" s="195"/>
      <c r="L51" s="191"/>
      <c r="M51" s="150"/>
      <c r="N51" s="149"/>
      <c r="O51" s="133"/>
      <c r="P51" s="133"/>
    </row>
    <row r="52" spans="1:26">
      <c r="A52" s="123"/>
      <c r="B52" s="145"/>
      <c r="D52" s="159" t="s">
        <v>2080</v>
      </c>
      <c r="E52" s="123"/>
      <c r="F52" s="123"/>
      <c r="G52" s="123"/>
      <c r="H52" s="197"/>
      <c r="I52" s="191"/>
      <c r="J52" s="177"/>
      <c r="K52" s="197"/>
      <c r="L52" s="191" t="str">
        <f>IF(N(K52)&lt;&gt;ROUNDDOWN(N(K52),0),1,"")</f>
        <v/>
      </c>
      <c r="M52" s="149"/>
      <c r="N52" s="992" t="str">
        <f>IF(H52+IF($E$41=3,K52,0)=0,"",H52+IF($E$41=3,K52,0))</f>
        <v/>
      </c>
      <c r="O52" s="133"/>
      <c r="P52" s="133"/>
    </row>
    <row r="53" spans="1:26" ht="12.4" customHeight="1">
      <c r="B53" s="145"/>
      <c r="H53" s="195"/>
      <c r="I53" s="191"/>
      <c r="J53" s="149"/>
      <c r="K53" s="195"/>
      <c r="L53" s="191"/>
      <c r="M53" s="150"/>
      <c r="N53" s="149"/>
      <c r="O53" s="133"/>
      <c r="P53" s="133"/>
    </row>
    <row r="54" spans="1:26" ht="12.75" customHeight="1">
      <c r="A54" s="123"/>
      <c r="B54" s="145"/>
      <c r="D54" s="210" t="s">
        <v>1394</v>
      </c>
      <c r="E54" s="123"/>
      <c r="F54" s="123"/>
      <c r="G54" s="123"/>
      <c r="H54" s="197"/>
      <c r="I54" s="191"/>
      <c r="J54" s="177"/>
      <c r="K54" s="197"/>
      <c r="L54" s="191" t="str">
        <f>IF(N(K54)&lt;&gt;ROUNDDOWN(N(K54),0),1,"")</f>
        <v/>
      </c>
      <c r="M54" s="149"/>
      <c r="N54" s="992" t="str">
        <f>IF(H54+IF($E$41=3,K54,0)=0,"",H54+IF($E$41=3,K54,0))</f>
        <v/>
      </c>
      <c r="O54" s="133"/>
      <c r="P54" s="133"/>
      <c r="Q54" s="3384" t="s">
        <v>1395</v>
      </c>
      <c r="R54" s="3384"/>
      <c r="S54" s="3384"/>
      <c r="T54" s="3384"/>
      <c r="U54" s="3384"/>
      <c r="V54" s="3384"/>
      <c r="W54" s="3384"/>
      <c r="X54" s="3384"/>
      <c r="Y54" s="3384"/>
      <c r="Z54" s="3384"/>
    </row>
    <row r="55" spans="1:26" ht="12.4" customHeight="1">
      <c r="B55" s="145"/>
      <c r="H55" s="195"/>
      <c r="I55" s="191"/>
      <c r="J55" s="149"/>
      <c r="K55" s="195"/>
      <c r="L55" s="191"/>
      <c r="M55" s="150"/>
      <c r="N55" s="149"/>
      <c r="O55" s="133"/>
      <c r="P55" s="133"/>
      <c r="Q55" s="3384"/>
      <c r="R55" s="3384"/>
      <c r="S55" s="3384"/>
      <c r="T55" s="3384"/>
      <c r="U55" s="3384"/>
      <c r="V55" s="3384"/>
      <c r="W55" s="3384"/>
      <c r="X55" s="3384"/>
      <c r="Y55" s="3384"/>
      <c r="Z55" s="3384"/>
    </row>
    <row r="56" spans="1:26">
      <c r="A56" s="123"/>
      <c r="B56" s="194" t="s">
        <v>1396</v>
      </c>
      <c r="C56" s="210" t="s">
        <v>1397</v>
      </c>
      <c r="D56" s="123"/>
      <c r="E56" s="123"/>
      <c r="F56" s="123"/>
      <c r="G56" s="192" t="s">
        <v>1398</v>
      </c>
      <c r="H56" s="1570" t="str">
        <f>IF(SUM(H44:H54)=0,"",IF(E41=2,SUM(H44:H54),SUM(N(Actual_NewConAct_eligible),N(Actual_site_eligible),N(Actual_RehabAct_eligible),N(Actual_Other_eligible))))</f>
        <v/>
      </c>
      <c r="I56" s="191"/>
      <c r="J56" s="192" t="s">
        <v>1398</v>
      </c>
      <c r="K56" s="992" t="str">
        <f>IF(SUM(K44:K54)=0,"",SUM(K44:K54))</f>
        <v/>
      </c>
      <c r="L56" s="191"/>
      <c r="M56" s="192" t="s">
        <v>1398</v>
      </c>
      <c r="N56" s="1416" t="str">
        <f>IF(N(H56)+IF($E$41=3,N(K56),0)=0,"",N(H56)+IF($E$41=3,N(K56),0))</f>
        <v/>
      </c>
      <c r="O56" s="133"/>
      <c r="P56" s="133"/>
    </row>
    <row r="57" spans="1:26" ht="12.4" customHeight="1">
      <c r="H57" s="150"/>
      <c r="I57" s="191"/>
      <c r="J57" s="149"/>
      <c r="K57" s="150"/>
      <c r="L57" s="191"/>
      <c r="M57" s="150"/>
      <c r="N57" s="149"/>
      <c r="O57" s="133"/>
      <c r="P57" s="133"/>
    </row>
    <row r="58" spans="1:26" ht="13.5">
      <c r="B58" s="194" t="s">
        <v>1399</v>
      </c>
      <c r="C58" s="210" t="s">
        <v>1400</v>
      </c>
      <c r="D58" s="123"/>
      <c r="E58" s="123"/>
      <c r="F58" s="123"/>
      <c r="G58" s="123"/>
      <c r="H58" s="149"/>
      <c r="I58" s="191"/>
      <c r="J58" s="149"/>
      <c r="K58" s="149"/>
      <c r="L58" s="191"/>
      <c r="M58" s="150"/>
      <c r="N58" s="149"/>
      <c r="O58" s="133"/>
      <c r="P58" s="133"/>
      <c r="Q58" s="498"/>
      <c r="R58" s="498"/>
      <c r="S58" s="498"/>
      <c r="T58" s="498"/>
      <c r="U58" s="498"/>
      <c r="V58" s="498"/>
      <c r="W58" s="498"/>
      <c r="X58" s="498"/>
      <c r="Y58" s="498"/>
      <c r="Z58" s="498"/>
    </row>
    <row r="59" spans="1:26" ht="15" customHeight="1">
      <c r="B59" s="194"/>
      <c r="C59" s="210" t="str">
        <f>"(Max. "&amp;TEXT(DS_MaxGCFee,"0%")&amp;" of A1.1., column 3)"</f>
        <v>(Max. 14% of A1.1., column 3)</v>
      </c>
      <c r="D59" s="123"/>
      <c r="E59" s="123"/>
      <c r="F59" s="123"/>
      <c r="G59" s="192" t="s">
        <v>1398</v>
      </c>
      <c r="H59" s="236"/>
      <c r="I59" s="191"/>
      <c r="J59" s="192" t="s">
        <v>1398</v>
      </c>
      <c r="K59" s="235"/>
      <c r="L59" s="191" t="str">
        <f>IF(N(K59)&lt;&gt;ROUNDDOWN(N(K59),0),1,"")</f>
        <v/>
      </c>
      <c r="M59" s="192" t="s">
        <v>1398</v>
      </c>
      <c r="N59" s="2155">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3"/>
      <c r="P59" s="135" t="str">
        <f>IF(P60="No","**","")</f>
        <v/>
      </c>
      <c r="Q59" s="3436" t="str">
        <f>IF(AND(E41=3,P60="No"),IF(AND(N(Actual_Constructioncost_total)&gt;0,SUM(N(Actual_GCfee_eligible),N(Actual_GCfee_ineligible))=0),"The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",""),IF(AND(E41=2,P60="No"),IF(AND(N(Actual_Constructioncost_total)&gt;0,N(Actual_GCfee_eligible)=0),"The GC Fee must be disclosed.  If it is not, the maximum Total GC Fee of "&amp;TEXT(N(GCF_DollarMax),"$#,##0.00")&amp;" will be utilized. This will impact cost totals and subtotals below.","")&amp;IF(N(Actual_GCfee_total)&lt;N(Actual_GCfee_eligible),"Because the Proposed Cost amount entered for 'General Contractor Fee' is too high by "&amp;TEXT(N(Actual_GCfee_eligible)-N(GCF_DollarMax),"$#,##0.00")&amp;", the maximum Total GC Fee of "&amp;TEXT(N(GCF_DollarMax),"$#,##0.00")&amp;" has been utilized. This will impact cost totals and subtotals below.",""),""))</f>
        <v/>
      </c>
      <c r="R59" s="3436"/>
      <c r="S59" s="3436"/>
      <c r="T59" s="3436"/>
      <c r="U59" s="3436"/>
      <c r="V59" s="3436"/>
      <c r="W59" s="3436"/>
      <c r="X59" s="3436"/>
      <c r="Y59" s="3436"/>
      <c r="Z59" s="3436"/>
    </row>
    <row r="60" spans="1:26">
      <c r="D60" s="3424" t="str">
        <f>"Max GCF @ "&amp;TEXT(DS_MaxGCFee,"#0%")&amp;":"</f>
        <v>Max GCF @ 14%:</v>
      </c>
      <c r="E60" s="3424"/>
      <c r="F60" s="496">
        <f>ROUNDDOWN(DS_MaxGCFee*N(Actual_Constructioncost_total),0)</f>
        <v>0</v>
      </c>
      <c r="H60" s="195"/>
      <c r="I60" s="191"/>
      <c r="J60" s="149"/>
      <c r="K60" s="195"/>
      <c r="L60" s="191"/>
      <c r="M60" s="150"/>
      <c r="N60" s="232"/>
      <c r="O60" s="133"/>
      <c r="P60" s="2156" t="str">
        <f>IF(AND(E41=3,OR(AND(SUM(N(Actual_GCfee_eligible),N(Actual_GCfee_ineligible))=0,N(Actual_Constructioncost_total)&gt;0),SUM(N(Actual_GCfee_eligible),N(Actual_GCfee_ineligible))&gt;N(GCF_DollarMax))),"No",IF(AND(E41=2,OR(AND(N(Actual_GCfee_eligible)=0,N(Actual_Constructioncost_total)&gt;0),N(Actual_GCfee_eligible)&gt;N(GCF_DollarMax))),"No","Yes"))</f>
        <v>Yes</v>
      </c>
      <c r="Q60" s="3437"/>
      <c r="R60" s="3437"/>
      <c r="S60" s="3437"/>
      <c r="T60" s="3437"/>
      <c r="U60" s="3437"/>
      <c r="V60" s="3437"/>
      <c r="W60" s="3437"/>
      <c r="X60" s="3437"/>
      <c r="Y60" s="3437"/>
      <c r="Z60" s="3437"/>
    </row>
    <row r="61" spans="1:26">
      <c r="B61" s="194" t="s">
        <v>1401</v>
      </c>
      <c r="C61" s="193" t="s">
        <v>1402</v>
      </c>
      <c r="D61" s="123"/>
      <c r="E61" s="123"/>
      <c r="F61" s="123"/>
      <c r="H61" s="150"/>
      <c r="I61" s="191"/>
      <c r="J61" s="150"/>
      <c r="K61" s="150"/>
      <c r="L61" s="191"/>
      <c r="M61" s="150"/>
      <c r="N61" s="149"/>
      <c r="O61" s="133"/>
      <c r="P61" s="133"/>
      <c r="Q61" s="123"/>
      <c r="R61" s="123"/>
      <c r="S61" s="123"/>
      <c r="T61" s="123"/>
      <c r="U61" s="123"/>
      <c r="V61" s="123"/>
      <c r="W61" s="123"/>
      <c r="X61" s="123"/>
      <c r="Y61" s="123"/>
      <c r="Z61" s="123"/>
    </row>
    <row r="62" spans="1:26">
      <c r="B62" s="194"/>
      <c r="C62" s="193"/>
      <c r="D62" s="193" t="s">
        <v>1403</v>
      </c>
      <c r="E62" s="123"/>
      <c r="F62" s="123"/>
      <c r="G62" s="192" t="s">
        <v>1398</v>
      </c>
      <c r="H62" s="1570" t="str">
        <f>IF(SUM(H56:H61)=0,"",SUM(H56,MIN(N(GCF_DollarMax),N(Actual_GCfee_eligible))))</f>
        <v/>
      </c>
      <c r="I62" s="191"/>
      <c r="J62" s="192" t="s">
        <v>1398</v>
      </c>
      <c r="K62" s="1606" t="str">
        <f>IF($E$41=2,"",IF(SUM(K56:K61)=0,"",SUM(N(Actual_Constructioncost_ineligible),IF(SUM(N(Actual_GCfee_eligible),N(Actual_GCfee_ineligible))-N(Actual_GCfee_total)&gt;N(Actual_GCfee_ineligible),0,N(Actual_GCfee_ineligible)-(SUM(N(Actual_GCfee_eligible),N(Actual_GCfee_ineligible))-N(Actual_GCfee_total))))))</f>
        <v/>
      </c>
      <c r="L62" s="191"/>
      <c r="M62" s="192" t="s">
        <v>1398</v>
      </c>
      <c r="N62" s="992" t="str">
        <f>IF(N(N56)+N(N59)=0,"",N(N56)+N(N59))</f>
        <v/>
      </c>
      <c r="O62" s="133"/>
      <c r="P62" s="133"/>
      <c r="Q62" s="216"/>
      <c r="R62" s="127"/>
    </row>
    <row r="63" spans="1:26" ht="12.4" customHeight="1">
      <c r="H63" s="150"/>
      <c r="I63" s="191"/>
      <c r="J63" s="149"/>
      <c r="K63" s="150"/>
      <c r="L63" s="191"/>
      <c r="M63" s="150"/>
      <c r="N63" s="149"/>
      <c r="O63" s="133"/>
      <c r="P63" s="133"/>
      <c r="Q63" s="499"/>
      <c r="R63" s="500"/>
      <c r="S63" s="498"/>
      <c r="T63" s="498"/>
      <c r="U63" s="498"/>
      <c r="V63" s="498"/>
      <c r="W63" s="498"/>
      <c r="X63" s="498"/>
      <c r="Y63" s="498"/>
      <c r="Z63" s="498"/>
    </row>
    <row r="64" spans="1:26" ht="15" customHeight="1">
      <c r="B64" s="194" t="s">
        <v>1404</v>
      </c>
      <c r="C64" s="198" t="s">
        <v>1405</v>
      </c>
      <c r="G64" s="192" t="s">
        <v>1398</v>
      </c>
      <c r="H64" s="235"/>
      <c r="I64" s="191"/>
      <c r="J64" s="192" t="s">
        <v>1398</v>
      </c>
      <c r="K64" s="235"/>
      <c r="L64" s="191" t="str">
        <f>IF(N(K64)&lt;&gt;ROUNDDOWN(N(K64),0),1,"")</f>
        <v/>
      </c>
      <c r="M64" s="192" t="s">
        <v>1398</v>
      </c>
      <c r="N64" s="1606"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3"/>
      <c r="P64" s="135" t="str">
        <f>IF($P$65="No","**","")</f>
        <v/>
      </c>
      <c r="Q64" s="3438" t="str">
        <f>IF(AND(DS_Pro_Forma_Dev_Cat="Input Required",N(Actual_TotalConstructioncost_total)&gt;0),"Please select the applicable Development Category from the drop-down menu above.",IF(AND(P65="No",E41=3),"Because the combined Eligible and Ineligible amounts entered for 'Hard Cost Contingency' are too high by "&amp;TEXT(SUM(N(Contingency_Hard_eligible),N(Contingency_Hard_ineligible))-N(HCC_DollarMax),"$#,##0.00")&amp;", the maximum Total Hard Cost Contingency of "&amp;TEXT(N(HCC_DollarMax),"$#,##0.00")&amp;" has been utilized. This will impact cost totals and subtotals below.",IF(AND(P65="No",E41=2),"Because the Proposed Cost amount entered for 'Hard Cost Contingency' is too high by "&amp;TEXT(N(Contingency_Hard_eligible)-N(HCC_DollarMax),"$#,##0.00")&amp;", the maximum Total Hard Cost Contingency of "&amp;TEXT(N(HCC_DollarMax),"$#,##0.00")&amp;" has been utilized. This will impact cost totals and subtotals below.","")))</f>
        <v/>
      </c>
      <c r="R64" s="3438"/>
      <c r="S64" s="3438"/>
      <c r="T64" s="3438"/>
      <c r="U64" s="3438"/>
      <c r="V64" s="3438"/>
      <c r="W64" s="3438"/>
      <c r="X64" s="3438"/>
      <c r="Y64" s="3438"/>
      <c r="Z64" s="3438"/>
    </row>
    <row r="65" spans="1:29">
      <c r="C65" s="947"/>
      <c r="D65" s="3458" t="str">
        <f>"Max HCC @ "&amp;TEXT(IF(AND(ISERROR(SEARCH("New Construction",DS_Pro_Forma_Dev_Cat)),ISERROR(SEARCH("Redevelopment",DS_Pro_Forma_Dev_Cat))),DS_MaxHCCR,DS_MaxHCCNC),"#0%")&amp;":"</f>
        <v>Max HCC @ 5%:</v>
      </c>
      <c r="E65" s="3458"/>
      <c r="F65" s="495">
        <f>IF(AND(DS_Pro_Forma_Dev_Cat="Category Input Required",N(Actual_TotalConstructioncost_total)&gt;0),0,(IF(AND(ISERROR(SEARCH("New Construction",DS_Pro_Forma_Dev_Cat)),ISERROR(SEARCH("Redevelopment",DS_Pro_Forma_Dev_Cat))),DS_MaxHCCR,DS_MaxHCCNC)*N(Actual_TotalConstructioncost_total)))</f>
        <v>0</v>
      </c>
      <c r="H65" s="195"/>
      <c r="I65" s="191"/>
      <c r="J65" s="149"/>
      <c r="K65" s="195"/>
      <c r="L65" s="150"/>
      <c r="M65" s="150"/>
      <c r="N65" s="149"/>
      <c r="O65" s="133"/>
      <c r="P65" s="2156" t="str">
        <f>IF(AND(E41=3,SUM(N(Contingency_Hard_eligible),N(Contingency_Hard_ineligible))&lt;=HCC_DollarMax),"Yes",IF(AND(E41=2,N(Contingency_Hard_eligible)&lt;=HCC_DollarMax),"Yes","No"))</f>
        <v>Yes</v>
      </c>
      <c r="Q65" s="3439"/>
      <c r="R65" s="3439"/>
      <c r="S65" s="3439"/>
      <c r="T65" s="3439"/>
      <c r="U65" s="3439"/>
      <c r="V65" s="3439"/>
      <c r="W65" s="3439"/>
      <c r="X65" s="3439"/>
      <c r="Y65" s="3439"/>
      <c r="Z65" s="3439"/>
    </row>
    <row r="66" spans="1:29" ht="3.75" customHeight="1" thickBot="1">
      <c r="D66" s="159"/>
      <c r="E66" s="123"/>
      <c r="F66" s="123"/>
      <c r="G66" s="123"/>
      <c r="H66" s="163"/>
      <c r="I66" s="149"/>
      <c r="J66" s="177"/>
      <c r="K66" s="163"/>
      <c r="L66" s="193"/>
      <c r="M66" s="123"/>
      <c r="N66" s="162"/>
      <c r="O66" s="133"/>
      <c r="P66" s="133"/>
    </row>
    <row r="67" spans="1:29" ht="3.75" customHeight="1">
      <c r="A67" s="134"/>
      <c r="B67" s="134"/>
      <c r="C67" s="134"/>
      <c r="D67" s="134"/>
      <c r="E67" s="134"/>
      <c r="F67" s="134"/>
      <c r="G67" s="134"/>
      <c r="H67" s="134"/>
      <c r="I67" s="134"/>
      <c r="J67" s="134"/>
      <c r="K67" s="134"/>
      <c r="L67" s="134"/>
      <c r="M67" s="134"/>
      <c r="N67" s="233"/>
      <c r="O67" s="173"/>
      <c r="P67" s="173"/>
    </row>
    <row r="68" spans="1:29">
      <c r="B68" s="130" t="str">
        <f>B$2</f>
        <v>RFA 2025-103 DEVELOPMENT COST PRO FORMA</v>
      </c>
      <c r="H68" s="123"/>
      <c r="I68" s="123"/>
      <c r="J68" s="123"/>
      <c r="K68" s="123"/>
      <c r="N68" s="123"/>
      <c r="O68" s="133"/>
      <c r="P68" s="132" t="str">
        <f>IF(OR(AND(Funding!L$309&gt;0,Data3!H$273="No"),Data3!H$274="Yes"),"(Page 2 of 8)","(Page 2 of 7)")</f>
        <v>(Page 2 of 7)</v>
      </c>
    </row>
    <row r="69" spans="1:29">
      <c r="H69" s="214">
        <f>H40</f>
        <v>1</v>
      </c>
      <c r="I69" s="123"/>
      <c r="J69" s="123"/>
      <c r="K69" s="214">
        <f>K40</f>
        <v>2</v>
      </c>
      <c r="L69" s="123"/>
      <c r="M69" s="184"/>
      <c r="N69" s="214">
        <f>N40</f>
        <v>3</v>
      </c>
      <c r="O69" s="133"/>
      <c r="P69" s="133"/>
    </row>
    <row r="70" spans="1:29" ht="22.35" customHeight="1">
      <c r="H70" s="217" t="str">
        <f>H41</f>
        <v>HC ELIGIBLE                                                                               COSTS</v>
      </c>
      <c r="I70" s="218"/>
      <c r="J70" s="218"/>
      <c r="K70" s="217" t="str">
        <f>K41</f>
        <v>HC INELIGIBLE
COSTS</v>
      </c>
      <c r="L70" s="212"/>
      <c r="M70" s="213"/>
      <c r="N70" s="217" t="str">
        <f>N41</f>
        <v>TOTAL
COSTS</v>
      </c>
      <c r="O70" s="133"/>
      <c r="P70" s="133"/>
      <c r="Q70" s="3444" t="str">
        <f>Q43</f>
        <v/>
      </c>
      <c r="R70" s="3444"/>
      <c r="S70" s="3444"/>
      <c r="T70" s="3444"/>
      <c r="U70" s="3444"/>
      <c r="V70" s="3444"/>
      <c r="W70" s="3444"/>
      <c r="X70" s="3444"/>
      <c r="Y70" s="3444"/>
      <c r="Z70" s="3444"/>
    </row>
    <row r="71" spans="1:29">
      <c r="C71" s="207" t="s">
        <v>1406</v>
      </c>
      <c r="H71" s="123"/>
      <c r="I71" s="123"/>
      <c r="J71" s="123"/>
      <c r="K71" s="123"/>
      <c r="N71" s="123"/>
      <c r="O71" s="133"/>
      <c r="P71" s="133"/>
    </row>
    <row r="72" spans="1:29" ht="12.75" customHeight="1">
      <c r="C72" s="1442"/>
      <c r="D72" s="159" t="s">
        <v>2081</v>
      </c>
      <c r="H72" s="197"/>
      <c r="I72" s="191"/>
      <c r="J72" s="177"/>
      <c r="K72" s="197"/>
      <c r="L72" s="191" t="str">
        <f>IF(N(K72)&lt;&gt;ROUNDDOWN(N(K72),0),1,"")</f>
        <v/>
      </c>
      <c r="M72" s="149"/>
      <c r="N72" s="162" t="str">
        <f>IF(H72+IF($E$41=3,K72,0)=0,"",H72+IF($E$41=3,K72,0))</f>
        <v/>
      </c>
      <c r="O72" s="133"/>
      <c r="P72" s="133"/>
      <c r="Q72" s="3384" t="s">
        <v>1407</v>
      </c>
      <c r="R72" s="3384"/>
      <c r="S72" s="3384"/>
      <c r="T72" s="3384"/>
      <c r="U72" s="3384"/>
      <c r="V72" s="3384"/>
      <c r="W72" s="3384"/>
      <c r="X72" s="3384"/>
      <c r="Y72" s="3384"/>
      <c r="Z72" s="3384"/>
    </row>
    <row r="73" spans="1:29" ht="12.4" customHeight="1">
      <c r="C73" s="207"/>
      <c r="H73" s="195"/>
      <c r="I73" s="191"/>
      <c r="J73" s="149"/>
      <c r="K73" s="195"/>
      <c r="N73" s="472"/>
      <c r="O73" s="133"/>
      <c r="P73" s="133"/>
      <c r="Q73" s="1438"/>
      <c r="R73" s="1438"/>
      <c r="S73" s="1438"/>
      <c r="T73" s="1438"/>
      <c r="U73" s="1438"/>
      <c r="V73" s="1438"/>
      <c r="W73" s="1438"/>
      <c r="X73" s="1438"/>
      <c r="Y73" s="1438"/>
      <c r="Z73" s="1438"/>
    </row>
    <row r="74" spans="1:29">
      <c r="C74" s="1384"/>
      <c r="D74" s="159" t="s">
        <v>1408</v>
      </c>
      <c r="E74" s="123"/>
      <c r="F74" s="123"/>
      <c r="G74" s="123"/>
      <c r="H74" s="197"/>
      <c r="I74" s="191"/>
      <c r="J74" s="177"/>
      <c r="K74" s="197"/>
      <c r="L74" s="191" t="str">
        <f>IF(N(K74)&lt;&gt;ROUNDDOWN(N(K74),0),1,"")</f>
        <v/>
      </c>
      <c r="M74" s="149"/>
      <c r="N74" s="162" t="str">
        <f>IF(H74+IF($E$41=3,K74,0)=0,"",H74+IF($E$41=3,K74,0))</f>
        <v/>
      </c>
      <c r="O74" s="133"/>
      <c r="P74" s="133"/>
    </row>
    <row r="75" spans="1:29" ht="12.4" customHeight="1">
      <c r="D75" s="200"/>
      <c r="H75" s="195"/>
      <c r="I75" s="191"/>
      <c r="J75" s="149"/>
      <c r="K75" s="195"/>
      <c r="L75" s="150"/>
      <c r="M75" s="150"/>
      <c r="N75" s="232"/>
      <c r="O75" s="133"/>
      <c r="P75" s="133"/>
    </row>
    <row r="76" spans="1:29">
      <c r="C76" s="1384"/>
      <c r="D76" s="159" t="s">
        <v>2085</v>
      </c>
      <c r="E76" s="123"/>
      <c r="F76" s="123"/>
      <c r="G76" s="123"/>
      <c r="H76" s="197"/>
      <c r="I76" s="191"/>
      <c r="J76" s="177"/>
      <c r="K76" s="197"/>
      <c r="L76" s="191" t="str">
        <f>IF(N(K76)&lt;&gt;ROUNDDOWN(N(K76),0),1,"")</f>
        <v/>
      </c>
      <c r="M76" s="149"/>
      <c r="N76" s="162" t="str">
        <f>IF(H76+IF($E$41=3,K76,0)=0,"",H76+IF($E$41=3,K76,0))</f>
        <v/>
      </c>
      <c r="O76" s="133"/>
      <c r="P76" s="133"/>
    </row>
    <row r="77" spans="1:29" ht="12.4" customHeight="1">
      <c r="D77" s="200"/>
      <c r="H77" s="195"/>
      <c r="I77" s="191"/>
      <c r="J77" s="149"/>
      <c r="K77" s="195"/>
      <c r="L77" s="150"/>
      <c r="M77" s="150"/>
      <c r="N77" s="232"/>
      <c r="O77" s="133"/>
      <c r="P77" s="133"/>
    </row>
    <row r="78" spans="1:29" ht="13.5">
      <c r="C78" s="1384"/>
      <c r="D78" s="145" t="s">
        <v>2086</v>
      </c>
      <c r="E78" s="123"/>
      <c r="F78" s="123"/>
      <c r="G78" s="123"/>
      <c r="H78" s="197"/>
      <c r="I78" s="191"/>
      <c r="J78" s="177"/>
      <c r="K78" s="197"/>
      <c r="L78" s="191" t="str">
        <f>IF(N(K78)&lt;&gt;ROUNDDOWN(N(K78),0),1,"")</f>
        <v/>
      </c>
      <c r="M78" s="162"/>
      <c r="N78" s="992" t="str">
        <f>IF(H78+IF($E$41=3,K78,0)=0,"",H78+IF($E$41=3,K78,0))</f>
        <v/>
      </c>
      <c r="O78" s="133"/>
      <c r="P78" s="133"/>
    </row>
    <row r="79" spans="1:29" ht="12.4" customHeight="1">
      <c r="C79" s="1384"/>
      <c r="D79" s="200"/>
      <c r="H79" s="195"/>
      <c r="I79" s="191"/>
      <c r="J79" s="149"/>
      <c r="K79" s="195"/>
      <c r="L79" s="150"/>
      <c r="M79" s="150"/>
      <c r="N79" s="149"/>
      <c r="O79" s="133"/>
      <c r="P79" s="133"/>
    </row>
    <row r="80" spans="1:29">
      <c r="C80" s="1384"/>
      <c r="D80" s="200" t="s">
        <v>1409</v>
      </c>
      <c r="H80" s="197"/>
      <c r="I80" s="191"/>
      <c r="J80" s="177"/>
      <c r="K80" s="197"/>
      <c r="L80" s="191" t="str">
        <f>IF(N(K80)&lt;&gt;ROUNDDOWN(N(K80),0),1,"")</f>
        <v/>
      </c>
      <c r="M80" s="162"/>
      <c r="N80" s="162" t="str">
        <f>IF(H80+IF($E$41=3,K80,0)=0,"",H80+IF($E$41=3,K80,0))</f>
        <v/>
      </c>
      <c r="O80" s="133"/>
      <c r="P80" s="133"/>
      <c r="Q80" s="3425" t="s">
        <v>1410</v>
      </c>
      <c r="R80" s="3425"/>
      <c r="S80" s="3425"/>
      <c r="T80" s="3425"/>
      <c r="U80" s="3425"/>
      <c r="V80" s="3425"/>
      <c r="W80" s="3425"/>
      <c r="X80" s="3425"/>
      <c r="Y80" s="3425"/>
      <c r="Z80" s="3425"/>
      <c r="AA80" s="215"/>
      <c r="AB80" s="215"/>
      <c r="AC80" s="215"/>
    </row>
    <row r="81" spans="2:29" ht="12.4" customHeight="1">
      <c r="C81" s="1384"/>
      <c r="D81" s="200"/>
      <c r="H81" s="195"/>
      <c r="I81" s="191"/>
      <c r="J81" s="149"/>
      <c r="K81" s="195"/>
      <c r="L81" s="150"/>
      <c r="M81" s="150"/>
      <c r="N81" s="232"/>
      <c r="O81" s="133"/>
      <c r="P81" s="133"/>
      <c r="Q81" s="3426"/>
      <c r="R81" s="3426"/>
      <c r="S81" s="3426"/>
      <c r="T81" s="3426"/>
      <c r="U81" s="3426"/>
      <c r="V81" s="3426"/>
      <c r="W81" s="3426"/>
      <c r="X81" s="3426"/>
      <c r="Y81" s="3426"/>
      <c r="Z81" s="3426"/>
      <c r="AA81" s="215"/>
      <c r="AB81" s="215"/>
      <c r="AC81" s="215"/>
    </row>
    <row r="82" spans="2:29" ht="12.75" customHeight="1">
      <c r="C82" s="1384"/>
      <c r="D82" s="193" t="s">
        <v>1394</v>
      </c>
      <c r="E82" s="123"/>
      <c r="F82" s="123"/>
      <c r="G82" s="123"/>
      <c r="H82" s="197"/>
      <c r="I82" s="191"/>
      <c r="J82" s="177"/>
      <c r="K82" s="197"/>
      <c r="L82" s="191" t="str">
        <f>IF(N(K82)&lt;&gt;ROUNDDOWN(N(K82),0),1,"")</f>
        <v/>
      </c>
      <c r="M82" s="162"/>
      <c r="N82" s="162" t="str">
        <f>IF(H82+IF($E$41=3,K82,0)=0,"",H82+IF($E$41=3,K82,0))</f>
        <v/>
      </c>
      <c r="O82" s="133"/>
      <c r="P82" s="133"/>
      <c r="Q82" s="3384" t="s">
        <v>1411</v>
      </c>
      <c r="R82" s="3384"/>
      <c r="S82" s="3384"/>
      <c r="T82" s="3384"/>
      <c r="U82" s="3384"/>
      <c r="V82" s="3384"/>
      <c r="W82" s="3384"/>
      <c r="X82" s="3384"/>
      <c r="Y82" s="3384"/>
      <c r="Z82" s="3384"/>
    </row>
    <row r="83" spans="2:29" ht="12.4" customHeight="1">
      <c r="H83" s="195"/>
      <c r="I83" s="191"/>
      <c r="J83" s="149"/>
      <c r="K83" s="195"/>
      <c r="L83" s="150"/>
      <c r="M83" s="150"/>
      <c r="N83" s="232"/>
      <c r="O83" s="133"/>
      <c r="P83" s="133"/>
      <c r="Q83" s="3384"/>
      <c r="R83" s="3384"/>
      <c r="S83" s="3384"/>
      <c r="T83" s="3384"/>
      <c r="U83" s="3384"/>
      <c r="V83" s="3384"/>
      <c r="W83" s="3384"/>
      <c r="X83" s="3384"/>
      <c r="Y83" s="3384"/>
      <c r="Z83" s="3384"/>
    </row>
    <row r="84" spans="2:29">
      <c r="B84" s="194" t="s">
        <v>1412</v>
      </c>
      <c r="C84" s="210" t="s">
        <v>1413</v>
      </c>
      <c r="D84" s="123"/>
      <c r="E84" s="123"/>
      <c r="F84" s="123"/>
      <c r="H84" s="150"/>
      <c r="I84" s="150"/>
      <c r="J84" s="150"/>
      <c r="K84" s="150"/>
      <c r="L84" s="150"/>
      <c r="M84" s="150"/>
      <c r="N84" s="149"/>
      <c r="O84" s="133"/>
      <c r="P84" s="133"/>
    </row>
    <row r="85" spans="2:29">
      <c r="D85" s="210" t="s">
        <v>1414</v>
      </c>
      <c r="G85" s="192" t="s">
        <v>1398</v>
      </c>
      <c r="H85" s="992" t="str">
        <f>IF(SUM(H72:H82)=0,"",SUM(H72:H82))</f>
        <v/>
      </c>
      <c r="I85" s="191"/>
      <c r="J85" s="192" t="s">
        <v>1398</v>
      </c>
      <c r="K85" s="992" t="str">
        <f>IF(SUM(K72:K82)=0,"",SUM(K72:K82))</f>
        <v/>
      </c>
      <c r="L85" s="191"/>
      <c r="M85" s="192" t="s">
        <v>1398</v>
      </c>
      <c r="N85" s="993" t="str">
        <f>IF(N(H85)+IF($E$41=3,N(K85),0)=0,"",N(H85)+IF($E$41=3,N(K85),0))</f>
        <v/>
      </c>
      <c r="O85" s="133"/>
      <c r="P85" s="133"/>
    </row>
    <row r="86" spans="2:29" ht="12.4" customHeight="1">
      <c r="H86" s="150"/>
      <c r="I86" s="191"/>
      <c r="J86" s="149"/>
      <c r="K86" s="150"/>
      <c r="N86" s="123"/>
      <c r="O86" s="133"/>
      <c r="P86" s="133"/>
    </row>
    <row r="87" spans="2:29" ht="12.75" customHeight="1">
      <c r="B87" s="199" t="s">
        <v>1415</v>
      </c>
      <c r="C87" s="198" t="s">
        <v>1416</v>
      </c>
      <c r="G87" s="192" t="s">
        <v>1398</v>
      </c>
      <c r="H87" s="197"/>
      <c r="I87" s="191"/>
      <c r="J87" s="192" t="s">
        <v>1398</v>
      </c>
      <c r="K87" s="197"/>
      <c r="L87" s="191" t="str">
        <f>IF(N(K87)&lt;&gt;ROUNDDOWN(N(K87),0),1,"")</f>
        <v/>
      </c>
      <c r="M87" s="194" t="s">
        <v>1398</v>
      </c>
      <c r="N87" s="1570"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3"/>
      <c r="P87" s="135" t="str">
        <f>IF($P$88="No","**","")</f>
        <v/>
      </c>
      <c r="Q87" s="3436" t="str">
        <f>IF(AND(E41=3,P88="No"),"Because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 This will impact cost totals and subtotals below.",IF(AND(E41=2,P88="No"),"Because the Proposed Cost amount entered for 'Soft Cost Contingency' is too high by "&amp;TEXT(N(Contingency_Soft_eligible)-N(SCC_DollarMax),"$#,##0.00")&amp;", the maximum Total Soft Cost Contingency of "&amp;TEXT(N(SCC_DollarMax),"$#,##0.00")&amp;" has been utilized. This will impact cost totals and subtotals below.",""))</f>
        <v/>
      </c>
      <c r="R87" s="3436"/>
      <c r="S87" s="3436"/>
      <c r="T87" s="3436"/>
      <c r="U87" s="3436"/>
      <c r="V87" s="3436"/>
      <c r="W87" s="3436"/>
      <c r="X87" s="3436"/>
      <c r="Y87" s="3436"/>
      <c r="Z87" s="3436"/>
    </row>
    <row r="88" spans="2:29" ht="12.75" customHeight="1">
      <c r="D88" s="3424" t="str">
        <f>"Max SCC @ "&amp;TEXT(DS_MaxSCC,"#0%")&amp;":"</f>
        <v>Max SCC @ 5%:</v>
      </c>
      <c r="E88" s="3424"/>
      <c r="F88" s="495">
        <f>DS_MaxSCC*N(General_totaldevelopmentcost_total)</f>
        <v>0</v>
      </c>
      <c r="H88" s="195"/>
      <c r="I88" s="1545"/>
      <c r="J88" s="1546"/>
      <c r="K88" s="195"/>
      <c r="N88" s="123"/>
      <c r="O88" s="133"/>
      <c r="P88" s="2156" t="str">
        <f>IF(AND(E41=3,SUM(N(Contingency_Soft_eligible),N(Contingency_Soft_ineligible))&lt;=SCC_DollarMax),"Yes",IF(AND(E41=2,N(Contingency_Soft_eligible)&lt;=SCC_DollarMax),"Yes","No"))</f>
        <v>Yes</v>
      </c>
      <c r="Q88" s="3440"/>
      <c r="R88" s="3440"/>
      <c r="S88" s="3440"/>
      <c r="T88" s="3440"/>
      <c r="U88" s="3440"/>
      <c r="V88" s="3440"/>
      <c r="W88" s="3440"/>
      <c r="X88" s="3440"/>
      <c r="Y88" s="3440"/>
      <c r="Z88" s="3440"/>
    </row>
    <row r="89" spans="2:29" ht="12.75" customHeight="1">
      <c r="D89" s="1429"/>
      <c r="E89" s="1429"/>
      <c r="F89" s="495"/>
      <c r="H89" s="1439"/>
      <c r="I89" s="191"/>
      <c r="J89" s="149"/>
      <c r="K89" s="1439"/>
      <c r="N89" s="123"/>
      <c r="O89" s="133"/>
      <c r="P89" s="494"/>
      <c r="Q89" s="1428"/>
      <c r="R89" s="1428"/>
      <c r="S89" s="1428"/>
      <c r="T89" s="1428"/>
      <c r="U89" s="1428"/>
      <c r="V89" s="1428"/>
      <c r="W89" s="1428"/>
      <c r="X89" s="1428"/>
      <c r="Y89" s="1428"/>
      <c r="Z89" s="1428"/>
    </row>
    <row r="90" spans="2:29">
      <c r="C90" s="207" t="s">
        <v>1417</v>
      </c>
      <c r="N90" s="123"/>
      <c r="O90" s="133"/>
      <c r="P90" s="133"/>
    </row>
    <row r="91" spans="2:29">
      <c r="C91" s="207"/>
      <c r="D91" s="200" t="s">
        <v>2082</v>
      </c>
      <c r="E91" s="200"/>
      <c r="H91" s="197"/>
      <c r="I91" s="191"/>
      <c r="J91" s="177"/>
      <c r="K91" s="197"/>
      <c r="L91" s="191" t="str">
        <f>IF(N(K91)&lt;&gt;ROUNDDOWN(N(K91),0),1,"")</f>
        <v/>
      </c>
      <c r="M91" s="149"/>
      <c r="N91" s="162" t="str">
        <f>IF(H91+IF($E$41=3,K91,0)=0,"",H91+IF($E$41=3,K91,0))</f>
        <v/>
      </c>
      <c r="O91" s="133"/>
      <c r="P91" s="133"/>
    </row>
    <row r="92" spans="2:29" ht="12.4" customHeight="1">
      <c r="C92" s="207"/>
      <c r="D92" s="200"/>
      <c r="E92" s="200"/>
      <c r="H92" s="195"/>
      <c r="I92" s="191"/>
      <c r="J92" s="149"/>
      <c r="K92" s="195"/>
      <c r="L92" s="150"/>
      <c r="M92" s="150"/>
      <c r="N92" s="232"/>
      <c r="O92" s="133"/>
      <c r="P92" s="133"/>
    </row>
    <row r="93" spans="2:29">
      <c r="D93" s="200" t="s">
        <v>2083</v>
      </c>
      <c r="E93" s="200"/>
      <c r="H93" s="994"/>
      <c r="I93" s="191"/>
      <c r="J93" s="177"/>
      <c r="K93" s="197"/>
      <c r="L93" s="191" t="str">
        <f>IF(N(K93)&lt;&gt;ROUNDDOWN(N(K93),0),1,"")</f>
        <v/>
      </c>
      <c r="M93" s="149"/>
      <c r="N93" s="992" t="str">
        <f>IF(AND($E$41=3,K93=0),"",IF(AND($E$41=3,K93&gt;0),K93,IF(AND($E$41=2,H93=0),"",IF(AND($E$41=2,H93&gt;0),H93))))</f>
        <v/>
      </c>
      <c r="O93" s="133"/>
      <c r="P93" s="133"/>
      <c r="Q93" s="3414"/>
      <c r="R93" s="3414"/>
      <c r="S93" s="3414"/>
      <c r="T93" s="3414"/>
      <c r="U93" s="3414"/>
      <c r="V93" s="3414"/>
      <c r="W93" s="3414"/>
      <c r="X93" s="3414"/>
      <c r="Y93" s="3414"/>
      <c r="Z93" s="3414"/>
    </row>
    <row r="94" spans="2:29" ht="12.4" customHeight="1">
      <c r="D94" s="200"/>
      <c r="E94" s="200"/>
      <c r="H94" s="195"/>
      <c r="I94" s="191"/>
      <c r="J94" s="149"/>
      <c r="K94" s="195"/>
      <c r="L94" s="150"/>
      <c r="M94" s="150"/>
      <c r="N94" s="232"/>
      <c r="O94" s="133"/>
      <c r="P94" s="133"/>
    </row>
    <row r="95" spans="2:29">
      <c r="D95" s="210" t="s">
        <v>1394</v>
      </c>
      <c r="E95" s="145"/>
      <c r="F95" s="123"/>
      <c r="G95" s="123"/>
      <c r="H95" s="155"/>
      <c r="I95" s="191"/>
      <c r="J95" s="177"/>
      <c r="K95" s="155"/>
      <c r="L95" s="191" t="str">
        <f>IF(N(K95)&lt;&gt;ROUNDDOWN(N(K95),0),1,"")</f>
        <v/>
      </c>
      <c r="M95" s="149"/>
      <c r="N95" s="992" t="str">
        <f>IF(H95+IF($E$41=3,K95,0)=0,"",H95+IF($E$41=3,K95,0))</f>
        <v/>
      </c>
      <c r="O95" s="133"/>
      <c r="P95" s="133"/>
      <c r="Q95" s="2310"/>
      <c r="R95" s="2310"/>
      <c r="S95" s="2310"/>
      <c r="T95" s="2310"/>
      <c r="U95" s="2310"/>
      <c r="V95" s="2310"/>
      <c r="W95" s="2310"/>
      <c r="X95" s="2310"/>
      <c r="Y95" s="2310"/>
      <c r="Z95" s="2310"/>
    </row>
    <row r="96" spans="2:29" ht="12.4" customHeight="1">
      <c r="H96" s="1439"/>
      <c r="I96" s="1545"/>
      <c r="J96" s="1546"/>
      <c r="K96" s="1439"/>
      <c r="L96" s="150"/>
      <c r="M96" s="150"/>
      <c r="N96" s="149"/>
      <c r="O96" s="133"/>
      <c r="P96" s="133"/>
      <c r="Q96" s="2310"/>
      <c r="R96" s="2310"/>
      <c r="S96" s="2310"/>
      <c r="T96" s="2310"/>
      <c r="U96" s="2310"/>
      <c r="V96" s="2310"/>
      <c r="W96" s="2310"/>
      <c r="X96" s="2310"/>
      <c r="Y96" s="2310"/>
      <c r="Z96" s="2310"/>
    </row>
    <row r="97" spans="2:26">
      <c r="B97" s="194" t="s">
        <v>1418</v>
      </c>
      <c r="C97" s="210" t="s">
        <v>1419</v>
      </c>
      <c r="G97" s="192" t="s">
        <v>1398</v>
      </c>
      <c r="H97" s="1570" t="str">
        <f>IF(SUM(H91:H95)=0,"",IF(E41=2,SUM(H91:H95),SUM(N(Financial_constr_commitment_eligible),N(Financial_other_eligible))))</f>
        <v/>
      </c>
      <c r="I97" s="191"/>
      <c r="J97" s="192" t="s">
        <v>1398</v>
      </c>
      <c r="K97" s="995" t="str">
        <f>IF(SUM(K91:K95)=0,"",SUM(K91:K95))</f>
        <v/>
      </c>
      <c r="L97" s="191"/>
      <c r="M97" s="192" t="s">
        <v>1398</v>
      </c>
      <c r="N97" s="993" t="str">
        <f>IF(N(H97)+IF($E$41=3,N(K97),0)=0,"",N(H97)+IF($E$41=3,N(K97),0))</f>
        <v/>
      </c>
      <c r="O97" s="133"/>
      <c r="P97" s="133"/>
      <c r="Q97" s="1282"/>
      <c r="R97" s="1282"/>
      <c r="S97" s="1282"/>
      <c r="T97" s="1282"/>
      <c r="U97" s="1282"/>
      <c r="V97" s="1282"/>
      <c r="W97" s="1282"/>
      <c r="X97" s="1282"/>
      <c r="Y97" s="1282"/>
      <c r="Z97" s="1282"/>
    </row>
    <row r="98" spans="2:26" ht="12.4" customHeight="1">
      <c r="H98" s="150"/>
      <c r="I98" s="191"/>
      <c r="J98" s="149"/>
      <c r="K98" s="150"/>
      <c r="L98" s="150"/>
      <c r="M98" s="150"/>
      <c r="N98" s="149"/>
      <c r="O98" s="133"/>
      <c r="P98" s="133"/>
    </row>
    <row r="99" spans="2:26">
      <c r="B99" s="194"/>
      <c r="C99" s="190" t="s">
        <v>1420</v>
      </c>
      <c r="D99" s="145"/>
      <c r="E99" s="145"/>
      <c r="F99" s="145"/>
      <c r="G99" s="145"/>
      <c r="H99" s="177"/>
      <c r="I99" s="177"/>
      <c r="J99" s="177"/>
      <c r="K99" s="177"/>
      <c r="L99" s="177"/>
      <c r="M99" s="177"/>
      <c r="N99" s="177"/>
      <c r="O99" s="133"/>
      <c r="P99" s="133"/>
    </row>
    <row r="100" spans="2:26">
      <c r="B100" s="145"/>
      <c r="C100" s="190" t="s">
        <v>1421</v>
      </c>
      <c r="D100" s="193"/>
      <c r="E100" s="130"/>
      <c r="F100" s="130"/>
      <c r="G100" s="123"/>
      <c r="H100" s="177"/>
      <c r="I100" s="149"/>
      <c r="J100" s="177"/>
      <c r="K100" s="177"/>
      <c r="L100" s="162"/>
      <c r="M100" s="162"/>
      <c r="N100" s="162"/>
      <c r="O100" s="133"/>
      <c r="P100" s="133"/>
      <c r="Q100" s="3384"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3384"/>
      <c r="S100" s="3384"/>
      <c r="T100" s="3384"/>
      <c r="U100" s="3384"/>
      <c r="V100" s="3384"/>
      <c r="W100" s="3384"/>
      <c r="X100" s="3384"/>
      <c r="Y100" s="3384"/>
      <c r="Z100" s="3384"/>
    </row>
    <row r="101" spans="2:26" ht="12.75" customHeight="1">
      <c r="B101" s="123"/>
      <c r="C101" s="201"/>
      <c r="D101" s="145" t="s">
        <v>1422</v>
      </c>
      <c r="E101" s="123"/>
      <c r="F101" s="123"/>
      <c r="G101" s="194"/>
      <c r="H101" s="197"/>
      <c r="I101" s="191"/>
      <c r="J101" s="177"/>
      <c r="K101" s="197"/>
      <c r="L101" s="191" t="str">
        <f>IF(N(K101)&lt;&gt;ROUNDDOWN(N(K101),0),1,"")</f>
        <v/>
      </c>
      <c r="M101" s="192"/>
      <c r="N101" s="1410" t="str">
        <f>IF(H101+IF($E$41=3,K101,0)=0,"",H101+IF($E$41=3,K101,0))</f>
        <v/>
      </c>
      <c r="O101" s="133"/>
      <c r="P101" s="133"/>
      <c r="Q101" s="3384"/>
      <c r="R101" s="3384"/>
      <c r="S101" s="3384"/>
      <c r="T101" s="3384"/>
      <c r="U101" s="3384"/>
      <c r="V101" s="3384"/>
      <c r="W101" s="3384"/>
      <c r="X101" s="3384"/>
      <c r="Y101" s="3384"/>
      <c r="Z101" s="3384"/>
    </row>
    <row r="102" spans="2:26" ht="12.4" customHeight="1">
      <c r="C102" s="201"/>
      <c r="D102" s="145"/>
      <c r="E102" s="123"/>
      <c r="F102" s="123"/>
      <c r="G102" s="123"/>
      <c r="H102" s="195"/>
      <c r="I102" s="191"/>
      <c r="J102" s="149"/>
      <c r="K102" s="195"/>
      <c r="L102" s="162"/>
      <c r="M102" s="162"/>
      <c r="N102" s="162"/>
      <c r="O102" s="133"/>
      <c r="P102" s="133"/>
      <c r="Q102" s="3409" t="s">
        <v>1423</v>
      </c>
      <c r="R102" s="3409"/>
      <c r="S102" s="3409"/>
      <c r="T102" s="3409"/>
      <c r="U102" s="3409"/>
      <c r="V102" s="3409"/>
      <c r="W102" s="3409"/>
      <c r="X102" s="3409"/>
      <c r="Y102" s="3409"/>
      <c r="Z102" s="3409"/>
    </row>
    <row r="103" spans="2:26">
      <c r="B103" s="194"/>
      <c r="C103" s="193"/>
      <c r="D103" s="193" t="s">
        <v>1394</v>
      </c>
      <c r="E103" s="187"/>
      <c r="F103" s="187"/>
      <c r="G103" s="194"/>
      <c r="H103" s="197"/>
      <c r="I103" s="191"/>
      <c r="J103" s="177"/>
      <c r="K103" s="197"/>
      <c r="L103" s="191" t="str">
        <f>IF(N(K103)&lt;&gt;ROUNDDOWN(N(K103),0),1,"")</f>
        <v/>
      </c>
      <c r="M103" s="192"/>
      <c r="N103" s="177" t="str">
        <f>IF(H103+IF($E$41=3,K103,0)=0,"",H103+IF($E$41=3,K103,0))</f>
        <v/>
      </c>
      <c r="O103" s="133"/>
      <c r="P103" s="133"/>
      <c r="Q103" s="3410"/>
      <c r="R103" s="3410"/>
      <c r="S103" s="3410"/>
      <c r="T103" s="3410"/>
      <c r="U103" s="3410"/>
      <c r="V103" s="3410"/>
      <c r="W103" s="3410"/>
      <c r="X103" s="3410"/>
      <c r="Y103" s="3410"/>
      <c r="Z103" s="3410"/>
    </row>
    <row r="104" spans="2:26" ht="12.4" customHeight="1">
      <c r="B104" s="201"/>
      <c r="C104" s="123"/>
      <c r="D104" s="145"/>
      <c r="E104" s="123"/>
      <c r="F104" s="123"/>
      <c r="G104" s="187"/>
      <c r="H104" s="195"/>
      <c r="I104" s="191"/>
      <c r="J104" s="149"/>
      <c r="K104" s="195"/>
      <c r="L104" s="203"/>
      <c r="M104" s="203"/>
      <c r="N104" s="473"/>
      <c r="O104" s="133"/>
      <c r="P104" s="133"/>
      <c r="Q104" s="3411"/>
      <c r="R104" s="3411"/>
      <c r="S104" s="3411"/>
      <c r="T104" s="3411"/>
      <c r="U104" s="3411"/>
      <c r="V104" s="3411"/>
      <c r="W104" s="3411"/>
      <c r="X104" s="3411"/>
      <c r="Y104" s="3411"/>
      <c r="Z104" s="3411"/>
    </row>
    <row r="105" spans="2:26">
      <c r="B105" s="194" t="s">
        <v>1424</v>
      </c>
      <c r="C105" s="193" t="s">
        <v>1425</v>
      </c>
      <c r="D105" s="145"/>
      <c r="E105" s="123"/>
      <c r="F105" s="123"/>
      <c r="G105" s="187"/>
      <c r="H105" s="204"/>
      <c r="I105" s="206"/>
      <c r="J105" s="205"/>
      <c r="K105" s="204"/>
      <c r="L105" s="203"/>
      <c r="M105" s="203"/>
      <c r="N105" s="203"/>
      <c r="O105" s="133"/>
      <c r="P105" s="133"/>
      <c r="Q105" s="3384"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3384"/>
      <c r="S105" s="3384"/>
      <c r="T105" s="3384"/>
      <c r="U105" s="3384"/>
      <c r="V105" s="3384"/>
      <c r="W105" s="3384"/>
      <c r="X105" s="3384"/>
      <c r="Y105" s="3384"/>
      <c r="Z105" s="3384"/>
    </row>
    <row r="106" spans="2:26">
      <c r="B106" s="194"/>
      <c r="C106" s="193" t="s">
        <v>1421</v>
      </c>
      <c r="D106" s="145"/>
      <c r="E106" s="123"/>
      <c r="F106" s="123"/>
      <c r="G106" s="192" t="s">
        <v>1398</v>
      </c>
      <c r="H106" s="992" t="str">
        <f>IF(SUM(H101:H104)=0,"",SUM(H101:H104))</f>
        <v/>
      </c>
      <c r="I106" s="191"/>
      <c r="J106" s="192" t="s">
        <v>1398</v>
      </c>
      <c r="K106" s="992" t="str">
        <f>IF(SUM(K101:K104)=0,"",SUM(K101:K104))</f>
        <v/>
      </c>
      <c r="L106" s="191"/>
      <c r="M106" s="192" t="s">
        <v>1398</v>
      </c>
      <c r="N106" s="1416" t="str">
        <f>IF(N(H106)+IF($E$41=3,N(K106),0)=0,"",N(H106)+IF($E$41=3,N(K106),0))</f>
        <v/>
      </c>
      <c r="O106" s="133"/>
      <c r="P106" s="133"/>
      <c r="Q106" s="3384"/>
      <c r="R106" s="3384"/>
      <c r="S106" s="3384"/>
      <c r="T106" s="3384"/>
      <c r="U106" s="3384"/>
      <c r="V106" s="3384"/>
      <c r="W106" s="3384"/>
      <c r="X106" s="3384"/>
      <c r="Y106" s="3384"/>
      <c r="Z106" s="3384"/>
    </row>
    <row r="107" spans="2:26" ht="12.4" customHeight="1">
      <c r="B107" s="201"/>
      <c r="C107" s="123"/>
      <c r="D107" s="145"/>
      <c r="E107" s="123"/>
      <c r="F107" s="123"/>
      <c r="G107" s="203"/>
      <c r="H107" s="150"/>
      <c r="I107" s="191"/>
      <c r="J107" s="203"/>
      <c r="K107" s="150"/>
      <c r="L107" s="203"/>
      <c r="M107" s="203"/>
      <c r="N107" s="203"/>
      <c r="O107" s="133"/>
      <c r="P107" s="185"/>
    </row>
    <row r="108" spans="2:26">
      <c r="B108" s="194" t="s">
        <v>1426</v>
      </c>
      <c r="C108" s="193" t="s">
        <v>1427</v>
      </c>
      <c r="D108" s="193"/>
      <c r="E108" s="130"/>
      <c r="F108" s="130"/>
      <c r="G108" s="192" t="s">
        <v>1398</v>
      </c>
      <c r="H108" s="1570" t="str">
        <f>IF(SUM(H62,H64,H85,H87,H97,H106)=0,"",SUM(H62,MIN(N(HCC_DollarMax),N(Contingency_Hard_eligible)),H85,MIN(N(SCC_DollarMax),N(Contingency_Soft_eligible)),H97,H106))</f>
        <v/>
      </c>
      <c r="I108" s="191"/>
      <c r="J108" s="192" t="s">
        <v>1398</v>
      </c>
      <c r="K108" s="1570" t="str">
        <f>IF(SUM(K62,K64,K85,K87,K97,K106)=0,"",IF(E41=3,SUM(K62,IF(SUM(N(Contingency_Hard_eligible),N(Contingency_Hard_ineligible))-N(Contingency_Hard_total)&gt;N(Contingency_Hard_ineligible),0,N(Contingency_Hard_ineligible)-(SUM(N(Contingency_Hard_eligible),N(Contingency_Hard_ineligible))-N(Contingency_Hard_total))),K85,IF(SUM(N(Contingency_Soft_eligible),N(Contingency_Soft_ineligible))-N(Contingency_Soft_total)&gt;N(Contingency_Soft_ineligible),0,N(Contingency_Soft_ineligible)-(SUM(N(Contingency_Soft_eligible),N(Contingency_Soft_ineligible))-N(Contingency_Soft_total))),K97,K106),""))</f>
        <v/>
      </c>
      <c r="L108" s="191"/>
      <c r="M108" s="192" t="s">
        <v>1398</v>
      </c>
      <c r="N108" s="992" t="str">
        <f>IF(SUM(N62,N64,N85,N87,N97,N106)=0,"",SUM(N62,N64,N85,N87,N97,N106))</f>
        <v/>
      </c>
      <c r="O108" s="133"/>
      <c r="P108" s="185"/>
    </row>
    <row r="109" spans="2:26">
      <c r="B109" s="121"/>
      <c r="C109" s="123"/>
      <c r="D109" s="145" t="s">
        <v>1428</v>
      </c>
      <c r="E109" s="123"/>
      <c r="F109" s="123"/>
      <c r="G109" s="123"/>
      <c r="H109" s="150"/>
      <c r="I109" s="191"/>
      <c r="J109" s="149"/>
      <c r="K109" s="150"/>
      <c r="L109" s="162"/>
      <c r="M109" s="162"/>
      <c r="N109" s="162"/>
      <c r="O109" s="133"/>
      <c r="P109" s="185"/>
    </row>
    <row r="110" spans="2:26" ht="12.4" customHeight="1">
      <c r="B110" s="209"/>
      <c r="C110" s="208"/>
      <c r="D110" s="187"/>
      <c r="E110" s="187"/>
      <c r="F110" s="187"/>
      <c r="G110" s="187"/>
      <c r="H110" s="204"/>
      <c r="I110" s="206"/>
      <c r="J110" s="205"/>
      <c r="K110" s="204"/>
      <c r="L110" s="203"/>
      <c r="M110" s="203"/>
      <c r="N110" s="203"/>
      <c r="O110" s="133"/>
      <c r="P110" s="185"/>
      <c r="Q110" s="485"/>
    </row>
    <row r="111" spans="2:26" ht="13.5">
      <c r="C111" s="207" t="s">
        <v>1429</v>
      </c>
      <c r="D111" s="193"/>
      <c r="E111" s="123"/>
      <c r="F111" s="123"/>
      <c r="G111" s="187"/>
      <c r="H111" s="204"/>
      <c r="I111" s="206"/>
      <c r="J111" s="205"/>
      <c r="K111" s="204"/>
      <c r="L111" s="203"/>
      <c r="M111" s="203"/>
      <c r="N111" s="203"/>
      <c r="O111" s="133"/>
      <c r="P111" s="185"/>
      <c r="Q111" s="485" t="s">
        <v>1430</v>
      </c>
    </row>
    <row r="112" spans="2:26">
      <c r="B112" s="202"/>
      <c r="C112" s="201"/>
      <c r="D112" s="145" t="s">
        <v>1431</v>
      </c>
      <c r="E112" s="145"/>
      <c r="F112" s="145"/>
      <c r="G112" s="187"/>
      <c r="H112" s="235"/>
      <c r="I112" s="2137"/>
      <c r="J112" s="162"/>
      <c r="K112" s="235"/>
      <c r="L112" s="191" t="str">
        <f>IF(N(K112)&lt;&gt;ROUNDDOWN(N(K112),0),1,"")</f>
        <v/>
      </c>
      <c r="M112" s="149"/>
      <c r="N112" s="992">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3"/>
      <c r="P112" s="518" t="str">
        <f>IF(P113="No","**","")</f>
        <v/>
      </c>
      <c r="Q112" s="3441" t="str">
        <f>IF(OR(AND(E41=3,N(Dev_Fee_Max_Acq)&gt;0,SUM(N(Developer_fee_acq_eligible),N(Developer_fee_acq_ineligible))=0,P113="Yes"),AND(E41=2,N(Dev_Fee_Max_Acq)&gt;0,N(Developer_fee_acq_eligible)=0,P113="Yes")),"A Developer Fee on Acquisition Costs must be entered. If it is not, the maximum Total Developer Fee on Acquisition Costs of "&amp;TEXT(N(Dev_Fee_Max_Acq),"$#,##0.00")&amp;" will be utilized. This will impact totals below.",IF(AND(E41=3,P113="No"),"Because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allowable.",IF(AND(E41=2,P113="No"),"Because the amount for 'Developer Fee on Acquisition Costs' is too high by "&amp;TEXT(N(Developer_fee_acq_eligible)-N(Dev_Fee_Max_Acq),"$#,##0.00")&amp;", the maximum Total Developer Fee on Acquisition Costs of "&amp;TEXT(N(Dev_Fee_Max_Acq),"$#,##0.00")&amp;" has been utilized. Any excess fee has been applied to the Total Developer Fee on Non-Acquisition Costs to the extent allowable.","")))</f>
        <v/>
      </c>
      <c r="R112" s="3441"/>
      <c r="S112" s="3441"/>
      <c r="T112" s="3441"/>
      <c r="U112" s="3441"/>
      <c r="V112" s="3441"/>
      <c r="W112" s="3441"/>
      <c r="X112" s="3441"/>
      <c r="Y112" s="3441"/>
      <c r="Z112" s="3441"/>
    </row>
    <row r="113" spans="1:29">
      <c r="B113" s="202"/>
      <c r="C113" s="201"/>
      <c r="D113" s="3459" t="str">
        <f>"Max DF @ "&amp;TEXT(DS_MaxDevFeeAcq_Percent,"#0%")&amp;":"</f>
        <v>Max DF @ 16%:</v>
      </c>
      <c r="E113" s="3459"/>
      <c r="F113" s="759">
        <f>ROUNDDOWN(N(DS_MaxDevFeeAcq_Percent)*N(Acquisition_total),0)</f>
        <v>0</v>
      </c>
      <c r="G113" s="187"/>
      <c r="H113" s="2138"/>
      <c r="I113" s="2137"/>
      <c r="J113" s="475"/>
      <c r="K113" s="2138"/>
      <c r="L113" s="203"/>
      <c r="M113" s="203"/>
      <c r="N113" s="203"/>
      <c r="O113" s="133"/>
      <c r="P113" s="2156" t="str">
        <f>IF(AND(N(Acquisition_total)&gt;0,N(Developer_fee_acq_total)=0,N(Developer_fee_total)=0),"No",IF(AND(E41=3,SUM(N(Developer_fee_acq_eligible),N(Developer_fee_acq_ineligible))&gt;ROUNDDOWN(N(Acquisition_total)*IF(N(DS_MaxDevFeeAcq_Percent)=21%,16%,N(DS_MaxDevFeeAcq_Percent)),0)),"No",IF(AND(E41=2,N(Developer_fee_acq_eligible)&gt;ROUNDDOWN(N(Acquisition_total)*IF(N(DS_MaxDevFeeAcq_Percent)=21%,16%,N(DS_MaxDevFeeAcq_Percent)),0)),"No","Yes")))</f>
        <v>Yes</v>
      </c>
      <c r="Q113" s="3441"/>
      <c r="R113" s="3441"/>
      <c r="S113" s="3441"/>
      <c r="T113" s="3441"/>
      <c r="U113" s="3441"/>
      <c r="V113" s="3441"/>
      <c r="W113" s="3441"/>
      <c r="X113" s="3441"/>
      <c r="Y113" s="3441"/>
      <c r="Z113" s="3441"/>
    </row>
    <row r="114" spans="1:29">
      <c r="B114" s="202"/>
      <c r="C114" s="201"/>
      <c r="D114" s="145" t="s">
        <v>1432</v>
      </c>
      <c r="E114" s="145"/>
      <c r="F114" s="145"/>
      <c r="G114" s="187"/>
      <c r="H114" s="235"/>
      <c r="I114" s="2137"/>
      <c r="J114" s="162"/>
      <c r="K114" s="235"/>
      <c r="L114" s="191" t="str">
        <f>IF(N(K114)&lt;&gt;ROUNDDOWN(N(K114),0),1,"")</f>
        <v/>
      </c>
      <c r="M114" s="149"/>
      <c r="N114" s="2157">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3"/>
      <c r="P114" s="518" t="str">
        <f>IF(P115="No","**","")</f>
        <v/>
      </c>
      <c r="Q114" s="3441" t="str">
        <f>IF(OR(AND(E41=3,N(Dev_Fee_Max_Non_Acq)&gt;0,SUM(N(Developer_fee_non_acq_eligible),N(Developer_fee_non_acq_ineligible))=0,P115="Yes"),AND(E41=2,N(Dev_Fee_Max_Non_Acq)&gt;0,N(Developer_fee_non_acq_eligible)=0,P115="Yes")),"A Developer Fee on Non-Acquisition Costs must be entered. If it is not, the maximum Total Developer Fee on Non-Acquisition Costs of "&amp;TEXT(N(Dev_Fee_Max_Non_Acq),"$#,##0.00")&amp;" will be utilized. This will impact totals below.", IF(AND(E41=3,P115="No"),"Because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allowable.",IF(AND(E41=2,P115="No"),"Because the amount for 'Developer Fee on Non-Acquisition Costs' is too high by "&amp;TEXT(N(Developer_fee_non_acq_eligible)-N(Dev_Fee_Max_Non_Acq),"$#,##0.00")&amp;", the maximum Total Developer Fee on Non-Acquisition Costs of "&amp;TEXT(N(Dev_Fee_Max_Non_Acq),"$#,##0.00")&amp;" has been utilized. Any excess fee has been applied to the Total Developer Fee on Acquisition Costs to the extent allowable.","")))</f>
        <v/>
      </c>
      <c r="R114" s="3441"/>
      <c r="S114" s="3441"/>
      <c r="T114" s="3441"/>
      <c r="U114" s="3441"/>
      <c r="V114" s="3441"/>
      <c r="W114" s="3441"/>
      <c r="X114" s="3441"/>
      <c r="Y114" s="3441"/>
      <c r="Z114" s="3441"/>
    </row>
    <row r="115" spans="1:29">
      <c r="B115" s="202"/>
      <c r="C115" s="201"/>
      <c r="D115" s="3459" t="str">
        <f>"Max DF @ "&amp;TEXT(DS_MaxDevFeeNonAcq_Percent,"#0%")&amp;":"</f>
        <v>Max DF @ 16%:</v>
      </c>
      <c r="E115" s="3459"/>
      <c r="F115" s="759">
        <f>ROUNDDOWN(N(DS_MaxDevFeeNonAcq_Percent)*(N(Development_Cost_total)-N(Acquisition_total)),0)</f>
        <v>0</v>
      </c>
      <c r="G115" s="187"/>
      <c r="H115" s="195"/>
      <c r="I115" s="191"/>
      <c r="J115" s="149"/>
      <c r="K115" s="195"/>
      <c r="L115" s="162"/>
      <c r="M115" s="149"/>
      <c r="N115" s="474"/>
      <c r="O115" s="133"/>
      <c r="P115" s="2156" t="str">
        <f>IF(AND(E41=3,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IF(AND(E41=2,OR(N(Developer_fee_non_acq_eligible)&gt;ROUNDDOWN((N(Development_Cost_total)-N(Acquisition_total))*IF(N(DS_MaxDevFeeNonAcq_Percent)=21%,16%,N(DS_MaxDevFeeNonAcq_Percent)),0),AND(N(Development_Cost_total)-N(Acquisition_total)&gt;0,N(Developer_fee_non_acq_total)=0,N(Developer_fee_total)=0))),"No","Yes"))</f>
        <v>Yes</v>
      </c>
      <c r="Q115" s="3441"/>
      <c r="R115" s="3441"/>
      <c r="S115" s="3441"/>
      <c r="T115" s="3441"/>
      <c r="U115" s="3441"/>
      <c r="V115" s="3441"/>
      <c r="W115" s="3441"/>
      <c r="X115" s="3441"/>
      <c r="Y115" s="3441"/>
      <c r="Z115" s="3441"/>
    </row>
    <row r="116" spans="1:29">
      <c r="B116" s="2625"/>
      <c r="C116" s="2626"/>
      <c r="D116" s="145" t="s">
        <v>1433</v>
      </c>
      <c r="E116" s="145"/>
      <c r="F116" s="145"/>
      <c r="G116" s="187"/>
      <c r="H116" s="163"/>
      <c r="I116" s="475"/>
      <c r="J116" s="162"/>
      <c r="K116" s="163"/>
      <c r="L116" s="162"/>
      <c r="M116" s="149"/>
      <c r="N116" s="162"/>
      <c r="O116" s="133"/>
      <c r="P116" s="185"/>
      <c r="Q116" s="880"/>
    </row>
    <row r="117" spans="1:29" ht="15" customHeight="1">
      <c r="B117" s="2625"/>
      <c r="C117" s="2626"/>
      <c r="D117" s="145" t="s">
        <v>1434</v>
      </c>
      <c r="E117" s="145"/>
      <c r="F117" s="145"/>
      <c r="G117" s="187"/>
      <c r="H117" s="995" t="str">
        <f>IF(N(N108)=0,"",IF((DS_MaxDevFeeAcq_Percent+DS_MaxDevFeeODR_Percent)=21%,ROUNDDOWN(5%*N(N108),0),""))</f>
        <v/>
      </c>
      <c r="I117" s="475"/>
      <c r="J117" s="162"/>
      <c r="K117" s="1570"/>
      <c r="L117" s="162"/>
      <c r="M117" s="149"/>
      <c r="N117" s="993" t="str">
        <f>IF(N(Dev_Fee_Max_Demo)=0,"",MIN(N(Dev_Fee_Max_Demo),N(Developer_fee_demo_eligible)))</f>
        <v/>
      </c>
      <c r="O117" s="133"/>
      <c r="P117" s="185"/>
      <c r="Q117" s="3427" t="str">
        <f>IF((Data3!G226+Data3!G228)=21%,"If 21% is selected for Max. Dev. Fee %, the 5% Demographic Commitment portion will be automatically entered on this row and is considered to be in addition to the amount(s) listed on the other Developer Fee line item(s).","")</f>
        <v>If 21% is selected for Max. Dev. Fee %, the 5% Demographic Commitment portion will be automatically entered on this row and is considered to be in addition to the amount(s) listed on the other Developer Fee line item(s).</v>
      </c>
      <c r="R117" s="3427"/>
      <c r="S117" s="3427"/>
      <c r="T117" s="3427"/>
      <c r="U117" s="3427"/>
      <c r="V117" s="3427"/>
      <c r="W117" s="3427"/>
      <c r="X117" s="3427"/>
      <c r="Y117" s="3427"/>
      <c r="Z117" s="3427"/>
    </row>
    <row r="118" spans="1:29" ht="15" customHeight="1">
      <c r="B118" s="2625"/>
      <c r="C118" s="2626"/>
      <c r="D118" s="3459" t="str">
        <f>"Max DF @ "&amp;TEXT(DS_MaxDevFeeODR_Percent,"#0%")&amp;":"</f>
        <v>Max DF @ 5%:</v>
      </c>
      <c r="E118" s="3459"/>
      <c r="F118" s="759">
        <f>ROUNDDOWN(N(DS_MaxDevFeeODR_Percent)*N(Development_Cost_total),0)</f>
        <v>0</v>
      </c>
      <c r="G118" s="187"/>
      <c r="H118" s="163"/>
      <c r="I118" s="475"/>
      <c r="J118" s="162"/>
      <c r="K118" s="163"/>
      <c r="L118" s="162"/>
      <c r="M118" s="149"/>
      <c r="N118" s="162"/>
      <c r="O118" s="133"/>
      <c r="P118" s="185"/>
      <c r="Q118" s="3427"/>
      <c r="R118" s="3427"/>
      <c r="S118" s="3427"/>
      <c r="T118" s="3427"/>
      <c r="U118" s="3427"/>
      <c r="V118" s="3427"/>
      <c r="W118" s="3427"/>
      <c r="X118" s="3427"/>
      <c r="Y118" s="3427"/>
      <c r="Z118" s="3427"/>
    </row>
    <row r="119" spans="1:29">
      <c r="B119" s="194" t="s">
        <v>1435</v>
      </c>
      <c r="C119" s="193" t="s">
        <v>1436</v>
      </c>
      <c r="D119" s="193"/>
      <c r="E119" s="145"/>
      <c r="F119" s="145"/>
      <c r="G119" s="192" t="s">
        <v>1398</v>
      </c>
      <c r="H119" s="1570" t="str">
        <f>IF(SUM(H112:H117)=0,"",IF(E41=3,IF(N(Developer_fee_acq_eligible)&gt;N(Developer_fee_acq_total)-N(Developer_fee_acq_ineligible),MIN(N(Dev_Fee_Max_Acq),N(Developer_fee_acq_eligible)),N(Developer_fee_acq_eligible))+IF(N(Developer_fee_non_acq_eligible)&gt;N(Developer_fee_non_acq_total-N(Developer_fee_non_acq_ineligible)),MIN(N(Dev_Fee_Max_Non_Acq),N(Developer_fee_non_acq_eligible)),N(Developer_fee_non_acq_eligible))+IF(N(Dev_Fee_Max_Demo)&gt;0,N(Developer_fee_demo_eligible),0),SUM(N(Developer_fee_acq_total),N(Developer_fee_non_acq_total),IF(N(Dev_Fee_Max_Demo)&gt;0,N(Developer_fee_demo_total),0))))</f>
        <v/>
      </c>
      <c r="I119" s="475"/>
      <c r="J119" s="192" t="s">
        <v>1398</v>
      </c>
      <c r="K119" s="1570" t="str">
        <f>IF(SUM(K112:K117)=0,"",IF(E41=3,SUM(N112:N117)-N(Developer_fee_eligible),""))</f>
        <v/>
      </c>
      <c r="L119" s="191"/>
      <c r="M119" s="192" t="s">
        <v>1398</v>
      </c>
      <c r="N119" s="993" t="str">
        <f>IF($E$41=2,IF(OR(N(Developer_fee_eligible)=0,N(Developer_fee_eligible)&gt;N(Dev_Fee_Max_Total),SUM(N(Developer_fee_acq_total),N(Developer_fee_non_acq_total),N(Developer_fee_demo_total))&gt;N(Dev_Fee_Max_Total)),N(Dev_Fee_Max_Total),SUM(N(Developer_fee_acq_total),N(Developer_fee_non_acq_total),N(Developer_fee_demo_total))),IF(SUM(N(Developer_fee_eligible),N(Developer_fee_ineligible))=0,Dev_Fee_Max_Total,IF(SUM(N(Developer_fee_eligible),N(Developer_fee_ineligible))&gt;N(Dev_Fee_Max_Total),N(Dev_Fee_Max_Total),SUM(N(Developer_fee_acq_total),N(Developer_fee_non_acq_total),N(Developer_fee_demo_total)))))</f>
        <v/>
      </c>
      <c r="O119" s="133"/>
      <c r="P119" s="518" t="str">
        <f>IF(P120="No","**","")</f>
        <v/>
      </c>
      <c r="Q119" s="3442" t="str">
        <f>IF(AND(E41=3,P120="No"),IF(AND(N(Development_Cost_total)&gt;0,SUM(N(Developer_fee_eligible),N(Developer_fee_ineligible))=0),"A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Cost.","")),IF(AND(E41=2,P120="No"),IF(AND(N(Development_Cost_total)&gt;0,N(Developer_fee_eligible)=0),"A Developer fee must be entered. If it is not, the maximum Total Developer Fee of "&amp;TEXT(N(Dev_Fee_Max_Total),"$#,##0.00")&amp;" will be utilized. This will impact cost totals below.",IF(N(Developer_fee_eligible)&gt;N(Dev_Fee_Max_Total),"Because the resulting 'Total Developer Fee' is too high by "&amp;TEXT(N(Developer_fee_eligible)-N(Dev_Fee_Max_Total),"$#,##0.00")&amp;", the maximum Total Developer Fee of "&amp;TEXT(N(Dev_Fee_Max_Total),"$#,##0.00")&amp;" has been utilized. This will impact the Total Development Cost.","")),""))</f>
        <v/>
      </c>
      <c r="R119" s="3443"/>
      <c r="S119" s="3443"/>
      <c r="T119" s="3443"/>
      <c r="U119" s="3443"/>
      <c r="V119" s="3443"/>
      <c r="W119" s="3443"/>
      <c r="X119" s="3443"/>
      <c r="Y119" s="3443"/>
      <c r="Z119" s="3443"/>
    </row>
    <row r="120" spans="1:29">
      <c r="B120" s="200"/>
      <c r="C120" s="200"/>
      <c r="D120" s="3459" t="s">
        <v>1437</v>
      </c>
      <c r="E120" s="3459"/>
      <c r="F120" s="759" t="str">
        <f>IF(SUM(N(Dev_Fee_Max_Acq),N(Dev_Fee_Max_Non_Acq),N(Dev_Fee_Max_Demo))=0,"",SUM(N(Dev_Fee_Max_Acq),N(Dev_Fee_Max_Non_Acq),N(Dev_Fee_Max_Demo)))</f>
        <v/>
      </c>
      <c r="H120" s="150"/>
      <c r="I120" s="191"/>
      <c r="K120" s="150"/>
      <c r="N120" s="123"/>
      <c r="O120" s="133"/>
      <c r="P120" s="2156" t="str">
        <f>IF(AND(E41=3,OR(AND(SUM(N(Developer_fee_eligible),N(Developer_fee_ineligible))=0,N(Development_Cost_total)&gt;0),SUM(N(Developer_fee_eligible),N(Developer_fee_ineligible))&gt;Dev_Fee_Max_Total)),"No",IF(AND(E41=2,OR(AND(N(Developer_fee_eligible)=0,N(Development_Cost_total)&gt;0),N(Developer_fee_eligible)&gt;Dev_Fee_Max_Total)),"No","Yes"))</f>
        <v>Yes</v>
      </c>
      <c r="Q120" s="3443"/>
      <c r="R120" s="3443"/>
      <c r="S120" s="3443"/>
      <c r="T120" s="3443"/>
      <c r="U120" s="3443"/>
      <c r="V120" s="3443"/>
      <c r="W120" s="3443"/>
      <c r="X120" s="3443"/>
      <c r="Y120" s="3443"/>
      <c r="Z120" s="3443"/>
    </row>
    <row r="121" spans="1:29" ht="13.5">
      <c r="B121" s="199" t="s">
        <v>1438</v>
      </c>
      <c r="C121" s="198" t="s">
        <v>1439</v>
      </c>
      <c r="G121" s="194" t="s">
        <v>1398</v>
      </c>
      <c r="H121" s="1437"/>
      <c r="I121" s="191"/>
      <c r="J121" s="194" t="s">
        <v>1398</v>
      </c>
      <c r="K121" s="1440"/>
      <c r="L121" s="191"/>
      <c r="M121" s="194" t="s">
        <v>1398</v>
      </c>
      <c r="N121" s="1441" t="str">
        <f>IF(AND($E$41=3,N(ODR_ineligible)=0),"",IF(AND($E$41=3,N(ODR_ineligible)&gt;0),MIN(N(ODR_Max),N(ODR_ineligible)),IF(AND($E$41=2,N(ODR_eligible)=0),"",IF(AND($E$41=2,N(ODR_eligible)&gt;0),MIN(N(ODR_Max),N(ODR_eligible)),""))))</f>
        <v/>
      </c>
      <c r="O121" s="133"/>
      <c r="P121" s="949" t="str">
        <f>IF(P122="No","**","")</f>
        <v/>
      </c>
      <c r="Q121" s="3412" t="str">
        <f>IF(AND(E41=3,P122="No"),"Because the amount entered for 'Operating Deficit Reserves' is too high by "&amp;TEXT(N(ODR_ineligible)-N(ODR_Max),"$#,##0.00")&amp;", the maximum Total Operating Deficit Reserve of "&amp;TEXT(N(ODR_Max),"$#,##0.00")&amp;" has been utilized. This will impact the Total Development Cost.",IF(AND(E41=2,P122="No"),"Because the amount entered for 'Operating Deficit Reserves' is too high by "&amp;TEXT(N(ODR_eligible)-N(ODR_Max),"$#,##0.00")&amp;", the maximum Total Operating Deficit Reserve of "&amp;TEXT(N(ODR_Max),"$#,##0.00")&amp;" has been utilized. This will impact the Total Development Cost.",""))</f>
        <v/>
      </c>
      <c r="R121" s="3412"/>
      <c r="S121" s="3412"/>
      <c r="T121" s="3412"/>
      <c r="U121" s="3412"/>
      <c r="V121" s="3412"/>
      <c r="W121" s="3412"/>
      <c r="X121" s="3412"/>
      <c r="Y121" s="3412"/>
      <c r="Z121" s="3412"/>
    </row>
    <row r="122" spans="1:29" ht="12.4" customHeight="1">
      <c r="B122" s="121"/>
      <c r="C122" s="123"/>
      <c r="D122" s="3459" t="s">
        <v>1440</v>
      </c>
      <c r="E122" s="3459"/>
      <c r="F122" s="759">
        <f>ROUNDDOWN(N(DS_Max_ODR)*N(Development_Cost_total)+IF(DS_Dollar_PU_ODR_Active="Yes",N(DS_Max_Dollar_PU_ODR)*N(Total_Units),0),0)</f>
        <v>0</v>
      </c>
      <c r="G122" s="162"/>
      <c r="H122" s="150"/>
      <c r="I122" s="191"/>
      <c r="J122" s="162"/>
      <c r="K122" s="211"/>
      <c r="L122" s="162"/>
      <c r="M122" s="162"/>
      <c r="N122" s="162"/>
      <c r="O122" s="133"/>
      <c r="P122" s="2156" t="str">
        <f>IF(OR(AND(E41=3,N(ODR_ineligible)&lt;=N(ODR_Max)),AND(E41=2,N(ODR_eligible)&lt;=N(ODR_Max))),"Yes","No")</f>
        <v>Yes</v>
      </c>
      <c r="Q122" s="3413"/>
      <c r="R122" s="3413"/>
      <c r="S122" s="3413"/>
      <c r="T122" s="3413"/>
      <c r="U122" s="3413"/>
      <c r="V122" s="3413"/>
      <c r="W122" s="3413"/>
      <c r="X122" s="3413"/>
      <c r="Y122" s="3413"/>
      <c r="Z122" s="3413"/>
    </row>
    <row r="123" spans="1:29" ht="12.75" customHeight="1">
      <c r="B123" s="194" t="s">
        <v>1441</v>
      </c>
      <c r="C123" s="193" t="s">
        <v>1442</v>
      </c>
      <c r="D123" s="193"/>
      <c r="E123" s="123"/>
      <c r="F123" s="123"/>
      <c r="G123" s="192" t="s">
        <v>1398</v>
      </c>
      <c r="H123" s="2507"/>
      <c r="I123" s="191"/>
      <c r="J123" s="192" t="s">
        <v>1398</v>
      </c>
      <c r="K123" s="197"/>
      <c r="L123" s="191" t="str">
        <f>IF(N(K123)&lt;&gt;ROUNDDOWN(N(K123),0),1,"")</f>
        <v/>
      </c>
      <c r="M123" s="192" t="s">
        <v>1398</v>
      </c>
      <c r="N123" s="992" t="str">
        <f>IF(AND($E$41=3,K123=0),"",IF(AND($E$41=3,K123&gt;0),K123,IF(AND($E$41=2,H123=0),"",IF(AND($E$41=2,H123&gt;0),H123))))</f>
        <v/>
      </c>
      <c r="O123" s="133"/>
      <c r="P123" s="133"/>
      <c r="Q123" s="3425"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3425"/>
      <c r="S123" s="3425"/>
      <c r="T123" s="3425"/>
      <c r="U123" s="3425"/>
      <c r="V123" s="3425"/>
      <c r="W123" s="3425"/>
      <c r="X123" s="3425"/>
      <c r="Y123" s="3425"/>
      <c r="Z123" s="3425"/>
      <c r="AA123" s="519"/>
      <c r="AB123" s="519"/>
      <c r="AC123" s="519"/>
    </row>
    <row r="124" spans="1:29" ht="12.4" customHeight="1">
      <c r="B124" s="121"/>
      <c r="C124" s="123"/>
      <c r="D124" s="196"/>
      <c r="E124" s="123"/>
      <c r="F124" s="123"/>
      <c r="G124" s="162"/>
      <c r="H124" s="211"/>
      <c r="I124" s="191"/>
      <c r="J124" s="162"/>
      <c r="K124" s="195"/>
      <c r="L124" s="162"/>
      <c r="M124" s="162"/>
      <c r="N124" s="162"/>
      <c r="O124" s="133"/>
      <c r="P124" s="133"/>
      <c r="Q124" s="3426"/>
      <c r="R124" s="3426"/>
      <c r="S124" s="3426"/>
      <c r="T124" s="3426"/>
      <c r="U124" s="3426"/>
      <c r="V124" s="3426"/>
      <c r="W124" s="3426"/>
      <c r="X124" s="3426"/>
      <c r="Y124" s="3426"/>
      <c r="Z124" s="3426"/>
      <c r="AA124" s="519"/>
      <c r="AB124" s="519"/>
      <c r="AC124" s="519"/>
    </row>
    <row r="125" spans="1:29" ht="13.5">
      <c r="B125" s="194" t="s">
        <v>1443</v>
      </c>
      <c r="C125" s="193" t="s">
        <v>1444</v>
      </c>
      <c r="D125" s="193"/>
      <c r="E125" s="123"/>
      <c r="F125" s="123"/>
      <c r="G125" s="192" t="s">
        <v>1398</v>
      </c>
      <c r="H125" s="1570" t="str">
        <f>IF(OR(AND(E41=3,SUM(H108,H119)=0),AND(E41=2,SUM(H108,H119,H121,H123)=0)),"",IF(E41=3,SUM(H108,H119),SUM(H108,H119,IF(ODR_eligible&gt;ODR_total,ODR_total,ODR_eligible),H123)))</f>
        <v/>
      </c>
      <c r="I125" s="191"/>
      <c r="J125" s="192" t="s">
        <v>1398</v>
      </c>
      <c r="K125" s="1570" t="str">
        <f>IF(OR(AND(E41=3,SUM(K108,K119,K121,K123)=0),AND(E41=2,SUM(K108,K119,K121,K123)=0)),"",IF(E41=3,SUM(K108,K119,IF(ODR_ineligible&gt;ODR_total,ODR_total,ODR_ineligible),K123),""))</f>
        <v/>
      </c>
      <c r="L125" s="191"/>
      <c r="M125" s="192" t="s">
        <v>1398</v>
      </c>
      <c r="N125" s="992" t="str">
        <f>IF(SUM(N108,N119,N121,N123)=0,"",SUM(N108,N119,N121,N123))</f>
        <v/>
      </c>
      <c r="O125" s="133"/>
      <c r="P125" s="133"/>
      <c r="Q125" s="125"/>
    </row>
    <row r="126" spans="1:29">
      <c r="B126" s="123"/>
      <c r="C126" s="123"/>
      <c r="D126" s="123" t="s">
        <v>1445</v>
      </c>
      <c r="E126" s="123"/>
      <c r="F126" s="123"/>
      <c r="G126" s="123"/>
      <c r="H126" s="150"/>
      <c r="I126" s="191"/>
      <c r="J126" s="149"/>
      <c r="K126" s="150"/>
      <c r="L126" s="123"/>
      <c r="M126" s="123"/>
      <c r="N126" s="123"/>
      <c r="O126" s="133"/>
      <c r="P126" s="133"/>
      <c r="S126" s="123"/>
    </row>
    <row r="127" spans="1:29" ht="3.75" customHeight="1" thickBot="1">
      <c r="B127" s="123"/>
      <c r="C127" s="123"/>
      <c r="D127" s="123"/>
      <c r="E127" s="123"/>
      <c r="F127" s="123"/>
      <c r="G127" s="123"/>
      <c r="H127" s="123"/>
      <c r="I127" s="123"/>
      <c r="J127" s="123"/>
      <c r="K127" s="123"/>
      <c r="L127" s="123"/>
      <c r="M127" s="123"/>
      <c r="N127" s="123"/>
      <c r="O127" s="133"/>
      <c r="P127" s="133"/>
    </row>
    <row r="128" spans="1:29" ht="3.75" customHeight="1">
      <c r="A128" s="134"/>
      <c r="B128" s="134"/>
      <c r="C128" s="134"/>
      <c r="D128" s="134"/>
      <c r="E128" s="134"/>
      <c r="F128" s="134"/>
      <c r="G128" s="134"/>
      <c r="H128" s="134"/>
      <c r="I128" s="134"/>
      <c r="J128" s="134"/>
      <c r="K128" s="134"/>
      <c r="L128" s="134"/>
      <c r="M128" s="134"/>
      <c r="N128" s="134"/>
      <c r="O128" s="173"/>
      <c r="P128" s="173"/>
    </row>
    <row r="129" spans="2:19">
      <c r="B129" s="130" t="str">
        <f>B$2</f>
        <v>RFA 2025-103 DEVELOPMENT COST PRO FORMA</v>
      </c>
      <c r="O129" s="133"/>
      <c r="P129" s="132" t="str">
        <f>IF(OR(AND(Funding!L$309&gt;0,Data3!H$273="No"),Data3!H$274="Yes"),"(Page 3 of 8)","(Page 3 of 7)")</f>
        <v>(Page 3 of 7)</v>
      </c>
    </row>
    <row r="130" spans="2:19">
      <c r="O130" s="133"/>
      <c r="P130" s="133"/>
      <c r="S130" s="123"/>
    </row>
    <row r="131" spans="2:19">
      <c r="B131" s="130" t="s">
        <v>1446</v>
      </c>
      <c r="C131" s="123"/>
      <c r="D131" s="123"/>
      <c r="E131" s="123"/>
      <c r="F131" s="123"/>
      <c r="G131" s="123"/>
      <c r="H131" s="123"/>
      <c r="I131" s="123"/>
      <c r="J131" s="123"/>
      <c r="K131" s="123"/>
      <c r="L131" s="123"/>
      <c r="M131" s="123"/>
      <c r="N131" s="123"/>
      <c r="O131" s="185"/>
      <c r="P131" s="133"/>
    </row>
    <row r="132" spans="2:19" ht="12.75" customHeight="1">
      <c r="B132" s="130"/>
      <c r="C132" s="123"/>
      <c r="D132" s="123"/>
      <c r="E132" s="123"/>
      <c r="F132" s="123"/>
      <c r="G132" s="123"/>
      <c r="H132" s="123"/>
      <c r="I132" s="123"/>
      <c r="J132" s="123"/>
      <c r="K132" s="123"/>
      <c r="L132" s="123"/>
      <c r="M132" s="123"/>
      <c r="N132" s="123"/>
      <c r="O132" s="185"/>
      <c r="P132" s="133"/>
      <c r="S132" s="123"/>
    </row>
    <row r="133" spans="2:19">
      <c r="B133" s="130" t="s">
        <v>1447</v>
      </c>
      <c r="C133" s="123"/>
      <c r="D133" s="123"/>
      <c r="E133" s="123"/>
      <c r="F133" s="123"/>
      <c r="G133" s="123"/>
      <c r="H133" s="123"/>
      <c r="I133" s="123"/>
      <c r="J133" s="123"/>
      <c r="K133" s="123"/>
      <c r="L133" s="123"/>
      <c r="M133" s="123"/>
      <c r="N133" s="123"/>
      <c r="O133" s="185"/>
      <c r="P133" s="133"/>
      <c r="S133" s="123"/>
    </row>
    <row r="134" spans="2:19">
      <c r="B134" s="130" t="s">
        <v>1448</v>
      </c>
      <c r="C134" s="123"/>
      <c r="D134" s="123"/>
      <c r="E134" s="123"/>
      <c r="F134" s="123"/>
      <c r="G134" s="123"/>
      <c r="H134" s="123"/>
      <c r="I134" s="123"/>
      <c r="J134" s="123"/>
      <c r="K134" s="123"/>
      <c r="L134" s="123"/>
      <c r="M134" s="123"/>
      <c r="N134" s="123"/>
      <c r="O134" s="185"/>
      <c r="P134" s="133"/>
    </row>
    <row r="135" spans="2:19">
      <c r="B135" s="123"/>
      <c r="C135" s="123"/>
      <c r="D135" s="123"/>
      <c r="E135" s="123"/>
      <c r="F135" s="123"/>
      <c r="G135" s="123"/>
      <c r="H135" s="123"/>
      <c r="I135" s="123"/>
      <c r="J135" s="123"/>
      <c r="K135" s="123"/>
      <c r="L135" s="123"/>
      <c r="M135" s="123"/>
      <c r="N135" s="123"/>
      <c r="O135" s="185"/>
      <c r="P135" s="133"/>
    </row>
    <row r="136" spans="2:19">
      <c r="B136" s="130" t="s">
        <v>1388</v>
      </c>
      <c r="C136" s="123"/>
      <c r="D136" s="123"/>
      <c r="E136" s="123"/>
      <c r="F136" s="123"/>
      <c r="G136" s="123"/>
      <c r="H136" s="123"/>
      <c r="I136" s="123"/>
      <c r="J136" s="123"/>
      <c r="K136" s="123"/>
      <c r="L136" s="123"/>
      <c r="M136" s="123"/>
      <c r="N136" s="123"/>
      <c r="O136" s="185"/>
      <c r="P136" s="133"/>
    </row>
    <row r="137" spans="2:19">
      <c r="B137" s="123"/>
      <c r="C137" s="123"/>
      <c r="D137" s="123"/>
      <c r="E137" s="123"/>
      <c r="F137" s="123"/>
      <c r="G137" s="123"/>
      <c r="H137" s="123"/>
      <c r="I137" s="123"/>
      <c r="J137" s="123"/>
      <c r="K137" s="123"/>
      <c r="L137" s="123"/>
      <c r="M137" s="123"/>
      <c r="N137" s="123"/>
      <c r="O137" s="185"/>
      <c r="P137" s="133"/>
    </row>
    <row r="138" spans="2:19">
      <c r="C138" s="179" t="s">
        <v>1449</v>
      </c>
      <c r="D138" s="130"/>
      <c r="E138" s="130"/>
      <c r="F138" s="130"/>
      <c r="G138" s="123"/>
      <c r="H138" s="123"/>
      <c r="I138" s="123"/>
      <c r="J138" s="123"/>
      <c r="K138" s="123"/>
      <c r="L138" s="123"/>
      <c r="M138" s="123"/>
      <c r="N138" s="123"/>
      <c r="O138" s="185"/>
      <c r="P138" s="133"/>
    </row>
    <row r="139" spans="2:19">
      <c r="C139" s="188" t="s">
        <v>1450</v>
      </c>
      <c r="D139" s="123"/>
      <c r="E139" s="123"/>
      <c r="F139" s="123"/>
      <c r="G139" s="123"/>
      <c r="H139" s="123"/>
      <c r="I139" s="123"/>
      <c r="J139" s="123"/>
      <c r="K139" s="123"/>
      <c r="L139" s="123"/>
      <c r="M139" s="123"/>
      <c r="N139" s="123"/>
      <c r="O139" s="185"/>
      <c r="P139" s="133"/>
    </row>
    <row r="140" spans="2:19">
      <c r="C140" s="168"/>
      <c r="D140" s="123"/>
      <c r="E140" s="123"/>
      <c r="F140" s="123"/>
      <c r="G140" s="123"/>
      <c r="H140" s="123"/>
      <c r="I140" s="123"/>
      <c r="J140" s="123"/>
      <c r="K140" s="123"/>
      <c r="L140" s="123"/>
      <c r="M140" s="123"/>
      <c r="N140" s="123"/>
      <c r="O140" s="185"/>
      <c r="P140" s="133"/>
    </row>
    <row r="141" spans="2:19">
      <c r="D141" s="123" t="s">
        <v>1451</v>
      </c>
      <c r="E141" s="123"/>
      <c r="F141" s="3415"/>
      <c r="G141" s="3428"/>
      <c r="H141" s="3428"/>
      <c r="I141" s="3428"/>
      <c r="J141" s="3428"/>
      <c r="K141" s="3428"/>
      <c r="L141" s="3428"/>
      <c r="M141" s="3428"/>
      <c r="N141" s="3428"/>
      <c r="O141" s="3429"/>
      <c r="P141" s="135" t="str">
        <f>IF(AND(F141="",N50&lt;&gt;""),"**","")</f>
        <v/>
      </c>
    </row>
    <row r="142" spans="2:19">
      <c r="D142" s="123"/>
      <c r="E142" s="123"/>
      <c r="F142" s="3430"/>
      <c r="G142" s="3431"/>
      <c r="H142" s="3431"/>
      <c r="I142" s="3431"/>
      <c r="J142" s="3431"/>
      <c r="K142" s="3431"/>
      <c r="L142" s="3431"/>
      <c r="M142" s="3431"/>
      <c r="N142" s="3431"/>
      <c r="O142" s="3432"/>
      <c r="P142" s="391"/>
    </row>
    <row r="143" spans="2:19">
      <c r="D143" s="123"/>
      <c r="E143" s="123"/>
      <c r="F143" s="3433"/>
      <c r="G143" s="3434"/>
      <c r="H143" s="3434"/>
      <c r="I143" s="3434"/>
      <c r="J143" s="3434"/>
      <c r="K143" s="3434"/>
      <c r="L143" s="3434"/>
      <c r="M143" s="3434"/>
      <c r="N143" s="3434"/>
      <c r="O143" s="3435"/>
      <c r="P143" s="133"/>
    </row>
    <row r="144" spans="2:19">
      <c r="D144" s="123"/>
      <c r="E144" s="123"/>
      <c r="F144" s="123"/>
      <c r="G144" s="123"/>
      <c r="H144" s="123"/>
      <c r="I144" s="123"/>
      <c r="J144" s="123"/>
      <c r="K144" s="123"/>
      <c r="L144" s="123"/>
      <c r="M144" s="123"/>
      <c r="N144" s="123"/>
      <c r="O144" s="185"/>
      <c r="P144" s="133"/>
    </row>
    <row r="145" spans="3:22">
      <c r="D145" s="123" t="s">
        <v>1452</v>
      </c>
      <c r="E145" s="123"/>
      <c r="F145" s="3415"/>
      <c r="G145" s="3428"/>
      <c r="H145" s="3428"/>
      <c r="I145" s="3428"/>
      <c r="J145" s="3428"/>
      <c r="K145" s="3428"/>
      <c r="L145" s="3428"/>
      <c r="M145" s="3428"/>
      <c r="N145" s="3428"/>
      <c r="O145" s="3429"/>
      <c r="P145" s="135" t="str">
        <f>IF(AND(F145="",N54&lt;&gt;""),"**","")</f>
        <v/>
      </c>
    </row>
    <row r="146" spans="3:22">
      <c r="C146" s="123"/>
      <c r="D146" s="123"/>
      <c r="E146" s="123"/>
      <c r="F146" s="3430"/>
      <c r="G146" s="3431"/>
      <c r="H146" s="3431"/>
      <c r="I146" s="3431"/>
      <c r="J146" s="3431"/>
      <c r="K146" s="3431"/>
      <c r="L146" s="3431"/>
      <c r="M146" s="3431"/>
      <c r="N146" s="3431"/>
      <c r="O146" s="3432"/>
      <c r="P146" s="133"/>
    </row>
    <row r="147" spans="3:22">
      <c r="C147" s="123"/>
      <c r="D147" s="123"/>
      <c r="E147" s="123"/>
      <c r="F147" s="3433"/>
      <c r="G147" s="3434"/>
      <c r="H147" s="3434"/>
      <c r="I147" s="3434"/>
      <c r="J147" s="3434"/>
      <c r="K147" s="3434"/>
      <c r="L147" s="3434"/>
      <c r="M147" s="3434"/>
      <c r="N147" s="3434"/>
      <c r="O147" s="3435"/>
      <c r="P147" s="133"/>
    </row>
    <row r="148" spans="3:22">
      <c r="C148" s="123"/>
      <c r="D148" s="123"/>
      <c r="E148" s="123"/>
      <c r="F148" s="123"/>
      <c r="G148" s="123"/>
      <c r="H148" s="123"/>
      <c r="I148" s="123"/>
      <c r="J148" s="123"/>
      <c r="K148" s="123"/>
      <c r="L148" s="123"/>
      <c r="M148" s="123"/>
      <c r="N148" s="123"/>
      <c r="O148" s="185"/>
      <c r="P148" s="133"/>
    </row>
    <row r="149" spans="3:22">
      <c r="C149" s="179" t="s">
        <v>1406</v>
      </c>
      <c r="D149" s="130"/>
      <c r="E149" s="130"/>
      <c r="F149" s="130"/>
      <c r="G149" s="123"/>
      <c r="H149" s="123"/>
      <c r="I149" s="123"/>
      <c r="J149" s="123"/>
      <c r="K149" s="123"/>
      <c r="L149" s="123"/>
      <c r="M149" s="123"/>
      <c r="N149" s="123"/>
      <c r="O149" s="185"/>
      <c r="P149" s="133"/>
      <c r="V149" s="127"/>
    </row>
    <row r="150" spans="3:22">
      <c r="C150" s="188" t="s">
        <v>1453</v>
      </c>
      <c r="D150" s="123"/>
      <c r="E150" s="123"/>
      <c r="F150" s="123"/>
      <c r="G150" s="123"/>
      <c r="H150" s="123"/>
      <c r="I150" s="123"/>
      <c r="J150" s="123"/>
      <c r="K150" s="123"/>
      <c r="L150" s="123"/>
      <c r="M150" s="123"/>
      <c r="N150" s="123"/>
      <c r="O150" s="185"/>
      <c r="P150" s="133"/>
    </row>
    <row r="151" spans="3:22">
      <c r="C151" s="190"/>
      <c r="D151" s="123"/>
      <c r="E151" s="123"/>
      <c r="F151" s="123"/>
      <c r="G151" s="123"/>
      <c r="H151" s="123"/>
      <c r="I151" s="123"/>
      <c r="J151" s="123"/>
      <c r="K151" s="123"/>
      <c r="L151" s="123"/>
      <c r="M151" s="123"/>
      <c r="N151" s="123"/>
      <c r="O151" s="185"/>
      <c r="P151" s="133"/>
    </row>
    <row r="152" spans="3:22" ht="12.6" hidden="1" customHeight="1">
      <c r="D152" s="123" t="s">
        <v>1454</v>
      </c>
      <c r="E152" s="123"/>
      <c r="F152" s="3415"/>
      <c r="G152" s="3416"/>
      <c r="H152" s="3416"/>
      <c r="I152" s="3416"/>
      <c r="J152" s="3416"/>
      <c r="K152" s="3416"/>
      <c r="L152" s="3416"/>
      <c r="M152" s="3416"/>
      <c r="N152" s="3416"/>
      <c r="O152" s="3417"/>
      <c r="P152" s="135" t="str">
        <f>IF(AND(F152="",N76&lt;&gt;""),"**","")</f>
        <v/>
      </c>
    </row>
    <row r="153" spans="3:22" hidden="1">
      <c r="D153" s="123"/>
      <c r="E153" s="123"/>
      <c r="F153" s="3418"/>
      <c r="G153" s="3419"/>
      <c r="H153" s="3419"/>
      <c r="I153" s="3419"/>
      <c r="J153" s="3419"/>
      <c r="K153" s="3419"/>
      <c r="L153" s="3419"/>
      <c r="M153" s="3419"/>
      <c r="N153" s="3419"/>
      <c r="O153" s="3420"/>
      <c r="P153" s="133"/>
    </row>
    <row r="154" spans="3:22" hidden="1">
      <c r="D154" s="123"/>
      <c r="E154" s="123"/>
      <c r="F154" s="3418"/>
      <c r="G154" s="3419"/>
      <c r="H154" s="3419"/>
      <c r="I154" s="3419"/>
      <c r="J154" s="3419"/>
      <c r="K154" s="3419"/>
      <c r="L154" s="3419"/>
      <c r="M154" s="3419"/>
      <c r="N154" s="3419"/>
      <c r="O154" s="3420"/>
      <c r="P154" s="133"/>
    </row>
    <row r="155" spans="3:22" hidden="1">
      <c r="D155" s="123"/>
      <c r="E155" s="123"/>
      <c r="F155" s="3418"/>
      <c r="G155" s="3419"/>
      <c r="H155" s="3419"/>
      <c r="I155" s="3419"/>
      <c r="J155" s="3419"/>
      <c r="K155" s="3419"/>
      <c r="L155" s="3419"/>
      <c r="M155" s="3419"/>
      <c r="N155" s="3419"/>
      <c r="O155" s="3420"/>
      <c r="P155" s="133"/>
    </row>
    <row r="156" spans="3:22" hidden="1">
      <c r="D156" s="123"/>
      <c r="E156" s="123"/>
      <c r="F156" s="3421"/>
      <c r="G156" s="3422"/>
      <c r="H156" s="3422"/>
      <c r="I156" s="3422"/>
      <c r="J156" s="3422"/>
      <c r="K156" s="3422"/>
      <c r="L156" s="3422"/>
      <c r="M156" s="3422"/>
      <c r="N156" s="3422"/>
      <c r="O156" s="3423"/>
      <c r="P156" s="133"/>
    </row>
    <row r="157" spans="3:22" hidden="1">
      <c r="D157" s="123"/>
      <c r="E157" s="123"/>
      <c r="F157" s="123"/>
      <c r="G157" s="123"/>
      <c r="H157" s="123"/>
      <c r="I157" s="123"/>
      <c r="J157" s="123"/>
      <c r="K157" s="123"/>
      <c r="L157" s="123"/>
      <c r="M157" s="123"/>
      <c r="N157" s="123"/>
      <c r="O157" s="185"/>
      <c r="P157" s="133"/>
    </row>
    <row r="158" spans="3:22" ht="12.6" customHeight="1">
      <c r="D158" s="123" t="s">
        <v>1452</v>
      </c>
      <c r="E158" s="123"/>
      <c r="F158" s="3415"/>
      <c r="G158" s="3416"/>
      <c r="H158" s="3416"/>
      <c r="I158" s="3416"/>
      <c r="J158" s="3416"/>
      <c r="K158" s="3416"/>
      <c r="L158" s="3416"/>
      <c r="M158" s="3416"/>
      <c r="N158" s="3416"/>
      <c r="O158" s="3417"/>
      <c r="P158" s="135" t="str">
        <f>IF(AND(F158="",N82&lt;&gt;""),"**","")</f>
        <v/>
      </c>
    </row>
    <row r="159" spans="3:22">
      <c r="C159" s="123"/>
      <c r="D159" s="123"/>
      <c r="E159" s="123"/>
      <c r="F159" s="3418"/>
      <c r="G159" s="3419"/>
      <c r="H159" s="3419"/>
      <c r="I159" s="3419"/>
      <c r="J159" s="3419"/>
      <c r="K159" s="3419"/>
      <c r="L159" s="3419"/>
      <c r="M159" s="3419"/>
      <c r="N159" s="3419"/>
      <c r="O159" s="3420"/>
      <c r="P159" s="133"/>
    </row>
    <row r="160" spans="3:22">
      <c r="C160" s="123"/>
      <c r="D160" s="123"/>
      <c r="E160" s="123"/>
      <c r="F160" s="3418"/>
      <c r="G160" s="3419"/>
      <c r="H160" s="3419"/>
      <c r="I160" s="3419"/>
      <c r="J160" s="3419"/>
      <c r="K160" s="3419"/>
      <c r="L160" s="3419"/>
      <c r="M160" s="3419"/>
      <c r="N160" s="3419"/>
      <c r="O160" s="3420"/>
      <c r="P160" s="133"/>
    </row>
    <row r="161" spans="2:16">
      <c r="C161" s="123"/>
      <c r="D161" s="123"/>
      <c r="E161" s="123"/>
      <c r="F161" s="3418"/>
      <c r="G161" s="3419"/>
      <c r="H161" s="3419"/>
      <c r="I161" s="3419"/>
      <c r="J161" s="3419"/>
      <c r="K161" s="3419"/>
      <c r="L161" s="3419"/>
      <c r="M161" s="3419"/>
      <c r="N161" s="3419"/>
      <c r="O161" s="3420"/>
      <c r="P161" s="133"/>
    </row>
    <row r="162" spans="2:16">
      <c r="C162" s="123"/>
      <c r="D162" s="123"/>
      <c r="E162" s="123"/>
      <c r="F162" s="3421"/>
      <c r="G162" s="3422"/>
      <c r="H162" s="3422"/>
      <c r="I162" s="3422"/>
      <c r="J162" s="3422"/>
      <c r="K162" s="3422"/>
      <c r="L162" s="3422"/>
      <c r="M162" s="3422"/>
      <c r="N162" s="3422"/>
      <c r="O162" s="3423"/>
      <c r="P162" s="133"/>
    </row>
    <row r="163" spans="2:16">
      <c r="O163" s="133"/>
      <c r="P163" s="133"/>
    </row>
    <row r="164" spans="2:16">
      <c r="C164" s="179" t="s">
        <v>1455</v>
      </c>
      <c r="D164" s="130"/>
      <c r="E164" s="130"/>
      <c r="F164" s="130"/>
      <c r="G164" s="123"/>
      <c r="H164" s="123"/>
      <c r="I164" s="123"/>
      <c r="J164" s="123"/>
      <c r="K164" s="123"/>
      <c r="L164" s="123"/>
      <c r="M164" s="123"/>
      <c r="N164" s="123"/>
      <c r="O164" s="185"/>
      <c r="P164" s="133"/>
    </row>
    <row r="165" spans="2:16">
      <c r="C165" s="188" t="s">
        <v>1456</v>
      </c>
      <c r="D165" s="123"/>
      <c r="E165" s="123"/>
      <c r="F165" s="123"/>
      <c r="G165" s="187"/>
      <c r="H165" s="187"/>
      <c r="I165" s="187"/>
      <c r="J165" s="187"/>
      <c r="K165" s="187"/>
      <c r="L165" s="187"/>
      <c r="M165" s="187"/>
      <c r="N165" s="187"/>
      <c r="O165" s="186"/>
      <c r="P165" s="133"/>
    </row>
    <row r="166" spans="2:16">
      <c r="C166" s="168"/>
      <c r="D166" s="123"/>
      <c r="E166" s="123"/>
      <c r="F166" s="123"/>
      <c r="G166" s="187"/>
      <c r="H166" s="187"/>
      <c r="I166" s="187"/>
      <c r="J166" s="187"/>
      <c r="K166" s="187"/>
      <c r="L166" s="187"/>
      <c r="M166" s="187"/>
      <c r="N166" s="187"/>
      <c r="O166" s="186"/>
      <c r="P166" s="133"/>
    </row>
    <row r="167" spans="2:16">
      <c r="D167" s="123" t="s">
        <v>1457</v>
      </c>
      <c r="E167" s="123"/>
      <c r="F167" s="3415"/>
      <c r="G167" s="3416"/>
      <c r="H167" s="3416"/>
      <c r="I167" s="3416"/>
      <c r="J167" s="3416"/>
      <c r="K167" s="3416"/>
      <c r="L167" s="3416"/>
      <c r="M167" s="3416"/>
      <c r="N167" s="3416"/>
      <c r="O167" s="3417"/>
      <c r="P167" s="135" t="str">
        <f>IF(AND(F167="",N95&lt;&gt;""),"**","")</f>
        <v/>
      </c>
    </row>
    <row r="168" spans="2:16">
      <c r="D168" s="123"/>
      <c r="E168" s="123"/>
      <c r="F168" s="3418"/>
      <c r="G168" s="3419"/>
      <c r="H168" s="3419"/>
      <c r="I168" s="3419"/>
      <c r="J168" s="3419"/>
      <c r="K168" s="3419"/>
      <c r="L168" s="3419"/>
      <c r="M168" s="3419"/>
      <c r="N168" s="3419"/>
      <c r="O168" s="3420"/>
      <c r="P168" s="133"/>
    </row>
    <row r="169" spans="2:16">
      <c r="D169" s="123"/>
      <c r="E169" s="123"/>
      <c r="F169" s="3421"/>
      <c r="G169" s="3422"/>
      <c r="H169" s="3422"/>
      <c r="I169" s="3422"/>
      <c r="J169" s="3422"/>
      <c r="K169" s="3422"/>
      <c r="L169" s="3422"/>
      <c r="M169" s="3422"/>
      <c r="N169" s="3422"/>
      <c r="O169" s="3423"/>
      <c r="P169" s="133"/>
    </row>
    <row r="170" spans="2:16">
      <c r="C170" s="187"/>
      <c r="D170" s="187"/>
      <c r="E170" s="187"/>
      <c r="F170" s="189"/>
      <c r="G170" s="187"/>
      <c r="H170" s="187"/>
      <c r="I170" s="187"/>
      <c r="J170" s="187"/>
      <c r="K170" s="187"/>
      <c r="L170" s="187"/>
      <c r="M170" s="187"/>
      <c r="N170" s="187"/>
      <c r="O170" s="186"/>
      <c r="P170" s="133"/>
    </row>
    <row r="171" spans="2:16">
      <c r="C171" s="179" t="s">
        <v>1458</v>
      </c>
      <c r="D171" s="130"/>
      <c r="E171" s="130"/>
      <c r="F171" s="130"/>
      <c r="G171" s="130"/>
      <c r="H171" s="130"/>
      <c r="I171" s="123"/>
      <c r="J171" s="123"/>
      <c r="K171" s="123"/>
      <c r="L171" s="123"/>
      <c r="M171" s="123"/>
      <c r="N171" s="123"/>
      <c r="O171" s="185"/>
      <c r="P171" s="133"/>
    </row>
    <row r="172" spans="2:16">
      <c r="C172" s="188" t="s">
        <v>2298</v>
      </c>
      <c r="D172" s="123"/>
      <c r="E172" s="123"/>
      <c r="F172" s="123"/>
      <c r="G172" s="123"/>
      <c r="H172" s="123"/>
      <c r="I172" s="123"/>
      <c r="J172" s="123"/>
      <c r="K172" s="123"/>
      <c r="L172" s="123"/>
      <c r="M172" s="123"/>
      <c r="N172" s="123"/>
      <c r="O172" s="185"/>
      <c r="P172" s="133"/>
    </row>
    <row r="173" spans="2:16">
      <c r="C173" s="188"/>
      <c r="D173" s="123"/>
      <c r="E173" s="123"/>
      <c r="F173" s="123"/>
      <c r="G173" s="123"/>
      <c r="H173" s="123"/>
      <c r="I173" s="123"/>
      <c r="J173" s="123"/>
      <c r="K173" s="123"/>
      <c r="L173" s="123"/>
      <c r="M173" s="123"/>
      <c r="N173" s="123"/>
      <c r="O173" s="185"/>
      <c r="P173" s="133"/>
    </row>
    <row r="174" spans="2:16">
      <c r="D174" s="123" t="s">
        <v>1452</v>
      </c>
      <c r="E174" s="123"/>
      <c r="F174" s="3415"/>
      <c r="G174" s="3416"/>
      <c r="H174" s="3416"/>
      <c r="I174" s="3416"/>
      <c r="J174" s="3416"/>
      <c r="K174" s="3416"/>
      <c r="L174" s="3416"/>
      <c r="M174" s="3416"/>
      <c r="N174" s="3416"/>
      <c r="O174" s="3417"/>
      <c r="P174" s="135" t="str">
        <f>IF(AND(F174="",N103&lt;&gt;""),"**","")</f>
        <v/>
      </c>
    </row>
    <row r="175" spans="2:16">
      <c r="B175" s="123"/>
      <c r="C175" s="123"/>
      <c r="D175" s="123"/>
      <c r="E175" s="123"/>
      <c r="F175" s="3418"/>
      <c r="G175" s="3419"/>
      <c r="H175" s="3419"/>
      <c r="I175" s="3419"/>
      <c r="J175" s="3419"/>
      <c r="K175" s="3419"/>
      <c r="L175" s="3419"/>
      <c r="M175" s="3419"/>
      <c r="N175" s="3419"/>
      <c r="O175" s="3420"/>
      <c r="P175" s="133"/>
    </row>
    <row r="176" spans="2:16">
      <c r="B176" s="123"/>
      <c r="C176" s="123"/>
      <c r="D176" s="123"/>
      <c r="E176" s="123"/>
      <c r="F176" s="3421"/>
      <c r="G176" s="3422"/>
      <c r="H176" s="3422"/>
      <c r="I176" s="3422"/>
      <c r="J176" s="3422"/>
      <c r="K176" s="3422"/>
      <c r="L176" s="3422"/>
      <c r="M176" s="3422"/>
      <c r="N176" s="3422"/>
      <c r="O176" s="3423"/>
      <c r="P176" s="133"/>
    </row>
    <row r="177" spans="1:35">
      <c r="B177" s="187"/>
      <c r="C177" s="187"/>
      <c r="D177" s="187"/>
      <c r="E177" s="187"/>
      <c r="F177" s="187"/>
      <c r="G177" s="187"/>
      <c r="H177" s="187"/>
      <c r="I177" s="187"/>
      <c r="J177" s="187"/>
      <c r="K177" s="187"/>
      <c r="L177" s="187"/>
      <c r="M177" s="187"/>
      <c r="N177" s="187"/>
      <c r="O177" s="186"/>
      <c r="P177" s="133"/>
    </row>
    <row r="178" spans="1:35" ht="3.75" customHeight="1" thickBot="1">
      <c r="O178" s="133"/>
      <c r="P178" s="133"/>
    </row>
    <row r="179" spans="1:35" ht="3.75" customHeight="1">
      <c r="A179" s="134"/>
      <c r="B179" s="134"/>
      <c r="C179" s="134"/>
      <c r="D179" s="134"/>
      <c r="E179" s="134"/>
      <c r="F179" s="134"/>
      <c r="G179" s="134"/>
      <c r="H179" s="134"/>
      <c r="I179" s="134"/>
      <c r="J179" s="134"/>
      <c r="K179" s="134"/>
      <c r="L179" s="134"/>
      <c r="M179" s="134"/>
      <c r="N179" s="134"/>
      <c r="O179" s="173"/>
      <c r="P179" s="173"/>
      <c r="Q179" s="3400" t="s">
        <v>1459</v>
      </c>
      <c r="R179" s="3401"/>
      <c r="S179" s="3401"/>
      <c r="T179" s="3401"/>
      <c r="U179" s="3401"/>
      <c r="V179" s="3401"/>
      <c r="W179" s="3401"/>
      <c r="X179" s="3401"/>
      <c r="Y179" s="3401"/>
      <c r="Z179" s="3402"/>
    </row>
    <row r="180" spans="1:35" ht="13.5" customHeight="1">
      <c r="B180" s="130" t="str">
        <f>B$2</f>
        <v>RFA 2025-103 DEVELOPMENT COST PRO FORMA</v>
      </c>
      <c r="O180" s="133"/>
      <c r="P180" s="132" t="str">
        <f>IF(OR(AND(Funding!L$309&gt;0,Data3!H$273="No"),Data3!H$274="Yes"),"(Page 4 of 8)","(Page 4 of 7)")</f>
        <v>(Page 4 of 7)</v>
      </c>
      <c r="Q180" s="3403"/>
      <c r="R180" s="3404"/>
      <c r="S180" s="3404"/>
      <c r="T180" s="3404"/>
      <c r="U180" s="3404"/>
      <c r="V180" s="3404"/>
      <c r="W180" s="3404"/>
      <c r="X180" s="3404"/>
      <c r="Y180" s="3404"/>
      <c r="Z180" s="3405"/>
    </row>
    <row r="181" spans="1:35">
      <c r="O181" s="133"/>
      <c r="P181" s="133"/>
      <c r="Q181" s="3403"/>
      <c r="R181" s="3404"/>
      <c r="S181" s="3404"/>
      <c r="T181" s="3404"/>
      <c r="U181" s="3404"/>
      <c r="V181" s="3404"/>
      <c r="W181" s="3404"/>
      <c r="X181" s="3404"/>
      <c r="Y181" s="3404"/>
      <c r="Z181" s="3405"/>
    </row>
    <row r="182" spans="1:35" ht="13.5" thickBot="1">
      <c r="O182" s="133"/>
      <c r="P182" s="133"/>
      <c r="Q182" s="3406"/>
      <c r="R182" s="3407"/>
      <c r="S182" s="3407"/>
      <c r="T182" s="3407"/>
      <c r="U182" s="3407"/>
      <c r="V182" s="3407"/>
      <c r="W182" s="3407"/>
      <c r="X182" s="3407"/>
      <c r="Y182" s="3407"/>
      <c r="Z182" s="3408"/>
    </row>
    <row r="183" spans="1:35">
      <c r="B183" s="130" t="s">
        <v>1460</v>
      </c>
      <c r="C183" s="123"/>
      <c r="D183" s="123"/>
      <c r="E183" s="123"/>
      <c r="F183" s="123"/>
      <c r="G183" s="123"/>
      <c r="H183" s="123"/>
      <c r="I183" s="123"/>
      <c r="J183" s="123"/>
      <c r="K183" s="949"/>
      <c r="L183" s="171"/>
      <c r="M183" s="171"/>
      <c r="O183" s="133"/>
      <c r="P183" s="133"/>
    </row>
    <row r="184" spans="1:35" ht="15.75" customHeight="1">
      <c r="B184" s="130"/>
      <c r="C184" s="123"/>
      <c r="D184" s="123"/>
      <c r="E184" s="123"/>
      <c r="F184" s="123"/>
      <c r="G184" s="123"/>
      <c r="H184" s="949" t="s">
        <v>1461</v>
      </c>
      <c r="I184" s="949"/>
      <c r="J184" s="123"/>
      <c r="K184" s="3386" t="s">
        <v>1462</v>
      </c>
      <c r="L184" s="3386"/>
      <c r="M184" s="3386"/>
      <c r="N184" s="3386"/>
      <c r="O184" s="133"/>
      <c r="P184" s="183"/>
      <c r="Q184" s="127"/>
      <c r="W184" s="127"/>
      <c r="X184" s="127"/>
      <c r="Y184" s="127"/>
      <c r="Z184" s="127"/>
    </row>
    <row r="185" spans="1:35" ht="18" customHeight="1">
      <c r="B185" s="123"/>
      <c r="C185" s="123"/>
      <c r="D185" s="123"/>
      <c r="E185" s="123"/>
      <c r="F185" s="123"/>
      <c r="G185" s="123"/>
      <c r="H185" s="123"/>
      <c r="I185" s="123"/>
      <c r="J185" s="123"/>
      <c r="K185" s="123"/>
      <c r="L185" s="123"/>
      <c r="M185" s="123"/>
      <c r="O185" s="127"/>
      <c r="P185" s="127"/>
      <c r="Q185" s="127"/>
    </row>
    <row r="186" spans="1:35" ht="12.75" customHeight="1">
      <c r="B186" s="147" t="s">
        <v>1463</v>
      </c>
      <c r="C186" s="130" t="s">
        <v>1464</v>
      </c>
      <c r="D186" s="123"/>
      <c r="E186" s="123"/>
      <c r="F186" s="123"/>
      <c r="G186" s="147" t="s">
        <v>1398</v>
      </c>
      <c r="H186" s="993" t="str">
        <f>IF(N125="","",N125)</f>
        <v/>
      </c>
      <c r="I186" s="123"/>
      <c r="J186" s="145"/>
      <c r="O186" s="127"/>
      <c r="P186" s="127"/>
      <c r="Q186" s="127"/>
      <c r="AA186" s="124"/>
      <c r="AB186" s="124"/>
    </row>
    <row r="187" spans="1:35">
      <c r="B187" s="123"/>
      <c r="C187" s="123"/>
      <c r="D187" s="123"/>
      <c r="E187" s="123"/>
      <c r="F187" s="123"/>
      <c r="G187" s="123"/>
      <c r="H187" s="177"/>
      <c r="I187" s="123"/>
      <c r="J187" s="145"/>
      <c r="K187" s="145"/>
      <c r="L187" s="145"/>
      <c r="M187" s="145"/>
      <c r="O187" s="127"/>
      <c r="P187" s="127"/>
      <c r="Q187" s="127"/>
      <c r="AD187" s="127"/>
      <c r="AE187" s="127"/>
      <c r="AF187" s="127"/>
      <c r="AG187" s="127"/>
      <c r="AH187" s="127"/>
      <c r="AI187" s="127"/>
    </row>
    <row r="188" spans="1:35">
      <c r="B188" s="147" t="s">
        <v>1424</v>
      </c>
      <c r="C188" s="130" t="s">
        <v>1465</v>
      </c>
      <c r="D188" s="123"/>
      <c r="E188" s="123"/>
      <c r="F188" s="123"/>
      <c r="G188" s="123"/>
      <c r="H188" s="177"/>
      <c r="I188" s="123"/>
      <c r="J188" s="145"/>
      <c r="K188" s="145"/>
      <c r="L188" s="145"/>
      <c r="M188" s="145"/>
      <c r="O188" s="127"/>
      <c r="P188" s="127"/>
      <c r="Q188" s="996" t="s">
        <v>1466</v>
      </c>
      <c r="AA188" s="123"/>
      <c r="AB188" s="123"/>
      <c r="AD188" s="127"/>
      <c r="AE188" s="127"/>
      <c r="AF188" s="127"/>
      <c r="AG188" s="127"/>
      <c r="AH188" s="127"/>
      <c r="AI188" s="127"/>
    </row>
    <row r="189" spans="1:35">
      <c r="B189" s="123"/>
      <c r="C189" s="123"/>
      <c r="D189" s="123"/>
      <c r="E189" s="123"/>
      <c r="F189" s="123"/>
      <c r="G189" s="121"/>
      <c r="H189" s="177"/>
      <c r="I189" s="123"/>
      <c r="J189" s="145"/>
      <c r="K189" s="145"/>
      <c r="L189" s="145"/>
      <c r="M189" s="145"/>
      <c r="O189" s="127"/>
      <c r="P189" s="127"/>
      <c r="Q189" s="127"/>
      <c r="R189" s="498"/>
      <c r="S189" s="498"/>
      <c r="T189" s="498"/>
      <c r="U189" s="498"/>
      <c r="V189" s="498"/>
      <c r="W189" s="498"/>
      <c r="AA189" s="123"/>
      <c r="AB189" s="123"/>
      <c r="AD189" s="127"/>
      <c r="AE189" s="127"/>
      <c r="AF189" s="127"/>
      <c r="AG189" s="127"/>
      <c r="AH189" s="127"/>
      <c r="AI189" s="127"/>
    </row>
    <row r="190" spans="1:35" ht="12.75" customHeight="1">
      <c r="B190" s="156">
        <f>MAX(B$189:B189)+1</f>
        <v>1</v>
      </c>
      <c r="C190" s="123" t="s">
        <v>1467</v>
      </c>
      <c r="D190" s="123"/>
      <c r="E190" s="123"/>
      <c r="F190" s="123"/>
      <c r="G190" s="121" t="s">
        <v>1398</v>
      </c>
      <c r="H190" s="155"/>
      <c r="I190" s="123"/>
      <c r="J190" s="145"/>
      <c r="K190" s="3338" t="s">
        <v>873</v>
      </c>
      <c r="L190" s="3338"/>
      <c r="M190" s="3338"/>
      <c r="N190" s="3338"/>
      <c r="O190" s="127"/>
      <c r="P190" s="950" t="str">
        <f>IF(OR(AND(Funding!L309&gt;0,N(Non_Competitive_HC_Request_Amount)&gt;0,ConstrAnalysis__1st_Type&lt;&gt;"FHFC - MMRB",ConstrAnalysis__1st_Type&lt;&gt;"Local HFA Bonds"),AND(Funding!L382&gt;0,ConstrAnalysis__1st_Type="FHFC - MMRB",ConstrAnalysis__1st_Mtg&lt;&gt;MMRB_Request_Amount),AND(N(ConstrAnalysis__1st_Mtg)&gt;0,ConstrAnalysis__1st_Type="&lt;select from menu&gt;")),"**","")</f>
        <v/>
      </c>
      <c r="Q190" s="152">
        <f>IF(N(K$38)=0,0,N(H190)/K$38)</f>
        <v>0</v>
      </c>
      <c r="R190" s="3447" t="str">
        <f>IF(AND(Funding!L309&gt;0,N(Non_Competitive_HC_Request_Amount)&gt;0,ConstrAnalysis__1st_Type&lt;&gt;"FHFC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applicable.",IF(AND(Funding!L382&gt;0,ConstrAnalysis__1st_Type="FHFC - MMRB",ConstrAnalysis__1st_Mtg&lt;&gt;MMRB_Request_Amount),"The First Mortgage Finacing amount entered does not match the Corporation-Issued MMRB Loan Request Amount on the Funding Tab.",IF(AND(Funding!L382&gt;0,ConstrAnalysis__1st_Type&lt;&gt;"FHFC - MMRB",N(MMRB_Request_Amount)&gt;0),"An MMRB Loan Request Amount has been provided on the Funding Tab but the Lender/Type of Funds does not identify as such for the First Mortgage Financing in the Construction Funding Sources.", "")))</f>
        <v/>
      </c>
      <c r="S190" s="3448"/>
      <c r="T190" s="3448"/>
      <c r="U190" s="3448"/>
      <c r="V190" s="3448"/>
      <c r="W190" s="3448"/>
      <c r="X190" s="3448"/>
      <c r="AA190" s="123"/>
      <c r="AB190" s="123"/>
      <c r="AD190" s="127"/>
      <c r="AE190" s="127"/>
      <c r="AF190" s="127"/>
      <c r="AG190" s="127"/>
      <c r="AH190" s="127"/>
      <c r="AI190" s="127"/>
    </row>
    <row r="191" spans="1:35" ht="12.75" customHeight="1">
      <c r="B191" s="182"/>
      <c r="C191" s="123"/>
      <c r="D191" s="123"/>
      <c r="E191" s="123"/>
      <c r="F191" s="123"/>
      <c r="G191" s="121"/>
      <c r="H191" s="177"/>
      <c r="I191" s="123"/>
      <c r="J191" s="145"/>
      <c r="K191" s="145"/>
      <c r="L191" s="145"/>
      <c r="M191" s="145"/>
      <c r="O191" s="127"/>
      <c r="P191" s="127"/>
      <c r="Q191" s="127"/>
      <c r="R191" s="3448"/>
      <c r="S191" s="3448"/>
      <c r="T191" s="3448"/>
      <c r="U191" s="3448"/>
      <c r="V191" s="3448"/>
      <c r="W191" s="3448"/>
      <c r="X191" s="3448"/>
      <c r="AA191" s="181"/>
      <c r="AB191" s="181"/>
      <c r="AD191" s="127"/>
      <c r="AE191" s="127"/>
      <c r="AF191" s="127"/>
      <c r="AG191" s="127"/>
      <c r="AH191" s="127"/>
      <c r="AI191" s="127"/>
    </row>
    <row r="192" spans="1:35" ht="12.75" customHeight="1">
      <c r="B192" s="156">
        <f>MAX(B$189:B191)+1</f>
        <v>2</v>
      </c>
      <c r="C192" s="123" t="s">
        <v>1468</v>
      </c>
      <c r="D192" s="123"/>
      <c r="E192" s="123"/>
      <c r="F192" s="123"/>
      <c r="G192" s="121" t="s">
        <v>1398</v>
      </c>
      <c r="H192" s="155"/>
      <c r="I192" s="123"/>
      <c r="J192" s="145"/>
      <c r="K192" s="3338" t="s">
        <v>697</v>
      </c>
      <c r="L192" s="3338"/>
      <c r="M192" s="3338"/>
      <c r="N192" s="3338"/>
      <c r="O192" s="127"/>
      <c r="P192" s="127"/>
      <c r="Q192" s="152">
        <f>IF(N(K$38)=0,0,N(H192)/K$38)</f>
        <v>0</v>
      </c>
      <c r="R192" s="3448"/>
      <c r="S192" s="3448"/>
      <c r="T192" s="3448"/>
      <c r="U192" s="3448"/>
      <c r="V192" s="3448"/>
      <c r="W192" s="3448"/>
      <c r="X192" s="3448"/>
      <c r="Y192" s="123"/>
      <c r="Z192" s="123"/>
      <c r="AA192" s="180"/>
      <c r="AB192" s="180"/>
      <c r="AD192" s="127"/>
      <c r="AE192" s="127"/>
      <c r="AF192" s="127"/>
      <c r="AG192" s="127"/>
      <c r="AH192" s="127"/>
      <c r="AI192" s="127"/>
    </row>
    <row r="193" spans="2:35" ht="12.75" customHeight="1">
      <c r="B193" s="123"/>
      <c r="C193" s="123"/>
      <c r="D193" s="123"/>
      <c r="E193" s="123"/>
      <c r="F193" s="123"/>
      <c r="G193" s="121"/>
      <c r="H193" s="177"/>
      <c r="I193" s="123"/>
      <c r="J193" s="145"/>
      <c r="K193" s="145"/>
      <c r="L193" s="145"/>
      <c r="M193" s="145"/>
      <c r="O193" s="127"/>
      <c r="P193" s="127"/>
      <c r="Q193" s="127"/>
      <c r="R193" s="123"/>
      <c r="S193" s="123"/>
      <c r="T193" s="123"/>
      <c r="U193" s="123"/>
      <c r="V193" s="123"/>
      <c r="W193" s="123"/>
      <c r="X193" s="123"/>
      <c r="Y193" s="123"/>
      <c r="Z193" s="123"/>
      <c r="AA193" s="180"/>
      <c r="AB193" s="180"/>
      <c r="AD193" s="127"/>
      <c r="AE193" s="127"/>
      <c r="AF193" s="127"/>
      <c r="AG193" s="127"/>
      <c r="AH193" s="127"/>
      <c r="AI193" s="127"/>
    </row>
    <row r="194" spans="2:35">
      <c r="B194" s="156">
        <f>MAX(B$189:B193)+1</f>
        <v>3</v>
      </c>
      <c r="C194" s="123" t="s">
        <v>1469</v>
      </c>
      <c r="D194" s="123"/>
      <c r="E194" s="123"/>
      <c r="F194" s="123"/>
      <c r="G194" s="121" t="s">
        <v>1398</v>
      </c>
      <c r="H194" s="155"/>
      <c r="I194" s="123"/>
      <c r="J194" s="145"/>
      <c r="K194" s="3338" t="s">
        <v>697</v>
      </c>
      <c r="L194" s="3338"/>
      <c r="M194" s="3338"/>
      <c r="N194" s="3338"/>
      <c r="O194" s="127"/>
      <c r="P194" s="127"/>
      <c r="Q194" s="152">
        <f>IF(N(K$38)=0,0,N(H194)/K$38)</f>
        <v>0</v>
      </c>
      <c r="R194" s="179"/>
      <c r="S194" s="123"/>
      <c r="T194" s="123"/>
      <c r="U194" s="178"/>
      <c r="V194" s="178"/>
      <c r="W194" s="178"/>
      <c r="X194" s="123"/>
      <c r="Y194" s="123"/>
      <c r="Z194" s="123"/>
      <c r="AA194" s="123"/>
      <c r="AB194" s="123"/>
      <c r="AD194" s="127"/>
      <c r="AE194" s="127"/>
      <c r="AF194" s="127"/>
      <c r="AG194" s="127"/>
      <c r="AH194" s="127"/>
      <c r="AI194" s="127"/>
    </row>
    <row r="195" spans="2:35">
      <c r="B195" s="123"/>
      <c r="C195" s="123"/>
      <c r="D195" s="123"/>
      <c r="E195" s="123"/>
      <c r="F195" s="123"/>
      <c r="G195" s="121"/>
      <c r="H195" s="177"/>
      <c r="I195" s="123"/>
      <c r="J195" s="145"/>
      <c r="K195" s="145"/>
      <c r="L195" s="145"/>
      <c r="M195" s="145"/>
      <c r="O195" s="127"/>
      <c r="P195" s="127"/>
      <c r="Q195" s="127"/>
      <c r="R195" s="520"/>
      <c r="S195" s="520"/>
      <c r="T195" s="520"/>
      <c r="U195" s="164"/>
      <c r="V195" s="178"/>
      <c r="W195" s="178"/>
      <c r="X195" s="123"/>
      <c r="Y195" s="123"/>
      <c r="Z195" s="123"/>
      <c r="AA195" s="123"/>
      <c r="AB195" s="123"/>
      <c r="AC195" s="127"/>
      <c r="AD195" s="127"/>
      <c r="AE195" s="127"/>
      <c r="AF195" s="127"/>
      <c r="AG195" s="127"/>
      <c r="AH195" s="127"/>
      <c r="AI195" s="127"/>
    </row>
    <row r="196" spans="2:35" ht="12.75" customHeight="1">
      <c r="B196" s="156">
        <f>MAX(B$189:B195)+1</f>
        <v>4</v>
      </c>
      <c r="C196" s="123" t="s">
        <v>1470</v>
      </c>
      <c r="D196" s="123"/>
      <c r="E196" s="123"/>
      <c r="F196" s="123"/>
      <c r="G196" s="121" t="s">
        <v>1398</v>
      </c>
      <c r="H196" s="155"/>
      <c r="I196" s="123"/>
      <c r="J196" s="145"/>
      <c r="K196" s="3338" t="s">
        <v>697</v>
      </c>
      <c r="L196" s="3338"/>
      <c r="M196" s="3338"/>
      <c r="N196" s="3338"/>
      <c r="O196" s="127"/>
      <c r="P196" s="127"/>
      <c r="Q196" s="152">
        <f>IF(N(K$38)=0,0,N(H196)/K$38)</f>
        <v>0</v>
      </c>
      <c r="R196" s="164"/>
      <c r="S196" s="164"/>
      <c r="T196" s="164"/>
      <c r="U196" s="164"/>
      <c r="V196" s="164"/>
      <c r="W196" s="164"/>
      <c r="X196" s="164"/>
      <c r="Y196" s="164"/>
      <c r="Z196" s="164"/>
      <c r="AA196" s="164"/>
      <c r="AB196" s="164"/>
      <c r="AC196" s="127"/>
      <c r="AD196" s="127"/>
      <c r="AE196" s="127"/>
      <c r="AF196" s="127"/>
      <c r="AG196" s="127"/>
      <c r="AH196" s="127"/>
      <c r="AI196" s="127"/>
    </row>
    <row r="197" spans="2:35" ht="12.75" customHeight="1">
      <c r="B197" s="123"/>
      <c r="C197" s="123"/>
      <c r="D197" s="123"/>
      <c r="E197" s="123"/>
      <c r="F197" s="123"/>
      <c r="G197" s="121"/>
      <c r="H197" s="177"/>
      <c r="I197" s="123"/>
      <c r="J197" s="145"/>
      <c r="K197" s="145"/>
      <c r="L197" s="145"/>
      <c r="M197" s="145"/>
      <c r="O197" s="127"/>
      <c r="P197" s="127"/>
      <c r="Q197" s="127"/>
      <c r="R197" s="123"/>
      <c r="S197" s="123"/>
      <c r="T197" s="123"/>
      <c r="U197" s="123"/>
      <c r="V197" s="123"/>
      <c r="W197" s="123"/>
      <c r="X197" s="123"/>
      <c r="Y197" s="123"/>
      <c r="Z197" s="123"/>
      <c r="AA197" s="123"/>
      <c r="AB197" s="123"/>
      <c r="AC197" s="127"/>
      <c r="AD197" s="127"/>
      <c r="AE197" s="127"/>
      <c r="AF197" s="127"/>
      <c r="AG197" s="127"/>
      <c r="AH197" s="127"/>
      <c r="AI197" s="127"/>
    </row>
    <row r="198" spans="2:35">
      <c r="B198" s="156">
        <f>MAX(B$189:B197)+1</f>
        <v>5</v>
      </c>
      <c r="C198" s="123" t="s">
        <v>1471</v>
      </c>
      <c r="D198" s="123"/>
      <c r="E198" s="123"/>
      <c r="F198" s="123"/>
      <c r="G198" s="121" t="s">
        <v>1398</v>
      </c>
      <c r="H198" s="155"/>
      <c r="I198" s="123"/>
      <c r="J198" s="145"/>
      <c r="K198" s="3338" t="s">
        <v>697</v>
      </c>
      <c r="L198" s="3338"/>
      <c r="M198" s="3338"/>
      <c r="N198" s="3338"/>
      <c r="O198" s="127"/>
      <c r="P198" s="127"/>
      <c r="Q198" s="152">
        <f>IF(N(K$38)=0,0,N(H198)/K$38)</f>
        <v>0</v>
      </c>
      <c r="R198" s="178"/>
      <c r="S198" s="178"/>
      <c r="T198" s="178"/>
      <c r="U198" s="178"/>
      <c r="V198" s="178"/>
      <c r="W198" s="178"/>
      <c r="X198" s="178"/>
      <c r="Y198" s="178"/>
      <c r="Z198" s="178"/>
      <c r="AA198" s="178"/>
      <c r="AB198" s="178"/>
      <c r="AC198" s="127"/>
      <c r="AD198" s="127"/>
      <c r="AE198" s="127"/>
      <c r="AF198" s="127"/>
      <c r="AG198" s="127"/>
      <c r="AH198" s="127"/>
      <c r="AI198" s="127"/>
    </row>
    <row r="199" spans="2:35">
      <c r="B199" s="123"/>
      <c r="C199" s="123"/>
      <c r="D199" s="123"/>
      <c r="E199" s="123"/>
      <c r="F199" s="123"/>
      <c r="G199" s="121"/>
      <c r="H199" s="177"/>
      <c r="I199" s="123"/>
      <c r="J199" s="145"/>
      <c r="K199" s="145"/>
      <c r="L199" s="145"/>
      <c r="M199" s="145"/>
      <c r="O199" s="127"/>
      <c r="P199" s="127"/>
      <c r="Q199" s="127"/>
      <c r="X199" s="127"/>
      <c r="Y199" s="127"/>
      <c r="Z199" s="127"/>
      <c r="AA199" s="127"/>
      <c r="AB199" s="127"/>
      <c r="AC199" s="127"/>
      <c r="AD199" s="127"/>
      <c r="AE199" s="127"/>
      <c r="AF199" s="127"/>
      <c r="AG199" s="127"/>
      <c r="AH199" s="127"/>
      <c r="AI199" s="127"/>
    </row>
    <row r="200" spans="2:35" ht="12.75" customHeight="1">
      <c r="B200" s="156">
        <f>MAX(B$189:B199)+1</f>
        <v>6</v>
      </c>
      <c r="C200" s="116" t="s">
        <v>1472</v>
      </c>
      <c r="G200" s="121" t="s">
        <v>1398</v>
      </c>
      <c r="H200" s="155"/>
      <c r="I200" s="123"/>
      <c r="J200" s="122"/>
      <c r="K200" s="3338" t="s">
        <v>697</v>
      </c>
      <c r="L200" s="3338"/>
      <c r="M200" s="3338"/>
      <c r="N200" s="3338"/>
      <c r="O200" s="127"/>
      <c r="P200" s="127"/>
      <c r="Q200" s="152">
        <f>IF(N(K$38)=0,0,N(H200)/K$38)</f>
        <v>0</v>
      </c>
      <c r="X200" s="127"/>
      <c r="Y200" s="127"/>
      <c r="Z200" s="127"/>
      <c r="AA200" s="127"/>
      <c r="AB200" s="127"/>
      <c r="AC200" s="127"/>
      <c r="AD200" s="127"/>
      <c r="AE200" s="127"/>
      <c r="AF200" s="127"/>
      <c r="AG200" s="127"/>
      <c r="AH200" s="127"/>
      <c r="AI200" s="127"/>
    </row>
    <row r="201" spans="2:35" ht="12.75" customHeight="1">
      <c r="B201" s="123"/>
      <c r="C201" s="123"/>
      <c r="D201" s="123"/>
      <c r="E201" s="123"/>
      <c r="F201" s="123"/>
      <c r="G201" s="121"/>
      <c r="H201" s="177"/>
      <c r="I201" s="123"/>
      <c r="J201" s="145"/>
      <c r="K201" s="145"/>
      <c r="L201" s="145"/>
      <c r="M201" s="145"/>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row>
    <row r="202" spans="2:35" ht="12.75" customHeight="1">
      <c r="B202" s="156" t="str">
        <f>IF(DS_FHFC_Source_1_Name="","",MAX(B$189:B201)+1)</f>
        <v/>
      </c>
      <c r="C202" s="123" t="str">
        <f>IF(DS_FHFC_Source_1_Name="","",DS_FHFC_Source_1_Name)&amp;" Financing"</f>
        <v xml:space="preserve"> Financing</v>
      </c>
      <c r="D202" s="123"/>
      <c r="E202" s="123"/>
      <c r="F202" s="123"/>
      <c r="G202" s="121" t="s">
        <v>1398</v>
      </c>
      <c r="H202" s="1422" t="str">
        <f>IF(DS_FHFC_Source_1_Name="","",MIN(N(DS_FHFC_Source_1_Amt),N(DS_FHFC_Source_1_Max_Amt)))</f>
        <v/>
      </c>
      <c r="I202" s="123"/>
      <c r="J202" s="145"/>
      <c r="K202" s="3337" t="str">
        <f>DS_FHFC_Source_1_Label</f>
        <v>Enter request on Funding Tab</v>
      </c>
      <c r="L202" s="3337"/>
      <c r="M202" s="3337"/>
      <c r="N202" s="3337"/>
      <c r="O202" s="127"/>
      <c r="P202" s="127"/>
      <c r="Q202" s="152">
        <f>IF(N(K$38)=0,0,N(H202)/K$38)</f>
        <v>0</v>
      </c>
      <c r="R202" s="127" t="str">
        <f>IF(OR(AND(ConstrAnalysis__7th_Type="FHFC - Workforce",ConstrAnalysis__7th_Mtg&gt;Max_Workforce),AND(ConstrAnalysis__7th_Type="FHFC - SAIL",ConstrAnalysis__7th_Mtg&gt;Max_SAIL+Max_ELI),AND(ConstrAnalysis__7th_Type="FHFC - HOME",ConstrAnalysis__7th_Mtg&gt;Funding!$I$129),AND(ConstrAnalysis__7th_Type="FHFC - Grant",ConstrAnalysis__7th_Mtg&gt;Funding!$H$207),AND(ConstrAnalysis__7th_Type="FHFC - TBD",ConstrAnalysis__7th_Mtg&gt;Funding!$I$273)),"The Request Amount is greater than the maximum allowed.","")</f>
        <v/>
      </c>
      <c r="S202" s="127"/>
      <c r="T202" s="127"/>
      <c r="U202" s="127"/>
      <c r="V202" s="127"/>
      <c r="W202" s="127"/>
      <c r="X202" s="127"/>
      <c r="Y202" s="127"/>
      <c r="Z202" s="127"/>
      <c r="AA202" s="127"/>
      <c r="AB202" s="127"/>
      <c r="AC202" s="127"/>
      <c r="AD202" s="127"/>
      <c r="AE202" s="127"/>
      <c r="AF202" s="127"/>
      <c r="AG202" s="127"/>
      <c r="AH202" s="127"/>
      <c r="AI202" s="127"/>
    </row>
    <row r="203" spans="2:35" ht="12.75" customHeight="1">
      <c r="B203" s="123"/>
      <c r="C203" s="123"/>
      <c r="D203" s="123"/>
      <c r="E203" s="123"/>
      <c r="F203" s="123"/>
      <c r="G203" s="121"/>
      <c r="H203" s="177"/>
      <c r="I203" s="123"/>
      <c r="J203" s="145"/>
      <c r="K203" s="145"/>
      <c r="L203" s="145"/>
      <c r="M203" s="145"/>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row>
    <row r="204" spans="2:35" ht="12.75" customHeight="1">
      <c r="B204" s="156" t="str">
        <f>IF(DS_FHFC_Source_2_Name="","",MAX(B$189:B203)+1)</f>
        <v/>
      </c>
      <c r="C204" s="123" t="str">
        <f>IF(DS_FHFC_Source_2_Name="","",DS_FHFC_Source_2_Name)&amp;" Financing"</f>
        <v xml:space="preserve"> Financing</v>
      </c>
      <c r="D204" s="123"/>
      <c r="E204" s="123"/>
      <c r="F204" s="123"/>
      <c r="G204" s="121" t="s">
        <v>1398</v>
      </c>
      <c r="H204" s="1422" t="str">
        <f>IF(DS_FHFC_Source_2_Name="","",MIN(N(DS_FHFC_Source_2_Amt),N(DS_FHFC_Source_2_Max_Amt)))</f>
        <v/>
      </c>
      <c r="I204" s="123"/>
      <c r="J204" s="145"/>
      <c r="K204" s="3337" t="str">
        <f>DS_FHFC_Source_2_Label</f>
        <v>Enter request on Funding Tab</v>
      </c>
      <c r="L204" s="3337"/>
      <c r="M204" s="3337"/>
      <c r="N204" s="3337"/>
      <c r="O204" s="127"/>
      <c r="P204" s="127"/>
      <c r="Q204" s="152">
        <f>IF(N(K$38)=0,0,N(H204)/K$38)</f>
        <v>0</v>
      </c>
      <c r="R204" s="1292" t="str">
        <f>IF(OR(AND(ConstrAnalysis__8th_Type="FHFC - Workforce",ConstrAnalysis__8th_Mtg&gt;Max_Workforce),AND(ConstrAnalysis__8th_Type="FHFC - SAIL",ConstrAnalysis__8th_Mtg&gt;Max_SAIL+Max_ELI),AND(ConstrAnalysis__8th_Type="FHFC - HOME",ConstrAnalysis__8th_Mtg&gt;Funding!$I$129),AND(ConstrAnalysis__8th_Type="FHFC - Grant",ConstrAnalysis__8th_Mtg&gt;Funding!$H$207),AND(ConstrAnalysis__8th_Type="FHFC - TBD",ConstrAnalysis__8th_Mtg&gt;Funding!$I$273)),"The Request Amount is greater than the maximum allowed.","")</f>
        <v/>
      </c>
      <c r="S204" s="127"/>
      <c r="T204" s="127"/>
      <c r="U204" s="127"/>
      <c r="V204" s="127"/>
      <c r="W204" s="127"/>
      <c r="X204" s="127"/>
      <c r="Y204" s="127"/>
      <c r="Z204" s="127"/>
      <c r="AA204" s="127"/>
      <c r="AB204" s="127"/>
      <c r="AC204" s="127"/>
      <c r="AD204" s="127"/>
      <c r="AE204" s="127"/>
      <c r="AF204" s="127"/>
      <c r="AG204" s="127"/>
      <c r="AH204" s="127"/>
      <c r="AI204" s="127"/>
    </row>
    <row r="205" spans="2:35" ht="12.75" customHeight="1">
      <c r="B205" s="123"/>
      <c r="C205" s="123"/>
      <c r="D205" s="123"/>
      <c r="E205" s="123"/>
      <c r="F205" s="123"/>
      <c r="G205" s="121"/>
      <c r="H205" s="177"/>
      <c r="I205" s="123"/>
      <c r="J205" s="145"/>
      <c r="K205" s="145"/>
      <c r="L205" s="145"/>
      <c r="M205" s="145"/>
      <c r="O205" s="127"/>
      <c r="P205" s="127"/>
      <c r="Q205" s="127"/>
      <c r="S205" s="127"/>
      <c r="T205" s="127"/>
      <c r="U205" s="127"/>
      <c r="V205" s="127"/>
      <c r="W205" s="127"/>
      <c r="X205" s="127"/>
      <c r="Y205" s="127"/>
      <c r="Z205" s="127"/>
      <c r="AA205" s="127"/>
      <c r="AB205" s="127"/>
      <c r="AC205" s="127"/>
      <c r="AD205" s="127"/>
      <c r="AE205" s="127"/>
      <c r="AF205" s="127"/>
      <c r="AG205" s="127"/>
      <c r="AH205" s="127"/>
      <c r="AI205" s="127"/>
    </row>
    <row r="206" spans="2:35" ht="12.75" customHeight="1">
      <c r="B206" s="156" t="str">
        <f>IF(DS_FHFC_Source_3_Name="","",MAX(B$189:B205)+1)</f>
        <v/>
      </c>
      <c r="C206" s="123" t="str">
        <f>IF(DS_FHFC_Source_3_Name="","",DS_FHFC_Source_3_Name)&amp;" Financing"</f>
        <v xml:space="preserve"> Financing</v>
      </c>
      <c r="D206" s="123"/>
      <c r="E206" s="123"/>
      <c r="F206" s="123"/>
      <c r="G206" s="121" t="s">
        <v>1398</v>
      </c>
      <c r="H206" s="1422" t="str">
        <f>IF(DS_FHFC_Source_3_Name="","",MIN(N(DS_FHFC_Source_3_Amt),N(DS_FHFC_Source_3_Max_Amt)))</f>
        <v/>
      </c>
      <c r="I206" s="123"/>
      <c r="J206" s="145"/>
      <c r="K206" s="3337" t="str">
        <f>DS_FHFC_Source_3_Label</f>
        <v>Enter request on Funding Tab</v>
      </c>
      <c r="L206" s="3337"/>
      <c r="M206" s="3337"/>
      <c r="N206" s="3337"/>
      <c r="O206" s="127"/>
      <c r="P206" s="127"/>
      <c r="Q206" s="152">
        <f>IF(N(K$38)=0,0,N(H206)/K$38)</f>
        <v>0</v>
      </c>
      <c r="R206" s="127" t="str">
        <f>IF(OR(AND(ConstrAnalysis__9th_Type="FHFC - Workforce",ConstrAnalysis__9th_Mtg&gt;Max_Workforce),AND(ConstrAnalysis__9th_Type="FHFC - SAIL",ConstrAnalysis__9th_Mtg&gt;Max_SAIL+Max_ELI),AND(ConstrAnalysis__9th_Type="FHFC - HOME",ConstrAnalysis__9th_Mtg&gt;Funding!$I$129),AND(ConstrAnalysis__9th_Type="FHFC - Grant",ConstrAnalysis__9th_Mtg&gt;Funding!$H$207),AND(ConstrAnalysis__9th_Type="FHFC - TBD",ConstrAnalysis__9th_Mtg&gt;Funding!$I$273)),"The Request Amount is greater than the maximum allowed.","")</f>
        <v/>
      </c>
      <c r="S206" s="127"/>
      <c r="T206" s="127"/>
      <c r="U206" s="127"/>
      <c r="V206" s="127"/>
      <c r="W206" s="127"/>
      <c r="X206" s="127"/>
      <c r="Y206" s="127"/>
      <c r="Z206" s="127"/>
      <c r="AA206" s="127"/>
      <c r="AB206" s="127"/>
      <c r="AC206" s="127"/>
      <c r="AD206" s="127"/>
      <c r="AE206" s="127"/>
      <c r="AF206" s="127"/>
      <c r="AG206" s="127"/>
      <c r="AH206" s="127"/>
      <c r="AI206" s="127"/>
    </row>
    <row r="207" spans="2:35" ht="12.75" customHeight="1">
      <c r="B207" s="123"/>
      <c r="C207" s="123"/>
      <c r="D207" s="123"/>
      <c r="E207" s="123"/>
      <c r="F207" s="123"/>
      <c r="G207" s="121"/>
      <c r="H207" s="177"/>
      <c r="I207" s="123"/>
      <c r="J207" s="145"/>
      <c r="K207" s="145"/>
      <c r="L207" s="145"/>
      <c r="M207" s="145"/>
      <c r="O207" s="127"/>
      <c r="P207" s="127"/>
      <c r="Q207" s="127"/>
      <c r="S207" s="127"/>
      <c r="T207" s="127"/>
      <c r="U207" s="127"/>
      <c r="V207" s="127"/>
      <c r="W207" s="127"/>
      <c r="X207" s="127"/>
      <c r="Y207" s="127"/>
      <c r="Z207" s="127"/>
      <c r="AA207" s="127"/>
      <c r="AB207" s="127"/>
      <c r="AC207" s="127"/>
      <c r="AD207" s="127"/>
      <c r="AE207" s="127"/>
      <c r="AF207" s="127"/>
      <c r="AG207" s="127"/>
      <c r="AH207" s="127"/>
      <c r="AI207" s="127"/>
    </row>
    <row r="208" spans="2:35" ht="12.75" customHeight="1">
      <c r="B208" s="156" t="str">
        <f>IF(DS_FHFC_Source_4_Name="","",MAX(B$189:B207)+1)</f>
        <v/>
      </c>
      <c r="C208" s="123" t="str">
        <f>IF(DS_FHFC_Source_4_Name="","",DS_FHFC_Source_4_Name)&amp;" Financing"</f>
        <v xml:space="preserve"> Financing</v>
      </c>
      <c r="D208" s="123"/>
      <c r="E208" s="123"/>
      <c r="F208" s="123"/>
      <c r="G208" s="121" t="s">
        <v>1398</v>
      </c>
      <c r="H208" s="1422" t="str">
        <f>IF(DS_FHFC_Source_4_Name="","",MIN(N(DS_FHFC_Source_4_Amt),N(DS_FHFC_Source_4_Max_Amt)))</f>
        <v/>
      </c>
      <c r="I208" s="123"/>
      <c r="J208" s="145"/>
      <c r="K208" s="3337" t="str">
        <f>DS_FHFC_Source_4_Label</f>
        <v>Enter request on Funding Tab</v>
      </c>
      <c r="L208" s="3337"/>
      <c r="M208" s="3337"/>
      <c r="N208" s="3337"/>
      <c r="O208" s="127"/>
      <c r="P208" s="127"/>
      <c r="Q208" s="152">
        <f>IF(N(K$38)=0,0,N(H208)/K$38)</f>
        <v>0</v>
      </c>
      <c r="R208" s="127" t="str">
        <f>IF(OR(AND(ConstrAnalysis_10th_Type="FHFC - Workforce",ConstrAnalysis_10th_Mtg&gt;Max_Workforce),AND(ConstrAnalysis_10th_Type="FHFC - SAIL",ConstrAnalysis_10th_Mtg&gt;Max_SAIL+Max_ELI),AND(ConstrAnalysis_10th_Type="FHFC - HOME",ConstrAnalysis_10th_Mtg&gt;Funding!$I$129),AND(ConstrAnalysis_10th_Type="FHFC - Grant",ConstrAnalysis_10th_Mtg&gt;Funding!$H$207),AND(ConstrAnalysis_10th_Type="FHFC - TBD",ConstrAnalysis_10th_Mtg&gt;Funding!$I$273)),"The Request Amount is greater than the maximum allowed.","")</f>
        <v/>
      </c>
      <c r="S208" s="127"/>
      <c r="T208" s="127"/>
      <c r="U208" s="127"/>
      <c r="V208" s="127"/>
      <c r="W208" s="127"/>
      <c r="X208" s="127"/>
      <c r="Y208" s="127"/>
      <c r="Z208" s="127"/>
      <c r="AA208" s="127"/>
      <c r="AB208" s="127"/>
      <c r="AC208" s="127"/>
      <c r="AD208" s="127"/>
      <c r="AE208" s="127"/>
      <c r="AF208" s="127"/>
      <c r="AG208" s="127"/>
      <c r="AH208" s="127"/>
      <c r="AI208" s="127"/>
    </row>
    <row r="209" spans="2:35" ht="12.75" customHeight="1">
      <c r="B209" s="123"/>
      <c r="C209" s="123"/>
      <c r="D209" s="123"/>
      <c r="E209" s="123"/>
      <c r="F209" s="123"/>
      <c r="G209" s="121"/>
      <c r="H209" s="177"/>
      <c r="I209" s="123"/>
      <c r="J209" s="145"/>
      <c r="K209" s="145"/>
      <c r="L209" s="145"/>
      <c r="M209" s="145"/>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row>
    <row r="210" spans="2:35">
      <c r="B210" s="2158">
        <f>IF($E$41=3,MAX(B$189:B209)+1,"")</f>
        <v>7</v>
      </c>
      <c r="C210" s="2159" t="s">
        <v>1473</v>
      </c>
      <c r="D210" s="2159"/>
      <c r="E210" s="2159"/>
      <c r="F210" s="2159"/>
      <c r="G210" s="2159"/>
      <c r="H210" s="2160"/>
      <c r="I210" s="2159"/>
      <c r="J210" s="2161"/>
      <c r="K210" s="2161"/>
      <c r="L210" s="2161"/>
      <c r="M210" s="2159"/>
      <c r="N210" s="1384"/>
      <c r="O210" s="1406"/>
      <c r="P210" s="1406"/>
      <c r="Q210" s="1406"/>
      <c r="R210" s="127"/>
      <c r="S210" s="127"/>
      <c r="T210" s="127"/>
      <c r="U210" s="127"/>
      <c r="V210" s="127"/>
      <c r="W210" s="127"/>
      <c r="X210" s="127"/>
      <c r="Y210" s="127"/>
      <c r="Z210" s="127"/>
      <c r="AA210" s="127"/>
      <c r="AB210" s="127"/>
      <c r="AC210" s="127"/>
      <c r="AD210" s="127"/>
      <c r="AE210" s="127"/>
      <c r="AF210" s="127"/>
      <c r="AG210" s="127"/>
      <c r="AH210" s="127"/>
      <c r="AI210" s="127"/>
    </row>
    <row r="211" spans="2:35">
      <c r="B211" s="2159"/>
      <c r="C211" s="2159" t="s">
        <v>1474</v>
      </c>
      <c r="D211" s="2159"/>
      <c r="E211" s="2159"/>
      <c r="F211" s="2159"/>
      <c r="G211" s="2159"/>
      <c r="H211" s="2160"/>
      <c r="I211" s="2159"/>
      <c r="J211" s="2161"/>
      <c r="K211" s="2161"/>
      <c r="L211" s="2161"/>
      <c r="M211" s="2159"/>
      <c r="N211" s="1384"/>
      <c r="O211" s="1406"/>
      <c r="P211" s="1406"/>
      <c r="Q211" s="1406"/>
      <c r="R211" s="127"/>
      <c r="S211" s="127"/>
      <c r="T211" s="127"/>
      <c r="U211" s="127"/>
      <c r="V211" s="127"/>
      <c r="W211" s="127"/>
      <c r="X211" s="127"/>
      <c r="Y211" s="127"/>
      <c r="Z211" s="127"/>
      <c r="AA211" s="127"/>
      <c r="AB211" s="127"/>
      <c r="AC211" s="127"/>
      <c r="AD211" s="127"/>
      <c r="AE211" s="127"/>
      <c r="AF211" s="127"/>
      <c r="AG211" s="127"/>
      <c r="AH211" s="127"/>
      <c r="AI211" s="127"/>
    </row>
    <row r="212" spans="2:35">
      <c r="B212" s="2159"/>
      <c r="C212" s="2159" t="s">
        <v>1475</v>
      </c>
      <c r="D212" s="2159"/>
      <c r="E212" s="2159"/>
      <c r="F212" s="2159"/>
      <c r="G212" s="2159"/>
      <c r="H212" s="2162"/>
      <c r="I212" s="2159"/>
      <c r="J212" s="2159"/>
      <c r="K212" s="2159"/>
      <c r="L212" s="2159"/>
      <c r="M212" s="2159"/>
      <c r="N212" s="1384"/>
      <c r="O212" s="2163"/>
      <c r="P212" s="2163"/>
      <c r="Q212" s="1384"/>
      <c r="S212" s="127"/>
      <c r="T212" s="127"/>
      <c r="U212" s="127"/>
      <c r="V212" s="127"/>
      <c r="W212" s="127"/>
      <c r="X212" s="127"/>
      <c r="Y212" s="127"/>
      <c r="Z212" s="127"/>
      <c r="AA212" s="127"/>
      <c r="AB212" s="127"/>
      <c r="AC212" s="127"/>
      <c r="AD212" s="127"/>
      <c r="AE212" s="127"/>
      <c r="AF212" s="127"/>
      <c r="AG212" s="127"/>
      <c r="AH212" s="127"/>
      <c r="AI212" s="127"/>
    </row>
    <row r="213" spans="2:35">
      <c r="B213" s="2159"/>
      <c r="C213" s="2159" t="str">
        <f>IF(E41=3,"of Occupancy or in the case of","This section intentionally left blank.")</f>
        <v>of Occupancy or in the case of</v>
      </c>
      <c r="D213" s="2159"/>
      <c r="E213" s="2159"/>
      <c r="F213" s="2159"/>
      <c r="G213" s="2164"/>
      <c r="H213" s="2165"/>
      <c r="I213" s="2159"/>
      <c r="J213" s="2166"/>
      <c r="K213" s="2167"/>
      <c r="L213" s="2168"/>
      <c r="M213" s="2159"/>
      <c r="N213" s="1384"/>
      <c r="O213" s="2163"/>
      <c r="P213" s="2163"/>
      <c r="Q213" s="1384"/>
      <c r="S213" s="127"/>
      <c r="T213" s="127"/>
      <c r="U213" s="127"/>
      <c r="V213" s="127"/>
      <c r="W213" s="127"/>
      <c r="X213" s="127"/>
      <c r="Y213" s="127"/>
      <c r="Z213" s="127"/>
      <c r="AA213" s="127"/>
      <c r="AB213" s="127"/>
      <c r="AC213" s="127"/>
      <c r="AD213" s="127"/>
      <c r="AE213" s="127"/>
      <c r="AF213" s="127"/>
      <c r="AG213" s="127"/>
      <c r="AH213" s="127"/>
      <c r="AI213" s="127"/>
    </row>
    <row r="214" spans="2:35">
      <c r="B214" s="2159"/>
      <c r="C214" s="2159" t="s">
        <v>1476</v>
      </c>
      <c r="D214" s="2159"/>
      <c r="E214" s="2159"/>
      <c r="F214" s="2159"/>
      <c r="G214" s="2164"/>
      <c r="H214" s="2165"/>
      <c r="I214" s="2159"/>
      <c r="J214" s="2166"/>
      <c r="K214" s="2167"/>
      <c r="L214" s="2168"/>
      <c r="M214" s="2159"/>
      <c r="N214" s="1384"/>
      <c r="O214" s="2163"/>
      <c r="P214" s="2163"/>
      <c r="Q214" s="1384"/>
      <c r="S214" s="127"/>
      <c r="T214" s="127"/>
      <c r="U214" s="127"/>
      <c r="V214" s="127"/>
      <c r="W214" s="127"/>
      <c r="X214" s="127"/>
      <c r="Y214" s="127"/>
      <c r="Z214" s="127"/>
      <c r="AA214" s="127"/>
      <c r="AB214" s="127"/>
      <c r="AC214" s="127"/>
      <c r="AD214" s="127"/>
      <c r="AE214" s="127"/>
      <c r="AF214" s="127"/>
      <c r="AG214" s="127"/>
      <c r="AH214" s="127"/>
      <c r="AI214" s="127"/>
    </row>
    <row r="215" spans="2:35">
      <c r="B215" s="2159"/>
      <c r="C215" s="2159" t="s">
        <v>1477</v>
      </c>
      <c r="D215" s="2159"/>
      <c r="E215" s="2159"/>
      <c r="F215" s="2159"/>
      <c r="G215" s="2164"/>
      <c r="H215" s="2165"/>
      <c r="I215" s="2159"/>
      <c r="J215" s="2166"/>
      <c r="K215" s="2167"/>
      <c r="L215" s="2168"/>
      <c r="M215" s="2159"/>
      <c r="N215" s="1384"/>
      <c r="O215" s="2163"/>
      <c r="P215" s="2163"/>
      <c r="Q215" s="1384"/>
      <c r="S215" s="127"/>
      <c r="T215" s="127"/>
      <c r="U215" s="127"/>
      <c r="V215" s="127"/>
      <c r="W215" s="127"/>
      <c r="X215" s="127"/>
      <c r="Y215" s="127"/>
      <c r="Z215" s="127"/>
      <c r="AA215" s="127"/>
      <c r="AB215" s="127"/>
      <c r="AC215" s="127"/>
      <c r="AD215" s="127"/>
      <c r="AE215" s="127"/>
      <c r="AF215" s="127"/>
      <c r="AG215" s="127"/>
      <c r="AH215" s="127"/>
      <c r="AI215" s="127"/>
    </row>
    <row r="216" spans="2:35">
      <c r="B216" s="2159"/>
      <c r="C216" s="2159" t="s">
        <v>1478</v>
      </c>
      <c r="D216" s="2159"/>
      <c r="E216" s="2159"/>
      <c r="F216" s="2159"/>
      <c r="G216" s="2164" t="s">
        <v>1398</v>
      </c>
      <c r="H216" s="2169"/>
      <c r="I216" s="2159"/>
      <c r="J216" s="2166"/>
      <c r="K216" s="2167"/>
      <c r="L216" s="2168"/>
      <c r="M216" s="2159"/>
      <c r="N216" s="1384"/>
      <c r="O216" s="2163"/>
      <c r="P216" s="2170" t="str">
        <f>IF(AND(OR(Competitive_HC_Request_Amount&gt;0,Non_Competitive_HC_Request_Amount&gt;0),ConstrAnalysis_HC=0),"**","")</f>
        <v/>
      </c>
      <c r="Q216" s="2171">
        <f>IF(N(K$38)=0,0,N(H216)/K$38)</f>
        <v>0</v>
      </c>
      <c r="R216" s="3397" t="s">
        <v>1479</v>
      </c>
      <c r="S216" s="3397"/>
      <c r="T216" s="3397"/>
      <c r="U216" s="3397"/>
      <c r="V216" s="3397"/>
      <c r="W216" s="3397"/>
      <c r="X216" s="127"/>
      <c r="Y216" s="127"/>
      <c r="Z216" s="127"/>
      <c r="AA216" s="127"/>
      <c r="AB216" s="127"/>
      <c r="AC216" s="127"/>
      <c r="AD216" s="127"/>
      <c r="AE216" s="127"/>
      <c r="AF216" s="127"/>
      <c r="AG216" s="127"/>
      <c r="AH216" s="127"/>
      <c r="AI216" s="127"/>
    </row>
    <row r="217" spans="2:35">
      <c r="B217" s="123"/>
      <c r="C217" s="123"/>
      <c r="D217" s="123"/>
      <c r="E217" s="123"/>
      <c r="F217" s="123"/>
      <c r="G217" s="123"/>
      <c r="H217" s="157"/>
      <c r="I217" s="123"/>
      <c r="J217" s="122"/>
      <c r="K217" s="160"/>
      <c r="L217" s="159"/>
      <c r="M217" s="123"/>
      <c r="O217" s="133"/>
      <c r="P217" s="133"/>
      <c r="R217" s="3398"/>
      <c r="S217" s="3398"/>
      <c r="T217" s="3398"/>
      <c r="U217" s="3398"/>
      <c r="V217" s="3398"/>
      <c r="W217" s="3398"/>
      <c r="X217" s="127"/>
      <c r="Y217" s="127"/>
      <c r="Z217" s="127"/>
      <c r="AA217" s="127"/>
      <c r="AB217" s="127"/>
      <c r="AC217" s="127"/>
      <c r="AD217" s="127"/>
      <c r="AE217" s="127"/>
      <c r="AF217" s="127"/>
      <c r="AG217" s="127"/>
      <c r="AH217" s="127"/>
      <c r="AI217" s="127"/>
    </row>
    <row r="218" spans="2:35">
      <c r="B218" s="156">
        <f>MAX(B$189:B217)+1</f>
        <v>8</v>
      </c>
      <c r="C218" s="161" t="s">
        <v>1457</v>
      </c>
      <c r="D218" s="123"/>
      <c r="E218" s="3387"/>
      <c r="F218" s="3387"/>
      <c r="G218" s="121" t="s">
        <v>1398</v>
      </c>
      <c r="H218" s="155"/>
      <c r="I218" s="123"/>
      <c r="J218" s="122"/>
      <c r="K218" s="3338" t="s">
        <v>697</v>
      </c>
      <c r="L218" s="3338"/>
      <c r="M218" s="3338"/>
      <c r="N218" s="3338"/>
      <c r="O218" s="133"/>
      <c r="P218" s="133"/>
      <c r="Q218" s="152">
        <f>IF(N(K$38)=0,0,N(H218)/K$38)</f>
        <v>0</v>
      </c>
      <c r="R218" s="127"/>
      <c r="S218" s="127"/>
      <c r="T218" s="127"/>
      <c r="U218" s="127"/>
      <c r="V218" s="127"/>
      <c r="W218" s="127"/>
      <c r="X218" s="127"/>
      <c r="Y218" s="127"/>
      <c r="Z218" s="127"/>
      <c r="AA218" s="127"/>
      <c r="AB218" s="127"/>
      <c r="AC218" s="127"/>
      <c r="AD218" s="127"/>
      <c r="AE218" s="127"/>
      <c r="AF218" s="127"/>
      <c r="AG218" s="127"/>
      <c r="AH218" s="127"/>
      <c r="AI218" s="127"/>
    </row>
    <row r="219" spans="2:35" ht="12.75" customHeight="1">
      <c r="H219" s="150"/>
      <c r="J219" s="122"/>
      <c r="K219" s="160"/>
      <c r="L219" s="159"/>
      <c r="M219" s="123"/>
      <c r="O219" s="133"/>
      <c r="P219" s="133"/>
      <c r="R219" s="127"/>
      <c r="S219" s="127"/>
      <c r="T219" s="127"/>
      <c r="U219" s="127"/>
      <c r="V219" s="127"/>
      <c r="W219" s="127"/>
      <c r="X219" s="127"/>
      <c r="Y219" s="127"/>
      <c r="Z219" s="127"/>
      <c r="AA219" s="127"/>
      <c r="AB219" s="127"/>
      <c r="AC219" s="127"/>
      <c r="AD219" s="127"/>
      <c r="AE219" s="127"/>
      <c r="AF219" s="127"/>
      <c r="AG219" s="127"/>
      <c r="AH219" s="127"/>
      <c r="AI219" s="127"/>
    </row>
    <row r="220" spans="2:35">
      <c r="B220" s="156">
        <f>MAX(B$189:B219)+1</f>
        <v>9</v>
      </c>
      <c r="C220" s="123" t="s">
        <v>1457</v>
      </c>
      <c r="D220" s="123"/>
      <c r="E220" s="3387"/>
      <c r="F220" s="3387"/>
      <c r="G220" s="121" t="s">
        <v>1398</v>
      </c>
      <c r="H220" s="155"/>
      <c r="I220" s="123"/>
      <c r="J220" s="122"/>
      <c r="K220" s="3338" t="s">
        <v>697</v>
      </c>
      <c r="L220" s="3338"/>
      <c r="M220" s="3338"/>
      <c r="N220" s="3338"/>
      <c r="O220" s="133"/>
      <c r="P220" s="133"/>
      <c r="Q220" s="152">
        <f>IF(N(K$38)=0,0,N(H220)/K$38)</f>
        <v>0</v>
      </c>
      <c r="S220" s="127"/>
      <c r="T220" s="127"/>
      <c r="U220" s="127"/>
      <c r="V220" s="127"/>
      <c r="W220" s="127"/>
      <c r="X220" s="127"/>
      <c r="Y220" s="127"/>
      <c r="Z220" s="127"/>
      <c r="AA220" s="127"/>
      <c r="AB220" s="127"/>
      <c r="AC220" s="127"/>
      <c r="AD220" s="127"/>
      <c r="AE220" s="127"/>
      <c r="AF220" s="127"/>
      <c r="AG220" s="127"/>
      <c r="AH220" s="127"/>
      <c r="AI220" s="127"/>
    </row>
    <row r="221" spans="2:35" ht="12.75" customHeight="1">
      <c r="B221" s="151"/>
      <c r="C221" s="123"/>
      <c r="D221" s="123"/>
      <c r="E221" s="158"/>
      <c r="F221" s="158"/>
      <c r="G221" s="121"/>
      <c r="H221" s="163"/>
      <c r="I221" s="123"/>
      <c r="J221" s="122"/>
      <c r="K221" s="160"/>
      <c r="L221" s="159"/>
      <c r="M221" s="123"/>
      <c r="O221" s="133"/>
      <c r="P221" s="133"/>
      <c r="S221" s="127"/>
      <c r="T221" s="127"/>
      <c r="U221" s="127"/>
      <c r="V221" s="127"/>
      <c r="W221" s="127"/>
      <c r="X221" s="127"/>
      <c r="Y221" s="127"/>
      <c r="Z221" s="127"/>
      <c r="AA221" s="127"/>
      <c r="AB221" s="127"/>
      <c r="AC221" s="127"/>
      <c r="AD221" s="127"/>
      <c r="AE221" s="127"/>
      <c r="AF221" s="127"/>
      <c r="AG221" s="127"/>
      <c r="AH221" s="127"/>
      <c r="AI221" s="127"/>
    </row>
    <row r="222" spans="2:35" ht="12.75" customHeight="1">
      <c r="B222" s="156">
        <f>MAX(B$189:B221)+1</f>
        <v>10</v>
      </c>
      <c r="C222" s="123" t="s">
        <v>1480</v>
      </c>
      <c r="D222" s="123"/>
      <c r="E222" s="123"/>
      <c r="F222" s="123"/>
      <c r="G222" s="121" t="s">
        <v>1398</v>
      </c>
      <c r="H222" s="2172" t="str">
        <f>IFERROR(MAX(MIN(H186-IF(E41=3,SUM(H190:H220),SUM(H190:H208,H218:H220)),N(Developer_fee_total)),0),"")</f>
        <v/>
      </c>
      <c r="I222" s="123"/>
      <c r="J222" s="1469" t="s">
        <v>1398</v>
      </c>
      <c r="K222" s="2174">
        <f>N(Developer_fee_total)-N(ConstrAnalysis_deferredfee)</f>
        <v>0</v>
      </c>
      <c r="L222" s="3446" t="s">
        <v>2142</v>
      </c>
      <c r="M222" s="3446"/>
      <c r="N222" s="3446"/>
      <c r="O222" s="133"/>
      <c r="P222" s="133"/>
      <c r="Q222" s="152">
        <f>IF(N(K$38)=0,0,N(H222)/K$38)</f>
        <v>0</v>
      </c>
      <c r="R222" s="3449" t="s">
        <v>2084</v>
      </c>
      <c r="S222" s="3449"/>
      <c r="T222" s="3449"/>
      <c r="U222" s="3449"/>
      <c r="V222" s="3449"/>
      <c r="W222" s="3449"/>
      <c r="X222" s="127"/>
      <c r="Y222" s="127"/>
      <c r="Z222" s="127"/>
      <c r="AA222" s="127"/>
      <c r="AB222" s="127"/>
      <c r="AC222" s="127"/>
      <c r="AD222" s="127"/>
      <c r="AE222" s="127"/>
      <c r="AF222" s="127"/>
      <c r="AG222" s="127"/>
      <c r="AH222" s="127"/>
      <c r="AI222" s="127"/>
    </row>
    <row r="223" spans="2:35">
      <c r="H223" s="150"/>
      <c r="J223" s="1467"/>
      <c r="K223" s="1468"/>
      <c r="L223" s="3446"/>
      <c r="M223" s="3446"/>
      <c r="N223" s="3446"/>
      <c r="O223" s="133"/>
      <c r="P223" s="133"/>
      <c r="S223" s="127"/>
      <c r="T223" s="127"/>
      <c r="U223" s="127"/>
      <c r="V223" s="127"/>
      <c r="W223" s="127"/>
      <c r="X223" s="127"/>
      <c r="Y223" s="127"/>
      <c r="Z223" s="127"/>
      <c r="AA223" s="127"/>
      <c r="AB223" s="127"/>
      <c r="AC223" s="127"/>
      <c r="AD223" s="127"/>
      <c r="AE223" s="127"/>
      <c r="AF223" s="127"/>
      <c r="AG223" s="127"/>
      <c r="AH223" s="127"/>
      <c r="AI223" s="127"/>
    </row>
    <row r="224" spans="2:35" ht="13.5" thickBot="1">
      <c r="B224" s="153">
        <f>MAX(B$189:B223)+1</f>
        <v>11</v>
      </c>
      <c r="C224" s="130" t="s">
        <v>1481</v>
      </c>
      <c r="D224" s="123"/>
      <c r="E224" s="123"/>
      <c r="F224" s="123"/>
      <c r="G224" s="121" t="s">
        <v>1398</v>
      </c>
      <c r="H224" s="2173" t="str">
        <f>IF(SUM(H189:H223)&lt;1,"",IF(E41=3,SUM(H189:H223),SUM(H189:H208,H218:H222)))</f>
        <v/>
      </c>
      <c r="J224" s="123"/>
      <c r="K224" s="145"/>
      <c r="L224" s="123"/>
      <c r="M224" s="123"/>
      <c r="O224" s="133"/>
      <c r="P224" s="133"/>
      <c r="Q224" s="152">
        <f>IF(N(K$38)=0,0,N(H224)/K$38)</f>
        <v>0</v>
      </c>
      <c r="S224" s="127"/>
      <c r="T224" s="127"/>
      <c r="U224" s="127"/>
      <c r="V224" s="127"/>
      <c r="W224" s="127"/>
      <c r="X224" s="127"/>
      <c r="Y224" s="127"/>
      <c r="Z224" s="127"/>
      <c r="AA224" s="127"/>
      <c r="AB224" s="127"/>
      <c r="AC224" s="127"/>
      <c r="AD224" s="127"/>
      <c r="AE224" s="127"/>
      <c r="AF224" s="127"/>
      <c r="AG224" s="127"/>
      <c r="AH224" s="127"/>
      <c r="AI224" s="127"/>
    </row>
    <row r="225" spans="1:27" ht="13.5" thickTop="1">
      <c r="H225" s="150"/>
      <c r="L225" s="123"/>
      <c r="M225" s="123"/>
      <c r="O225" s="133"/>
      <c r="P225" s="133"/>
    </row>
    <row r="226" spans="1:27">
      <c r="B226" s="147" t="s">
        <v>1426</v>
      </c>
      <c r="C226" s="130" t="s">
        <v>1482</v>
      </c>
      <c r="D226" s="130"/>
      <c r="E226" s="130"/>
      <c r="F226" s="130"/>
      <c r="G226" s="123"/>
      <c r="H226" s="149"/>
      <c r="I226" s="123"/>
      <c r="J226" s="145"/>
      <c r="P226" s="133"/>
    </row>
    <row r="227" spans="1:27">
      <c r="B227" s="147"/>
      <c r="C227" s="130"/>
      <c r="D227" s="148" t="str">
        <f>"(B."&amp;TEXT(B224,"0")&amp;". "&amp;C224&amp;", "</f>
        <v xml:space="preserve">(B.11. Total Construction Sources, </v>
      </c>
      <c r="E227" s="130"/>
      <c r="F227" s="130"/>
      <c r="G227" s="123"/>
      <c r="H227" s="149"/>
      <c r="I227" s="123"/>
      <c r="J227" s="145"/>
      <c r="P227" s="135" t="str">
        <f>IF(N(H228)&lt;0,"**","")</f>
        <v/>
      </c>
    </row>
    <row r="228" spans="1:27" ht="13.5" thickBot="1">
      <c r="B228" s="130"/>
      <c r="D228" s="148" t="str">
        <f>" less "&amp;B186&amp;" "&amp;C186&amp;"):"</f>
        <v xml:space="preserve"> less A. Total Development Costs):</v>
      </c>
      <c r="E228" s="130"/>
      <c r="F228" s="130"/>
      <c r="G228" s="147" t="s">
        <v>1398</v>
      </c>
      <c r="H228" s="146" t="str">
        <f>IF(AND(N(H224)=0,N(H186)=0),"",N(H224)-N(H186))</f>
        <v/>
      </c>
      <c r="I228" s="123"/>
      <c r="J228" s="145" t="s">
        <v>1483</v>
      </c>
      <c r="K228" s="123"/>
      <c r="L228" s="123"/>
      <c r="M228" s="123"/>
      <c r="O228" s="133"/>
      <c r="P228" s="133"/>
      <c r="Q228" s="116" t="str">
        <f>IF(N(H228)=0,"Construction Funding Sources are equal to Total Development Costs.",IF(N(H228)&lt;0,"There is a shortfall in Construction Funding Sources which must be corrected.","There is a surplus of Construction Funding Sources which is permitted at time of Application."))</f>
        <v>Construction Funding Sources are equal to Total Development Costs.</v>
      </c>
    </row>
    <row r="229" spans="1:27" ht="8.1" customHeight="1" thickTop="1">
      <c r="B229" s="130"/>
      <c r="D229" s="148"/>
      <c r="E229" s="130"/>
      <c r="F229" s="130"/>
      <c r="G229" s="147"/>
      <c r="H229" s="162"/>
      <c r="I229" s="123"/>
      <c r="J229" s="145"/>
      <c r="K229" s="123"/>
      <c r="L229" s="123"/>
      <c r="M229" s="123"/>
      <c r="O229" s="133"/>
      <c r="P229" s="133"/>
    </row>
    <row r="230" spans="1:27" ht="13.5" customHeight="1" thickBot="1">
      <c r="B230" s="130"/>
      <c r="D230" s="148"/>
      <c r="E230" s="130"/>
      <c r="F230" s="130"/>
      <c r="G230" s="147"/>
      <c r="H230" s="162"/>
      <c r="I230" s="123"/>
      <c r="L230" s="121" t="s">
        <v>1484</v>
      </c>
      <c r="M230" s="3339" t="str">
        <f>IF(ConstrAnalysis_surplus="","",IF(ConstrAnalysis_surplus&gt;=0,"Yes","No"))</f>
        <v/>
      </c>
      <c r="N230" s="3339"/>
      <c r="O230" s="133"/>
      <c r="P230" s="133"/>
    </row>
    <row r="231" spans="1:27" ht="8.1" customHeight="1">
      <c r="O231" s="133"/>
      <c r="P231" s="133"/>
    </row>
    <row r="232" spans="1:27" ht="13.5" thickBot="1">
      <c r="B232" s="130" t="s">
        <v>1485</v>
      </c>
      <c r="D232" s="123"/>
      <c r="E232" s="123"/>
      <c r="F232" s="123"/>
      <c r="G232" s="123"/>
      <c r="H232" s="123"/>
      <c r="I232" s="123"/>
      <c r="J232" s="123"/>
      <c r="K232" s="123"/>
      <c r="L232" s="123"/>
      <c r="M232" s="123"/>
      <c r="O232" s="133"/>
      <c r="P232" s="133"/>
    </row>
    <row r="233" spans="1:27" ht="3.75" customHeight="1">
      <c r="A233" s="134"/>
      <c r="B233" s="176"/>
      <c r="C233" s="176"/>
      <c r="D233" s="174"/>
      <c r="E233" s="174"/>
      <c r="F233" s="174"/>
      <c r="G233" s="174"/>
      <c r="H233" s="174"/>
      <c r="I233" s="174"/>
      <c r="J233" s="174"/>
      <c r="K233" s="174"/>
      <c r="L233" s="175"/>
      <c r="M233" s="174"/>
      <c r="N233" s="134"/>
      <c r="O233" s="173"/>
      <c r="P233" s="173"/>
      <c r="Q233" s="3388" t="s">
        <v>1459</v>
      </c>
      <c r="R233" s="3389"/>
      <c r="S233" s="3389"/>
      <c r="T233" s="3389"/>
      <c r="U233" s="3389"/>
      <c r="V233" s="3389"/>
      <c r="W233" s="3389"/>
      <c r="X233" s="3389"/>
      <c r="Y233" s="3389"/>
      <c r="Z233" s="3390"/>
    </row>
    <row r="234" spans="1:27">
      <c r="B234" s="130" t="str">
        <f>B$2</f>
        <v>RFA 2025-103 DEVELOPMENT COST PRO FORMA</v>
      </c>
      <c r="O234" s="133"/>
      <c r="P234" s="132" t="str">
        <f>IF(OR(AND(Funding!L$309&gt;0,Data3!H$273="No"),Data3!H$274="Yes"),"(Page 5 of 8)","(Page 5 of 7)")</f>
        <v>(Page 5 of 7)</v>
      </c>
      <c r="Q234" s="3391"/>
      <c r="R234" s="3392"/>
      <c r="S234" s="3392"/>
      <c r="T234" s="3392"/>
      <c r="U234" s="3392"/>
      <c r="V234" s="3392"/>
      <c r="W234" s="3392"/>
      <c r="X234" s="3392"/>
      <c r="Y234" s="3392"/>
      <c r="Z234" s="3393"/>
    </row>
    <row r="235" spans="1:27">
      <c r="B235" s="171"/>
      <c r="C235" s="171"/>
      <c r="D235" s="171"/>
      <c r="E235" s="171"/>
      <c r="F235" s="171"/>
      <c r="G235" s="171"/>
      <c r="H235" s="171"/>
      <c r="I235" s="171"/>
      <c r="J235" s="171"/>
      <c r="K235" s="171"/>
      <c r="L235" s="172"/>
      <c r="M235" s="171"/>
      <c r="O235" s="133"/>
      <c r="P235" s="133"/>
      <c r="Q235" s="3391"/>
      <c r="R235" s="3392"/>
      <c r="S235" s="3392"/>
      <c r="T235" s="3392"/>
      <c r="U235" s="3392"/>
      <c r="V235" s="3392"/>
      <c r="W235" s="3392"/>
      <c r="X235" s="3392"/>
      <c r="Y235" s="3392"/>
      <c r="Z235" s="3393"/>
    </row>
    <row r="236" spans="1:27" ht="13.5" thickBot="1">
      <c r="B236" s="171"/>
      <c r="C236" s="171"/>
      <c r="D236" s="171"/>
      <c r="E236" s="171"/>
      <c r="F236" s="171"/>
      <c r="G236" s="171"/>
      <c r="H236" s="171"/>
      <c r="I236" s="171"/>
      <c r="J236" s="171"/>
      <c r="K236" s="171"/>
      <c r="L236" s="172"/>
      <c r="M236" s="171"/>
      <c r="O236" s="133"/>
      <c r="P236" s="133"/>
      <c r="Q236" s="3394"/>
      <c r="R236" s="3395"/>
      <c r="S236" s="3395"/>
      <c r="T236" s="3395"/>
      <c r="U236" s="3395"/>
      <c r="V236" s="3395"/>
      <c r="W236" s="3395"/>
      <c r="X236" s="3395"/>
      <c r="Y236" s="3395"/>
      <c r="Z236" s="3396"/>
    </row>
    <row r="237" spans="1:27">
      <c r="B237" s="130" t="s">
        <v>1486</v>
      </c>
      <c r="C237" s="123"/>
      <c r="D237" s="123"/>
      <c r="E237" s="123"/>
      <c r="F237" s="123"/>
      <c r="G237" s="123"/>
      <c r="H237" s="123"/>
      <c r="I237" s="123"/>
      <c r="J237" s="123"/>
      <c r="K237" s="949"/>
      <c r="L237" s="171"/>
      <c r="M237" s="171"/>
      <c r="O237" s="133"/>
      <c r="P237" s="133"/>
    </row>
    <row r="238" spans="1:27">
      <c r="B238" s="130"/>
      <c r="C238" s="123"/>
      <c r="D238" s="123"/>
      <c r="E238" s="123"/>
      <c r="F238" s="123"/>
      <c r="G238" s="123"/>
      <c r="H238" s="949" t="s">
        <v>1461</v>
      </c>
      <c r="I238" s="949"/>
      <c r="J238" s="123"/>
      <c r="K238" s="3386" t="s">
        <v>1462</v>
      </c>
      <c r="L238" s="3386"/>
      <c r="M238" s="3386"/>
      <c r="N238" s="3386"/>
      <c r="O238" s="133"/>
      <c r="P238" s="133"/>
      <c r="Q238" s="165"/>
      <c r="T238" s="127"/>
      <c r="U238" s="127"/>
      <c r="V238" s="127"/>
      <c r="W238" s="127"/>
      <c r="X238" s="127"/>
      <c r="Y238" s="127"/>
      <c r="Z238" s="127"/>
    </row>
    <row r="239" spans="1:27">
      <c r="B239" s="123"/>
      <c r="C239" s="123"/>
      <c r="D239" s="123"/>
      <c r="E239" s="123"/>
      <c r="F239" s="123"/>
      <c r="G239" s="123"/>
      <c r="H239" s="123"/>
      <c r="I239" s="123"/>
      <c r="J239" s="123"/>
      <c r="K239" s="123"/>
      <c r="L239" s="123"/>
      <c r="M239" s="123"/>
      <c r="O239" s="133"/>
      <c r="P239" s="133"/>
      <c r="Q239" s="170"/>
    </row>
    <row r="240" spans="1:27">
      <c r="B240" s="147" t="s">
        <v>1463</v>
      </c>
      <c r="C240" s="130" t="s">
        <v>1464</v>
      </c>
      <c r="D240" s="123"/>
      <c r="E240" s="123"/>
      <c r="F240" s="123"/>
      <c r="G240" s="147" t="s">
        <v>1398</v>
      </c>
      <c r="H240" s="993" t="str">
        <f>IF(N125="","",N125)</f>
        <v/>
      </c>
      <c r="I240" s="123"/>
      <c r="J240" s="123"/>
      <c r="K240" s="123"/>
      <c r="L240" s="123"/>
      <c r="M240" s="123"/>
      <c r="O240" s="133"/>
      <c r="Q240" s="169"/>
      <c r="AA240" s="124"/>
    </row>
    <row r="241" spans="2:34">
      <c r="B241" s="123"/>
      <c r="C241" s="123"/>
      <c r="D241" s="123"/>
      <c r="E241" s="123"/>
      <c r="F241" s="123"/>
      <c r="G241" s="123"/>
      <c r="H241" s="149"/>
      <c r="I241" s="123"/>
      <c r="J241" s="123"/>
      <c r="K241" s="123"/>
      <c r="L241" s="123"/>
      <c r="M241" s="123"/>
      <c r="O241" s="133"/>
      <c r="P241" s="950" t="s">
        <v>1487</v>
      </c>
      <c r="W241" s="215"/>
      <c r="AD241" s="127"/>
      <c r="AE241" s="127"/>
      <c r="AF241" s="127"/>
      <c r="AG241" s="127"/>
      <c r="AH241" s="127"/>
    </row>
    <row r="242" spans="2:34">
      <c r="B242" s="147" t="s">
        <v>1424</v>
      </c>
      <c r="C242" s="130" t="s">
        <v>1488</v>
      </c>
      <c r="D242" s="123"/>
      <c r="E242" s="123"/>
      <c r="F242" s="123"/>
      <c r="G242" s="123"/>
      <c r="H242" s="149"/>
      <c r="I242" s="123"/>
      <c r="J242" s="123"/>
      <c r="K242" s="123"/>
      <c r="L242" s="123"/>
      <c r="M242" s="123"/>
      <c r="O242" s="133"/>
      <c r="P242" s="950" t="s">
        <v>1489</v>
      </c>
      <c r="Q242" s="996" t="s">
        <v>1466</v>
      </c>
      <c r="W242" s="426"/>
      <c r="AD242" s="127"/>
      <c r="AE242" s="127"/>
      <c r="AF242" s="127"/>
      <c r="AG242" s="127"/>
      <c r="AH242" s="127"/>
    </row>
    <row r="243" spans="2:34" ht="12.75" customHeight="1">
      <c r="B243" s="123"/>
      <c r="C243" s="123"/>
      <c r="D243" s="123"/>
      <c r="E243" s="123"/>
      <c r="F243" s="123"/>
      <c r="G243" s="121"/>
      <c r="H243" s="162"/>
      <c r="I243" s="123"/>
      <c r="J243" s="123"/>
      <c r="K243" s="123"/>
      <c r="L243" s="123"/>
      <c r="M243" s="123"/>
      <c r="O243" s="133"/>
      <c r="P243" s="367"/>
      <c r="Q243" s="127"/>
      <c r="W243" s="517"/>
      <c r="AD243" s="127"/>
      <c r="AE243" s="127"/>
      <c r="AF243" s="127"/>
      <c r="AG243" s="127"/>
      <c r="AH243" s="127"/>
    </row>
    <row r="244" spans="2:34" ht="12.75" customHeight="1">
      <c r="B244" s="156">
        <f>MAX(B$243:B243)+1</f>
        <v>1</v>
      </c>
      <c r="C244" s="123" t="str">
        <f>C190</f>
        <v>First Mortgage Financing</v>
      </c>
      <c r="D244" s="123"/>
      <c r="E244" s="123"/>
      <c r="F244" s="123"/>
      <c r="G244" s="121" t="s">
        <v>1398</v>
      </c>
      <c r="H244" s="155"/>
      <c r="I244" s="123"/>
      <c r="J244" s="123"/>
      <c r="K244" s="3338" t="s">
        <v>697</v>
      </c>
      <c r="L244" s="3338"/>
      <c r="M244" s="3338"/>
      <c r="N244" s="3338"/>
      <c r="O244" s="133"/>
      <c r="P244" s="694" t="s">
        <v>59</v>
      </c>
      <c r="Q244" s="152">
        <f>IF(N(K$38)=0,0,N(H244)/K$38)</f>
        <v>0</v>
      </c>
      <c r="R244" s="127"/>
      <c r="X244" s="549">
        <f>IF(ISERROR(SEARCH("Deferred Development Costs",PermAnalysis__1st_Type)),PermAnalysis__1st_Mtg,0)</f>
        <v>0</v>
      </c>
      <c r="AD244" s="127"/>
      <c r="AE244" s="127"/>
      <c r="AF244" s="127"/>
      <c r="AG244" s="127"/>
      <c r="AH244" s="127"/>
    </row>
    <row r="245" spans="2:34" ht="12.75" customHeight="1">
      <c r="B245" s="123"/>
      <c r="C245" s="123"/>
      <c r="D245" s="123"/>
      <c r="E245" s="123"/>
      <c r="F245" s="123"/>
      <c r="G245" s="121"/>
      <c r="H245" s="163"/>
      <c r="I245" s="123"/>
      <c r="J245" s="123"/>
      <c r="K245" s="145"/>
      <c r="L245" s="145"/>
      <c r="M245" s="145"/>
      <c r="O245" s="133"/>
      <c r="Q245" s="127"/>
      <c r="R245" s="127"/>
      <c r="X245" s="550"/>
      <c r="AA245" s="167"/>
      <c r="AB245" s="167"/>
      <c r="AD245" s="127"/>
      <c r="AE245" s="127"/>
      <c r="AF245" s="127"/>
      <c r="AG245" s="127"/>
      <c r="AH245" s="127"/>
    </row>
    <row r="246" spans="2:34">
      <c r="B246" s="156">
        <f>MAX(B$243:B245)+1</f>
        <v>2</v>
      </c>
      <c r="C246" s="123" t="str">
        <f>C192</f>
        <v>Second Mortgage Financing</v>
      </c>
      <c r="D246" s="123"/>
      <c r="E246" s="123"/>
      <c r="F246" s="123"/>
      <c r="G246" s="121" t="s">
        <v>1398</v>
      </c>
      <c r="H246" s="155"/>
      <c r="I246" s="123"/>
      <c r="J246" s="123"/>
      <c r="K246" s="3338" t="s">
        <v>697</v>
      </c>
      <c r="L246" s="3338"/>
      <c r="M246" s="3338"/>
      <c r="N246" s="3338"/>
      <c r="O246" s="133"/>
      <c r="P246" s="694" t="s">
        <v>59</v>
      </c>
      <c r="Q246" s="152">
        <f>IF(N(K$38)=0,0,N(H246)/K$38)</f>
        <v>0</v>
      </c>
      <c r="R246" s="165"/>
      <c r="X246" s="551">
        <f>IF(ISERROR(SEARCH("Deferred Development Costs",PermAnalysis__2nd_Type)),PermAnalysis__2nd_Mtg,0)</f>
        <v>0</v>
      </c>
      <c r="AA246" s="166"/>
      <c r="AB246" s="166"/>
      <c r="AD246" s="127"/>
      <c r="AE246" s="127"/>
      <c r="AF246" s="127"/>
      <c r="AG246" s="127"/>
      <c r="AH246" s="127"/>
    </row>
    <row r="247" spans="2:34">
      <c r="B247" s="123"/>
      <c r="C247" s="123"/>
      <c r="D247" s="123"/>
      <c r="E247" s="123"/>
      <c r="F247" s="123"/>
      <c r="G247" s="121"/>
      <c r="H247" s="163"/>
      <c r="I247" s="123"/>
      <c r="J247" s="123"/>
      <c r="K247" s="145"/>
      <c r="L247" s="145"/>
      <c r="M247" s="145"/>
      <c r="O247" s="133"/>
      <c r="P247" s="366"/>
      <c r="Q247" s="127"/>
      <c r="X247" s="550"/>
      <c r="AA247" s="166"/>
      <c r="AB247" s="166"/>
      <c r="AD247" s="127"/>
      <c r="AE247" s="127"/>
      <c r="AF247" s="127"/>
      <c r="AG247" s="127"/>
      <c r="AH247" s="127"/>
    </row>
    <row r="248" spans="2:34">
      <c r="B248" s="156">
        <f>MAX(B$243:B247)+1</f>
        <v>3</v>
      </c>
      <c r="C248" s="123" t="str">
        <f>C194</f>
        <v>Third Mortgage Financing</v>
      </c>
      <c r="D248" s="123"/>
      <c r="E248" s="123"/>
      <c r="F248" s="123"/>
      <c r="G248" s="121" t="s">
        <v>1398</v>
      </c>
      <c r="H248" s="155"/>
      <c r="I248" s="123"/>
      <c r="J248" s="123"/>
      <c r="K248" s="3338" t="s">
        <v>697</v>
      </c>
      <c r="L248" s="3338"/>
      <c r="M248" s="3338"/>
      <c r="N248" s="3338"/>
      <c r="O248" s="133"/>
      <c r="P248" s="694" t="s">
        <v>59</v>
      </c>
      <c r="Q248" s="152">
        <f>IF(N(K$38)=0,0,N(H248)/K$38)</f>
        <v>0</v>
      </c>
      <c r="R248" s="165"/>
      <c r="U248" s="127"/>
      <c r="V248" s="127"/>
      <c r="X248" s="551">
        <f>IF(ISERROR(SEARCH("Deferred Development Costs",PermAnalysis__3rd_Type)),PermAnalysis__3rd_Mtg,0)</f>
        <v>0</v>
      </c>
      <c r="AD248" s="127"/>
      <c r="AE248" s="127"/>
      <c r="AF248" s="127"/>
      <c r="AG248" s="127"/>
      <c r="AH248" s="127"/>
    </row>
    <row r="249" spans="2:34">
      <c r="B249" s="123"/>
      <c r="C249" s="123"/>
      <c r="D249" s="123"/>
      <c r="E249" s="123"/>
      <c r="F249" s="123"/>
      <c r="G249" s="121"/>
      <c r="H249" s="163"/>
      <c r="I249" s="123"/>
      <c r="J249" s="123"/>
      <c r="K249" s="145"/>
      <c r="L249" s="145"/>
      <c r="M249" s="145"/>
      <c r="O249" s="133"/>
      <c r="Q249" s="127"/>
      <c r="R249" s="428"/>
      <c r="T249" s="428"/>
      <c r="U249" s="164"/>
      <c r="V249" s="127"/>
      <c r="X249" s="552"/>
      <c r="AC249" s="127"/>
      <c r="AD249" s="127"/>
      <c r="AE249" s="127"/>
      <c r="AF249" s="127"/>
      <c r="AG249" s="127"/>
      <c r="AH249" s="127"/>
    </row>
    <row r="250" spans="2:34" ht="12.75" customHeight="1">
      <c r="B250" s="156">
        <f>MAX(B$243:B249)+1</f>
        <v>4</v>
      </c>
      <c r="C250" s="123" t="str">
        <f>C196</f>
        <v>Fourth Mortgage Financing</v>
      </c>
      <c r="D250" s="123"/>
      <c r="E250" s="123"/>
      <c r="F250" s="123"/>
      <c r="G250" s="121" t="s">
        <v>1398</v>
      </c>
      <c r="H250" s="155"/>
      <c r="I250" s="123"/>
      <c r="J250" s="145"/>
      <c r="K250" s="3338" t="s">
        <v>697</v>
      </c>
      <c r="L250" s="3338"/>
      <c r="M250" s="3338"/>
      <c r="N250" s="3338"/>
      <c r="O250" s="133"/>
      <c r="P250" s="694" t="s">
        <v>59</v>
      </c>
      <c r="Q250" s="152">
        <f>IF(N(K$38)=0,0,N(H250)/K$38)</f>
        <v>0</v>
      </c>
      <c r="R250" s="427"/>
      <c r="T250" s="427"/>
      <c r="U250" s="427"/>
      <c r="V250" s="427"/>
      <c r="X250" s="551">
        <f>IF(ISERROR(SEARCH("Deferred Development Costs",PermAnalysis__4th_Type)),PermAnalysis__4th_Mtg,0)</f>
        <v>0</v>
      </c>
      <c r="Y250" s="427"/>
      <c r="Z250" s="427"/>
      <c r="AA250" s="427"/>
      <c r="AB250" s="427"/>
      <c r="AC250" s="127"/>
      <c r="AD250" s="127"/>
      <c r="AE250" s="127"/>
      <c r="AF250" s="127"/>
      <c r="AG250" s="127"/>
      <c r="AH250" s="127"/>
    </row>
    <row r="251" spans="2:34" ht="12.75" customHeight="1">
      <c r="B251" s="123"/>
      <c r="C251" s="123"/>
      <c r="D251" s="123"/>
      <c r="E251" s="123"/>
      <c r="F251" s="123"/>
      <c r="G251" s="121"/>
      <c r="H251" s="163"/>
      <c r="I251" s="123"/>
      <c r="J251" s="123"/>
      <c r="K251" s="145"/>
      <c r="L251" s="145"/>
      <c r="M251" s="145"/>
      <c r="O251" s="133"/>
      <c r="P251" s="366"/>
      <c r="Q251" s="127"/>
      <c r="R251" s="127"/>
      <c r="T251" s="127"/>
      <c r="U251" s="127"/>
      <c r="V251" s="127"/>
      <c r="X251" s="551"/>
      <c r="Y251" s="127"/>
      <c r="Z251" s="127"/>
      <c r="AA251" s="127"/>
      <c r="AB251" s="127"/>
      <c r="AC251" s="127"/>
      <c r="AD251" s="127"/>
      <c r="AE251" s="127"/>
      <c r="AF251" s="127"/>
      <c r="AG251" s="127"/>
    </row>
    <row r="252" spans="2:34" ht="12.75" customHeight="1">
      <c r="B252" s="156">
        <f>MAX(B$243:B251)+1</f>
        <v>5</v>
      </c>
      <c r="C252" s="123" t="str">
        <f>C198</f>
        <v>Fifth Mortgage Financing</v>
      </c>
      <c r="D252" s="123"/>
      <c r="E252" s="123"/>
      <c r="F252" s="123"/>
      <c r="G252" s="121" t="s">
        <v>1398</v>
      </c>
      <c r="H252" s="155"/>
      <c r="I252" s="123"/>
      <c r="J252" s="123"/>
      <c r="K252" s="3338" t="s">
        <v>697</v>
      </c>
      <c r="L252" s="3338"/>
      <c r="M252" s="3338"/>
      <c r="N252" s="3338"/>
      <c r="O252" s="133"/>
      <c r="P252" s="694" t="s">
        <v>59</v>
      </c>
      <c r="Q252" s="152">
        <f>IF(N(K$38)=0,0,N(H252)/K$38)</f>
        <v>0</v>
      </c>
      <c r="T252" s="127"/>
      <c r="U252" s="127"/>
      <c r="V252" s="127"/>
      <c r="X252" s="551">
        <f>IF(ISERROR(SEARCH("Deferred Development Costs",PermAnalysis__5th_Type)),PermAnalysis__5th_Mtg,0)</f>
        <v>0</v>
      </c>
      <c r="Y252" s="127"/>
      <c r="Z252" s="127"/>
      <c r="AA252" s="127"/>
      <c r="AB252" s="127"/>
      <c r="AC252" s="127"/>
      <c r="AD252" s="127"/>
      <c r="AE252" s="127"/>
      <c r="AF252" s="127"/>
      <c r="AG252" s="127"/>
    </row>
    <row r="253" spans="2:34">
      <c r="B253" s="123"/>
      <c r="C253" s="123"/>
      <c r="D253" s="123"/>
      <c r="E253" s="123"/>
      <c r="F253" s="123"/>
      <c r="G253" s="121"/>
      <c r="H253" s="163"/>
      <c r="I253" s="123"/>
      <c r="J253" s="123"/>
      <c r="K253" s="145"/>
      <c r="L253" s="145"/>
      <c r="M253" s="145"/>
      <c r="O253" s="133"/>
      <c r="Q253" s="127"/>
      <c r="R253" s="127"/>
      <c r="T253" s="127"/>
      <c r="X253" s="550"/>
    </row>
    <row r="254" spans="2:34">
      <c r="B254" s="156">
        <f>MAX(B$243:B253)+1</f>
        <v>6</v>
      </c>
      <c r="C254" s="123" t="str">
        <f>C200</f>
        <v>Sixth Mortgage Financing</v>
      </c>
      <c r="G254" s="121" t="s">
        <v>1398</v>
      </c>
      <c r="H254" s="155"/>
      <c r="I254" s="123"/>
      <c r="J254" s="145"/>
      <c r="K254" s="3338" t="s">
        <v>697</v>
      </c>
      <c r="L254" s="3338"/>
      <c r="M254" s="3338"/>
      <c r="N254" s="3338"/>
      <c r="O254" s="133"/>
      <c r="P254" s="694" t="s">
        <v>59</v>
      </c>
      <c r="Q254" s="152">
        <f>IF(N(K$38)=0,0,N(H254)/K$38)</f>
        <v>0</v>
      </c>
      <c r="R254" s="127"/>
      <c r="T254" s="127"/>
      <c r="X254" s="551">
        <f>IF(ISERROR(SEARCH("Deferred Development Costs",PermAnalysis__6th_Type)),PermAnalysis__6th_Mtg,0)</f>
        <v>0</v>
      </c>
    </row>
    <row r="255" spans="2:34">
      <c r="B255" s="156"/>
      <c r="C255" s="123"/>
      <c r="D255" s="123"/>
      <c r="E255" s="123"/>
      <c r="F255" s="123"/>
      <c r="G255" s="121"/>
      <c r="H255" s="163"/>
      <c r="I255" s="123"/>
      <c r="J255" s="145"/>
      <c r="K255" s="145"/>
      <c r="L255" s="145"/>
      <c r="M255" s="145"/>
      <c r="O255" s="133"/>
      <c r="Q255" s="127"/>
      <c r="R255" s="127"/>
      <c r="X255" s="550"/>
    </row>
    <row r="256" spans="2:34">
      <c r="B256" s="156" t="str">
        <f>IF(DS_FHFC_Source_1_Name="","",MAX(B$243:B255)+1)</f>
        <v/>
      </c>
      <c r="C256" s="123" t="str">
        <f>C202</f>
        <v xml:space="preserve"> Financing</v>
      </c>
      <c r="D256" s="123"/>
      <c r="E256" s="123"/>
      <c r="F256" s="123"/>
      <c r="G256" s="121" t="s">
        <v>1398</v>
      </c>
      <c r="H256" s="1422" t="str">
        <f>ConstrAnalysis__7th_Mtg</f>
        <v/>
      </c>
      <c r="I256" s="123"/>
      <c r="J256" s="145"/>
      <c r="K256" s="3337" t="str">
        <f>ConstrAnalysis__7th_Type</f>
        <v>Enter request on Funding Tab</v>
      </c>
      <c r="L256" s="3337"/>
      <c r="M256" s="3337"/>
      <c r="N256" s="3337"/>
      <c r="O256" s="133"/>
      <c r="Q256" s="152">
        <f>IF(N(K$38)=0,0,N(H256)/K$38)</f>
        <v>0</v>
      </c>
      <c r="R256" s="127" t="str">
        <f>IF(OR(AND(PermAnalysis__7th_Type="FHFC - Workforce",PermAnalysis__7th_Mtg&gt;Max_Workforce),AND(PermAnalysis__7th_Type="FHFC - SAIL",PermAnalysis__7th_Mtg&gt;Max_SAIL+Max_ELI),AND(PermAnalysis__7th_Type="FHFC - HOME",PermAnalysis__7th_Mtg&gt;Funding!$I$129),AND(PermAnalysis__7th_Type="FHFC - Grant",PermAnalysis__7th_Mtg&gt;Funding!$H$207),AND(PermAnalysis__7th_Type="FHFC - TBD",PermAnalysis__7th_Mtg&gt;Funding!$I$273)),"The Request Amount is greater than the maximum allowed.","")</f>
        <v/>
      </c>
      <c r="X256" s="551" t="str">
        <f>IF(ISERROR(SEARCH("Deferred Development Costs",PermAnalysis__7th_Type)),PermAnalysis__7th_Mtg,0)</f>
        <v/>
      </c>
    </row>
    <row r="257" spans="2:24">
      <c r="B257" s="123"/>
      <c r="C257" s="123"/>
      <c r="D257" s="123"/>
      <c r="E257" s="123"/>
      <c r="F257" s="123"/>
      <c r="G257" s="121"/>
      <c r="H257" s="162"/>
      <c r="I257" s="123"/>
      <c r="J257" s="123"/>
      <c r="K257" s="145"/>
      <c r="L257" s="145"/>
      <c r="M257" s="145"/>
      <c r="N257" s="123"/>
      <c r="O257" s="133"/>
      <c r="P257" s="133"/>
      <c r="Q257" s="127"/>
      <c r="R257" s="126"/>
      <c r="X257" s="550"/>
    </row>
    <row r="258" spans="2:24">
      <c r="B258" s="156" t="str">
        <f>IF(DS_FHFC_Source_2_Name="","",MAX(B$243:B257)+1)</f>
        <v/>
      </c>
      <c r="C258" s="123" t="str">
        <f>C204</f>
        <v xml:space="preserve"> Financing</v>
      </c>
      <c r="G258" s="121" t="s">
        <v>1398</v>
      </c>
      <c r="H258" s="1422" t="str">
        <f>ConstrAnalysis__8th_Mtg</f>
        <v/>
      </c>
      <c r="I258" s="123"/>
      <c r="J258" s="122"/>
      <c r="K258" s="3337" t="str">
        <f>ConstrAnalysis__8th_Type</f>
        <v>Enter request on Funding Tab</v>
      </c>
      <c r="L258" s="3337"/>
      <c r="M258" s="3337"/>
      <c r="N258" s="3337"/>
      <c r="O258" s="133"/>
      <c r="P258" s="133"/>
      <c r="Q258" s="152">
        <f>IF(N(K$38)=0,0,N(H258)/K$38)</f>
        <v>0</v>
      </c>
      <c r="R258" s="127" t="str">
        <f>IF(OR(AND(PermAnalysis__8th_Type="FHFC - Workforce",PermAnalysis__8th_Mtg&gt;Max_Workforce),AND(PermAnalysis__8th_Type="FHFC - SAIL",PermAnalysis__8th_Mtg&gt;Max_SAIL+Max_ELI),AND(PermAnalysis__8th_Type="FHFC - HOME",PermAnalysis__8th_Mtg&gt;Funding!$I$129),AND(PermAnalysis__8th_Type="FHFC - Grant",PermAnalysis__8th_Mtg&gt;Funding!$H$207),AND(PermAnalysis__8th_Type="FHFC - TBD",PermAnalysis__8th_Mtg&gt;Funding!$I$273)),"The Request Amount is greater than the maximum allowed.","")</f>
        <v/>
      </c>
      <c r="X258" s="551" t="str">
        <f>IF(ISERROR(SEARCH("Deferred Development Costs",PermAnalysis__8th_Type)),PermAnalysis__8th_Mtg,0)</f>
        <v/>
      </c>
    </row>
    <row r="259" spans="2:24">
      <c r="B259" s="123"/>
      <c r="C259" s="123"/>
      <c r="D259" s="123"/>
      <c r="E259" s="123"/>
      <c r="F259" s="123"/>
      <c r="G259" s="121"/>
      <c r="H259" s="162"/>
      <c r="I259" s="123"/>
      <c r="J259" s="122"/>
      <c r="K259" s="145"/>
      <c r="L259" s="145"/>
      <c r="M259" s="145"/>
      <c r="N259" s="123"/>
      <c r="O259" s="133"/>
      <c r="P259" s="133"/>
      <c r="Q259" s="127"/>
      <c r="X259" s="550"/>
    </row>
    <row r="260" spans="2:24">
      <c r="B260" s="156" t="str">
        <f>IF(DS_FHFC_Source_3_Name="","",MAX(B$243:B259)+1)</f>
        <v/>
      </c>
      <c r="C260" s="123" t="str">
        <f>C206</f>
        <v xml:space="preserve"> Financing</v>
      </c>
      <c r="D260" s="123"/>
      <c r="E260" s="123"/>
      <c r="F260" s="123"/>
      <c r="G260" s="121" t="s">
        <v>1398</v>
      </c>
      <c r="H260" s="1422" t="str">
        <f>ConstrAnalysis__9th_Mtg</f>
        <v/>
      </c>
      <c r="I260" s="123"/>
      <c r="J260" s="122"/>
      <c r="K260" s="3337" t="str">
        <f>ConstrAnalysis__9th_Type</f>
        <v>Enter request on Funding Tab</v>
      </c>
      <c r="L260" s="3337"/>
      <c r="M260" s="3337"/>
      <c r="N260" s="3337"/>
      <c r="O260" s="133"/>
      <c r="P260" s="133"/>
      <c r="Q260" s="152">
        <f>IF(N(K$38)=0,0,N(H260)/K$38)</f>
        <v>0</v>
      </c>
      <c r="R260" s="127" t="str">
        <f>IF(OR(AND(PermAnalysis__9th_Type="FHFC - Workforce",PermAnalysis__9th_Mtg&gt;Max_Workforce),AND(PermAnalysis__9th_Type="FHFC - SAIL",PermAnalysis__9th_Mtg&gt;Max_SAIL+Max_ELI),AND(PermAnalysis__9th_Type="FHFC - HOME",PermAnalysis__9th_Mtg&gt;Funding!$I$129),AND(PermAnalysis__9th_Type="FHFC - Grant",PermAnalysis__9th_Mtg&gt;Funding!$H$207),AND(PermAnalysis__9th_Type="FHFC - TBD",PermAnalysis__9th_Mtg&gt;Funding!$I$273)),"The Request Amount is greater than the maximum allowed.","")</f>
        <v/>
      </c>
      <c r="X260" s="551" t="str">
        <f>IF(ISERROR(SEARCH("Deferred Development Costs",PermAnalysis__9th_Type)),PermAnalysis__9th_Mtg,0)</f>
        <v/>
      </c>
    </row>
    <row r="261" spans="2:24">
      <c r="B261" s="123"/>
      <c r="C261" s="123"/>
      <c r="D261" s="123"/>
      <c r="E261" s="123"/>
      <c r="F261" s="123"/>
      <c r="G261" s="123"/>
      <c r="H261" s="177"/>
      <c r="I261" s="123"/>
      <c r="J261" s="122"/>
      <c r="K261" s="145"/>
      <c r="L261" s="145"/>
      <c r="M261" s="145"/>
      <c r="N261" s="123"/>
      <c r="O261" s="133"/>
      <c r="P261" s="133"/>
      <c r="Q261" s="127"/>
      <c r="X261" s="550"/>
    </row>
    <row r="262" spans="2:24">
      <c r="B262" s="156" t="str">
        <f>IF(DS_FHFC_Source_4_Name="","",MAX(B$243:B261)+1)</f>
        <v/>
      </c>
      <c r="C262" s="123" t="str">
        <f>C208</f>
        <v xml:space="preserve"> Financing</v>
      </c>
      <c r="D262" s="123"/>
      <c r="E262" s="123"/>
      <c r="F262" s="123"/>
      <c r="G262" s="121" t="s">
        <v>1398</v>
      </c>
      <c r="H262" s="1422" t="str">
        <f>ConstrAnalysis_10th_Mtg</f>
        <v/>
      </c>
      <c r="I262" s="123"/>
      <c r="J262" s="122"/>
      <c r="K262" s="3337" t="str">
        <f>ConstrAnalysis_10th_Type</f>
        <v>Enter request on Funding Tab</v>
      </c>
      <c r="L262" s="3337"/>
      <c r="M262" s="3337"/>
      <c r="N262" s="3337"/>
      <c r="O262" s="133"/>
      <c r="P262" s="133"/>
      <c r="Q262" s="152">
        <f>IF(N(K$38)=0,0,N(H262)/K$38)</f>
        <v>0</v>
      </c>
      <c r="R262" s="127" t="str">
        <f>IF(OR(AND(PermAnalysis_10th_Type="FHFC - Workforce",PermAnalysis_10th_Mtg&gt;Max_Workforce),AND(PermAnalysis_10th_Type="FHFC - SAIL",PermAnalysis_10th_Mtg&gt;Max_SAIL+Max_ELI),AND(PermAnalysis_10th_Type="FHFC - HOME",PermAnalysis_10th_Mtg&gt;Funding!$I$129),AND(PermAnalysis_10th_Type="FHFC - Grant",PermAnalysis_10th_Mtg&gt;Funding!$H$207),AND(PermAnalysis_10th_Type="FHFC - TBD",PermAnalysis_10th_Mtg&gt;Funding!$I$273)),"The Request Amount is greater than the maximum allowed.","")</f>
        <v/>
      </c>
      <c r="X262" s="551" t="str">
        <f>IF(ISERROR(SEARCH("Deferred Development Costs",PermAnalysis_10th_Type)),PermAnalysis_10th_Mtg,0)</f>
        <v/>
      </c>
    </row>
    <row r="263" spans="2:24">
      <c r="B263" s="123"/>
      <c r="C263" s="123"/>
      <c r="D263" s="123"/>
      <c r="E263" s="123"/>
      <c r="F263" s="123"/>
      <c r="G263" s="123"/>
      <c r="H263" s="157"/>
      <c r="I263" s="123"/>
      <c r="J263" s="122"/>
      <c r="K263" s="160"/>
      <c r="L263" s="159"/>
      <c r="M263" s="123"/>
      <c r="O263" s="133"/>
      <c r="P263" s="133"/>
      <c r="X263" s="550"/>
    </row>
    <row r="264" spans="2:24">
      <c r="B264" s="2158">
        <f>IF(E41=3,MAX(B$243:B263)+1,"")</f>
        <v>7</v>
      </c>
      <c r="C264" s="2159" t="str">
        <f>IF(E41=3,"HC Syndication/HC Equity Proceeds","This section intentionally left blank.")</f>
        <v>HC Syndication/HC Equity Proceeds</v>
      </c>
      <c r="D264" s="2159"/>
      <c r="E264" s="2159"/>
      <c r="F264" s="2159"/>
      <c r="G264" s="2164" t="s">
        <v>1398</v>
      </c>
      <c r="H264" s="2169"/>
      <c r="I264" s="2159"/>
      <c r="J264" s="2166"/>
      <c r="K264" s="2167"/>
      <c r="L264" s="2168"/>
      <c r="M264" s="2159"/>
      <c r="N264" s="1384"/>
      <c r="O264" s="2163"/>
      <c r="P264" s="2170" t="str">
        <f>IF(AND(OR(Competitive_HC_Request_Amount&gt;0,Non_Competitive_HC_Request_Amount&gt;0),PermAnalysis_HC=0),"**","")</f>
        <v/>
      </c>
      <c r="Q264" s="2171">
        <f>IF(N(K$38)=0,0,N(H264)/K$38)</f>
        <v>0</v>
      </c>
      <c r="R264" s="3397" t="s">
        <v>1490</v>
      </c>
      <c r="S264" s="3397"/>
      <c r="T264" s="3397"/>
      <c r="U264" s="3397"/>
      <c r="V264" s="3397"/>
      <c r="W264" s="3397"/>
      <c r="X264" s="550"/>
    </row>
    <row r="265" spans="2:24">
      <c r="B265" s="161"/>
      <c r="G265" s="121"/>
      <c r="H265" s="157"/>
      <c r="I265" s="123"/>
      <c r="J265" s="122"/>
      <c r="K265" s="160"/>
      <c r="L265" s="159"/>
      <c r="M265" s="123"/>
      <c r="O265" s="133"/>
      <c r="P265" s="133"/>
      <c r="R265" s="3398"/>
      <c r="S265" s="3398"/>
      <c r="T265" s="3398"/>
      <c r="U265" s="3398"/>
      <c r="V265" s="3398"/>
      <c r="W265" s="3398"/>
      <c r="X265" s="550"/>
    </row>
    <row r="266" spans="2:24">
      <c r="B266" s="156">
        <f>MAX(B$243:B265)+1</f>
        <v>8</v>
      </c>
      <c r="C266" s="161" t="s">
        <v>1457</v>
      </c>
      <c r="D266" s="123"/>
      <c r="E266" s="3387"/>
      <c r="F266" s="3387"/>
      <c r="G266" s="121" t="s">
        <v>1398</v>
      </c>
      <c r="H266" s="155"/>
      <c r="I266" s="123"/>
      <c r="J266" s="122"/>
      <c r="K266" s="3338" t="s">
        <v>697</v>
      </c>
      <c r="L266" s="3338"/>
      <c r="M266" s="3338"/>
      <c r="N266" s="3338"/>
      <c r="O266" s="133"/>
      <c r="P266" s="694" t="s">
        <v>59</v>
      </c>
      <c r="Q266" s="152">
        <f>IF(N(K$38)=0,0,N(H266)/K$38)</f>
        <v>0</v>
      </c>
      <c r="R266" s="127"/>
      <c r="X266" s="551">
        <f>IF(ISERROR(SEARCH("Deferred Development Costs",PermAnalysis_Other_1_Type)),PermAnalysis_other1,0)</f>
        <v>0</v>
      </c>
    </row>
    <row r="267" spans="2:24">
      <c r="B267" s="123"/>
      <c r="H267" s="150"/>
      <c r="J267" s="122"/>
      <c r="K267" s="160"/>
      <c r="L267" s="159"/>
      <c r="M267" s="123"/>
      <c r="O267" s="133"/>
      <c r="P267" s="133"/>
      <c r="X267" s="550"/>
    </row>
    <row r="268" spans="2:24">
      <c r="B268" s="156">
        <f>MAX(B$243:B267)+1</f>
        <v>9</v>
      </c>
      <c r="C268" s="123" t="s">
        <v>1457</v>
      </c>
      <c r="D268" s="123"/>
      <c r="E268" s="3387"/>
      <c r="F268" s="3387"/>
      <c r="G268" s="121" t="s">
        <v>1398</v>
      </c>
      <c r="H268" s="155"/>
      <c r="I268" s="123"/>
      <c r="J268" s="122"/>
      <c r="K268" s="3338" t="s">
        <v>697</v>
      </c>
      <c r="L268" s="3338"/>
      <c r="M268" s="3338"/>
      <c r="N268" s="3338"/>
      <c r="O268" s="133"/>
      <c r="P268" s="694" t="s">
        <v>59</v>
      </c>
      <c r="Q268" s="152">
        <f>IF(N(K$38)=0,0,N(H268)/K$38)</f>
        <v>0</v>
      </c>
      <c r="X268" s="551">
        <f>IF(ISERROR(SEARCH("Deferred Development Costs",PermAnalysis_Other_2_Type)),PermAnalysis_other2,0)</f>
        <v>0</v>
      </c>
    </row>
    <row r="269" spans="2:24" ht="12.75" customHeight="1">
      <c r="B269" s="151"/>
      <c r="C269" s="123"/>
      <c r="D269" s="123"/>
      <c r="E269" s="158"/>
      <c r="F269" s="158"/>
      <c r="H269" s="157"/>
      <c r="I269" s="123"/>
      <c r="J269" s="154"/>
      <c r="K269" s="154"/>
      <c r="L269" s="154"/>
      <c r="M269" s="154"/>
      <c r="N269" s="154"/>
      <c r="O269" s="154"/>
      <c r="P269" s="154"/>
      <c r="X269" s="550"/>
    </row>
    <row r="270" spans="2:24">
      <c r="B270" s="156">
        <f>MAX(B$243:B269)+1</f>
        <v>10</v>
      </c>
      <c r="C270" s="123" t="s">
        <v>1480</v>
      </c>
      <c r="D270" s="123"/>
      <c r="E270" s="123"/>
      <c r="F270" s="123"/>
      <c r="G270" s="121" t="s">
        <v>1398</v>
      </c>
      <c r="H270" s="2175" t="str">
        <f>IFERROR(MAX(MIN(H240-IF(E41=3,SUM(H244:H268),SUM(H244:H262,H266:H268)),N(Developer_fee_total)),0),"")</f>
        <v/>
      </c>
      <c r="I270" s="123"/>
      <c r="J270" s="1469" t="s">
        <v>1398</v>
      </c>
      <c r="K270" s="2174">
        <f>N(Developer_fee_total)-N(PermAnalysis_deferredfee)</f>
        <v>0</v>
      </c>
      <c r="L270" s="3446" t="s">
        <v>2142</v>
      </c>
      <c r="M270" s="3446"/>
      <c r="N270" s="3446"/>
      <c r="O270" s="154"/>
      <c r="P270" s="154"/>
      <c r="Q270" s="152">
        <f>IF(N(K$38)=0,0,N(H270)/K$38)</f>
        <v>0</v>
      </c>
      <c r="R270" s="3452" t="s">
        <v>2084</v>
      </c>
      <c r="S270" s="3452"/>
      <c r="T270" s="3452"/>
      <c r="U270" s="3452"/>
      <c r="V270" s="3452"/>
      <c r="W270" s="3453"/>
      <c r="X270" s="553"/>
    </row>
    <row r="271" spans="2:24">
      <c r="B271" s="123"/>
      <c r="H271" s="211"/>
      <c r="I271" s="123"/>
      <c r="J271" s="1467"/>
      <c r="K271" s="1468"/>
      <c r="L271" s="3446"/>
      <c r="M271" s="3446"/>
      <c r="N271" s="3446"/>
      <c r="O271" s="154"/>
      <c r="P271" s="154"/>
      <c r="X271" s="550"/>
    </row>
    <row r="272" spans="2:24" ht="13.5" thickBot="1">
      <c r="B272" s="153">
        <f>MAX(B$243:B271)+1</f>
        <v>11</v>
      </c>
      <c r="C272" s="130" t="s">
        <v>1491</v>
      </c>
      <c r="D272" s="123"/>
      <c r="E272" s="123"/>
      <c r="F272" s="123"/>
      <c r="G272" s="121" t="s">
        <v>1398</v>
      </c>
      <c r="H272" s="2173" t="str">
        <f>IF(SUM(H243:H271)&lt;1,"",IF(E41=3,SUM(H243:H271),SUM(H243:H262,H266:H271)))</f>
        <v/>
      </c>
      <c r="L272" s="123"/>
      <c r="M272" s="123"/>
      <c r="O272" s="133"/>
      <c r="P272" s="133"/>
      <c r="Q272" s="152">
        <f>IF(N(K$38)=0,0,N(H272)/K$38)</f>
        <v>0</v>
      </c>
      <c r="X272" s="554">
        <f>SUM(X244:X268)</f>
        <v>0</v>
      </c>
    </row>
    <row r="273" spans="1:23" ht="13.5" customHeight="1" thickTop="1">
      <c r="B273" s="151"/>
      <c r="C273" s="123"/>
      <c r="D273" s="123"/>
      <c r="E273" s="123"/>
      <c r="F273" s="123"/>
      <c r="G273" s="121"/>
      <c r="H273" s="150"/>
      <c r="L273" s="123"/>
      <c r="M273" s="123"/>
      <c r="O273" s="133"/>
      <c r="P273" s="133"/>
    </row>
    <row r="274" spans="1:23">
      <c r="B274" s="147" t="s">
        <v>1426</v>
      </c>
      <c r="C274" s="130" t="s">
        <v>1492</v>
      </c>
      <c r="D274" s="130"/>
      <c r="E274" s="130"/>
      <c r="F274" s="130"/>
      <c r="G274" s="123"/>
      <c r="H274" s="149"/>
      <c r="I274" s="123"/>
      <c r="J274" s="145"/>
      <c r="K274" s="145"/>
      <c r="L274" s="123"/>
      <c r="M274" s="123"/>
      <c r="O274" s="133"/>
      <c r="P274" s="133"/>
      <c r="W274" s="215"/>
    </row>
    <row r="275" spans="1:23">
      <c r="B275" s="147"/>
      <c r="C275" s="130"/>
      <c r="D275" s="148" t="str">
        <f>"(B."&amp;TEXT(B272,"0")&amp;". "&amp;C272&amp;", "</f>
        <v xml:space="preserve">(B.11. Total Permanent Funding Sources, </v>
      </c>
      <c r="E275" s="130"/>
      <c r="F275" s="130"/>
      <c r="G275" s="123"/>
      <c r="H275" s="149"/>
      <c r="I275" s="123"/>
      <c r="J275" s="145"/>
      <c r="K275" s="145"/>
      <c r="L275" s="123"/>
      <c r="M275" s="123"/>
      <c r="O275" s="133"/>
      <c r="P275" s="135" t="str">
        <f>IF(N(H276)&lt;0,"**","")</f>
        <v/>
      </c>
      <c r="W275" s="215"/>
    </row>
    <row r="276" spans="1:23" ht="13.5" thickBot="1">
      <c r="B276" s="147"/>
      <c r="C276" s="130"/>
      <c r="D276" s="148" t="str">
        <f>" less "&amp;B240&amp;" "&amp;C240&amp;"):"</f>
        <v xml:space="preserve"> less A. Total Development Costs):</v>
      </c>
      <c r="E276" s="130"/>
      <c r="F276" s="130"/>
      <c r="G276" s="147" t="s">
        <v>1398</v>
      </c>
      <c r="H276" s="146" t="str">
        <f>IF(AND(N(H272)=0,N(H240)=0),"",N(H272)-N(H240))</f>
        <v/>
      </c>
      <c r="I276" s="123"/>
      <c r="J276" s="145" t="s">
        <v>1483</v>
      </c>
      <c r="K276" s="123"/>
      <c r="O276" s="133"/>
      <c r="P276" s="133"/>
      <c r="Q276" s="116" t="str">
        <f>IF(N(H276)=0,"Permanent Funding Sources are equal to Total Development Costs.",IF(N(H276)&lt;0,"There is a shortfall in Permanent Funding Sources which must be corrected.","There is a surplus of Permanent Funding Sources which is permitted at time of Application."))</f>
        <v>Permanent Funding Sources are equal to Total Development Costs.</v>
      </c>
      <c r="W276" s="215"/>
    </row>
    <row r="277" spans="1:23" ht="8.1" customHeight="1" thickTop="1">
      <c r="B277" s="147"/>
      <c r="C277" s="130"/>
      <c r="D277" s="148"/>
      <c r="E277" s="130"/>
      <c r="F277" s="130"/>
      <c r="G277" s="147"/>
      <c r="H277" s="162"/>
      <c r="I277" s="123"/>
      <c r="J277" s="145"/>
      <c r="K277" s="123"/>
      <c r="O277" s="133"/>
      <c r="P277" s="133"/>
      <c r="W277" s="215"/>
    </row>
    <row r="278" spans="1:23" ht="12.75" customHeight="1" thickBot="1">
      <c r="B278" s="147"/>
      <c r="C278" s="130"/>
      <c r="D278" s="148"/>
      <c r="E278" s="130"/>
      <c r="F278" s="130"/>
      <c r="G278" s="147"/>
      <c r="H278" s="162"/>
      <c r="I278" s="123"/>
      <c r="J278" s="145"/>
      <c r="K278" s="123"/>
      <c r="L278" s="378" t="s">
        <v>1493</v>
      </c>
      <c r="M278" s="3339" t="str">
        <f>IF(PermAnalysis_surplus="","",IF(PermAnalysis_surplus&gt;=0,"Yes","No"))</f>
        <v/>
      </c>
      <c r="N278" s="3339"/>
      <c r="O278" s="133"/>
      <c r="P278" s="133"/>
      <c r="W278" s="215"/>
    </row>
    <row r="279" spans="1:23" ht="8.1" customHeight="1">
      <c r="B279" s="130"/>
      <c r="C279" s="130"/>
      <c r="D279" s="123"/>
      <c r="E279" s="130"/>
      <c r="F279" s="130"/>
      <c r="G279" s="121"/>
      <c r="I279" s="123"/>
      <c r="J279" s="123"/>
      <c r="K279" s="123"/>
      <c r="O279" s="133"/>
      <c r="P279" s="133"/>
    </row>
    <row r="280" spans="1:23" ht="13.5" thickBot="1">
      <c r="B280" s="130" t="s">
        <v>1485</v>
      </c>
      <c r="D280" s="123"/>
      <c r="E280" s="123"/>
      <c r="F280" s="123"/>
      <c r="G280" s="123"/>
      <c r="H280" s="123"/>
      <c r="I280" s="123"/>
      <c r="J280" s="123"/>
      <c r="K280" s="123"/>
      <c r="L280" s="123"/>
      <c r="M280" s="123"/>
      <c r="O280" s="133"/>
      <c r="P280" s="133"/>
    </row>
    <row r="281" spans="1:23" ht="3.75" customHeight="1">
      <c r="A281" s="134"/>
      <c r="B281" s="134"/>
      <c r="C281" s="134"/>
      <c r="D281" s="134"/>
      <c r="E281" s="134"/>
      <c r="F281" s="134"/>
      <c r="G281" s="134"/>
      <c r="H281" s="134"/>
      <c r="I281" s="134"/>
      <c r="J281" s="134"/>
      <c r="K281" s="134"/>
      <c r="L281" s="134"/>
      <c r="M281" s="134"/>
      <c r="N281" s="134"/>
      <c r="O281" s="134"/>
      <c r="P281" s="134"/>
    </row>
    <row r="282" spans="1:23">
      <c r="B282" s="130" t="str">
        <f>B$2</f>
        <v>RFA 2025-103 DEVELOPMENT COST PRO FORMA</v>
      </c>
      <c r="O282" s="133"/>
      <c r="P282" s="132" t="str">
        <f>IF(OR(AND(Funding!L$309&gt;0,Data3!H$273="No"),Data3!H$274="Yes"),"(Page 6 of 8)","(Page 6 of 7)")</f>
        <v>(Page 6 of 7)</v>
      </c>
    </row>
    <row r="284" spans="1:23">
      <c r="B284" s="1411" t="s">
        <v>2048</v>
      </c>
      <c r="D284" s="131"/>
      <c r="E284" s="131"/>
      <c r="F284" s="131"/>
      <c r="G284" s="131"/>
      <c r="H284" s="131"/>
      <c r="I284" s="131"/>
      <c r="J284" s="131"/>
      <c r="K284" s="131"/>
      <c r="L284" s="131"/>
      <c r="M284" s="131"/>
      <c r="N284" s="131"/>
      <c r="O284" s="131"/>
    </row>
    <row r="285" spans="1:23">
      <c r="B285" s="1411" t="s">
        <v>2049</v>
      </c>
      <c r="D285" s="131"/>
      <c r="E285" s="131"/>
      <c r="F285" s="131"/>
      <c r="G285" s="131"/>
      <c r="H285" s="131"/>
      <c r="I285" s="131"/>
      <c r="J285" s="131"/>
      <c r="K285" s="131"/>
      <c r="L285" s="131"/>
      <c r="M285" s="131"/>
      <c r="N285" s="131"/>
      <c r="O285" s="131"/>
    </row>
    <row r="286" spans="1:23">
      <c r="B286" s="1411" t="s">
        <v>2052</v>
      </c>
      <c r="D286" s="131"/>
      <c r="E286" s="131"/>
      <c r="F286" s="131"/>
      <c r="G286" s="131"/>
      <c r="H286" s="131"/>
      <c r="I286" s="131"/>
      <c r="J286" s="131"/>
      <c r="K286" s="131"/>
      <c r="L286" s="131"/>
      <c r="M286" s="131"/>
      <c r="N286" s="131"/>
      <c r="O286" s="131"/>
    </row>
    <row r="287" spans="1:23">
      <c r="B287" s="1411" t="s">
        <v>2053</v>
      </c>
      <c r="D287" s="131"/>
      <c r="E287" s="131"/>
      <c r="F287" s="131"/>
      <c r="G287" s="131"/>
      <c r="H287" s="131"/>
      <c r="I287" s="131"/>
      <c r="J287" s="131"/>
      <c r="K287" s="131"/>
      <c r="L287" s="131"/>
      <c r="M287" s="131"/>
      <c r="N287" s="131"/>
      <c r="O287" s="131"/>
    </row>
    <row r="288" spans="1:23">
      <c r="B288" s="1411" t="s">
        <v>2050</v>
      </c>
      <c r="D288" s="131"/>
      <c r="E288" s="131"/>
      <c r="F288" s="131"/>
      <c r="G288" s="131"/>
      <c r="H288" s="131"/>
      <c r="I288" s="131"/>
      <c r="J288" s="131"/>
      <c r="K288" s="131"/>
      <c r="L288" s="131"/>
      <c r="M288" s="131"/>
      <c r="N288" s="131"/>
      <c r="O288" s="131"/>
    </row>
    <row r="289" spans="2:33">
      <c r="B289" s="1411" t="s">
        <v>2051</v>
      </c>
    </row>
    <row r="291" spans="2:33" ht="19.5" customHeight="1">
      <c r="C291" s="1412" t="s">
        <v>2063</v>
      </c>
      <c r="L291" s="123"/>
      <c r="M291" s="123"/>
      <c r="N291" s="123"/>
      <c r="O291" s="360"/>
    </row>
    <row r="293" spans="2:33">
      <c r="C293" s="116" t="s">
        <v>1494</v>
      </c>
      <c r="K293" s="3340" t="str">
        <f>IF(County=DS_Select_One,"County input required",County)</f>
        <v>County input required</v>
      </c>
      <c r="L293" s="3341"/>
      <c r="M293" s="3341"/>
      <c r="N293" s="1297" t="str">
        <f>IF(K293="County input required","","("&amp;VLOOKUP(K293,DS_CountyData,2)&amp;" County)")</f>
        <v/>
      </c>
    </row>
    <row r="294" spans="2:33" ht="13.5" thickBot="1">
      <c r="N294" s="129"/>
    </row>
    <row r="295" spans="2:33" ht="24.75" customHeight="1">
      <c r="C295" s="144"/>
      <c r="D295" s="3342" t="s">
        <v>2055</v>
      </c>
      <c r="E295" s="3343"/>
      <c r="F295" s="3343"/>
      <c r="G295" s="3343"/>
      <c r="H295" s="3343"/>
      <c r="I295" s="3343"/>
      <c r="J295" s="3343"/>
      <c r="K295" s="3343"/>
      <c r="L295" s="3343"/>
      <c r="M295" s="3343"/>
      <c r="N295" s="3344"/>
    </row>
    <row r="296" spans="2:33" ht="48.75" customHeight="1">
      <c r="C296" s="143"/>
      <c r="D296" s="3345" t="s">
        <v>1495</v>
      </c>
      <c r="E296" s="3346"/>
      <c r="F296" s="3346"/>
      <c r="G296" s="3347" t="s">
        <v>1496</v>
      </c>
      <c r="H296" s="3348"/>
      <c r="I296" s="3347" t="s">
        <v>1963</v>
      </c>
      <c r="J296" s="3349"/>
      <c r="K296" s="3349"/>
      <c r="L296" s="3347" t="s">
        <v>1497</v>
      </c>
      <c r="M296" s="3349"/>
      <c r="N296" s="3450"/>
    </row>
    <row r="297" spans="2:33" ht="20.100000000000001" customHeight="1">
      <c r="C297" s="141"/>
      <c r="D297" s="3350" t="s">
        <v>1498</v>
      </c>
      <c r="E297" s="3351"/>
      <c r="F297" s="3351"/>
      <c r="G297" s="3352" t="str">
        <f>IF(AND(Garden_non_ESS_NC_units=0,SiF_Non_ESS_NC_Units=0,Other_Non_ESS_NC_units=0),"",Garden_non_ESS_NC_units+SiF_Non_ESS_NC_Units+Other_Non_ESS_NC_units)</f>
        <v/>
      </c>
      <c r="H297" s="3353" t="str">
        <f>IF(AND(Garden_non_ESS_NC_units=0,SiF_Non_ESS_NC_Units=0,Other_Non_ESS_NC_units=0),"",Garden_non_ESS_NC_units+SiF_Non_ESS_NC_Units+Other_Non_ESS_NC_units)</f>
        <v/>
      </c>
      <c r="I297" s="3354" t="str">
        <f>IF(G297="","",IF(County=DS_Select_One,"County input required",IF(OR(County="Broward",County="Miami-Dade",County="Palm Beach"),DS_HC_SFNCGAW,DS_HC_PFNCGAW)))</f>
        <v/>
      </c>
      <c r="J297" s="3451"/>
      <c r="K297" s="3451"/>
      <c r="L297" s="3354" t="str">
        <f t="shared" ref="L297:L303" si="0">IF(OR(G$304="",G297="",County=DS_Select_One),"",G297*I297/G$304)</f>
        <v/>
      </c>
      <c r="M297" s="3355"/>
      <c r="N297" s="3356"/>
    </row>
    <row r="298" spans="2:33" ht="20.100000000000001" customHeight="1">
      <c r="C298" s="141"/>
      <c r="D298" s="3350" t="s">
        <v>1499</v>
      </c>
      <c r="E298" s="3351"/>
      <c r="F298" s="3351"/>
      <c r="G298" s="3352" t="str">
        <f>IF(AND(Garden_ESS_NC_units=0,SiF_ESS_NC_Units=0,Other_ESS_NC_units=0),"",Garden_ESS_NC_units+SiF_ESS_NC_Units+Other_ESS_NC_units)</f>
        <v/>
      </c>
      <c r="H298" s="3353"/>
      <c r="I298" s="3354" t="str">
        <f>IF(G298="","",IF(County=DS_Select_One,"County input required",IF(OR(County="Broward",County="Miami-Dade",County="Palm Beach"),DS_HC_SFNCGAE,DS_HC_PFNCGAE)))</f>
        <v/>
      </c>
      <c r="J298" s="3355"/>
      <c r="K298" s="3355"/>
      <c r="L298" s="3354" t="str">
        <f t="shared" si="0"/>
        <v/>
      </c>
      <c r="M298" s="3355"/>
      <c r="N298" s="3356"/>
      <c r="P298" s="1301"/>
      <c r="Q298" s="1296"/>
      <c r="R298" s="1299"/>
    </row>
    <row r="299" spans="2:33" ht="20.100000000000001" customHeight="1">
      <c r="C299" s="141"/>
      <c r="D299" s="3350" t="s">
        <v>1500</v>
      </c>
      <c r="E299" s="3351"/>
      <c r="F299" s="3351"/>
      <c r="G299" s="3352" t="str">
        <f>IF(MR_Non_ESS_NC_units=0,"",MR_Non_ESS_NC_units)</f>
        <v/>
      </c>
      <c r="H299" s="3353"/>
      <c r="I299" s="3354" t="str">
        <f>IF(G299="","",IF(County=DS_Select_One,"County input required",IF(OR(County="Broward",County="Miami-Dade",County="Palm Beach"),DS_HC_SFNCMRW,DS_HC_PFNCMRW)))</f>
        <v/>
      </c>
      <c r="J299" s="3355"/>
      <c r="K299" s="3355"/>
      <c r="L299" s="3357" t="str">
        <f t="shared" si="0"/>
        <v/>
      </c>
      <c r="M299" s="3358"/>
      <c r="N299" s="3359"/>
    </row>
    <row r="300" spans="2:33" ht="20.100000000000001" customHeight="1">
      <c r="C300" s="141"/>
      <c r="D300" s="3350" t="s">
        <v>1501</v>
      </c>
      <c r="E300" s="3351"/>
      <c r="F300" s="3351"/>
      <c r="G300" s="3352" t="str">
        <f>IF(MR_ESS_NC_units=0,"",MR_ESS_NC_units)</f>
        <v/>
      </c>
      <c r="H300" s="3353"/>
      <c r="I300" s="3354" t="str">
        <f>IF(G300="","",IF(County=DS_Select_One,"County input required",IF(OR(County="Broward",County="Miami-Dade",County="Palm Beach"),DS_HC_SFNCMRE,DS_HC_PFNCMRE)))</f>
        <v/>
      </c>
      <c r="J300" s="3355"/>
      <c r="K300" s="3355"/>
      <c r="L300" s="3357" t="str">
        <f t="shared" si="0"/>
        <v/>
      </c>
      <c r="M300" s="3358"/>
      <c r="N300" s="3359"/>
    </row>
    <row r="301" spans="2:33" ht="20.100000000000001" customHeight="1">
      <c r="C301" s="141"/>
      <c r="D301" s="3350" t="s">
        <v>1502</v>
      </c>
      <c r="E301" s="3351"/>
      <c r="F301" s="3351"/>
      <c r="G301" s="3352" t="str">
        <f>IF(HR_ESS_NC_units=0,"",HR_ESS_NC_units)</f>
        <v/>
      </c>
      <c r="H301" s="3353"/>
      <c r="I301" s="3354" t="str">
        <f>IF(G301="","",IF(County=DS_Select_One,"County input required",IF(OR(County="Broward",County="Miami-Dade",County="Palm Beach"),DS_HC_SFNCHRE,DS_HC_PFNCHRE)))</f>
        <v/>
      </c>
      <c r="J301" s="3355"/>
      <c r="K301" s="3355"/>
      <c r="L301" s="3357" t="str">
        <f t="shared" si="0"/>
        <v/>
      </c>
      <c r="M301" s="3358"/>
      <c r="N301" s="3359"/>
      <c r="T301" s="1384"/>
      <c r="U301" s="1384"/>
      <c r="V301" s="1384"/>
      <c r="W301" s="1384"/>
      <c r="X301" s="1384"/>
      <c r="Y301" s="1384"/>
      <c r="Z301" s="1384"/>
      <c r="AA301" s="1384"/>
      <c r="AB301" s="1384"/>
      <c r="AC301" s="1384"/>
      <c r="AD301" s="1384"/>
      <c r="AE301" s="1384"/>
      <c r="AF301" s="1384"/>
      <c r="AG301" s="1384"/>
    </row>
    <row r="302" spans="2:33" ht="20.100000000000001" customHeight="1">
      <c r="C302" s="141"/>
      <c r="D302" s="3350" t="s">
        <v>1503</v>
      </c>
      <c r="E302" s="3351"/>
      <c r="F302" s="3351"/>
      <c r="G302" s="3352" t="str">
        <f>IF(AND(Garden_ESS_AR_units=0,Garden_non_ESS_AR_units=0,Other_ESS_AR_units=0,Other_non_ESS_AR_units=0,Garden_ESS_Rehab_units=0,Garden_non_ESS_Rehab_units=0,Other_ESS_Rehab_units=0,Other_non_ESS_Rehab_units=0),"",Garden_ESS_AR_units+Garden_non_ESS_AR_units+Other_ESS_AR_units+Other_non_ESS_AR_units+Garden_ESS_Rehab_units+Garden_non_ESS_Rehab_units+Other_ESS_Rehab_units+Other_non_ESS_Rehab_units)</f>
        <v/>
      </c>
      <c r="H302" s="3353"/>
      <c r="I302" s="3354" t="str">
        <f>IF(G302="","",IF(County=DS_Select_One,"County input required",IF(OR(County="Broward",County="Miami-Dade",County="Palm Beach"),DS_HC_SFRCGA,DS_HC_PFRCGA)))</f>
        <v/>
      </c>
      <c r="J302" s="3355"/>
      <c r="K302" s="3355"/>
      <c r="L302" s="3357" t="str">
        <f t="shared" si="0"/>
        <v/>
      </c>
      <c r="M302" s="3358"/>
      <c r="N302" s="3359"/>
      <c r="P302" s="1301"/>
      <c r="Q302" s="1303"/>
      <c r="R302" s="1303"/>
      <c r="T302" s="1384"/>
      <c r="U302" s="1384"/>
      <c r="V302" s="1384"/>
      <c r="W302" s="1384"/>
      <c r="X302" s="1384"/>
      <c r="Y302" s="1384"/>
      <c r="Z302" s="1384"/>
      <c r="AA302" s="1384"/>
      <c r="AB302" s="1384"/>
      <c r="AC302" s="1384"/>
      <c r="AD302" s="1384"/>
      <c r="AE302" s="1384"/>
      <c r="AF302" s="1384"/>
      <c r="AG302" s="1384"/>
    </row>
    <row r="303" spans="2:33" ht="20.100000000000001" customHeight="1" thickBot="1">
      <c r="C303" s="141"/>
      <c r="D303" s="3456" t="s">
        <v>1504</v>
      </c>
      <c r="E303" s="3457"/>
      <c r="F303" s="3457"/>
      <c r="G303" s="3460" t="str">
        <f>IF(AND(MR_ESS_AR_units=0,MR_non_ESS_AR_units=0,MR_ESS_Rehab_units=0,MR_non_ESS_Rehab_units=0),"",MR_ESS_AR_units+MR_non_ESS_AR_units+MR_ESS_Rehab_units+MR_non_ESS_Rehab_units)</f>
        <v/>
      </c>
      <c r="H303" s="3461"/>
      <c r="I303" s="3462" t="str">
        <f>IF(G303="","",IF(County=DS_Select_One,"County input required",IF(OR(County="Broward",County="Miami-Dade",County="Palm Beach"),DS_HC_SFRCNG,DS_HC_PFRCNG)))</f>
        <v/>
      </c>
      <c r="J303" s="3463"/>
      <c r="K303" s="3464"/>
      <c r="L303" s="3465" t="str">
        <f t="shared" si="0"/>
        <v/>
      </c>
      <c r="M303" s="3466"/>
      <c r="N303" s="3467"/>
      <c r="T303" s="1384"/>
      <c r="U303" s="1384"/>
      <c r="V303" s="1384"/>
      <c r="W303" s="1384"/>
      <c r="X303" s="1384"/>
      <c r="Y303" s="1384"/>
      <c r="Z303" s="1384"/>
      <c r="AA303" s="1384"/>
      <c r="AB303" s="1384"/>
      <c r="AC303" s="1384"/>
      <c r="AD303" s="1384"/>
      <c r="AE303" s="1384"/>
      <c r="AF303" s="1384"/>
      <c r="AG303" s="1384"/>
    </row>
    <row r="304" spans="2:33" ht="30" customHeight="1" thickTop="1" thickBot="1">
      <c r="C304" s="139"/>
      <c r="D304" s="3454" t="s">
        <v>2056</v>
      </c>
      <c r="E304" s="3455"/>
      <c r="F304" s="3455"/>
      <c r="G304" s="3325" t="str">
        <f>IF(SUM(G297:G303)&gt;0,SUM(G297:G303),"")</f>
        <v/>
      </c>
      <c r="H304" s="3326"/>
      <c r="I304" s="3327"/>
      <c r="J304" s="3328"/>
      <c r="K304" s="3328"/>
      <c r="L304" s="3329" t="str">
        <f>IF(G304="","",SUM(L297:L303))</f>
        <v/>
      </c>
      <c r="M304" s="3330"/>
      <c r="N304" s="3331"/>
      <c r="P304" s="1300"/>
      <c r="Q304" s="1299"/>
      <c r="R304" s="1299"/>
      <c r="S304" s="1161"/>
      <c r="T304" s="1384"/>
      <c r="U304" s="1407"/>
      <c r="V304" s="1384"/>
      <c r="W304" s="1384"/>
      <c r="X304" s="1384"/>
      <c r="Y304" s="1384"/>
      <c r="Z304" s="1384"/>
      <c r="AA304" s="1384"/>
      <c r="AB304" s="1384"/>
      <c r="AC304" s="1384"/>
      <c r="AD304" s="1384"/>
      <c r="AE304" s="1384"/>
      <c r="AF304" s="1384"/>
      <c r="AG304" s="1384"/>
    </row>
    <row r="305" spans="3:33" ht="12.75" customHeight="1">
      <c r="C305" s="138"/>
      <c r="D305" s="3334" t="s">
        <v>2054</v>
      </c>
      <c r="E305" s="3334"/>
      <c r="F305" s="3334"/>
      <c r="G305" s="3334"/>
      <c r="H305" s="3334"/>
      <c r="I305" s="3334"/>
      <c r="J305" s="3334"/>
      <c r="K305" s="3334"/>
      <c r="L305" s="3334"/>
      <c r="M305" s="3334"/>
      <c r="N305" s="3334"/>
      <c r="R305" s="1304"/>
      <c r="T305" s="1384"/>
      <c r="U305" s="1384"/>
      <c r="V305" s="1384"/>
      <c r="W305" s="1384"/>
      <c r="X305" s="1384"/>
      <c r="Y305" s="1384"/>
      <c r="Z305" s="1384"/>
      <c r="AA305" s="1384"/>
      <c r="AB305" s="1384"/>
      <c r="AC305" s="1384"/>
      <c r="AD305" s="1384"/>
      <c r="AE305" s="1384"/>
      <c r="AF305" s="1384"/>
      <c r="AG305" s="1384"/>
    </row>
    <row r="306" spans="3:33">
      <c r="C306" s="361"/>
      <c r="D306" s="3335"/>
      <c r="E306" s="3335"/>
      <c r="F306" s="3335"/>
      <c r="G306" s="3335"/>
      <c r="H306" s="3335"/>
      <c r="I306" s="3335"/>
      <c r="J306" s="3335"/>
      <c r="K306" s="3335"/>
      <c r="L306" s="3335"/>
      <c r="M306" s="3335"/>
      <c r="N306" s="3335"/>
      <c r="Q306" s="1282"/>
      <c r="R306" s="1304"/>
      <c r="S306" s="1282"/>
      <c r="T306" s="1384"/>
      <c r="U306" s="1384"/>
      <c r="V306" s="1384"/>
      <c r="W306" s="1384"/>
      <c r="X306" s="1384"/>
      <c r="Y306" s="1384"/>
      <c r="Z306" s="1384"/>
      <c r="AA306" s="1384"/>
      <c r="AB306" s="1384"/>
      <c r="AC306" s="1384"/>
      <c r="AD306" s="1384"/>
      <c r="AE306" s="1384"/>
      <c r="AF306" s="1384"/>
      <c r="AG306" s="1384"/>
    </row>
    <row r="307" spans="3:33">
      <c r="C307" s="361"/>
      <c r="D307" s="3335"/>
      <c r="E307" s="3335"/>
      <c r="F307" s="3335"/>
      <c r="G307" s="3335"/>
      <c r="H307" s="3335"/>
      <c r="I307" s="3335"/>
      <c r="J307" s="3335"/>
      <c r="K307" s="3335"/>
      <c r="L307" s="3335"/>
      <c r="M307" s="3335"/>
      <c r="N307" s="3335"/>
      <c r="Q307" s="1282"/>
      <c r="R307" s="1304"/>
      <c r="S307" s="1282"/>
      <c r="T307" s="1384"/>
      <c r="U307" s="1384"/>
      <c r="V307" s="1384"/>
      <c r="W307" s="1384"/>
      <c r="X307" s="1384"/>
      <c r="Y307" s="1384"/>
      <c r="Z307" s="1384"/>
      <c r="AA307" s="1384"/>
      <c r="AB307" s="1384"/>
      <c r="AC307" s="1384"/>
      <c r="AD307" s="1384"/>
      <c r="AE307" s="1384"/>
      <c r="AF307" s="1384"/>
      <c r="AG307" s="1384"/>
    </row>
    <row r="308" spans="3:33">
      <c r="C308" s="361"/>
      <c r="D308" s="3335"/>
      <c r="E308" s="3335"/>
      <c r="F308" s="3335"/>
      <c r="G308" s="3335"/>
      <c r="H308" s="3335"/>
      <c r="I308" s="3335"/>
      <c r="J308" s="3335"/>
      <c r="K308" s="3335"/>
      <c r="L308" s="3335"/>
      <c r="M308" s="3335"/>
      <c r="N308" s="3335"/>
      <c r="Q308" s="1282"/>
      <c r="R308" s="1304"/>
      <c r="S308" s="1282"/>
      <c r="T308" s="1384"/>
      <c r="U308" s="1384"/>
      <c r="V308" s="1384"/>
      <c r="W308" s="1384"/>
      <c r="X308" s="1384"/>
      <c r="Y308" s="1384"/>
      <c r="Z308" s="1384"/>
      <c r="AA308" s="1384"/>
      <c r="AB308" s="1384"/>
      <c r="AC308" s="1384"/>
      <c r="AD308" s="1384"/>
      <c r="AE308" s="1384"/>
      <c r="AF308" s="1384"/>
      <c r="AG308" s="1384"/>
    </row>
    <row r="309" spans="3:33">
      <c r="C309" s="361"/>
      <c r="D309" s="361"/>
      <c r="E309" s="361"/>
      <c r="F309" s="361"/>
      <c r="G309" s="361"/>
      <c r="H309" s="361"/>
      <c r="I309" s="361"/>
      <c r="J309" s="361"/>
      <c r="K309" s="361"/>
      <c r="L309" s="361"/>
      <c r="M309" s="361"/>
      <c r="N309" s="361"/>
      <c r="R309" s="1305"/>
      <c r="T309" s="1384"/>
      <c r="U309" s="1384"/>
      <c r="V309" s="1384"/>
      <c r="W309" s="1384"/>
      <c r="X309" s="1384"/>
      <c r="Y309" s="1384"/>
      <c r="Z309" s="1384"/>
      <c r="AA309" s="1384"/>
      <c r="AB309" s="1384"/>
      <c r="AC309" s="1384"/>
      <c r="AD309" s="1384"/>
      <c r="AE309" s="1384"/>
      <c r="AF309" s="1384"/>
      <c r="AG309" s="1384"/>
    </row>
    <row r="310" spans="3:33">
      <c r="C310" s="116" t="s">
        <v>2057</v>
      </c>
      <c r="L310" s="3309">
        <f>N(Hard_Cost_PU_F)/0.75</f>
        <v>0</v>
      </c>
      <c r="M310" s="3310"/>
      <c r="N310" s="3310"/>
      <c r="R310" s="1304"/>
      <c r="T310" s="1384"/>
      <c r="U310" s="1384"/>
      <c r="V310" s="1384"/>
      <c r="W310" s="1384"/>
      <c r="X310" s="1384"/>
      <c r="Y310" s="1384"/>
      <c r="Z310" s="1384"/>
      <c r="AA310" s="1384"/>
      <c r="AB310" s="1384"/>
      <c r="AC310" s="1384"/>
      <c r="AD310" s="1384"/>
      <c r="AE310" s="1384"/>
      <c r="AF310" s="1384"/>
      <c r="AG310" s="1384"/>
    </row>
    <row r="311" spans="3:33">
      <c r="D311" s="1307" t="str">
        <f>"("&amp;TEXT(N(Hard_Cost_PU_F),"$#,##0")&amp;" Hard Cost Factor Per Unit / 75% = "&amp;TEXT(N(Hard_n_Soft_Costs),"$#,##0")&amp;")"</f>
        <v>($0 Hard Cost Factor Per Unit / 75% = $0)</v>
      </c>
      <c r="L311" s="1306"/>
      <c r="M311" s="1306"/>
      <c r="N311" s="1306"/>
      <c r="R311" s="1304"/>
      <c r="T311" s="1384"/>
      <c r="U311" s="1384"/>
      <c r="V311" s="1384"/>
      <c r="W311" s="1384"/>
      <c r="X311" s="1384"/>
      <c r="Y311" s="1384"/>
      <c r="Z311" s="1384"/>
      <c r="AA311" s="1384"/>
      <c r="AB311" s="1384"/>
      <c r="AC311" s="1384"/>
      <c r="AD311" s="1384"/>
      <c r="AE311" s="1384"/>
      <c r="AF311" s="1384"/>
      <c r="AG311" s="1384"/>
    </row>
    <row r="312" spans="3:33">
      <c r="C312" s="1384"/>
      <c r="D312" s="1384"/>
      <c r="E312" s="1384"/>
      <c r="F312" s="1384"/>
      <c r="G312" s="1384"/>
      <c r="H312" s="1384"/>
      <c r="I312" s="1384"/>
      <c r="J312" s="1384"/>
      <c r="K312" s="1384"/>
      <c r="T312" s="1384"/>
      <c r="U312" s="1384"/>
      <c r="V312" s="1408"/>
      <c r="W312" s="1384"/>
      <c r="X312" s="1384"/>
      <c r="Y312" s="1384"/>
      <c r="Z312" s="1384"/>
      <c r="AA312" s="1384"/>
      <c r="AB312" s="1384"/>
      <c r="AC312" s="1384"/>
      <c r="AD312" s="1384"/>
      <c r="AE312" s="1384"/>
      <c r="AF312" s="1384"/>
      <c r="AG312" s="1384"/>
    </row>
    <row r="313" spans="3:33" ht="6.75" customHeight="1">
      <c r="C313" s="1309"/>
      <c r="D313" s="367"/>
      <c r="E313" s="367"/>
      <c r="F313" s="367"/>
      <c r="G313" s="367"/>
      <c r="H313" s="367"/>
      <c r="I313" s="367"/>
      <c r="J313" s="367"/>
      <c r="K313" s="3332"/>
      <c r="L313" s="3332"/>
      <c r="M313" s="3332"/>
      <c r="N313" s="1310"/>
      <c r="Q313" s="1282"/>
      <c r="R313" s="1304"/>
      <c r="T313" s="1384"/>
      <c r="U313" s="1384"/>
      <c r="V313" s="1408"/>
      <c r="W313" s="1384"/>
      <c r="X313" s="1384"/>
      <c r="Y313" s="1384"/>
      <c r="Z313" s="1384"/>
      <c r="AA313" s="1384"/>
      <c r="AB313" s="1384"/>
      <c r="AC313" s="1384"/>
      <c r="AD313" s="1384"/>
      <c r="AE313" s="1384"/>
      <c r="AF313" s="1384"/>
      <c r="AG313" s="1384"/>
    </row>
    <row r="314" spans="3:33">
      <c r="C314" s="1311" t="s">
        <v>1505</v>
      </c>
      <c r="D314" s="1282"/>
      <c r="E314" s="1282"/>
      <c r="F314" s="1282"/>
      <c r="I314" s="3305" t="s">
        <v>1975</v>
      </c>
      <c r="J314" s="3305"/>
      <c r="K314" s="3305"/>
      <c r="L314" s="3305" t="s">
        <v>2039</v>
      </c>
      <c r="M314" s="3305"/>
      <c r="N314" s="3306"/>
      <c r="R314" s="1302"/>
      <c r="T314" s="1384"/>
      <c r="U314" s="1384"/>
      <c r="V314" s="1408"/>
      <c r="W314" s="1384"/>
      <c r="X314" s="1384"/>
      <c r="Y314" s="1384"/>
      <c r="Z314" s="1384"/>
      <c r="AA314" s="1384"/>
      <c r="AB314" s="1384"/>
      <c r="AC314" s="1384"/>
      <c r="AD314" s="1384"/>
      <c r="AE314" s="1384"/>
      <c r="AF314" s="1384"/>
      <c r="AG314" s="1384"/>
    </row>
    <row r="315" spans="3:33">
      <c r="C315" s="2288" t="str">
        <f>IF(AND(DS_Add_On_1_Y=1,Non_Competitive_HC_Request_Amount&gt;0),"Tax-Exempt Bond Add-On","No applicable Add-Ons")</f>
        <v>No applicable Add-Ons</v>
      </c>
      <c r="D315" s="1397"/>
      <c r="E315" s="1397"/>
      <c r="F315" s="1397"/>
      <c r="G315" s="1384"/>
      <c r="H315" s="1384"/>
      <c r="I315" s="3333" t="str">
        <f>IF(AND(DS_Add_On_1_Y=1,Non_Competitive_HC_Request_Amount&gt;0),DS_Bond_ADDON,"")</f>
        <v/>
      </c>
      <c r="J315" s="3333"/>
      <c r="K315" s="3333"/>
      <c r="L315" s="3300">
        <f>IF(OR(K293="County input required",N(Hard_Cost_PU_F)=0),0,IF(N(I315)&gt;0,N(Hard_n_Soft_Costs)+N(I315),N(Hard_n_Soft_Costs)))</f>
        <v>0</v>
      </c>
      <c r="M315" s="3301"/>
      <c r="N315" s="3302"/>
      <c r="Q315" s="1384"/>
      <c r="R315" s="1394"/>
      <c r="S315" s="127"/>
      <c r="T315" s="1384"/>
      <c r="U315" s="1409"/>
      <c r="V315" s="1384"/>
      <c r="W315" s="1384"/>
      <c r="X315" s="1384"/>
      <c r="Y315" s="1384"/>
      <c r="Z315" s="1384"/>
      <c r="AA315" s="1384"/>
      <c r="AB315" s="1384"/>
      <c r="AC315" s="1384"/>
      <c r="AD315" s="1384"/>
      <c r="AE315" s="1384"/>
      <c r="AF315" s="1384"/>
      <c r="AG315" s="1384"/>
    </row>
    <row r="316" spans="3:33">
      <c r="C316" s="2288"/>
      <c r="D316" s="1397"/>
      <c r="E316" s="1397"/>
      <c r="F316" s="1397"/>
      <c r="G316" s="1384"/>
      <c r="H316" s="1384"/>
      <c r="I316" s="3303"/>
      <c r="J316" s="3303"/>
      <c r="K316" s="3303"/>
      <c r="L316" s="3303"/>
      <c r="M316" s="3303"/>
      <c r="N316" s="3304"/>
      <c r="Q316" s="1384"/>
      <c r="R316" s="1304"/>
      <c r="T316" s="1384"/>
      <c r="U316" s="1409"/>
      <c r="V316" s="1384"/>
      <c r="W316" s="1384"/>
      <c r="X316" s="1384"/>
      <c r="Y316" s="1384"/>
      <c r="Z316" s="1384"/>
      <c r="AA316" s="1384"/>
      <c r="AB316" s="1384"/>
      <c r="AC316" s="1384"/>
      <c r="AD316" s="1384"/>
      <c r="AE316" s="1384"/>
      <c r="AF316" s="1384"/>
      <c r="AG316" s="1384"/>
    </row>
    <row r="317" spans="3:33">
      <c r="C317" s="2289" t="s">
        <v>1506</v>
      </c>
      <c r="D317" s="1397"/>
      <c r="E317" s="1397"/>
      <c r="F317" s="1397"/>
      <c r="G317" s="1384"/>
      <c r="H317" s="1384"/>
      <c r="I317" s="3305" t="s">
        <v>1507</v>
      </c>
      <c r="J317" s="3305"/>
      <c r="K317" s="3305"/>
      <c r="L317" s="3305" t="s">
        <v>2039</v>
      </c>
      <c r="M317" s="3305"/>
      <c r="N317" s="3306"/>
      <c r="Q317" s="1384"/>
      <c r="T317" s="1384"/>
      <c r="U317" s="1384"/>
      <c r="V317" s="1384"/>
      <c r="W317" s="1384"/>
      <c r="X317" s="1384"/>
      <c r="Y317" s="1384"/>
      <c r="Z317" s="1384"/>
      <c r="AA317" s="1384"/>
      <c r="AB317" s="1384"/>
      <c r="AC317" s="1384"/>
      <c r="AD317" s="1384"/>
      <c r="AE317" s="1384"/>
      <c r="AF317" s="1384"/>
      <c r="AG317" s="1384"/>
    </row>
    <row r="318" spans="3:33">
      <c r="C318" s="2290" t="str">
        <f>Multiplier_1</f>
        <v>Demographic Multiplier</v>
      </c>
      <c r="D318" s="1397"/>
      <c r="E318" s="1397"/>
      <c r="F318" s="1397"/>
      <c r="G318" s="1384"/>
      <c r="H318" s="1384"/>
      <c r="I318" s="3294">
        <f>Multiplier_1_Value</f>
        <v>0.85</v>
      </c>
      <c r="J318" s="3294"/>
      <c r="K318" s="3294"/>
      <c r="L318" s="3301">
        <f>IF($K$293="County input required",0,IF(N(I318)&gt;0,N(L315)/N(I318),N(L315)))</f>
        <v>0</v>
      </c>
      <c r="M318" s="3301"/>
      <c r="N318" s="3302"/>
      <c r="P318" s="128"/>
      <c r="Q318" s="1384"/>
      <c r="R318" s="420"/>
      <c r="T318" s="1384"/>
      <c r="U318" s="1404"/>
      <c r="V318" s="1384"/>
      <c r="W318" s="1384"/>
      <c r="X318" s="1384"/>
      <c r="Y318" s="1384"/>
      <c r="Z318" s="1384"/>
      <c r="AA318" s="1384"/>
      <c r="AB318" s="1384"/>
      <c r="AC318" s="1384"/>
      <c r="AD318" s="1384"/>
      <c r="AE318" s="1384"/>
      <c r="AF318" s="1384"/>
      <c r="AG318" s="1384"/>
    </row>
    <row r="319" spans="3:33">
      <c r="C319" s="2291" t="str">
        <f>Multiplier_2</f>
        <v>PDD/PDC/HH Unit Multiplier (1)(&lt;51 Units)</v>
      </c>
      <c r="D319" s="1397"/>
      <c r="E319" s="1397"/>
      <c r="F319" s="1397"/>
      <c r="G319" s="1384"/>
      <c r="H319" s="1384"/>
      <c r="I319" s="3294">
        <f>Multiplier_2_Value</f>
        <v>0.85</v>
      </c>
      <c r="J319" s="3294"/>
      <c r="K319" s="3294"/>
      <c r="L319" s="3301" t="str">
        <f>IF($K$293="County input required","",IF(N(I319)&gt;0,N(L318)/N(I319),""))</f>
        <v/>
      </c>
      <c r="M319" s="3301"/>
      <c r="N319" s="3302"/>
      <c r="Q319" s="1384"/>
      <c r="T319" s="1384"/>
      <c r="U319" s="1384"/>
      <c r="V319" s="1384"/>
      <c r="W319" s="1384"/>
      <c r="X319" s="1384"/>
      <c r="Y319" s="1384"/>
      <c r="Z319" s="1384"/>
      <c r="AA319" s="1384"/>
      <c r="AB319" s="1384"/>
      <c r="AC319" s="1384"/>
      <c r="AD319" s="1384"/>
      <c r="AE319" s="1384"/>
      <c r="AF319" s="1384"/>
      <c r="AG319" s="1384"/>
    </row>
    <row r="320" spans="3:33">
      <c r="C320" s="2291" t="str">
        <f>Multiplier_3</f>
        <v/>
      </c>
      <c r="D320" s="1397"/>
      <c r="E320" s="1397"/>
      <c r="F320" s="1397"/>
      <c r="G320" s="2254"/>
      <c r="H320" s="2254"/>
      <c r="I320" s="3317" t="str">
        <f>Multiplier_3_Value</f>
        <v/>
      </c>
      <c r="J320" s="3317"/>
      <c r="K320" s="3317"/>
      <c r="L320" s="3301" t="str">
        <f>IF($K$293="County input required","",IF(N(I320)&gt;0,N(L319)/N(I320),""))</f>
        <v/>
      </c>
      <c r="M320" s="3301"/>
      <c r="N320" s="3302"/>
      <c r="Q320" s="1384"/>
      <c r="T320" s="1384"/>
      <c r="U320" s="1384"/>
      <c r="V320" s="1384"/>
      <c r="W320" s="1384"/>
      <c r="X320" s="1384"/>
      <c r="Y320" s="1384"/>
      <c r="Z320" s="1384"/>
      <c r="AA320" s="1384"/>
      <c r="AB320" s="1384"/>
      <c r="AC320" s="1384"/>
      <c r="AD320" s="1384"/>
      <c r="AE320" s="1384"/>
      <c r="AF320" s="1384"/>
      <c r="AG320" s="1384"/>
    </row>
    <row r="321" spans="3:33" ht="6" customHeight="1">
      <c r="C321" s="1312"/>
      <c r="D321" s="1313"/>
      <c r="E321" s="1313"/>
      <c r="F321" s="1313"/>
      <c r="G321" s="2255"/>
      <c r="H321" s="2255"/>
      <c r="I321" s="3298"/>
      <c r="J321" s="3298"/>
      <c r="K321" s="3298"/>
      <c r="L321" s="3298"/>
      <c r="M321" s="3298"/>
      <c r="N321" s="3299"/>
      <c r="Q321" s="1384"/>
      <c r="T321" s="1384"/>
      <c r="U321" s="1384"/>
      <c r="V321" s="1384"/>
      <c r="W321" s="1384"/>
      <c r="X321" s="1384"/>
      <c r="Y321" s="1384"/>
      <c r="Z321" s="1384"/>
      <c r="AA321" s="1384"/>
      <c r="AB321" s="1384"/>
      <c r="AC321" s="1384"/>
      <c r="AD321" s="1384"/>
      <c r="AE321" s="1384"/>
      <c r="AF321" s="1384"/>
      <c r="AG321" s="1384"/>
    </row>
    <row r="322" spans="3:33" ht="6" customHeight="1">
      <c r="C322" s="1282"/>
      <c r="D322" s="1282"/>
      <c r="E322" s="1282"/>
      <c r="F322" s="1282"/>
      <c r="G322" s="1385"/>
      <c r="H322" s="1385"/>
      <c r="I322" s="1386"/>
      <c r="J322" s="1386"/>
      <c r="K322" s="1386"/>
      <c r="L322" s="1386"/>
      <c r="M322" s="1386"/>
      <c r="N322" s="1386"/>
      <c r="Q322" s="1384"/>
      <c r="T322" s="1384"/>
      <c r="U322" s="1384"/>
      <c r="V322" s="1384"/>
      <c r="W322" s="1384"/>
      <c r="X322" s="1384"/>
      <c r="Y322" s="1384"/>
      <c r="Z322" s="1384"/>
      <c r="AA322" s="1384"/>
      <c r="AB322" s="1384"/>
      <c r="AC322" s="1384"/>
      <c r="AD322" s="1384"/>
      <c r="AE322" s="1384"/>
      <c r="AF322" s="1384"/>
      <c r="AG322" s="1384"/>
    </row>
    <row r="323" spans="3:33" ht="12.75" customHeight="1">
      <c r="G323" s="998"/>
      <c r="H323" s="998"/>
      <c r="I323" s="3315"/>
      <c r="J323" s="3315"/>
      <c r="K323" s="3315"/>
      <c r="L323" s="3315"/>
      <c r="M323" s="3315"/>
      <c r="N323" s="3315"/>
      <c r="Q323" s="1384"/>
      <c r="T323" s="1384"/>
      <c r="U323" s="1384"/>
      <c r="V323" s="1384"/>
      <c r="W323" s="1384"/>
      <c r="X323" s="1384"/>
      <c r="Y323" s="1384"/>
      <c r="Z323" s="1384"/>
      <c r="AA323" s="1384"/>
      <c r="AB323" s="1384"/>
      <c r="AC323" s="1384"/>
      <c r="AD323" s="1384"/>
      <c r="AE323" s="1384"/>
      <c r="AF323" s="1384"/>
      <c r="AG323" s="1384"/>
    </row>
    <row r="324" spans="3:33" ht="12.75" customHeight="1">
      <c r="C324" s="1387" t="s">
        <v>2040</v>
      </c>
      <c r="D324" s="1387"/>
      <c r="E324" s="1387"/>
      <c r="F324" s="1387"/>
      <c r="G324" s="1387"/>
      <c r="H324" s="1387"/>
      <c r="I324" s="1304"/>
      <c r="J324" s="1304"/>
      <c r="K324" s="1304"/>
      <c r="L324" s="3320" t="str">
        <f>IF(County=DS_Select_One,"County input required",IF(L318&gt;0,MAX(L318:L320),"TBD"))</f>
        <v>County input required</v>
      </c>
      <c r="M324" s="3320"/>
      <c r="N324" s="3320"/>
      <c r="Q324" s="1384"/>
      <c r="T324" s="1384"/>
      <c r="U324" s="1384"/>
      <c r="V324" s="1384"/>
      <c r="W324" s="1384"/>
      <c r="X324" s="1384"/>
      <c r="Y324" s="1384"/>
      <c r="Z324" s="1384"/>
      <c r="AA324" s="1384"/>
      <c r="AB324" s="1384"/>
      <c r="AC324" s="1384"/>
      <c r="AD324" s="1384"/>
      <c r="AE324" s="1384"/>
      <c r="AF324" s="1384"/>
      <c r="AG324" s="1384"/>
    </row>
    <row r="325" spans="3:33">
      <c r="G325" s="3307"/>
      <c r="H325" s="3307"/>
      <c r="I325" s="1390"/>
      <c r="J325" s="1390"/>
      <c r="K325" s="1390"/>
      <c r="L325" s="3308"/>
      <c r="M325" s="3308"/>
      <c r="N325" s="3308"/>
      <c r="Q325" s="1384"/>
      <c r="T325" s="1384"/>
      <c r="U325" s="1384"/>
      <c r="V325" s="1384"/>
      <c r="W325" s="1384"/>
      <c r="X325" s="1384"/>
      <c r="Y325" s="1384"/>
      <c r="Z325" s="1384"/>
      <c r="AA325" s="1384"/>
      <c r="AB325" s="1384"/>
      <c r="AC325" s="1384"/>
      <c r="AD325" s="1384"/>
      <c r="AE325" s="1384"/>
      <c r="AF325" s="1384"/>
      <c r="AG325" s="1384"/>
    </row>
    <row r="326" spans="3:33">
      <c r="C326" s="1389" t="s">
        <v>2042</v>
      </c>
      <c r="D326" s="1384"/>
      <c r="E326" s="1384"/>
      <c r="F326" s="1384"/>
      <c r="G326" s="997"/>
      <c r="H326" s="997"/>
      <c r="I326" s="1391"/>
      <c r="J326" s="1392"/>
      <c r="K326" s="1392"/>
      <c r="L326" s="3309">
        <f>IFERROR(IF(Hard_Soft_Costs_AOMult="County input required",0,L324*(1+N(Esc_Factor))),0)</f>
        <v>0</v>
      </c>
      <c r="M326" s="3310"/>
      <c r="N326" s="3310"/>
      <c r="R326" s="127"/>
      <c r="S326" s="1380"/>
      <c r="T326" s="1384"/>
      <c r="U326" s="1384"/>
      <c r="V326" s="1384"/>
      <c r="W326" s="1384"/>
      <c r="X326" s="1384"/>
      <c r="Y326" s="1384"/>
      <c r="Z326" s="1384"/>
      <c r="AA326" s="1384"/>
      <c r="AB326" s="1384"/>
      <c r="AC326" s="1384"/>
      <c r="AD326" s="1384"/>
      <c r="AE326" s="1384"/>
      <c r="AF326" s="1384"/>
      <c r="AG326" s="1384"/>
    </row>
    <row r="327" spans="3:33">
      <c r="D327" s="3295"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7" s="3295"/>
      <c r="F327" s="3295"/>
      <c r="G327" s="3295"/>
      <c r="H327" s="3295"/>
      <c r="I327" s="3295"/>
      <c r="J327" s="3295"/>
      <c r="K327" s="3295"/>
      <c r="L327" s="1398"/>
      <c r="M327" s="1398"/>
      <c r="N327" s="1398"/>
      <c r="R327" s="127"/>
      <c r="S327" s="1380"/>
      <c r="T327" s="1384"/>
      <c r="U327" s="1384"/>
      <c r="V327" s="1384"/>
      <c r="W327" s="1384"/>
      <c r="X327" s="1384"/>
      <c r="Y327" s="1384"/>
      <c r="Z327" s="1384"/>
      <c r="AA327" s="1384"/>
      <c r="AB327" s="1384"/>
      <c r="AC327" s="1384"/>
      <c r="AD327" s="1384"/>
      <c r="AE327" s="1384"/>
      <c r="AF327" s="1384"/>
      <c r="AG327" s="1384"/>
    </row>
    <row r="328" spans="3:33">
      <c r="D328" s="3295"/>
      <c r="E328" s="3295"/>
      <c r="F328" s="3295"/>
      <c r="G328" s="3295"/>
      <c r="H328" s="3295"/>
      <c r="I328" s="3295"/>
      <c r="J328" s="3295"/>
      <c r="K328" s="3295"/>
      <c r="L328" s="1398"/>
      <c r="M328" s="1398"/>
      <c r="N328" s="1398"/>
      <c r="R328" s="127"/>
      <c r="S328" s="1380"/>
      <c r="T328" s="1384"/>
      <c r="U328" s="1384"/>
      <c r="V328" s="1384"/>
      <c r="W328" s="1384"/>
      <c r="X328" s="1384"/>
      <c r="Y328" s="1384"/>
      <c r="Z328" s="1384"/>
      <c r="AA328" s="1384"/>
      <c r="AB328" s="1384"/>
      <c r="AC328" s="1384"/>
      <c r="AD328" s="1384"/>
      <c r="AE328" s="1384"/>
      <c r="AF328" s="1384"/>
      <c r="AG328" s="1384"/>
    </row>
    <row r="329" spans="3:33">
      <c r="G329" s="1380"/>
      <c r="H329" s="1380"/>
      <c r="I329" s="1381"/>
      <c r="J329" s="1381"/>
      <c r="K329" s="1381"/>
      <c r="L329" s="1398"/>
      <c r="M329" s="1398"/>
      <c r="N329" s="1398"/>
      <c r="R329" s="127"/>
      <c r="S329" s="1380"/>
      <c r="T329" s="1384"/>
      <c r="U329" s="1384"/>
      <c r="V329" s="1384"/>
      <c r="W329" s="1384"/>
      <c r="X329" s="1384"/>
      <c r="Y329" s="1384"/>
      <c r="Z329" s="1384"/>
      <c r="AA329" s="1384"/>
      <c r="AB329" s="1384"/>
      <c r="AC329" s="1384"/>
      <c r="AD329" s="1384"/>
      <c r="AE329" s="1384"/>
      <c r="AF329" s="1384"/>
      <c r="AG329" s="1384"/>
    </row>
    <row r="330" spans="3:33">
      <c r="C330" s="1388" t="s">
        <v>2058</v>
      </c>
      <c r="D330" s="1389"/>
      <c r="E330" s="1389"/>
      <c r="F330" s="1389"/>
      <c r="G330" s="997"/>
      <c r="H330" s="997"/>
      <c r="I330" s="1393"/>
      <c r="J330" s="1393"/>
      <c r="K330" s="1393"/>
      <c r="L330" s="3311" t="str">
        <f>IF(N(Maximum_DevCost_PU)="TBD","TBD",IF(N(Maximum_DevCost_PU)&gt;0,N(Maximum_DevCost_PU)*N(Unit_Count),"TBD"))</f>
        <v>TBD</v>
      </c>
      <c r="M330" s="3312"/>
      <c r="N330" s="3312"/>
      <c r="S330" s="1380"/>
      <c r="T330" s="1384"/>
      <c r="U330" s="997"/>
      <c r="V330" s="1384"/>
      <c r="W330" s="1384"/>
      <c r="X330" s="1384"/>
      <c r="Y330" s="1384"/>
      <c r="Z330" s="1384"/>
      <c r="AA330" s="1384"/>
      <c r="AB330" s="1384"/>
      <c r="AC330" s="1384"/>
      <c r="AD330" s="1384"/>
      <c r="AE330" s="1384"/>
      <c r="AF330" s="1384"/>
      <c r="AG330" s="1384"/>
    </row>
    <row r="331" spans="3:33">
      <c r="C331" s="1389"/>
      <c r="D331" s="3296" t="str">
        <f>"("&amp;TEXT(N(Maximum_DevCost_PU),"$#,##0")&amp;" Maximum Non-Acquisition Development Cost Per Unit x "&amp;TEXT(N(Unit_Count),"#,##0")&amp;" Units = "&amp;TEXT(N(Maximum_DevCost),"$#,##0")&amp;")"</f>
        <v>($0 Maximum Non-Acquisition Development Cost Per Unit x 0 Units = $0)</v>
      </c>
      <c r="E331" s="3296"/>
      <c r="F331" s="3296"/>
      <c r="G331" s="3296"/>
      <c r="H331" s="3296"/>
      <c r="I331" s="3296"/>
      <c r="J331" s="3296"/>
      <c r="K331" s="3296"/>
      <c r="L331" s="1399"/>
      <c r="M331" s="1400"/>
      <c r="N331" s="1400"/>
      <c r="S331" s="1380"/>
      <c r="T331" s="1384"/>
      <c r="U331" s="997"/>
      <c r="V331" s="1384"/>
      <c r="W331" s="1384"/>
      <c r="X331" s="1384"/>
      <c r="Y331" s="1384"/>
      <c r="Z331" s="1384"/>
      <c r="AA331" s="1384"/>
      <c r="AB331" s="1384"/>
      <c r="AC331" s="1384"/>
      <c r="AD331" s="1384"/>
      <c r="AE331" s="1384"/>
      <c r="AF331" s="1384"/>
      <c r="AG331" s="1384"/>
    </row>
    <row r="332" spans="3:33">
      <c r="C332" s="1389"/>
      <c r="D332" s="3296"/>
      <c r="E332" s="3296"/>
      <c r="F332" s="3296"/>
      <c r="G332" s="3296"/>
      <c r="H332" s="3296"/>
      <c r="I332" s="3296"/>
      <c r="J332" s="3296"/>
      <c r="K332" s="3296"/>
      <c r="L332" s="1399"/>
      <c r="M332" s="1400"/>
      <c r="N332" s="1400"/>
      <c r="S332" s="1380"/>
      <c r="U332" s="1380"/>
    </row>
    <row r="333" spans="3:33">
      <c r="G333" s="1380"/>
      <c r="H333" s="1380"/>
      <c r="I333" s="1381"/>
      <c r="J333" s="1381"/>
      <c r="K333" s="1381"/>
      <c r="L333" s="1398"/>
      <c r="M333" s="1398"/>
      <c r="N333" s="1398"/>
      <c r="S333" s="1383"/>
      <c r="U333" s="1380"/>
    </row>
    <row r="334" spans="3:33">
      <c r="C334" s="116" t="str">
        <f>"Maximum Dev. Fee Amount on Non-Acquisition Development Costs"&amp;IF(DS_MaxDevFeeAcq_Percent+DS_MaxDevFeeODR_Percent=21%,", w/ 5% ODR","")&amp;"………………………………………...."</f>
        <v>Maximum Dev. Fee Amount on Non-Acquisition Development Costs, w/ 5% ODR………………………………………....</v>
      </c>
      <c r="L334" s="3309">
        <f>IF(SUM(N(DS_MaxDevFeeNonAcq_Percent),N(DS_MaxDevFeeODR_Percent))=0.21,ROUNDDOWN(N(Maximum_DevCost)*N(DS_MaxDevFeeNonAcq_Percent),0)+ROUNDDOWN(N(Maximum_DevCost)*N(DS_MaxDevFeeODR_Percent),0),ROUNDDOWN(N(Maximum_DevCost)*N(DS_MaxDevFeeNonAcq_Percent),0))</f>
        <v>0</v>
      </c>
      <c r="M334" s="3310"/>
      <c r="N334" s="3310"/>
      <c r="R334" s="1394"/>
    </row>
    <row r="335" spans="3:33" ht="12.75" customHeight="1">
      <c r="D335" s="3296" t="str">
        <f>"("&amp;TEXT(N(Maximum_DevCost),"$#,##0")&amp;" Max Non-Acq Development Cost for Developer Fee x "&amp;TEXT(N(DS_MaxDevFeeAcq_Percent)+N(DS_MaxDevFeeODR_Percent),"#,#0%")&amp;" Non-Acq Developer Fee = "&amp;TEXT(N(Escalated_DF),"$#,##0")&amp;")"</f>
        <v>($0 Max Non-Acq Development Cost for Developer Fee x 21% Non-Acq Developer Fee = $0)</v>
      </c>
      <c r="E335" s="3296"/>
      <c r="F335" s="3296"/>
      <c r="G335" s="3296"/>
      <c r="H335" s="3296"/>
      <c r="I335" s="3296"/>
      <c r="J335" s="3296"/>
      <c r="K335" s="3296"/>
      <c r="L335" s="1401"/>
      <c r="M335" s="1401"/>
      <c r="N335" s="1401"/>
      <c r="R335" s="1304"/>
      <c r="U335" s="127"/>
    </row>
    <row r="336" spans="3:33" ht="12.75" customHeight="1">
      <c r="D336" s="3296"/>
      <c r="E336" s="3296"/>
      <c r="F336" s="3296"/>
      <c r="G336" s="3296"/>
      <c r="H336" s="3296"/>
      <c r="I336" s="3296"/>
      <c r="J336" s="3296"/>
      <c r="K336" s="3296"/>
      <c r="L336" s="1401"/>
      <c r="M336" s="1401"/>
      <c r="N336" s="1401"/>
      <c r="R336" s="1304"/>
      <c r="U336" s="127"/>
    </row>
    <row r="337" spans="1:27">
      <c r="D337" s="1307"/>
      <c r="L337" s="1401"/>
      <c r="M337" s="1401"/>
      <c r="N337" s="1401"/>
      <c r="R337" s="1304"/>
    </row>
    <row r="338" spans="1:27">
      <c r="C338" s="1384" t="s">
        <v>2059</v>
      </c>
      <c r="D338" s="1384"/>
      <c r="E338" s="1384"/>
      <c r="F338" s="1384"/>
      <c r="G338" s="1384"/>
      <c r="H338" s="1384"/>
      <c r="I338" s="1384"/>
      <c r="J338" s="1384"/>
      <c r="K338" s="1384"/>
      <c r="L338" s="3310">
        <f>IF(N(Acquisition_total)&gt;0,N(Acquisition_total),0)</f>
        <v>0</v>
      </c>
      <c r="M338" s="3310"/>
      <c r="N338" s="3310"/>
      <c r="O338" s="1384"/>
      <c r="P338" s="1384"/>
      <c r="Q338" s="1384"/>
      <c r="R338" s="1413"/>
      <c r="S338" s="1384"/>
      <c r="T338" s="1384"/>
      <c r="U338" s="1384"/>
      <c r="V338" s="1384"/>
      <c r="W338" s="1384"/>
      <c r="X338" s="1384"/>
      <c r="Y338" s="1384"/>
      <c r="Z338" s="1384"/>
      <c r="AA338" s="1384"/>
    </row>
    <row r="339" spans="1:27">
      <c r="D339" s="1307"/>
      <c r="L339" s="1401"/>
      <c r="M339" s="1401"/>
      <c r="N339" s="1401"/>
      <c r="Q339" s="1384"/>
      <c r="R339" s="1404"/>
      <c r="S339" s="1384"/>
      <c r="T339" s="1384"/>
      <c r="U339" s="1384"/>
      <c r="V339" s="1384"/>
      <c r="W339" s="1384"/>
      <c r="X339" s="1384"/>
      <c r="Y339" s="1384"/>
      <c r="Z339" s="1384"/>
      <c r="AA339" s="1384"/>
    </row>
    <row r="340" spans="1:27">
      <c r="C340" s="1384" t="str">
        <f>"Maximum Dev. Fee on Development's Actual Building Allocation"&amp;IF(DS_MaxDevFeeAcq_Percent+DS_MaxDevFeeODR_Percent=21%,", w/ 5% ODR","")&amp;"………………………………………...."</f>
        <v>Maximum Dev. Fee on Development's Actual Building Allocation, w/ 5% ODR………………………………………....</v>
      </c>
      <c r="D340" s="1384"/>
      <c r="E340" s="1384"/>
      <c r="F340" s="1384"/>
      <c r="G340" s="1384"/>
      <c r="H340" s="1384"/>
      <c r="I340" s="1384"/>
      <c r="J340" s="1384"/>
      <c r="K340" s="1384"/>
      <c r="L340" s="3309">
        <f>IF(SUM(N(DS_MaxDevFeeAcq_Percent),N(DS_MaxDevFeeODR_Percent))=0.21,ROUNDDOWN(N(Acquisition_total)*N(DS_MaxDevFeeAcq_Percent),0)+ROUNDDOWN(N(Acquisition_total)*N(DS_MaxDevFeeODR_Percent),0),ROUNDDOWN(N(Acquisition_total)*N(DS_MaxDevFeeAcq_Percent),0))</f>
        <v>0</v>
      </c>
      <c r="M340" s="3310"/>
      <c r="N340" s="3310"/>
      <c r="Q340" s="1384"/>
      <c r="R340" s="1404"/>
      <c r="S340" s="1384"/>
      <c r="T340" s="1384"/>
      <c r="U340" s="1384"/>
      <c r="V340" s="1384"/>
      <c r="W340" s="1384"/>
      <c r="X340" s="1384"/>
      <c r="Y340" s="1384"/>
      <c r="Z340" s="1384"/>
      <c r="AA340" s="1384"/>
    </row>
    <row r="341" spans="1:27">
      <c r="C341" s="1384"/>
      <c r="D341" s="1414" t="str">
        <f>"("&amp;TEXT(N(Acquisition_total),"$#,##0")&amp;" Development's Actual Building Allocation x "&amp;TEXT(N(DS_MaxDevFeeAcq_Percent)+N(DS_MaxDevFeeODR_Percent),"#,#0%")&amp;" DF = "&amp;TEXT(N(Build_Cost_Allo_DF),"$#,##0")&amp;")"</f>
        <v>($0 Development's Actual Building Allocation x 21% DF = $0)</v>
      </c>
      <c r="E341" s="1384"/>
      <c r="F341" s="1384"/>
      <c r="G341" s="1384"/>
      <c r="H341" s="1384"/>
      <c r="I341" s="1384"/>
      <c r="J341" s="1384"/>
      <c r="K341" s="1384"/>
      <c r="L341" s="1401"/>
      <c r="M341" s="1401"/>
      <c r="N341" s="1401"/>
      <c r="Q341" s="1384"/>
      <c r="R341" s="1404"/>
      <c r="S341" s="1384"/>
      <c r="T341" s="1384"/>
      <c r="U341" s="1384"/>
      <c r="V341" s="1384"/>
      <c r="W341" s="1384"/>
      <c r="X341" s="1384"/>
      <c r="Y341" s="1384"/>
      <c r="Z341" s="1384"/>
      <c r="AA341" s="1384"/>
    </row>
    <row r="342" spans="1:27" ht="13.5" thickBot="1">
      <c r="A342" s="1470"/>
      <c r="B342" s="1470"/>
      <c r="C342" s="1470"/>
      <c r="D342" s="1471"/>
      <c r="E342" s="1470"/>
      <c r="F342" s="1470"/>
      <c r="G342" s="1470"/>
      <c r="H342" s="1470"/>
      <c r="I342" s="1470"/>
      <c r="J342" s="1470"/>
      <c r="K342" s="1470"/>
      <c r="L342" s="1472"/>
      <c r="M342" s="1472"/>
      <c r="N342" s="1472"/>
      <c r="O342" s="1470"/>
      <c r="P342" s="1470"/>
      <c r="Q342" s="1384"/>
      <c r="R342" s="1404"/>
      <c r="S342" s="1384"/>
      <c r="T342" s="1384"/>
      <c r="U342" s="1384"/>
      <c r="V342" s="1384"/>
      <c r="W342" s="1384"/>
      <c r="X342" s="1384"/>
      <c r="Y342" s="1384"/>
      <c r="Z342" s="1384"/>
      <c r="AA342" s="1384"/>
    </row>
    <row r="343" spans="1:27" ht="3.75" customHeight="1">
      <c r="D343" s="1307"/>
      <c r="L343" s="1401"/>
      <c r="M343" s="1401"/>
      <c r="N343" s="1401"/>
      <c r="Q343" s="1384"/>
      <c r="R343" s="1404"/>
      <c r="S343" s="1384"/>
      <c r="T343" s="1384"/>
      <c r="U343" s="1384"/>
      <c r="V343" s="1384"/>
      <c r="W343" s="1384"/>
      <c r="X343" s="1384"/>
      <c r="Y343" s="1384"/>
      <c r="Z343" s="1384"/>
      <c r="AA343" s="1384"/>
    </row>
    <row r="344" spans="1:27">
      <c r="B344" s="130" t="str">
        <f>B$2</f>
        <v>RFA 2025-103 DEVELOPMENT COST PRO FORMA</v>
      </c>
      <c r="O344" s="133"/>
      <c r="P344" s="132" t="str">
        <f>IF(OR(AND(Funding!L$309&gt;0,Data3!H$273="No"),Data3!H$274="Yes"),"(Page 7 of 8)","(Page 7 of 7)")</f>
        <v>(Page 7 of 7)</v>
      </c>
    </row>
    <row r="345" spans="1:27">
      <c r="B345" s="130"/>
      <c r="O345" s="133"/>
      <c r="P345" s="132"/>
    </row>
    <row r="346" spans="1:27">
      <c r="C346" s="137" t="s">
        <v>2044</v>
      </c>
      <c r="L346" s="3321" t="str">
        <f>IF(Maximum_DevCost="TBD","TBD",N(Escalated_DF)+N(Build_Cost_Allo_DF))</f>
        <v>TBD</v>
      </c>
      <c r="M346" s="3322"/>
      <c r="N346" s="3322"/>
      <c r="Q346" s="1384"/>
      <c r="R346" s="1404"/>
      <c r="S346" s="1384"/>
      <c r="T346" s="1384"/>
      <c r="U346" s="1384"/>
      <c r="V346" s="1384"/>
      <c r="W346" s="1384"/>
      <c r="X346" s="1384"/>
      <c r="Y346" s="1384"/>
      <c r="Z346" s="1384"/>
      <c r="AA346" s="1384"/>
    </row>
    <row r="347" spans="1:27">
      <c r="D347" s="3297"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7" s="3297"/>
      <c r="F347" s="3297"/>
      <c r="G347" s="3297"/>
      <c r="H347" s="3297"/>
      <c r="I347" s="3297"/>
      <c r="J347" s="3297"/>
      <c r="K347" s="3297"/>
      <c r="L347" s="1401"/>
      <c r="M347" s="1401"/>
      <c r="N347" s="1401"/>
      <c r="Q347" s="1384"/>
      <c r="R347" s="1404"/>
      <c r="S347" s="1384"/>
      <c r="T347" s="1384"/>
      <c r="U347" s="1384"/>
      <c r="V347" s="1384"/>
      <c r="W347" s="1384"/>
      <c r="X347" s="1384"/>
      <c r="Y347" s="1384"/>
      <c r="Z347" s="1384"/>
      <c r="AA347" s="1384"/>
    </row>
    <row r="348" spans="1:27">
      <c r="D348" s="3297"/>
      <c r="E348" s="3297"/>
      <c r="F348" s="3297"/>
      <c r="G348" s="3297"/>
      <c r="H348" s="3297"/>
      <c r="I348" s="3297"/>
      <c r="J348" s="3297"/>
      <c r="K348" s="3297"/>
      <c r="L348" s="1401"/>
      <c r="M348" s="1401"/>
      <c r="N348" s="1401"/>
      <c r="Q348" s="1384"/>
      <c r="R348" s="1404"/>
      <c r="S348" s="1384"/>
      <c r="T348" s="1384"/>
      <c r="U348" s="1384"/>
      <c r="V348" s="1384"/>
      <c r="W348" s="1384"/>
      <c r="X348" s="1384"/>
      <c r="Y348" s="1384"/>
      <c r="Z348" s="1384"/>
      <c r="AA348" s="1384"/>
    </row>
    <row r="349" spans="1:27">
      <c r="D349" s="1307"/>
      <c r="L349" s="1401"/>
      <c r="M349" s="1401"/>
      <c r="N349" s="1401"/>
      <c r="Q349" s="1384"/>
      <c r="R349" s="1404"/>
      <c r="S349" s="1384"/>
      <c r="T349" s="1384"/>
      <c r="U349" s="1384"/>
      <c r="V349" s="1384"/>
      <c r="W349" s="1384"/>
      <c r="X349" s="1384"/>
      <c r="Y349" s="1384"/>
      <c r="Z349" s="1384"/>
      <c r="AA349" s="1384"/>
    </row>
    <row r="350" spans="1:27" ht="13.5" thickBot="1">
      <c r="C350" s="137" t="s">
        <v>2043</v>
      </c>
      <c r="L350" s="3323" t="str">
        <f>IF(Maximum_DevCost="TBD","TBD",N(Maximum_DevCost)+N(Escalated_DF)+N(Build_Cost_Allo_DF))</f>
        <v>TBD</v>
      </c>
      <c r="M350" s="3323"/>
      <c r="N350" s="3323"/>
      <c r="Q350" s="1384"/>
      <c r="R350" s="1404"/>
      <c r="S350" s="1384"/>
      <c r="T350" s="1384"/>
      <c r="U350" s="1384"/>
      <c r="V350" s="1384"/>
      <c r="W350" s="1384"/>
      <c r="X350" s="1384"/>
      <c r="Y350" s="1384"/>
      <c r="Z350" s="1384"/>
      <c r="AA350" s="1384"/>
    </row>
    <row r="351" spans="1:27" ht="12.75" customHeight="1" thickTop="1">
      <c r="D351" s="3297"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1" s="3297"/>
      <c r="F351" s="3297"/>
      <c r="G351" s="3297"/>
      <c r="H351" s="3297"/>
      <c r="I351" s="3297"/>
      <c r="J351" s="3297"/>
      <c r="K351" s="3297"/>
      <c r="L351" s="1306"/>
      <c r="M351" s="1306"/>
      <c r="N351" s="1306"/>
      <c r="Q351" s="1384"/>
      <c r="R351" s="1404"/>
      <c r="S351" s="1384"/>
      <c r="T351" s="1384"/>
      <c r="U351" s="1384"/>
      <c r="V351" s="1384"/>
      <c r="W351" s="1384"/>
      <c r="X351" s="1384"/>
      <c r="Y351" s="1384"/>
      <c r="Z351" s="1384"/>
      <c r="AA351" s="1384"/>
    </row>
    <row r="352" spans="1:27">
      <c r="D352" s="3297"/>
      <c r="E352" s="3297"/>
      <c r="F352" s="3297"/>
      <c r="G352" s="3297"/>
      <c r="H352" s="3297"/>
      <c r="I352" s="3297"/>
      <c r="J352" s="3297"/>
      <c r="K352" s="3297"/>
      <c r="L352" s="1306"/>
      <c r="M352" s="1306"/>
      <c r="N352" s="1306"/>
      <c r="Q352" s="1384"/>
      <c r="R352" s="1404"/>
      <c r="S352" s="1384"/>
      <c r="T352" s="1384"/>
      <c r="U352" s="1384"/>
      <c r="V352" s="1384"/>
      <c r="W352" s="1384"/>
      <c r="X352" s="1384"/>
      <c r="Y352" s="1384"/>
      <c r="Z352" s="1384"/>
      <c r="AA352" s="1384"/>
    </row>
    <row r="353" spans="3:27">
      <c r="D353" s="3297"/>
      <c r="E353" s="3297"/>
      <c r="F353" s="3297"/>
      <c r="G353" s="3297"/>
      <c r="H353" s="3297"/>
      <c r="I353" s="3297"/>
      <c r="J353" s="3297"/>
      <c r="K353" s="3297"/>
      <c r="L353" s="1390"/>
      <c r="M353" s="1390"/>
      <c r="Q353" s="1384"/>
      <c r="R353" s="1404"/>
      <c r="S353" s="1384"/>
      <c r="T353" s="1384"/>
      <c r="U353" s="1384"/>
      <c r="V353" s="1384"/>
      <c r="W353" s="1384"/>
      <c r="X353" s="1384"/>
      <c r="Y353" s="1384"/>
      <c r="Z353" s="1384"/>
      <c r="AA353" s="1384"/>
    </row>
    <row r="354" spans="3:27">
      <c r="K354" s="3318"/>
      <c r="L354" s="3318"/>
      <c r="M354" s="3318"/>
      <c r="Q354" s="1384"/>
      <c r="R354" s="1384"/>
      <c r="S354" s="1384"/>
      <c r="T354" s="1384"/>
      <c r="U354" s="1384"/>
      <c r="V354" s="1384"/>
      <c r="W354" s="1384"/>
      <c r="X354" s="1384"/>
      <c r="Y354" s="1384"/>
      <c r="Z354" s="1384"/>
      <c r="AA354" s="1384"/>
    </row>
    <row r="355" spans="3:27">
      <c r="C355" s="1395" t="s">
        <v>2060</v>
      </c>
      <c r="D355" s="1384"/>
      <c r="E355" s="1384"/>
      <c r="F355" s="1384"/>
      <c r="G355" s="1384"/>
      <c r="H355" s="1384"/>
      <c r="I355" s="1384"/>
      <c r="J355" s="1384"/>
      <c r="K355" s="1384"/>
      <c r="L355" s="1384"/>
      <c r="M355" s="1384"/>
      <c r="N355" s="1384"/>
      <c r="Q355" s="1384"/>
      <c r="R355" s="1384"/>
      <c r="S355" s="1384"/>
      <c r="T355" s="1384"/>
      <c r="U355" s="1384"/>
      <c r="V355" s="1384"/>
      <c r="W355" s="1384"/>
      <c r="X355" s="1384"/>
      <c r="Y355" s="1384"/>
      <c r="Z355" s="1384"/>
      <c r="AA355" s="1384"/>
    </row>
    <row r="356" spans="3:27">
      <c r="C356" s="1384"/>
      <c r="D356" s="1384"/>
      <c r="E356" s="1384"/>
      <c r="F356" s="1384"/>
      <c r="G356" s="1384"/>
      <c r="H356" s="1384"/>
      <c r="I356" s="1384"/>
      <c r="J356" s="1384"/>
      <c r="K356" s="3319"/>
      <c r="L356" s="3319"/>
      <c r="M356" s="3319"/>
      <c r="N356" s="1384"/>
      <c r="Q356" s="1384"/>
      <c r="R356" s="1384"/>
      <c r="S356" s="1384"/>
      <c r="T356" s="1384"/>
      <c r="U356" s="1384"/>
      <c r="V356" s="1384"/>
      <c r="W356" s="1384"/>
      <c r="X356" s="1384"/>
      <c r="Y356" s="1384"/>
      <c r="Z356" s="1384"/>
      <c r="AA356" s="1384"/>
    </row>
    <row r="357" spans="3:27">
      <c r="C357" s="1384" t="s">
        <v>1508</v>
      </c>
      <c r="D357" s="1384"/>
      <c r="E357" s="1384"/>
      <c r="F357" s="1384"/>
      <c r="G357" s="1384"/>
      <c r="H357" s="1384"/>
      <c r="I357" s="1384"/>
      <c r="J357" s="1384"/>
      <c r="K357" s="1384"/>
      <c r="L357" s="3313">
        <f>IF(OR(N(TDC_total)=0,N(TDC_total)="TBD"),0,TDC_total)</f>
        <v>0</v>
      </c>
      <c r="M357" s="3313"/>
      <c r="N357" s="3313"/>
      <c r="Q357" s="1384"/>
      <c r="R357" s="1384"/>
      <c r="S357" s="1384"/>
      <c r="T357" s="1384"/>
      <c r="U357" s="1384"/>
      <c r="V357" s="1384"/>
      <c r="W357" s="1384"/>
      <c r="X357" s="1384"/>
      <c r="Y357" s="1384"/>
      <c r="Z357" s="1384"/>
      <c r="AA357" s="1384"/>
    </row>
    <row r="358" spans="3:27">
      <c r="C358" s="1384"/>
      <c r="D358" s="1384"/>
      <c r="E358" s="1384"/>
      <c r="F358" s="1384"/>
      <c r="G358" s="1384"/>
      <c r="H358" s="1384"/>
      <c r="I358" s="1384"/>
      <c r="J358" s="1384"/>
      <c r="K358" s="1384"/>
      <c r="L358" s="1402"/>
      <c r="M358" s="1402"/>
      <c r="N358" s="1403"/>
      <c r="Q358" s="1384"/>
      <c r="R358" s="1384"/>
      <c r="S358" s="1384"/>
      <c r="T358" s="1384"/>
      <c r="U358" s="1384"/>
      <c r="V358" s="1384"/>
      <c r="W358" s="1384"/>
      <c r="X358" s="1384"/>
      <c r="Y358" s="1384"/>
      <c r="Z358" s="1384"/>
      <c r="AA358" s="1384"/>
    </row>
    <row r="359" spans="3:27">
      <c r="C359" s="1384" t="s">
        <v>1509</v>
      </c>
      <c r="D359" s="1384"/>
      <c r="E359" s="1384"/>
      <c r="F359" s="1384"/>
      <c r="G359" s="1384"/>
      <c r="H359" s="1384"/>
      <c r="I359" s="1384"/>
      <c r="J359" s="1384"/>
      <c r="K359" s="1384"/>
      <c r="L359" s="3313">
        <f>IF(OR(Acquisition_total=0,Acquisition_total=""),0,Acquisition_total)</f>
        <v>0</v>
      </c>
      <c r="M359" s="3313"/>
      <c r="N359" s="3313"/>
      <c r="Q359" s="1384"/>
      <c r="R359" s="1384"/>
      <c r="S359" s="1384"/>
      <c r="T359" s="1384"/>
      <c r="U359" s="1384"/>
      <c r="V359" s="1384"/>
      <c r="W359" s="1384"/>
      <c r="X359" s="1384"/>
      <c r="Y359" s="1384"/>
      <c r="Z359" s="1384"/>
      <c r="AA359" s="1384"/>
    </row>
    <row r="360" spans="3:27">
      <c r="C360" s="1384"/>
      <c r="D360" s="1396"/>
      <c r="E360" s="1384"/>
      <c r="F360" s="1384"/>
      <c r="G360" s="1384"/>
      <c r="H360" s="1384"/>
      <c r="I360" s="1384"/>
      <c r="J360" s="1384"/>
      <c r="K360" s="1384"/>
      <c r="L360" s="1403"/>
      <c r="M360" s="1403"/>
      <c r="N360" s="1403"/>
      <c r="Q360" s="1384"/>
      <c r="R360" s="1384"/>
      <c r="S360" s="1384"/>
      <c r="T360" s="1384"/>
      <c r="U360" s="1384"/>
      <c r="V360" s="1384"/>
      <c r="W360" s="1384"/>
      <c r="X360" s="1384"/>
      <c r="Y360" s="1384"/>
      <c r="Z360" s="1384"/>
      <c r="AA360" s="1384"/>
    </row>
    <row r="361" spans="3:27">
      <c r="C361" s="1384" t="s">
        <v>1510</v>
      </c>
      <c r="D361" s="1384"/>
      <c r="E361" s="1384"/>
      <c r="F361" s="1384"/>
      <c r="G361" s="1384"/>
      <c r="H361" s="1384"/>
      <c r="I361" s="1384"/>
      <c r="J361" s="1384"/>
      <c r="K361" s="1384"/>
      <c r="L361" s="3313">
        <f>IF(OR(Land_total=0,Land_total=""),0,Land_total)</f>
        <v>0</v>
      </c>
      <c r="M361" s="3313"/>
      <c r="N361" s="3313"/>
      <c r="Q361" s="1384"/>
      <c r="R361" s="1384"/>
      <c r="S361" s="1384"/>
      <c r="T361" s="1384"/>
      <c r="U361" s="1384"/>
      <c r="V361" s="1384"/>
      <c r="W361" s="1384"/>
      <c r="X361" s="1384"/>
      <c r="Y361" s="1384"/>
      <c r="Z361" s="1384"/>
      <c r="AA361" s="1384"/>
    </row>
    <row r="362" spans="3:27">
      <c r="C362" s="1384"/>
      <c r="D362" s="1384"/>
      <c r="E362" s="1384"/>
      <c r="F362" s="1384"/>
      <c r="G362" s="1384"/>
      <c r="H362" s="1384"/>
      <c r="I362" s="1384"/>
      <c r="J362" s="1384"/>
      <c r="K362" s="1384"/>
      <c r="L362" s="1402"/>
      <c r="M362" s="1402"/>
      <c r="N362" s="1403"/>
      <c r="Q362" s="1384"/>
      <c r="R362" s="1384"/>
      <c r="S362" s="1384"/>
      <c r="T362" s="1384"/>
      <c r="U362" s="1384"/>
      <c r="V362" s="1384"/>
      <c r="W362" s="1384"/>
      <c r="X362" s="1384"/>
      <c r="Y362" s="1384"/>
      <c r="Z362" s="1384"/>
      <c r="AA362" s="1384"/>
    </row>
    <row r="363" spans="3:27">
      <c r="C363" s="1384" t="s">
        <v>1512</v>
      </c>
      <c r="D363" s="1384"/>
      <c r="E363" s="1384"/>
      <c r="F363" s="1384"/>
      <c r="G363" s="1384"/>
      <c r="H363" s="1384"/>
      <c r="I363" s="1384"/>
      <c r="J363" s="1384"/>
      <c r="K363" s="1384"/>
      <c r="L363" s="3313">
        <f>IF(SUM(N(Actual_Demolition_total)+N(General_relocation_total))=0,0,SUM(N(Actual_Demolition_total)+N(General_relocation_total)))</f>
        <v>0</v>
      </c>
      <c r="M363" s="3313"/>
      <c r="N363" s="3313"/>
      <c r="Q363" s="1384"/>
      <c r="R363" s="1384"/>
      <c r="S363" s="1384"/>
      <c r="T363" s="1384"/>
      <c r="U363" s="1384"/>
      <c r="V363" s="1384"/>
      <c r="W363" s="1384"/>
      <c r="X363" s="1384"/>
      <c r="Y363" s="1384"/>
      <c r="Z363" s="1384"/>
      <c r="AA363" s="1384"/>
    </row>
    <row r="364" spans="3:27">
      <c r="C364" s="1384"/>
      <c r="D364" s="1384"/>
      <c r="E364" s="1384"/>
      <c r="F364" s="1384"/>
      <c r="G364" s="1384"/>
      <c r="H364" s="1384"/>
      <c r="I364" s="1384"/>
      <c r="J364" s="1384"/>
      <c r="K364" s="1384"/>
      <c r="L364" s="1403"/>
      <c r="M364" s="1403"/>
      <c r="N364" s="1403"/>
      <c r="Q364" s="1384"/>
      <c r="R364" s="1384"/>
      <c r="S364" s="1384"/>
      <c r="T364" s="1384"/>
      <c r="U364" s="1384"/>
      <c r="V364" s="1384"/>
      <c r="W364" s="1384"/>
      <c r="X364" s="1384"/>
      <c r="Y364" s="1384"/>
      <c r="Z364" s="1384"/>
      <c r="AA364" s="1384"/>
    </row>
    <row r="365" spans="3:27">
      <c r="C365" s="1384" t="s">
        <v>1513</v>
      </c>
      <c r="D365" s="1384"/>
      <c r="E365" s="1384"/>
      <c r="F365" s="1384"/>
      <c r="G365" s="1384"/>
      <c r="H365" s="1384"/>
      <c r="I365" s="1384"/>
      <c r="J365" s="1384"/>
      <c r="K365" s="1384"/>
      <c r="L365" s="3313">
        <f>IF(OR(Actual_Comm_Retail_total=0,Actual_Comm_Retail_total=""),0,Actual_Comm_Retail_total)</f>
        <v>0</v>
      </c>
      <c r="M365" s="3313"/>
      <c r="N365" s="3313"/>
      <c r="Q365" s="1384"/>
      <c r="R365" s="1384"/>
      <c r="S365" s="1384"/>
      <c r="T365" s="1384"/>
      <c r="U365" s="1384"/>
      <c r="V365" s="1384"/>
      <c r="W365" s="1384"/>
      <c r="X365" s="1384"/>
      <c r="Y365" s="1384"/>
      <c r="Z365" s="1384"/>
      <c r="AA365" s="1384"/>
    </row>
    <row r="366" spans="3:27">
      <c r="C366" s="1384"/>
      <c r="D366" s="1384"/>
      <c r="E366" s="1384"/>
      <c r="F366" s="1384"/>
      <c r="G366" s="1384"/>
      <c r="H366" s="1384"/>
      <c r="I366" s="1384"/>
      <c r="J366" s="1384"/>
      <c r="K366" s="1384"/>
      <c r="L366" s="1403"/>
      <c r="M366" s="1403"/>
      <c r="N366" s="1403"/>
      <c r="Q366" s="1384"/>
      <c r="R366" s="1384"/>
      <c r="S366" s="1384"/>
      <c r="T366" s="1384"/>
      <c r="U366" s="1384"/>
      <c r="V366" s="1384"/>
      <c r="W366" s="1384"/>
      <c r="X366" s="1384"/>
      <c r="Y366" s="1384"/>
      <c r="Z366" s="1384"/>
      <c r="AA366" s="1384"/>
    </row>
    <row r="367" spans="3:27">
      <c r="C367" s="1384" t="s">
        <v>2407</v>
      </c>
      <c r="D367" s="1384"/>
      <c r="E367" s="1384"/>
      <c r="F367" s="1384"/>
      <c r="G367" s="1384"/>
      <c r="H367" s="1384"/>
      <c r="I367" s="1384"/>
      <c r="J367" s="1384"/>
      <c r="K367" s="1384"/>
      <c r="L367" s="3324" t="s">
        <v>2408</v>
      </c>
      <c r="M367" s="3324"/>
      <c r="N367" s="3324"/>
      <c r="Q367" s="1384"/>
      <c r="R367" s="1384"/>
      <c r="S367" s="1384"/>
      <c r="T367" s="1384"/>
      <c r="U367" s="1384"/>
      <c r="V367" s="1384"/>
      <c r="W367" s="1384"/>
      <c r="X367" s="1384"/>
      <c r="Y367" s="1384"/>
      <c r="Z367" s="1384"/>
      <c r="AA367" s="1384"/>
    </row>
    <row r="368" spans="3:27">
      <c r="C368" s="1384"/>
      <c r="D368" s="1384"/>
      <c r="E368" s="1384"/>
      <c r="F368" s="1384"/>
      <c r="G368" s="1384"/>
      <c r="H368" s="1384"/>
      <c r="I368" s="1384"/>
      <c r="J368" s="1384"/>
      <c r="K368" s="1384"/>
      <c r="L368" s="1916"/>
      <c r="M368" s="1916"/>
      <c r="N368" s="1916"/>
      <c r="Q368" s="1384"/>
      <c r="R368" s="1384"/>
      <c r="S368" s="1384"/>
      <c r="T368" s="1384"/>
      <c r="U368" s="1384"/>
      <c r="V368" s="1384"/>
      <c r="W368" s="1384"/>
      <c r="X368" s="1384"/>
      <c r="Y368" s="1384"/>
      <c r="Z368" s="1384"/>
      <c r="AA368" s="1384"/>
    </row>
    <row r="369" spans="1:27">
      <c r="C369" s="1384" t="s">
        <v>1511</v>
      </c>
      <c r="D369" s="1384"/>
      <c r="E369" s="1384"/>
      <c r="F369" s="1384"/>
      <c r="G369" s="1384"/>
      <c r="H369" s="1384"/>
      <c r="I369" s="1384"/>
      <c r="J369" s="1384"/>
      <c r="K369" s="1384"/>
      <c r="L369" s="3313">
        <f>IF(OR(ODR_total=0,ODR_total=""),0,ODR_total)</f>
        <v>0</v>
      </c>
      <c r="M369" s="3313"/>
      <c r="N369" s="3313"/>
      <c r="Q369" s="1384"/>
      <c r="R369" s="1405"/>
      <c r="S369" s="1384"/>
      <c r="T369" s="1384"/>
      <c r="U369" s="1384"/>
      <c r="V369" s="1384"/>
      <c r="W369" s="1384"/>
      <c r="X369" s="1384"/>
      <c r="Y369" s="1384"/>
      <c r="Z369" s="1384"/>
      <c r="AA369" s="1384"/>
    </row>
    <row r="370" spans="1:27">
      <c r="C370" s="1384"/>
      <c r="D370" s="1384"/>
      <c r="E370" s="1384"/>
      <c r="F370" s="1384"/>
      <c r="G370" s="1384"/>
      <c r="H370" s="1384"/>
      <c r="I370" s="1384"/>
      <c r="J370" s="1384"/>
      <c r="K370" s="1384"/>
      <c r="L370" s="1403"/>
      <c r="M370" s="1403"/>
      <c r="N370" s="1403"/>
      <c r="Q370" s="1384"/>
      <c r="R370" s="1384"/>
      <c r="S370" s="1384"/>
      <c r="T370" s="1384"/>
      <c r="U370" s="1384"/>
      <c r="V370" s="1384"/>
      <c r="W370" s="1384"/>
      <c r="X370" s="1384"/>
      <c r="Y370" s="1384"/>
      <c r="Z370" s="1384"/>
      <c r="AA370" s="1384"/>
    </row>
    <row r="371" spans="1:27" ht="13.5" thickBot="1">
      <c r="C371" s="1388" t="s">
        <v>2045</v>
      </c>
      <c r="D371" s="1384"/>
      <c r="E371" s="1384"/>
      <c r="F371" s="1384"/>
      <c r="G371" s="1384"/>
      <c r="H371" s="1384"/>
      <c r="I371" s="1384"/>
      <c r="J371" s="1384"/>
      <c r="K371" s="1384"/>
      <c r="L371" s="3314">
        <f>L357-L359-L361-L363-L365-N(L367)-L369</f>
        <v>0</v>
      </c>
      <c r="M371" s="3314"/>
      <c r="N371" s="3314"/>
      <c r="Q371" s="1384"/>
      <c r="R371" s="1404"/>
      <c r="S371" s="1384"/>
      <c r="T371" s="1384"/>
      <c r="U371" s="1384"/>
      <c r="V371" s="1384"/>
      <c r="W371" s="1384"/>
      <c r="X371" s="1384"/>
      <c r="Y371" s="1384"/>
      <c r="Z371" s="1384"/>
      <c r="AA371" s="1384"/>
    </row>
    <row r="372" spans="1:27" ht="13.5" thickTop="1">
      <c r="C372" s="1384"/>
      <c r="D372" s="1384"/>
      <c r="E372" s="1384"/>
      <c r="F372" s="1384"/>
      <c r="G372" s="1384"/>
      <c r="H372" s="1384"/>
      <c r="I372" s="1384"/>
      <c r="J372" s="1384"/>
      <c r="K372" s="1384"/>
      <c r="L372" s="1397"/>
      <c r="M372" s="1397"/>
      <c r="N372" s="1384"/>
      <c r="Q372" s="1384"/>
      <c r="R372" s="1384"/>
      <c r="S372" s="1384"/>
      <c r="T372" s="1384"/>
      <c r="U372" s="1384"/>
      <c r="V372" s="1384"/>
      <c r="W372" s="1384"/>
      <c r="X372" s="1384"/>
      <c r="Y372" s="1384"/>
      <c r="Z372" s="1384"/>
      <c r="AA372" s="1384"/>
    </row>
    <row r="373" spans="1:27">
      <c r="C373" s="1388" t="s">
        <v>2061</v>
      </c>
      <c r="D373" s="1388"/>
      <c r="E373" s="1388"/>
      <c r="F373" s="1388"/>
      <c r="G373" s="1388"/>
      <c r="H373" s="1388"/>
      <c r="I373" s="1388"/>
      <c r="J373" s="1388"/>
      <c r="K373" s="1388"/>
      <c r="L373" s="3315" t="str">
        <f>IF(SUM(N(Max_TDC_Component),N(Net_TDC))=0,"TBD",IF(N(Net_TDC)&lt;=N(Max_TDC_Component),"Yes","No"))</f>
        <v>TBD</v>
      </c>
      <c r="M373" s="3315"/>
      <c r="N373" s="3315"/>
      <c r="P373" s="3445" t="str">
        <f>IF(L373="No","†","")</f>
        <v/>
      </c>
      <c r="Q373" s="1384"/>
      <c r="R373" s="1384"/>
      <c r="S373" s="1384"/>
      <c r="T373" s="1384"/>
      <c r="U373" s="1384"/>
      <c r="V373" s="1384"/>
      <c r="W373" s="1384"/>
      <c r="X373" s="1384"/>
      <c r="Y373" s="1384"/>
      <c r="Z373" s="1384"/>
      <c r="AA373" s="1384"/>
    </row>
    <row r="374" spans="1:27">
      <c r="C374" s="1388"/>
      <c r="D374" s="1388" t="s">
        <v>2046</v>
      </c>
      <c r="E374" s="1388"/>
      <c r="F374" s="1388"/>
      <c r="G374" s="1388"/>
      <c r="H374" s="1388"/>
      <c r="I374" s="1388"/>
      <c r="J374" s="1388"/>
      <c r="K374" s="1388"/>
      <c r="L374" s="3316"/>
      <c r="M374" s="3316"/>
      <c r="N374" s="3316"/>
      <c r="P374" s="3445"/>
      <c r="Q374" s="1384"/>
      <c r="R374" s="1406"/>
      <c r="S374" s="1384"/>
      <c r="T374" s="1384"/>
      <c r="U374" s="1384"/>
      <c r="V374" s="1384"/>
      <c r="W374" s="1384"/>
      <c r="X374" s="1384"/>
      <c r="Y374" s="1384"/>
      <c r="Z374" s="1384"/>
      <c r="AA374" s="1384"/>
    </row>
    <row r="375" spans="1:27">
      <c r="L375" s="1298"/>
      <c r="M375" s="1298"/>
      <c r="N375" s="1298"/>
      <c r="Q375" s="1384"/>
      <c r="R375" s="1384"/>
      <c r="S375" s="1384"/>
      <c r="T375" s="1384"/>
      <c r="U375" s="1384"/>
      <c r="V375" s="1384"/>
      <c r="W375" s="1384"/>
      <c r="X375" s="1384"/>
      <c r="Y375" s="1384"/>
      <c r="Z375" s="1384"/>
      <c r="AA375" s="1384"/>
    </row>
    <row r="376" spans="1:27">
      <c r="D376" s="1417" t="s">
        <v>2047</v>
      </c>
      <c r="E376" s="3293" t="s">
        <v>2062</v>
      </c>
      <c r="F376" s="3293"/>
      <c r="G376" s="3293"/>
      <c r="H376" s="3293"/>
      <c r="I376" s="3293"/>
      <c r="J376" s="3293"/>
      <c r="K376" s="3293"/>
      <c r="L376" s="3293"/>
      <c r="M376" s="3293"/>
      <c r="N376" s="3293"/>
      <c r="Q376" s="1384"/>
      <c r="R376" s="1384"/>
      <c r="S376" s="1384"/>
      <c r="T376" s="1384"/>
      <c r="U376" s="1384"/>
      <c r="V376" s="1384"/>
      <c r="W376" s="1384"/>
      <c r="X376" s="1384"/>
      <c r="Y376" s="1384"/>
      <c r="Z376" s="1384"/>
      <c r="AA376" s="1384"/>
    </row>
    <row r="377" spans="1:27">
      <c r="D377" s="1418"/>
      <c r="E377" s="3293"/>
      <c r="F377" s="3293"/>
      <c r="G377" s="3293"/>
      <c r="H377" s="3293"/>
      <c r="I377" s="3293"/>
      <c r="J377" s="3293"/>
      <c r="K377" s="3293"/>
      <c r="L377" s="3293"/>
      <c r="M377" s="3293"/>
      <c r="N377" s="3293"/>
      <c r="Q377" s="1384"/>
      <c r="R377" s="1384"/>
      <c r="S377" s="1384"/>
      <c r="T377" s="1384"/>
      <c r="U377" s="1384"/>
      <c r="V377" s="1384"/>
      <c r="W377" s="1384"/>
      <c r="X377" s="1384"/>
      <c r="Y377" s="1384"/>
      <c r="Z377" s="1384"/>
      <c r="AA377" s="1384"/>
    </row>
    <row r="378" spans="1:27">
      <c r="D378" s="1418"/>
      <c r="E378" s="3293"/>
      <c r="F378" s="3293"/>
      <c r="G378" s="3293"/>
      <c r="H378" s="3293"/>
      <c r="I378" s="3293"/>
      <c r="J378" s="3293"/>
      <c r="K378" s="3293"/>
      <c r="L378" s="3293"/>
      <c r="M378" s="3293"/>
      <c r="N378" s="3293"/>
      <c r="Q378" s="1384"/>
      <c r="R378" s="1384"/>
      <c r="S378" s="1384"/>
      <c r="T378" s="1384"/>
      <c r="U378" s="1384"/>
      <c r="V378" s="1384"/>
      <c r="W378" s="1384"/>
      <c r="X378" s="1384"/>
      <c r="Y378" s="1384"/>
      <c r="Z378" s="1384"/>
      <c r="AA378" s="1384"/>
    </row>
    <row r="379" spans="1:27">
      <c r="L379" s="1298"/>
      <c r="M379" s="1298"/>
      <c r="N379" s="1298"/>
      <c r="R379" s="1384"/>
      <c r="S379" s="1384"/>
      <c r="T379" s="1384"/>
      <c r="U379" s="1384"/>
      <c r="V379" s="1384"/>
      <c r="W379" s="1384"/>
      <c r="X379" s="1384"/>
    </row>
    <row r="380" spans="1:27" ht="6" customHeight="1">
      <c r="R380" s="1384"/>
      <c r="S380" s="1384"/>
      <c r="T380" s="1384"/>
      <c r="U380" s="1384"/>
      <c r="V380" s="1384"/>
      <c r="W380" s="1384"/>
      <c r="X380" s="1384"/>
    </row>
    <row r="381" spans="1:27" ht="3.75" hidden="1" customHeight="1">
      <c r="A381" s="134"/>
      <c r="B381" s="134"/>
      <c r="C381" s="134"/>
      <c r="D381" s="134"/>
      <c r="E381" s="134"/>
      <c r="F381" s="134"/>
      <c r="G381" s="134"/>
      <c r="H381" s="134"/>
      <c r="I381" s="134"/>
      <c r="J381" s="134"/>
      <c r="K381" s="134"/>
      <c r="L381" s="134"/>
      <c r="M381" s="134"/>
      <c r="N381" s="134"/>
      <c r="O381" s="134"/>
      <c r="P381" s="134"/>
      <c r="R381" s="1384"/>
      <c r="S381" s="1384"/>
      <c r="T381" s="1384"/>
      <c r="U381" s="1384"/>
      <c r="V381" s="1384"/>
      <c r="W381" s="1384"/>
      <c r="X381" s="1384"/>
    </row>
    <row r="382" spans="1:27" ht="12.6" hidden="1" customHeight="1">
      <c r="B382" s="130" t="str">
        <f>B$2</f>
        <v>RFA 2025-103 DEVELOPMENT COST PRO FORMA</v>
      </c>
      <c r="O382" s="133"/>
      <c r="P382" s="132" t="str">
        <f>IF(OR(AND(Funding!L$309&gt;0,Data3!H$273="No"),Data3!H$274="Yes"),"(Page 8 of 8)","(NA)")</f>
        <v>(NA)</v>
      </c>
      <c r="R382" s="1726"/>
      <c r="S382" s="1727"/>
      <c r="T382" s="1725"/>
      <c r="U382" s="1725"/>
      <c r="V382" s="1384"/>
      <c r="W382" s="1384"/>
      <c r="X382" s="1384"/>
    </row>
    <row r="383" spans="1:27" ht="12.6" hidden="1" customHeight="1">
      <c r="B383" s="130"/>
      <c r="O383" s="133"/>
      <c r="Q383" s="1384"/>
      <c r="R383" s="804"/>
      <c r="S383" s="1725"/>
      <c r="T383" s="1725"/>
      <c r="U383" s="1725"/>
      <c r="V383" s="1384"/>
      <c r="W383" s="1384"/>
      <c r="X383" s="1384"/>
    </row>
    <row r="384" spans="1:27" ht="12.6" hidden="1" customHeight="1">
      <c r="B384" s="130" t="s">
        <v>1514</v>
      </c>
      <c r="O384" s="133"/>
      <c r="P384" s="409"/>
      <c r="S384" s="1384"/>
      <c r="T384" s="1384"/>
      <c r="U384" s="1384"/>
      <c r="V384" s="1384"/>
      <c r="W384" s="1384"/>
      <c r="X384" s="1384"/>
    </row>
    <row r="385" spans="2:22" ht="12.6" hidden="1" customHeight="1">
      <c r="B385" s="130"/>
      <c r="O385" s="133"/>
      <c r="P385" s="409"/>
    </row>
    <row r="386" spans="2:22" ht="12.6" hidden="1" customHeight="1">
      <c r="B386" s="116" t="s">
        <v>1515</v>
      </c>
    </row>
    <row r="387" spans="2:22" ht="12.6" hidden="1" customHeight="1">
      <c r="B387" s="116" t="s">
        <v>1516</v>
      </c>
    </row>
    <row r="388" spans="2:22" ht="12.6" hidden="1" customHeight="1"/>
    <row r="389" spans="2:22" ht="12.6" hidden="1" customHeight="1">
      <c r="B389" s="136" t="s">
        <v>1517</v>
      </c>
    </row>
    <row r="390" spans="2:22" ht="12.6" hidden="1" customHeight="1"/>
    <row r="391" spans="2:22" ht="12.6" hidden="1" customHeight="1">
      <c r="B391" s="950" t="s">
        <v>1463</v>
      </c>
      <c r="C391" s="137" t="s">
        <v>1518</v>
      </c>
    </row>
    <row r="392" spans="2:22" ht="12.6" hidden="1" customHeight="1">
      <c r="C392" s="116" t="s">
        <v>1519</v>
      </c>
      <c r="L392" s="3336">
        <f>N(Acquisition_total)+N(Land_total)</f>
        <v>0</v>
      </c>
      <c r="M392" s="3336"/>
      <c r="N392" s="3336"/>
    </row>
    <row r="393" spans="2:22" ht="12.6" hidden="1" customHeight="1">
      <c r="D393" s="116" t="s">
        <v>1520</v>
      </c>
      <c r="L393" s="3360">
        <f>IF(N(Land_total)&gt;0,N(Land_total),0)</f>
        <v>0</v>
      </c>
      <c r="M393" s="3360"/>
      <c r="N393" s="3360"/>
    </row>
    <row r="394" spans="2:22" ht="12.6" hidden="1" customHeight="1">
      <c r="D394" s="116" t="s">
        <v>1521</v>
      </c>
      <c r="L394" s="3360">
        <f>N(Developer_fee_acq_total)</f>
        <v>0</v>
      </c>
      <c r="M394" s="3360"/>
      <c r="N394" s="3360"/>
      <c r="Q394" s="127"/>
    </row>
    <row r="395" spans="2:22" ht="12.6" hidden="1" customHeight="1">
      <c r="B395" s="130"/>
      <c r="C395" s="116" t="s">
        <v>1522</v>
      </c>
      <c r="L395" s="3360">
        <f>N(L392)-N(L393)+N(L394)</f>
        <v>0</v>
      </c>
      <c r="M395" s="3360"/>
      <c r="N395" s="3360"/>
    </row>
    <row r="396" spans="2:22" ht="12.6" hidden="1" customHeight="1">
      <c r="C396" s="116" t="s">
        <v>1523</v>
      </c>
      <c r="L396" s="3373">
        <f>IF(Minimum_SetAside_per_Sec_42="Average Income Test",AIT_HC_SA_Percent,NonAIT_HC_SA_Percent)</f>
        <v>0</v>
      </c>
      <c r="M396" s="3373"/>
      <c r="N396" s="3373"/>
    </row>
    <row r="397" spans="2:22" ht="12.6" hidden="1" customHeight="1">
      <c r="C397" s="116" t="s">
        <v>1524</v>
      </c>
      <c r="F397" s="142"/>
      <c r="H397" s="142"/>
      <c r="K397" s="142"/>
      <c r="L397" s="3374">
        <v>1</v>
      </c>
      <c r="M397" s="3374"/>
      <c r="N397" s="3374"/>
    </row>
    <row r="398" spans="2:22" ht="12.6" hidden="1" customHeight="1">
      <c r="C398" s="116" t="s">
        <v>1525</v>
      </c>
      <c r="F398" s="128"/>
      <c r="K398" s="128"/>
      <c r="L398" s="3360">
        <f>N(L395)*N(L396)*N(L397)</f>
        <v>0</v>
      </c>
      <c r="M398" s="3360"/>
      <c r="N398" s="3360"/>
      <c r="Q398" s="349"/>
    </row>
    <row r="399" spans="2:22" ht="12.6" hidden="1" customHeight="1">
      <c r="B399" s="948"/>
      <c r="C399" s="117" t="s">
        <v>1526</v>
      </c>
      <c r="D399" s="948"/>
      <c r="E399" s="948"/>
      <c r="F399" s="410"/>
      <c r="H399" s="695"/>
      <c r="K399" s="411"/>
      <c r="L399" s="3372">
        <v>0.04</v>
      </c>
      <c r="M399" s="3372"/>
      <c r="N399" s="3372"/>
    </row>
    <row r="400" spans="2:22" ht="12.6" hidden="1" customHeight="1">
      <c r="B400" s="948"/>
      <c r="C400" s="117" t="s">
        <v>1527</v>
      </c>
      <c r="D400" s="948"/>
      <c r="E400" s="412"/>
      <c r="F400" s="410"/>
      <c r="H400" s="695"/>
      <c r="K400" s="411"/>
      <c r="L400" s="3360">
        <f>N(L398)*N(L399)</f>
        <v>0</v>
      </c>
      <c r="M400" s="3360"/>
      <c r="N400" s="3360"/>
      <c r="Q400" s="413"/>
      <c r="R400" s="413"/>
      <c r="S400" s="413"/>
      <c r="T400" s="413"/>
      <c r="U400" s="413"/>
      <c r="V400" s="413"/>
    </row>
    <row r="401" spans="1:22" ht="12.6" hidden="1" customHeight="1">
      <c r="B401" s="948"/>
      <c r="C401" s="948"/>
      <c r="D401" s="948"/>
      <c r="E401" s="948"/>
      <c r="F401" s="410"/>
      <c r="H401" s="695"/>
      <c r="K401" s="411"/>
      <c r="N401" s="140"/>
    </row>
    <row r="402" spans="1:22" ht="12.6" hidden="1" customHeight="1">
      <c r="A402" s="414"/>
      <c r="B402" s="414"/>
      <c r="C402" s="414"/>
      <c r="D402" s="414"/>
      <c r="E402" s="414"/>
      <c r="F402" s="410"/>
      <c r="H402" s="695"/>
      <c r="K402" s="411"/>
      <c r="N402" s="140"/>
      <c r="Q402" s="415"/>
      <c r="R402" s="415"/>
      <c r="S402" s="415"/>
      <c r="T402" s="415"/>
      <c r="U402" s="415"/>
      <c r="V402" s="415"/>
    </row>
    <row r="403" spans="1:22" ht="12.6" hidden="1" customHeight="1">
      <c r="A403" s="414"/>
      <c r="B403" s="418" t="s">
        <v>1424</v>
      </c>
      <c r="C403" s="137" t="s">
        <v>1528</v>
      </c>
      <c r="Q403" s="415"/>
      <c r="R403" s="415"/>
      <c r="S403" s="415"/>
      <c r="T403" s="415"/>
      <c r="U403" s="415"/>
      <c r="V403" s="415"/>
    </row>
    <row r="404" spans="1:22" ht="12.6" hidden="1" customHeight="1">
      <c r="A404" s="414"/>
      <c r="B404" s="414"/>
      <c r="C404" s="116" t="s">
        <v>1529</v>
      </c>
      <c r="L404" s="3336">
        <f>N(TDC_total)</f>
        <v>0</v>
      </c>
      <c r="M404" s="3336"/>
      <c r="N404" s="3336"/>
      <c r="Q404" s="416"/>
      <c r="R404" s="416"/>
      <c r="S404" s="416"/>
      <c r="T404" s="416"/>
      <c r="U404" s="416"/>
      <c r="V404" s="416"/>
    </row>
    <row r="405" spans="1:22" ht="12.6" hidden="1" customHeight="1">
      <c r="A405" s="414"/>
      <c r="B405" s="414"/>
      <c r="D405" s="116" t="s">
        <v>1530</v>
      </c>
      <c r="L405" s="3360">
        <f>N(Acquisition_total)+N(Land_total)</f>
        <v>0</v>
      </c>
      <c r="M405" s="3360"/>
      <c r="N405" s="3360"/>
      <c r="Q405" s="416"/>
      <c r="R405" s="416"/>
      <c r="S405" s="416"/>
      <c r="T405" s="416"/>
      <c r="U405" s="416"/>
      <c r="V405" s="416"/>
    </row>
    <row r="406" spans="1:22" ht="12.6" hidden="1" customHeight="1">
      <c r="D406" s="116" t="s">
        <v>1531</v>
      </c>
      <c r="L406" s="3360">
        <f>IF(N(Developer_fee_acq_total)&gt;0,N(Developer_fee_acq_total),0)</f>
        <v>0</v>
      </c>
      <c r="M406" s="3360"/>
      <c r="N406" s="3360"/>
      <c r="O406" s="140"/>
      <c r="P406" s="140"/>
      <c r="Q406" s="417"/>
      <c r="R406" s="417"/>
      <c r="S406" s="417"/>
      <c r="T406" s="417"/>
      <c r="U406" s="417"/>
      <c r="V406" s="417"/>
    </row>
    <row r="407" spans="1:22" ht="12.6" hidden="1" customHeight="1">
      <c r="D407" s="116" t="s">
        <v>1532</v>
      </c>
      <c r="L407" s="3336">
        <f>IF(N(TDC_ineligible)&gt;0,N(TDC_ineligible)-N(Land_total),0)</f>
        <v>0</v>
      </c>
      <c r="M407" s="3336"/>
      <c r="N407" s="3336"/>
      <c r="O407" s="140"/>
      <c r="P407" s="140"/>
      <c r="Q407" s="417"/>
      <c r="R407" s="417"/>
      <c r="S407" s="417"/>
      <c r="T407" s="417"/>
      <c r="U407" s="417"/>
      <c r="V407" s="417"/>
    </row>
    <row r="408" spans="1:22" ht="12.6" hidden="1" customHeight="1">
      <c r="C408" s="116" t="s">
        <v>1533</v>
      </c>
      <c r="L408" s="3336">
        <f>N(L404)-N(L405)-N(L406)-N(L407)</f>
        <v>0</v>
      </c>
      <c r="M408" s="3336"/>
      <c r="N408" s="3336"/>
      <c r="O408" s="140"/>
      <c r="P408" s="140"/>
      <c r="Q408" s="417"/>
      <c r="R408" s="417"/>
      <c r="S408" s="417"/>
      <c r="T408" s="417"/>
      <c r="U408" s="417"/>
      <c r="V408" s="417"/>
    </row>
    <row r="409" spans="1:22" ht="12.6" hidden="1" customHeight="1">
      <c r="C409" s="116" t="s">
        <v>1523</v>
      </c>
      <c r="L409" s="3373">
        <f>L396</f>
        <v>0</v>
      </c>
      <c r="M409" s="3373"/>
      <c r="N409" s="3373"/>
      <c r="O409" s="140"/>
      <c r="P409" s="140"/>
      <c r="Q409" s="417"/>
      <c r="R409" s="417"/>
      <c r="S409" s="417"/>
      <c r="T409" s="417"/>
      <c r="U409" s="417"/>
      <c r="V409" s="417"/>
    </row>
    <row r="410" spans="1:22" ht="12.6" hidden="1" customHeight="1">
      <c r="C410" s="116" t="s">
        <v>1524</v>
      </c>
      <c r="F410" s="142"/>
      <c r="H410" s="142"/>
      <c r="K410" s="142"/>
      <c r="L410" s="3374" cm="1">
        <f t="array" ref="L410">IF(OR(Funding!E319:F319="Yes",Funding!E324:F324="Yes",Funding!E332:F332="Yes",Funding!E337:F337="Yes",Funding!E370:G370="Yes",AND(Funding!L298=1,Funding!L309=0,OR(Funding!E346:F346="Yes",Funding!E364:F364="Yes",Funding!E367:F367="Yes"))),1.3,1)</f>
        <v>1.3</v>
      </c>
      <c r="M410" s="3374"/>
      <c r="N410" s="3374"/>
      <c r="O410" s="140"/>
      <c r="P410" s="140"/>
    </row>
    <row r="411" spans="1:22" ht="12.6" hidden="1" customHeight="1">
      <c r="C411" s="116" t="s">
        <v>1534</v>
      </c>
      <c r="F411" s="128"/>
      <c r="K411" s="128"/>
      <c r="L411" s="3336">
        <f>N(L408)*N(L409)*N(L410)</f>
        <v>0</v>
      </c>
      <c r="M411" s="3336"/>
      <c r="N411" s="3336"/>
      <c r="O411" s="140"/>
      <c r="P411" s="140"/>
      <c r="Q411" s="158"/>
    </row>
    <row r="412" spans="1:22" ht="12.75" hidden="1" customHeight="1">
      <c r="C412" s="117" t="s">
        <v>1535</v>
      </c>
      <c r="D412" s="948"/>
      <c r="E412" s="948"/>
      <c r="F412" s="410"/>
      <c r="H412" s="695"/>
      <c r="K412" s="411"/>
      <c r="L412" s="3372">
        <f>IF(AND(Funding!I$298&gt;0,Funding!$L$298&gt;0),9%,IF(AND(Funding!$I$309&gt;0,Funding!$L$309&gt;0),4%,0%))</f>
        <v>0</v>
      </c>
      <c r="M412" s="3372"/>
      <c r="N412" s="3372"/>
      <c r="O412" s="326"/>
      <c r="P412" s="326"/>
      <c r="Q412" s="349" t="str">
        <f>IF(AND(Funding!$L$298=1,Funding!$L$309=1),"Funding Tab Error","")</f>
        <v/>
      </c>
    </row>
    <row r="413" spans="1:22" ht="12.75" hidden="1" customHeight="1">
      <c r="C413" s="117" t="s">
        <v>1536</v>
      </c>
      <c r="D413" s="948"/>
      <c r="E413" s="412"/>
      <c r="F413" s="410"/>
      <c r="H413" s="695"/>
      <c r="K413" s="411"/>
      <c r="L413" s="3336">
        <f>N(L411)*N(L412)</f>
        <v>0</v>
      </c>
      <c r="M413" s="3336"/>
      <c r="N413" s="3336"/>
      <c r="O413" s="326"/>
      <c r="P413" s="326"/>
    </row>
    <row r="414" spans="1:22" ht="12.75" hidden="1" customHeight="1">
      <c r="D414" s="327"/>
      <c r="E414" s="327"/>
      <c r="F414" s="327"/>
      <c r="H414" s="328"/>
      <c r="K414" s="329"/>
    </row>
    <row r="415" spans="1:22" ht="12.75" hidden="1" customHeight="1" thickBot="1">
      <c r="C415" s="419" t="s">
        <v>1537</v>
      </c>
      <c r="L415" s="3362">
        <f>N(L400)+N(L413)</f>
        <v>0</v>
      </c>
      <c r="M415" s="3362"/>
      <c r="N415" s="3362"/>
      <c r="V415" s="127"/>
    </row>
    <row r="416" spans="1:22" ht="12.75" hidden="1" customHeight="1" thickTop="1"/>
    <row r="417" spans="2:21" ht="12.75" hidden="1" customHeight="1"/>
    <row r="418" spans="2:21" ht="12.75" hidden="1" customHeight="1">
      <c r="B418" s="136" t="s">
        <v>1538</v>
      </c>
    </row>
    <row r="419" spans="2:21" hidden="1">
      <c r="C419" s="116" t="s">
        <v>1539</v>
      </c>
      <c r="L419" s="3336">
        <f>IF(N(TDC_total)=0,0,TDC_total)</f>
        <v>0</v>
      </c>
      <c r="M419" s="3336"/>
      <c r="N419" s="3336"/>
    </row>
    <row r="420" spans="2:21" hidden="1">
      <c r="D420" s="116" t="s">
        <v>1540</v>
      </c>
      <c r="L420" s="3360">
        <f>Total_NonGrant_Mtg</f>
        <v>0</v>
      </c>
      <c r="M420" s="3360"/>
      <c r="N420" s="3360"/>
      <c r="Q420" s="158"/>
    </row>
    <row r="421" spans="2:21" hidden="1">
      <c r="C421" s="116" t="s">
        <v>1541</v>
      </c>
      <c r="L421" s="3360">
        <f>N(L419)-N(L420)</f>
        <v>0</v>
      </c>
      <c r="M421" s="3360"/>
      <c r="N421" s="3360"/>
    </row>
    <row r="422" spans="2:21" hidden="1">
      <c r="C422" s="116" t="s">
        <v>1542</v>
      </c>
      <c r="L422" s="3363">
        <v>0.99990000000000001</v>
      </c>
      <c r="M422" s="3363"/>
      <c r="N422" s="3363"/>
      <c r="Q422" s="426" t="s">
        <v>1543</v>
      </c>
    </row>
    <row r="423" spans="2:21" hidden="1">
      <c r="C423" s="116" t="s">
        <v>1544</v>
      </c>
      <c r="L423" s="3364" t="str">
        <f>IF(AND(N(Competitive_HC_Request_Amount)=0,N(Non_Competitive_HC_Request_Amount)=0),"TBD",PermAnalysis_HC/(IF(N(L412)=9%,Competitive_HC_Request_Amount,Non_Competitive_HC_Request_Amount)*10*Percent_Credits_Purchased))</f>
        <v>TBD</v>
      </c>
      <c r="M423" s="3364"/>
      <c r="N423" s="3364"/>
    </row>
    <row r="424" spans="2:21" hidden="1">
      <c r="C424" s="116" t="s">
        <v>1545</v>
      </c>
      <c r="L424" s="3360" t="str">
        <f>IF(OR(L423=0,L423="TBD"),"TBD",N(L421)/N(L422)/N(L423))</f>
        <v>TBD</v>
      </c>
      <c r="M424" s="3360"/>
      <c r="N424" s="3360"/>
      <c r="Q424" s="420"/>
    </row>
    <row r="425" spans="2:21" ht="13.5" hidden="1" thickBot="1">
      <c r="C425" s="116" t="s">
        <v>1546</v>
      </c>
      <c r="L425" s="3365" t="str">
        <f>IF(L424="TBD","TBD",N(L424)/10)</f>
        <v>TBD</v>
      </c>
      <c r="M425" s="3365"/>
      <c r="N425" s="3365"/>
      <c r="U425" s="425"/>
    </row>
    <row r="426" spans="2:21" ht="13.5" hidden="1" thickTop="1"/>
    <row r="427" spans="2:21" hidden="1"/>
    <row r="428" spans="2:21" hidden="1">
      <c r="B428" s="136" t="s">
        <v>1547</v>
      </c>
    </row>
    <row r="429" spans="2:21" hidden="1">
      <c r="C429" s="116" t="s">
        <v>1548</v>
      </c>
      <c r="L429" s="3336">
        <f>N(L415)</f>
        <v>0</v>
      </c>
      <c r="M429" s="3336"/>
      <c r="N429" s="3336"/>
    </row>
    <row r="430" spans="2:21" hidden="1">
      <c r="C430" s="116" t="s">
        <v>1549</v>
      </c>
      <c r="L430" s="3360">
        <f>N(L425)</f>
        <v>0</v>
      </c>
      <c r="M430" s="3360"/>
      <c r="N430" s="3360"/>
      <c r="Q430" s="158"/>
    </row>
    <row r="431" spans="2:21" hidden="1">
      <c r="C431" s="137" t="s">
        <v>1550</v>
      </c>
      <c r="D431" s="137"/>
      <c r="E431" s="137"/>
      <c r="F431" s="137"/>
      <c r="G431" s="137"/>
      <c r="H431" s="137"/>
      <c r="I431" s="137"/>
      <c r="J431" s="137"/>
      <c r="K431" s="137"/>
      <c r="L431" s="3366">
        <f>MIN(N(L429),N(L430))</f>
        <v>0</v>
      </c>
      <c r="M431" s="3366"/>
      <c r="N431" s="3366"/>
    </row>
    <row r="432" spans="2:21" hidden="1">
      <c r="C432" s="116" t="s">
        <v>1551</v>
      </c>
      <c r="L432" s="3360">
        <f>N(L431)*N(L422)*N(L423)*10</f>
        <v>0</v>
      </c>
      <c r="M432" s="3360"/>
      <c r="N432" s="3360"/>
    </row>
    <row r="433" spans="2:17" hidden="1"/>
    <row r="434" spans="2:17" hidden="1"/>
    <row r="435" spans="2:17" hidden="1">
      <c r="B435" s="136" t="s">
        <v>1552</v>
      </c>
    </row>
    <row r="436" spans="2:17" hidden="1">
      <c r="C436" s="116" t="s">
        <v>1553</v>
      </c>
      <c r="L436" s="3336">
        <f>IF(N(TDC_eligible)&gt;0,N(TDC_eligible)+N(Actual_Comm_Retail_total),0)</f>
        <v>0</v>
      </c>
      <c r="M436" s="3336"/>
      <c r="N436" s="3336"/>
    </row>
    <row r="437" spans="2:17" hidden="1">
      <c r="D437" s="116" t="s">
        <v>1554</v>
      </c>
      <c r="L437" s="3360">
        <f>IF(N(Land_total)&gt;0,N(Land_total),0)</f>
        <v>0</v>
      </c>
      <c r="M437" s="3360"/>
      <c r="N437" s="3360"/>
      <c r="Q437" s="158"/>
    </row>
    <row r="438" spans="2:17" hidden="1">
      <c r="C438" s="116" t="s">
        <v>1555</v>
      </c>
      <c r="L438" s="3360">
        <f>N(L436)+N(L437)</f>
        <v>0</v>
      </c>
      <c r="M438" s="3360"/>
      <c r="N438" s="3360"/>
    </row>
    <row r="439" spans="2:17" hidden="1">
      <c r="C439" s="116" t="s">
        <v>1556</v>
      </c>
      <c r="L439" s="3367">
        <f>IF(AND(Funding!L309&gt;0,Funding!L382&gt;0,Funding!I382&gt;0),Funding!I382,IF(AND(Funding!L309&gt;0,Funding!L382&gt;0,Funding!I382=0),ConstrAnalysis__1st_Mtg,0))</f>
        <v>0</v>
      </c>
      <c r="M439" s="3367"/>
      <c r="N439" s="3367"/>
      <c r="Q439" s="158"/>
    </row>
    <row r="440" spans="2:17" hidden="1">
      <c r="C440" s="116" t="s">
        <v>1557</v>
      </c>
      <c r="L440" s="3360">
        <f>L439</f>
        <v>0</v>
      </c>
      <c r="M440" s="3360"/>
      <c r="N440" s="3360"/>
      <c r="Q440" s="158"/>
    </row>
    <row r="441" spans="2:17" hidden="1">
      <c r="C441" s="137" t="s">
        <v>1558</v>
      </c>
      <c r="D441" s="137"/>
      <c r="E441" s="137"/>
      <c r="F441" s="137"/>
      <c r="G441" s="137"/>
      <c r="H441" s="137"/>
      <c r="I441" s="137"/>
      <c r="J441" s="137"/>
      <c r="K441" s="137"/>
      <c r="L441" s="3361" t="str">
        <f>IF(N(L438)=0,"TBD",N(L440)/N(L438))</f>
        <v>TBD</v>
      </c>
      <c r="M441" s="3361"/>
      <c r="N441" s="3361"/>
      <c r="Q441" s="158"/>
    </row>
    <row r="442" spans="2:17" hidden="1"/>
    <row r="443" spans="2:17" hidden="1">
      <c r="C443" s="165" t="s">
        <v>1559</v>
      </c>
    </row>
    <row r="445" spans="2:17">
      <c r="E445" s="120"/>
      <c r="F445" s="119"/>
    </row>
    <row r="446" spans="2:17">
      <c r="E446" s="120"/>
      <c r="F446" s="119"/>
    </row>
    <row r="447" spans="2:17">
      <c r="E447" s="120"/>
      <c r="F447" s="119"/>
    </row>
    <row r="448" spans="2:17">
      <c r="E448" s="120"/>
      <c r="F448" s="119"/>
    </row>
    <row r="449" spans="5:6">
      <c r="E449" s="120"/>
      <c r="F449" s="119"/>
    </row>
    <row r="450" spans="5:6">
      <c r="E450" s="120"/>
      <c r="F450" s="119"/>
    </row>
    <row r="451" spans="5:6">
      <c r="E451" s="120"/>
      <c r="F451" s="119"/>
    </row>
    <row r="452" spans="5:6">
      <c r="E452" s="118"/>
    </row>
    <row r="453" spans="5:6">
      <c r="E453" s="118"/>
    </row>
    <row r="454" spans="5:6">
      <c r="E454" s="118"/>
    </row>
    <row r="455" spans="5:6">
      <c r="E455" s="118"/>
    </row>
    <row r="456" spans="5:6">
      <c r="E456" s="118"/>
    </row>
    <row r="457" spans="5:6">
      <c r="E457" s="118"/>
    </row>
    <row r="458" spans="5:6">
      <c r="E458" s="118"/>
    </row>
    <row r="459" spans="5:6">
      <c r="E459" s="117"/>
    </row>
    <row r="460" spans="5:6">
      <c r="E460" s="117"/>
    </row>
    <row r="461" spans="5:6">
      <c r="E461" s="117"/>
    </row>
    <row r="462" spans="5:6">
      <c r="E462" s="117"/>
    </row>
    <row r="463" spans="5:6">
      <c r="E463" s="117"/>
    </row>
    <row r="464" spans="5:6">
      <c r="E464" s="117"/>
    </row>
    <row r="465" spans="5:5">
      <c r="E465" s="117"/>
    </row>
    <row r="466" spans="5:5">
      <c r="E466" s="117"/>
    </row>
    <row r="467" spans="5:5">
      <c r="E467" s="117"/>
    </row>
    <row r="468" spans="5:5">
      <c r="E468" s="117"/>
    </row>
    <row r="469" spans="5:5">
      <c r="E469" s="117"/>
    </row>
    <row r="470" spans="5:5">
      <c r="E470" s="117"/>
    </row>
    <row r="471" spans="5:5">
      <c r="E471" s="117"/>
    </row>
    <row r="472" spans="5:5">
      <c r="E472" s="117"/>
    </row>
    <row r="473" spans="5:5">
      <c r="E473" s="117"/>
    </row>
    <row r="474" spans="5:5">
      <c r="E474" s="117"/>
    </row>
    <row r="475" spans="5:5">
      <c r="E475" s="117"/>
    </row>
    <row r="476" spans="5:5">
      <c r="E476" s="117"/>
    </row>
    <row r="477" spans="5:5">
      <c r="E477" s="117"/>
    </row>
    <row r="478" spans="5:5">
      <c r="E478" s="117"/>
    </row>
    <row r="479" spans="5:5">
      <c r="E479" s="117"/>
    </row>
    <row r="480" spans="5:5">
      <c r="E480" s="117"/>
    </row>
  </sheetData>
  <sheetProtection algorithmName="SHA-512" hashValue="EC+h3dcOiJoCSFXURuGMIK0YJtG/OK/tQziSh64cUhMqXdfUYtJPtyCTb4LEQHNJfYRWX8tZsCBjM2BOcUbx2A==" saltValue="x/J/xaR111RTK/bHORfpEg==" spinCount="100000" sheet="1" formatRows="0" selectLockedCells="1"/>
  <mergeCells count="204">
    <mergeCell ref="L301:N301"/>
    <mergeCell ref="D302:F302"/>
    <mergeCell ref="G302:H302"/>
    <mergeCell ref="I302:K302"/>
    <mergeCell ref="L302:N302"/>
    <mergeCell ref="D303:F303"/>
    <mergeCell ref="D65:E65"/>
    <mergeCell ref="D60:E60"/>
    <mergeCell ref="D113:E113"/>
    <mergeCell ref="D115:E115"/>
    <mergeCell ref="D118:E118"/>
    <mergeCell ref="K194:N194"/>
    <mergeCell ref="K204:N204"/>
    <mergeCell ref="K206:N206"/>
    <mergeCell ref="K208:N208"/>
    <mergeCell ref="D122:E122"/>
    <mergeCell ref="F167:O169"/>
    <mergeCell ref="L222:N223"/>
    <mergeCell ref="G303:H303"/>
    <mergeCell ref="I303:K303"/>
    <mergeCell ref="L303:N303"/>
    <mergeCell ref="D120:E120"/>
    <mergeCell ref="P373:P374"/>
    <mergeCell ref="L270:N271"/>
    <mergeCell ref="K252:N252"/>
    <mergeCell ref="K254:N254"/>
    <mergeCell ref="K250:N250"/>
    <mergeCell ref="R190:X192"/>
    <mergeCell ref="K244:N244"/>
    <mergeCell ref="E268:F268"/>
    <mergeCell ref="R222:W222"/>
    <mergeCell ref="L296:N296"/>
    <mergeCell ref="D297:F297"/>
    <mergeCell ref="G297:H297"/>
    <mergeCell ref="I297:K297"/>
    <mergeCell ref="L297:N297"/>
    <mergeCell ref="R270:W270"/>
    <mergeCell ref="D301:F301"/>
    <mergeCell ref="G301:H301"/>
    <mergeCell ref="E266:F266"/>
    <mergeCell ref="R264:W265"/>
    <mergeCell ref="K256:N256"/>
    <mergeCell ref="K246:N246"/>
    <mergeCell ref="E218:F218"/>
    <mergeCell ref="I301:K301"/>
    <mergeCell ref="D304:F304"/>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Q119:Z120"/>
    <mergeCell ref="Q123:Z124"/>
    <mergeCell ref="Q70:Z70"/>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A1:P1"/>
    <mergeCell ref="K198:N198"/>
    <mergeCell ref="K200:N200"/>
    <mergeCell ref="K202:N202"/>
    <mergeCell ref="K248:N248"/>
    <mergeCell ref="K37:N37"/>
    <mergeCell ref="L412:N412"/>
    <mergeCell ref="L413:N413"/>
    <mergeCell ref="L407:N407"/>
    <mergeCell ref="L405:N405"/>
    <mergeCell ref="L406:N406"/>
    <mergeCell ref="L408:N408"/>
    <mergeCell ref="L409:N409"/>
    <mergeCell ref="L410:N410"/>
    <mergeCell ref="L411:N411"/>
    <mergeCell ref="L397:N397"/>
    <mergeCell ref="L398:N398"/>
    <mergeCell ref="L399:N399"/>
    <mergeCell ref="L400:N400"/>
    <mergeCell ref="L392:N392"/>
    <mergeCell ref="L393:N393"/>
    <mergeCell ref="L394:N394"/>
    <mergeCell ref="L395:N395"/>
    <mergeCell ref="L396:N396"/>
    <mergeCell ref="L440:N440"/>
    <mergeCell ref="L441:N441"/>
    <mergeCell ref="L415:N415"/>
    <mergeCell ref="L419:N419"/>
    <mergeCell ref="L420:N420"/>
    <mergeCell ref="L421:N421"/>
    <mergeCell ref="L422:N422"/>
    <mergeCell ref="L423:N423"/>
    <mergeCell ref="L424:N424"/>
    <mergeCell ref="L425:N425"/>
    <mergeCell ref="L429:N429"/>
    <mergeCell ref="L430:N430"/>
    <mergeCell ref="L431:N431"/>
    <mergeCell ref="L432:N432"/>
    <mergeCell ref="L436:N436"/>
    <mergeCell ref="L437:N437"/>
    <mergeCell ref="L438:N438"/>
    <mergeCell ref="L439:N439"/>
    <mergeCell ref="L404:N404"/>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G304:H304"/>
    <mergeCell ref="I304:K304"/>
    <mergeCell ref="L304:N304"/>
    <mergeCell ref="K313:M313"/>
    <mergeCell ref="I314:K314"/>
    <mergeCell ref="I315:K315"/>
    <mergeCell ref="I317:K317"/>
    <mergeCell ref="D305:N308"/>
    <mergeCell ref="L310:N310"/>
    <mergeCell ref="L314:N314"/>
    <mergeCell ref="L373:N374"/>
    <mergeCell ref="I320:K320"/>
    <mergeCell ref="I321:K321"/>
    <mergeCell ref="K354:M354"/>
    <mergeCell ref="K356:M356"/>
    <mergeCell ref="L357:N357"/>
    <mergeCell ref="L359:N359"/>
    <mergeCell ref="L361:N361"/>
    <mergeCell ref="I323:K323"/>
    <mergeCell ref="L323:N323"/>
    <mergeCell ref="L324:N324"/>
    <mergeCell ref="L340:N340"/>
    <mergeCell ref="L346:N346"/>
    <mergeCell ref="D347:K348"/>
    <mergeCell ref="L350:N350"/>
    <mergeCell ref="D335:K336"/>
    <mergeCell ref="L367:N367"/>
    <mergeCell ref="E376:N378"/>
    <mergeCell ref="I319:K319"/>
    <mergeCell ref="D327:K328"/>
    <mergeCell ref="D331:K332"/>
    <mergeCell ref="D351:K353"/>
    <mergeCell ref="L321:N321"/>
    <mergeCell ref="L315:N315"/>
    <mergeCell ref="L316:N316"/>
    <mergeCell ref="L317:N317"/>
    <mergeCell ref="L318:N318"/>
    <mergeCell ref="L319:N319"/>
    <mergeCell ref="L320:N320"/>
    <mergeCell ref="G325:H325"/>
    <mergeCell ref="L325:N325"/>
    <mergeCell ref="L326:N326"/>
    <mergeCell ref="L330:N330"/>
    <mergeCell ref="L369:N369"/>
    <mergeCell ref="L363:N363"/>
    <mergeCell ref="L365:N365"/>
    <mergeCell ref="I318:K318"/>
    <mergeCell ref="L334:N334"/>
    <mergeCell ref="L338:N338"/>
    <mergeCell ref="I316:K316"/>
    <mergeCell ref="L371:N371"/>
  </mergeCells>
  <conditionalFormatting sqref="Q116">
    <cfRule type="cellIs" dxfId="253" priority="77" operator="equal">
      <formula>"No"</formula>
    </cfRule>
    <cfRule type="cellIs" dxfId="252" priority="84" operator="equal">
      <formula>"Yes"</formula>
    </cfRule>
  </conditionalFormatting>
  <conditionalFormatting sqref="J228:J229">
    <cfRule type="expression" dxfId="251" priority="239">
      <formula>H228&lt;0</formula>
    </cfRule>
  </conditionalFormatting>
  <conditionalFormatting sqref="J276:J278">
    <cfRule type="expression" dxfId="250" priority="273">
      <formula>H276&lt;0</formula>
    </cfRule>
  </conditionalFormatting>
  <conditionalFormatting sqref="D275:F276 J276:P276">
    <cfRule type="expression" dxfId="249" priority="261">
      <formula>$H$276&lt;0</formula>
    </cfRule>
  </conditionalFormatting>
  <conditionalFormatting sqref="D227:F228 J228:P228">
    <cfRule type="expression" dxfId="248" priority="233">
      <formula>$H$228&lt;0</formula>
    </cfRule>
  </conditionalFormatting>
  <conditionalFormatting sqref="N112">
    <cfRule type="expression" dxfId="247" priority="88">
      <formula>P113="No"</formula>
    </cfRule>
  </conditionalFormatting>
  <conditionalFormatting sqref="N87">
    <cfRule type="expression" dxfId="246" priority="79">
      <formula>$P$88="No"</formula>
    </cfRule>
  </conditionalFormatting>
  <conditionalFormatting sqref="N59">
    <cfRule type="expression" dxfId="245" priority="62">
      <formula>$P$60="No"</formula>
    </cfRule>
  </conditionalFormatting>
  <conditionalFormatting sqref="N64">
    <cfRule type="expression" dxfId="244" priority="66">
      <formula>$P$65="No"</formula>
    </cfRule>
  </conditionalFormatting>
  <conditionalFormatting sqref="D112:F112">
    <cfRule type="expression" dxfId="243" priority="86">
      <formula>$P$112="**"</formula>
    </cfRule>
  </conditionalFormatting>
  <conditionalFormatting sqref="C59:F59">
    <cfRule type="expression" dxfId="242" priority="61">
      <formula>$P60="No"</formula>
    </cfRule>
  </conditionalFormatting>
  <conditionalFormatting sqref="P112">
    <cfRule type="cellIs" dxfId="241" priority="97" operator="equal">
      <formula>"**"</formula>
    </cfRule>
  </conditionalFormatting>
  <conditionalFormatting sqref="P114">
    <cfRule type="cellIs" dxfId="240" priority="102" operator="equal">
      <formula>"**"</formula>
    </cfRule>
  </conditionalFormatting>
  <conditionalFormatting sqref="P119">
    <cfRule type="cellIs" dxfId="239" priority="126" operator="equal">
      <formula>"**"</formula>
    </cfRule>
  </conditionalFormatting>
  <conditionalFormatting sqref="P87">
    <cfRule type="cellIs" dxfId="238" priority="80" operator="equal">
      <formula>"**"</formula>
    </cfRule>
  </conditionalFormatting>
  <conditionalFormatting sqref="P64">
    <cfRule type="cellIs" dxfId="237" priority="68" operator="equal">
      <formula>"**"</formula>
    </cfRule>
  </conditionalFormatting>
  <conditionalFormatting sqref="P59">
    <cfRule type="cellIs" dxfId="236" priority="63" operator="equal">
      <formula>"**"</formula>
    </cfRule>
  </conditionalFormatting>
  <conditionalFormatting sqref="P141">
    <cfRule type="cellIs" dxfId="235" priority="142" operator="equal">
      <formula>"**"</formula>
    </cfRule>
  </conditionalFormatting>
  <conditionalFormatting sqref="P145">
    <cfRule type="cellIs" dxfId="234" priority="144" operator="equal">
      <formula>"**"</formula>
    </cfRule>
  </conditionalFormatting>
  <conditionalFormatting sqref="P158">
    <cfRule type="cellIs" dxfId="233" priority="178" operator="equal">
      <formula>"**"</formula>
    </cfRule>
  </conditionalFormatting>
  <conditionalFormatting sqref="P167">
    <cfRule type="cellIs" dxfId="232" priority="190" operator="equal">
      <formula>"**"</formula>
    </cfRule>
  </conditionalFormatting>
  <conditionalFormatting sqref="P174">
    <cfRule type="cellIs" dxfId="231" priority="192" operator="equal">
      <formula>"**"</formula>
    </cfRule>
  </conditionalFormatting>
  <conditionalFormatting sqref="P37:P38">
    <cfRule type="cellIs" dxfId="230" priority="55" operator="equal">
      <formula>"**"</formula>
    </cfRule>
  </conditionalFormatting>
  <conditionalFormatting sqref="P227">
    <cfRule type="cellIs" dxfId="229" priority="234" operator="equal">
      <formula>"**"</formula>
    </cfRule>
  </conditionalFormatting>
  <conditionalFormatting sqref="N121">
    <cfRule type="expression" dxfId="228" priority="134">
      <formula>Q122="No"</formula>
    </cfRule>
  </conditionalFormatting>
  <conditionalFormatting sqref="D116:D117">
    <cfRule type="expression" dxfId="227" priority="116">
      <formula>$Q118="No"</formula>
    </cfRule>
  </conditionalFormatting>
  <conditionalFormatting sqref="P275">
    <cfRule type="cellIs" dxfId="226" priority="272" operator="equal">
      <formula>"**"</formula>
    </cfRule>
  </conditionalFormatting>
  <conditionalFormatting sqref="C64:F64">
    <cfRule type="expression" dxfId="225" priority="65">
      <formula>$P$65="No"</formula>
    </cfRule>
  </conditionalFormatting>
  <conditionalFormatting sqref="I37:I38">
    <cfRule type="expression" dxfId="224" priority="54">
      <formula>$P37="**"</formula>
    </cfRule>
  </conditionalFormatting>
  <conditionalFormatting sqref="Q228:Q230">
    <cfRule type="expression" dxfId="223" priority="176">
      <formula>H228&lt;0</formula>
    </cfRule>
    <cfRule type="expression" dxfId="222" priority="194">
      <formula>H228&gt;=0</formula>
    </cfRule>
  </conditionalFormatting>
  <conditionalFormatting sqref="Q276:Q278">
    <cfRule type="expression" dxfId="221" priority="245">
      <formula>H276&gt;=0</formula>
    </cfRule>
    <cfRule type="expression" dxfId="220" priority="249">
      <formula>H276&lt;0</formula>
    </cfRule>
  </conditionalFormatting>
  <conditionalFormatting sqref="K414">
    <cfRule type="cellIs" dxfId="219" priority="959" operator="equal">
      <formula>"(greater than 60% maximum)"</formula>
    </cfRule>
    <cfRule type="cellIs" dxfId="218" priority="961" operator="equal">
      <formula>"(less than 60% maximum)"</formula>
    </cfRule>
    <cfRule type="cellIs" dxfId="217" priority="1245" operator="equal">
      <formula>"(equal to 60% maximum)"</formula>
    </cfRule>
  </conditionalFormatting>
  <conditionalFormatting sqref="G39">
    <cfRule type="cellIs" dxfId="216" priority="56" operator="notEqual">
      <formula>""</formula>
    </cfRule>
  </conditionalFormatting>
  <conditionalFormatting sqref="H46">
    <cfRule type="expression" dxfId="215" priority="59">
      <formula>H46&lt;&gt;ROUNDDOWN(H46,0)</formula>
    </cfRule>
  </conditionalFormatting>
  <conditionalFormatting sqref="R250">
    <cfRule type="cellIs" dxfId="214" priority="216" operator="equal">
      <formula>"Total Permanent SAIL+ SAIL ELI funding is greater than the maximum 35% of TDC."</formula>
    </cfRule>
  </conditionalFormatting>
  <conditionalFormatting sqref="N97:N107 N109:N120 N124">
    <cfRule type="cellIs" dxfId="213" priority="85" operator="equal">
      <formula>0</formula>
    </cfRule>
  </conditionalFormatting>
  <conditionalFormatting sqref="N56:N61 N63:N64">
    <cfRule type="cellIs" dxfId="212" priority="60" operator="equal">
      <formula>0</formula>
    </cfRule>
  </conditionalFormatting>
  <conditionalFormatting sqref="N85">
    <cfRule type="cellIs" dxfId="211" priority="76" operator="equal">
      <formula>0</formula>
    </cfRule>
  </conditionalFormatting>
  <conditionalFormatting sqref="O411:P413">
    <cfRule type="cellIs" dxfId="210" priority="296" operator="equal">
      <formula>"(Total Units here does NOT match the Total Units entered on row 38 above)"</formula>
    </cfRule>
    <cfRule type="cellIs" dxfId="209" priority="935" operator="equal">
      <formula>"(Total Units here matches the Total Units entered on row 38 above)"</formula>
    </cfRule>
  </conditionalFormatting>
  <conditionalFormatting sqref="Q402">
    <cfRule type="expression" dxfId="208" priority="290">
      <formula>OR(SUM($H$399:$H$403)&lt;ROUNDUP($H$412*45%,0),SUM($H$399:$H$403)&gt;ROUNDUP($H$412*50%,0))</formula>
    </cfRule>
  </conditionalFormatting>
  <conditionalFormatting sqref="Q404:V404">
    <cfRule type="expression" dxfId="207" priority="293">
      <formula>ROUND((H$414*H$408-60%*H$408)/(60%-F404),9)&lt;0</formula>
    </cfRule>
  </conditionalFormatting>
  <conditionalFormatting sqref="Q405:V405">
    <cfRule type="expression" dxfId="206" priority="297">
      <formula>ROUND((H$414*H$408-60%*H$408)/(60%-F405),9)&lt;0</formula>
    </cfRule>
  </conditionalFormatting>
  <conditionalFormatting sqref="R202:V202 H202">
    <cfRule type="expression" dxfId="205" priority="124">
      <formula>$R$202="The Request Amount is greater than the maximum allowed."</formula>
    </cfRule>
  </conditionalFormatting>
  <conditionalFormatting sqref="R204:V204 H204">
    <cfRule type="expression" dxfId="204" priority="131">
      <formula>$R$204="The Request Amount is greater than the maximum allowed."</formula>
    </cfRule>
  </conditionalFormatting>
  <conditionalFormatting sqref="R206:V206 H206">
    <cfRule type="expression" dxfId="203" priority="140">
      <formula>$R$206="The Request Amount is greater than the maximum allowed."</formula>
    </cfRule>
  </conditionalFormatting>
  <conditionalFormatting sqref="R208:V208 H208">
    <cfRule type="expression" dxfId="202" priority="155">
      <formula>$R$208="The Request Amount is greater than the maximum allowed."</formula>
    </cfRule>
  </conditionalFormatting>
  <conditionalFormatting sqref="R256:V256">
    <cfRule type="expression" dxfId="201" priority="218">
      <formula>$R$256="The Request Amount is greater than the maximum allowed."</formula>
    </cfRule>
  </conditionalFormatting>
  <conditionalFormatting sqref="R258 H258 T258:V258">
    <cfRule type="expression" dxfId="200" priority="219">
      <formula>$R$258="The Request Amount is greater than the maximum allowed."</formula>
    </cfRule>
  </conditionalFormatting>
  <conditionalFormatting sqref="R260 H260 T260:V260">
    <cfRule type="expression" dxfId="199" priority="220">
      <formula>$R$260="The Request Amount is greater than the maximum allowed."</formula>
    </cfRule>
  </conditionalFormatting>
  <conditionalFormatting sqref="R262 H262 T262:V262">
    <cfRule type="expression" dxfId="198" priority="223">
      <formula>$R$262="The Request Amount is greater than the maximum allowed."</formula>
    </cfRule>
  </conditionalFormatting>
  <conditionalFormatting sqref="P152">
    <cfRule type="cellIs" dxfId="197" priority="146" operator="equal">
      <formula>"**"</formula>
    </cfRule>
  </conditionalFormatting>
  <conditionalFormatting sqref="F152:O156">
    <cfRule type="expression" dxfId="196" priority="145">
      <formula>AND($F$152="",#REF!&lt;&gt;"")</formula>
    </cfRule>
  </conditionalFormatting>
  <conditionalFormatting sqref="F141:O143">
    <cfRule type="expression" dxfId="195" priority="141">
      <formula>AND($F$141="",$N$50&lt;&gt;"")</formula>
    </cfRule>
  </conditionalFormatting>
  <conditionalFormatting sqref="F145">
    <cfRule type="expression" dxfId="194" priority="143">
      <formula>AND($F$145="",$N$54&lt;&gt;"")</formula>
    </cfRule>
  </conditionalFormatting>
  <conditionalFormatting sqref="F158">
    <cfRule type="expression" dxfId="193" priority="154">
      <formula>AND($F$158="",$N$82&lt;&gt;"")</formula>
    </cfRule>
  </conditionalFormatting>
  <conditionalFormatting sqref="F167">
    <cfRule type="expression" dxfId="192" priority="179">
      <formula>AND($F$167="",$N$95&lt;&gt;"")</formula>
    </cfRule>
  </conditionalFormatting>
  <conditionalFormatting sqref="F174">
    <cfRule type="expression" dxfId="191" priority="191">
      <formula>AND($F$174="",$N$103&lt;&gt;"")</formula>
    </cfRule>
  </conditionalFormatting>
  <conditionalFormatting sqref="H270">
    <cfRule type="expression" dxfId="190" priority="259">
      <formula>$R$270="The Deferred Developer Fee is greater than than the Total Developer Fee."</formula>
    </cfRule>
  </conditionalFormatting>
  <conditionalFormatting sqref="R222">
    <cfRule type="cellIs" dxfId="189" priority="175" operator="equal">
      <formula>"The Deferred Developer Fee is greater than than the Total Developer Fee."</formula>
    </cfRule>
  </conditionalFormatting>
  <conditionalFormatting sqref="H222">
    <cfRule type="expression" dxfId="188" priority="232">
      <formula>$R$222="The Deferred Developer Fee is greater than than the Total Developer Fee."</formula>
    </cfRule>
  </conditionalFormatting>
  <conditionalFormatting sqref="Q412">
    <cfRule type="cellIs" dxfId="187" priority="298" operator="equal">
      <formula>"Funding Tab Error"</formula>
    </cfRule>
  </conditionalFormatting>
  <conditionalFormatting sqref="L441:N441">
    <cfRule type="expression" dxfId="186" priority="1259">
      <formula>N($L$441)&gt;=0.5</formula>
    </cfRule>
    <cfRule type="cellIs" dxfId="185" priority="1769" operator="equal">
      <formula>"TBD"</formula>
    </cfRule>
    <cfRule type="cellIs" dxfId="184" priority="1793" operator="lessThan">
      <formula>0.5</formula>
    </cfRule>
  </conditionalFormatting>
  <conditionalFormatting sqref="N114">
    <cfRule type="expression" dxfId="183" priority="100">
      <formula>$P$115="No"</formula>
    </cfRule>
  </conditionalFormatting>
  <conditionalFormatting sqref="N119">
    <cfRule type="expression" dxfId="182" priority="125">
      <formula>OR($P$119="**",$P$114="**",$P$112="**")</formula>
    </cfRule>
  </conditionalFormatting>
  <conditionalFormatting sqref="D114:F114">
    <cfRule type="expression" dxfId="181" priority="99">
      <formula>$P$114="**"</formula>
    </cfRule>
  </conditionalFormatting>
  <conditionalFormatting sqref="C119:F119">
    <cfRule type="expression" dxfId="180" priority="122">
      <formula>OR($P$119="**",$P$114="**",$P$112="**")</formula>
    </cfRule>
  </conditionalFormatting>
  <conditionalFormatting sqref="C87:F87">
    <cfRule type="expression" dxfId="179" priority="78">
      <formula>$P$88="No"</formula>
    </cfRule>
  </conditionalFormatting>
  <conditionalFormatting sqref="K190 K192 K194 K196 K198 K200 K202 K204 K206 K208 K244 K246 K248 K250 K252 K254 K256 K258 K260 K262 K218 K220 K266 K268">
    <cfRule type="expression" dxfId="178" priority="211">
      <formula>AND(OR($K190="&lt;select from menu&gt;",$K190=""),N($H190)&gt;0)</formula>
    </cfRule>
  </conditionalFormatting>
  <conditionalFormatting sqref="P190">
    <cfRule type="cellIs" dxfId="177" priority="213" operator="equal">
      <formula>"**"</formula>
    </cfRule>
  </conditionalFormatting>
  <conditionalFormatting sqref="R190">
    <cfRule type="expression" dxfId="176" priority="120">
      <formula>$P$190="**"</formula>
    </cfRule>
  </conditionalFormatting>
  <conditionalFormatting sqref="H190">
    <cfRule type="expression" dxfId="175" priority="196">
      <formula>$P$190="**"</formula>
    </cfRule>
  </conditionalFormatting>
  <conditionalFormatting sqref="H216">
    <cfRule type="expression" dxfId="174" priority="3">
      <formula>AND($E$41=2,$H$216&gt;0)</formula>
    </cfRule>
    <cfRule type="expression" dxfId="173" priority="225">
      <formula>AND(OR(Competitive_HC_Request_Amount&gt;0,Non_Competitive_HC_Request_Amount&gt;0),ConstrAnalysis_HC=0)</formula>
    </cfRule>
  </conditionalFormatting>
  <conditionalFormatting sqref="P216">
    <cfRule type="cellIs" dxfId="172" priority="229" operator="equal">
      <formula>"**"</formula>
    </cfRule>
  </conditionalFormatting>
  <conditionalFormatting sqref="R216:W217">
    <cfRule type="expression" dxfId="171" priority="174">
      <formula>$P$216="**"</formula>
    </cfRule>
  </conditionalFormatting>
  <conditionalFormatting sqref="P264">
    <cfRule type="cellIs" dxfId="170" priority="257" operator="equal">
      <formula>"**"</formula>
    </cfRule>
  </conditionalFormatting>
  <conditionalFormatting sqref="H264">
    <cfRule type="expression" dxfId="169" priority="4">
      <formula>AND($E$41=2,$H$264&gt;0)</formula>
    </cfRule>
    <cfRule type="expression" dxfId="168" priority="253">
      <formula>AND(OR(Competitive_HC_Request_Amount&gt;0,Non_Competitive_HC_Request_Amount&gt;0),PermAnalysis_HC=0)</formula>
    </cfRule>
  </conditionalFormatting>
  <conditionalFormatting sqref="R264:W265">
    <cfRule type="expression" dxfId="167" priority="224">
      <formula>$P$264="**"</formula>
    </cfRule>
  </conditionalFormatting>
  <conditionalFormatting sqref="Q119:Z120">
    <cfRule type="expression" dxfId="166" priority="106">
      <formula>$P$120="No"</formula>
    </cfRule>
  </conditionalFormatting>
  <conditionalFormatting sqref="H78">
    <cfRule type="expression" dxfId="165" priority="75">
      <formula>H78&lt;&gt;ROUNDDOWN(H78,0)</formula>
    </cfRule>
  </conditionalFormatting>
  <conditionalFormatting sqref="F60">
    <cfRule type="expression" dxfId="164" priority="64">
      <formula>SUM($H$59,$K$59)&gt;$F$60</formula>
    </cfRule>
  </conditionalFormatting>
  <conditionalFormatting sqref="F65">
    <cfRule type="expression" dxfId="163" priority="73">
      <formula>SUM($H$64,$K$64)&gt;$F$65</formula>
    </cfRule>
  </conditionalFormatting>
  <conditionalFormatting sqref="F88:F89">
    <cfRule type="expression" dxfId="162" priority="83">
      <formula>SUM($H$87,$K$87)&gt;$F$88</formula>
    </cfRule>
  </conditionalFormatting>
  <conditionalFormatting sqref="F113">
    <cfRule type="expression" dxfId="161" priority="98">
      <formula>SUM($H$112,$K$112)&gt;$F$113</formula>
    </cfRule>
  </conditionalFormatting>
  <conditionalFormatting sqref="F115">
    <cfRule type="expression" dxfId="160" priority="104">
      <formula>SUM($H$114,$K$114)&gt;$F$115</formula>
    </cfRule>
  </conditionalFormatting>
  <conditionalFormatting sqref="F120">
    <cfRule type="expression" dxfId="159" priority="127">
      <formula>SUM($H$119,$K$119)&gt;$F$120</formula>
    </cfRule>
  </conditionalFormatting>
  <conditionalFormatting sqref="L230">
    <cfRule type="expression" dxfId="158" priority="241">
      <formula>H230&lt;0</formula>
    </cfRule>
  </conditionalFormatting>
  <conditionalFormatting sqref="M230:N230">
    <cfRule type="cellIs" dxfId="157" priority="242" operator="equal">
      <formula>"No"</formula>
    </cfRule>
  </conditionalFormatting>
  <conditionalFormatting sqref="M278:N278">
    <cfRule type="cellIs" dxfId="156" priority="274" operator="equal">
      <formula>"No"</formula>
    </cfRule>
  </conditionalFormatting>
  <conditionalFormatting sqref="F122">
    <cfRule type="expression" dxfId="155" priority="137">
      <formula>SUM($H$119,$K$119)&gt;$F$120</formula>
    </cfRule>
  </conditionalFormatting>
  <conditionalFormatting sqref="P121">
    <cfRule type="cellIs" dxfId="154" priority="136" operator="equal">
      <formula>"**"</formula>
    </cfRule>
  </conditionalFormatting>
  <conditionalFormatting sqref="Q112:Z113">
    <cfRule type="expression" dxfId="153" priority="52">
      <formula>$P$113="No"</formula>
    </cfRule>
  </conditionalFormatting>
  <conditionalFormatting sqref="Q114:Z115">
    <cfRule type="expression" dxfId="152" priority="53">
      <formula>$P$115="No"</formula>
    </cfRule>
  </conditionalFormatting>
  <conditionalFormatting sqref="Q121:Z122">
    <cfRule type="expression" dxfId="151" priority="117">
      <formula>$P$122="No"</formula>
    </cfRule>
  </conditionalFormatting>
  <conditionalFormatting sqref="Q59:Z60">
    <cfRule type="expression" dxfId="150" priority="48">
      <formula>$P$60="No"</formula>
    </cfRule>
  </conditionalFormatting>
  <conditionalFormatting sqref="Q64:Z65">
    <cfRule type="expression" dxfId="149" priority="49">
      <formula>$P$65="No"</formula>
    </cfRule>
  </conditionalFormatting>
  <conditionalFormatting sqref="Q87:Z89">
    <cfRule type="expression" dxfId="148" priority="51">
      <formula>$P$88="No"</formula>
    </cfRule>
  </conditionalFormatting>
  <conditionalFormatting sqref="K44:K64 K72:K87 K91:K125">
    <cfRule type="expression" dxfId="147" priority="42">
      <formula>$E$41=2</formula>
    </cfRule>
  </conditionalFormatting>
  <conditionalFormatting sqref="J85:J87 J97:J125 Q73:Z73 Q95:Z96 Q102:Z104 Q54:Z55 J44:J64 Q72 Q80:Z83 Q93:Z93">
    <cfRule type="expression" dxfId="146" priority="46">
      <formula>$E$41=2</formula>
    </cfRule>
  </conditionalFormatting>
  <conditionalFormatting sqref="H44 H46 H123 H93">
    <cfRule type="expression" dxfId="145" priority="44">
      <formula>$E$41=2</formula>
    </cfRule>
  </conditionalFormatting>
  <conditionalFormatting sqref="Q44:Z47">
    <cfRule type="expression" dxfId="144" priority="43">
      <formula>$E$41=2</formula>
    </cfRule>
  </conditionalFormatting>
  <conditionalFormatting sqref="H123">
    <cfRule type="expression" dxfId="143" priority="39">
      <formula>$E$41=2</formula>
    </cfRule>
  </conditionalFormatting>
  <conditionalFormatting sqref="H44 H46 H93 H123">
    <cfRule type="expression" dxfId="142" priority="38">
      <formula>AND($E$41=3,$H44&lt;&gt;"")</formula>
    </cfRule>
  </conditionalFormatting>
  <conditionalFormatting sqref="L373">
    <cfRule type="cellIs" dxfId="141" priority="36" operator="equal">
      <formula>"No"</formula>
    </cfRule>
  </conditionalFormatting>
  <conditionalFormatting sqref="I297:N303">
    <cfRule type="expression" dxfId="140" priority="31">
      <formula>N($G297)=0</formula>
    </cfRule>
  </conditionalFormatting>
  <conditionalFormatting sqref="P373">
    <cfRule type="cellIs" dxfId="139" priority="22" operator="equal">
      <formula>"†"</formula>
    </cfRule>
  </conditionalFormatting>
  <conditionalFormatting sqref="L324:N324">
    <cfRule type="cellIs" dxfId="138" priority="17" operator="equal">
      <formula>"County input required"</formula>
    </cfRule>
  </conditionalFormatting>
  <conditionalFormatting sqref="N121">
    <cfRule type="expression" dxfId="137" priority="130">
      <formula>F122&gt;0</formula>
    </cfRule>
  </conditionalFormatting>
  <conditionalFormatting sqref="K121">
    <cfRule type="expression" dxfId="136" priority="2">
      <formula>E41=2</formula>
    </cfRule>
    <cfRule type="expression" dxfId="135" priority="129">
      <formula>AND(E41=3,F122&gt;0)</formula>
    </cfRule>
  </conditionalFormatting>
  <conditionalFormatting sqref="R270">
    <cfRule type="cellIs" dxfId="134" priority="13" operator="equal">
      <formula>"The Deferred Developer Fee is greater than than the Total Developer Fee."</formula>
    </cfRule>
  </conditionalFormatting>
  <conditionalFormatting sqref="H121">
    <cfRule type="expression" dxfId="133" priority="11">
      <formula>AND(E41=3,H121&gt;0)</formula>
    </cfRule>
    <cfRule type="expression" dxfId="132" priority="12">
      <formula>AND(E41=2,F122&gt;0)</formula>
    </cfRule>
  </conditionalFormatting>
  <conditionalFormatting sqref="L373:N374">
    <cfRule type="cellIs" dxfId="131" priority="8" operator="equal">
      <formula>"Yes"</formula>
    </cfRule>
  </conditionalFormatting>
  <conditionalFormatting sqref="D377:D378 D376:E376">
    <cfRule type="expression" dxfId="130" priority="4344">
      <formula>$P$373=$D$376</formula>
    </cfRule>
  </conditionalFormatting>
  <conditionalFormatting sqref="K117">
    <cfRule type="expression" dxfId="129" priority="7">
      <formula>$E$41=3</formula>
    </cfRule>
  </conditionalFormatting>
  <conditionalFormatting sqref="C210:C212 C214:C216 D216:Q216">
    <cfRule type="expression" dxfId="128" priority="6">
      <formula>$E$41&lt;&gt;3</formula>
    </cfRule>
  </conditionalFormatting>
  <conditionalFormatting sqref="D264:Q264">
    <cfRule type="expression" dxfId="127" priority="5">
      <formula>$E$41&lt;&gt;3</formula>
    </cfRule>
  </conditionalFormatting>
  <dataValidations count="9">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93 H44 H46 H123"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 type="custom" showInputMessage="1" showErrorMessage="1" error="Invalid Data Entry: Input not allowed." sqref="H216 H264" xr:uid="{7091219C-D2CA-43FD-B43E-7546D4C70BDD}">
      <formula1>$E$41=3</formula1>
    </dataValidation>
  </dataValidations>
  <pageMargins left="0.7" right="0.7" top="0.75" bottom="0.75" header="0.3" footer="0.3"/>
  <pageSetup scale="79"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rowBreaks count="7" manualBreakCount="7">
    <brk id="66" max="15" man="1"/>
    <brk id="127" max="15" man="1"/>
    <brk id="178" max="15" man="1"/>
    <brk id="232" max="16383" man="1"/>
    <brk id="280" max="15" man="1"/>
    <brk id="342" max="15" man="1"/>
    <brk id="380" max="15" man="1"/>
  </rowBreaks>
  <ignoredErrors>
    <ignoredError sqref="P120 P113"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91" id="{912693A0-E14F-4C18-A88F-91EE6ACEE73C}">
            <xm:f>AND(Data3!$H$274="No",Funding!$L$309=0)</xm:f>
            <x14:dxf>
              <fill>
                <patternFill patternType="lightUp">
                  <fgColor theme="0" tint="-0.499984740745262"/>
                </patternFill>
              </fill>
            </x14:dxf>
          </x14:cfRule>
          <xm:sqref>A381:P443</xm:sqref>
        </x14:conditionalFormatting>
        <x14:conditionalFormatting xmlns:xm="http://schemas.microsoft.com/office/excel/2006/main">
          <x14:cfRule type="expression" priority="50" id="{EE1DA426-3777-495E-8CEF-6F202DDFAFF7}">
            <xm:f>Funding!$I$309&gt;0</xm:f>
            <x14:dxf>
              <font>
                <b val="0"/>
                <i/>
                <color theme="0" tint="-0.499984740745262"/>
              </font>
              <fill>
                <patternFill>
                  <bgColor theme="0"/>
                </patternFill>
              </fill>
            </x14:dxf>
          </x14:cfRule>
          <xm:sqref>Q93:Z93</xm:sqref>
        </x14:conditionalFormatting>
        <x14:conditionalFormatting xmlns:xm="http://schemas.microsoft.com/office/excel/2006/main">
          <x14:cfRule type="expression" priority="1256" id="{40F6F4EB-4803-41E7-90EB-94CD8400F33A}">
            <xm:f>Funding!$L$309=0</xm:f>
            <x14:dxf>
              <fill>
                <patternFill patternType="lightUp">
                  <fgColor theme="0" tint="-0.499984740745262"/>
                </patternFill>
              </fill>
            </x14:dxf>
          </x14:cfRule>
          <xm:sqref>B435:N443</xm:sqref>
        </x14:conditionalFormatting>
        <x14:conditionalFormatting xmlns:xm="http://schemas.microsoft.com/office/excel/2006/main">
          <x14:cfRule type="expression" priority="119" id="{00000000-000E-0000-0100-00000D000000}">
            <xm:f>(Data3!$G$226+Data3!$G$228)&lt;&gt;21%</xm:f>
            <x14:dxf>
              <fill>
                <patternFill>
                  <bgColor theme="1"/>
                </patternFill>
              </fill>
            </x14:dxf>
          </x14:cfRule>
          <xm:sqref>H117 N117</xm:sqref>
        </x14:conditionalFormatting>
        <x14:conditionalFormatting xmlns:xm="http://schemas.microsoft.com/office/excel/2006/main">
          <x14:cfRule type="expression" priority="243" id="{F214F08D-DE99-4E80-B7B7-BEAC46DFC338}">
            <xm:f>Data1!$E$827="Yes"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37" id="{2B53F0A5-FFEA-4301-9502-B77D0D23CF4D}">
            <xm:f>Data3!$H$275="Yes"</xm:f>
            <x14:dxf>
              <fill>
                <patternFill patternType="lightUp">
                  <fgColor theme="0" tint="-0.499984740745262"/>
                </patternFill>
              </fill>
            </x14:dxf>
          </x14:cfRule>
          <xm:sqref>L347:O348 U335:U336 A349:O350 A315:C315 A321:G323 A318:C320 I325:K325 A324:C324 A334:O334 R326:T333 I329:K330 I320:K322 A314:F314 I314 A316:F317 E320:G320 E318:F319 E315:F315 A293:O304 A325:G326 A327:D327 A328:C328 A329:G330 A333:G334 A331:D331 I333:K334 A332:C332 A335:D335 L335:O336 A351:D351 A352:C353 L351:O353 A380:P380 A309:O309 A305:D305 A306:C308 O305:O308 A281:P281 A290:P292 D284:P289 A284:B289 A336:C336 A379:O379 A376:E376 A377:D378 O376:O378 A311:O313 A310:K310 O310 A346:O346 O346:O353 A346:G350 I346:K350 A283:P283 A282:O282 A337:O344 A354:O375 I316:I319 O314:O343</xm:sqref>
        </x14:conditionalFormatting>
        <x14:conditionalFormatting xmlns:xm="http://schemas.microsoft.com/office/excel/2006/main">
          <x14:cfRule type="expression" priority="30" id="{0C612862-1A5F-42F4-B439-A14B20D5D53C}">
            <xm:f>Data3!$H$275="Yes"</xm:f>
            <x14:dxf>
              <fill>
                <patternFill patternType="lightUp">
                  <fgColor theme="0" tint="-0.499984740745262"/>
                </patternFill>
              </fill>
            </x14:dxf>
          </x14:cfRule>
          <xm:sqref>D351</xm:sqref>
        </x14:conditionalFormatting>
        <x14:conditionalFormatting xmlns:xm="http://schemas.microsoft.com/office/excel/2006/main">
          <x14:cfRule type="expression" priority="29" id="{33CC4BB8-A1EC-465A-8D3B-3F7960F70E50}">
            <xm:f>Data3!$H$275="Yes"</xm:f>
            <x14:dxf>
              <fill>
                <patternFill patternType="lightUp">
                  <fgColor theme="0" tint="-0.499984740745262"/>
                </patternFill>
              </fill>
            </x14:dxf>
          </x14:cfRule>
          <xm:sqref>L314:N314</xm:sqref>
        </x14:conditionalFormatting>
        <x14:conditionalFormatting xmlns:xm="http://schemas.microsoft.com/office/excel/2006/main">
          <x14:cfRule type="expression" priority="28" id="{AF1289D5-6D6E-4C5F-90A0-D509D5EE45A5}">
            <xm:f>Data3!$H$275="Yes"</xm:f>
            <x14:dxf>
              <fill>
                <patternFill patternType="lightUp">
                  <fgColor theme="0" tint="-0.499984740745262"/>
                </patternFill>
              </fill>
            </x14:dxf>
          </x14:cfRule>
          <xm:sqref>L317:N317</xm:sqref>
        </x14:conditionalFormatting>
        <x14:conditionalFormatting xmlns:xm="http://schemas.microsoft.com/office/excel/2006/main">
          <x14:cfRule type="expression" priority="26" id="{94684C1F-322D-4A04-BC56-F0F54713EA85}">
            <xm:f>Data3!$H$275="Yes"</xm:f>
            <x14:dxf>
              <fill>
                <patternFill patternType="lightUp">
                  <fgColor theme="0" tint="-0.499984740745262"/>
                </patternFill>
              </fill>
            </x14:dxf>
          </x14:cfRule>
          <xm:sqref>I323:K323</xm:sqref>
        </x14:conditionalFormatting>
        <x14:conditionalFormatting xmlns:xm="http://schemas.microsoft.com/office/excel/2006/main">
          <x14:cfRule type="expression" priority="24" id="{E403C3E4-E367-4472-84C3-0CA0C43ACFC9}">
            <xm:f>Data3!$H$275="Yes"</xm:f>
            <x14:dxf>
              <fill>
                <patternFill patternType="lightUp">
                  <fgColor theme="0" tint="-0.499984740745262"/>
                </patternFill>
              </fill>
            </x14:dxf>
          </x14:cfRule>
          <xm:sqref>I326:K326</xm:sqref>
        </x14:conditionalFormatting>
        <x14:conditionalFormatting xmlns:xm="http://schemas.microsoft.com/office/excel/2006/main">
          <x14:cfRule type="expression" priority="23" id="{0A3F31F1-72D4-4551-BDBA-D0FBCC0456DC}">
            <xm:f>Data3!$H$275="Yes"</xm:f>
            <x14:dxf>
              <fill>
                <patternFill patternType="lightUp">
                  <fgColor theme="0" tint="-0.499984740745262"/>
                </patternFill>
              </fill>
            </x14:dxf>
          </x14:cfRule>
          <xm:sqref>L330:N332</xm:sqref>
        </x14:conditionalFormatting>
        <x14:conditionalFormatting xmlns:xm="http://schemas.microsoft.com/office/excel/2006/main">
          <x14:cfRule type="expression" priority="18" id="{BE890E57-C5AD-45DE-844F-E9D0649E3192}">
            <xm:f>Data3!$H$275="Yes"</xm:f>
            <x14:dxf>
              <fill>
                <patternFill patternType="lightUp">
                  <fgColor theme="0" tint="-0.499984740745262"/>
                </patternFill>
              </fill>
            </x14:dxf>
          </x14:cfRule>
          <xm:sqref>L326:N326</xm:sqref>
        </x14:conditionalFormatting>
        <x14:conditionalFormatting xmlns:xm="http://schemas.microsoft.com/office/excel/2006/main">
          <x14:cfRule type="expression" priority="16" id="{18E85572-4858-486B-99B0-871917609149}">
            <xm:f>Data3!$H$275="Yes"</xm:f>
            <x14:dxf>
              <fill>
                <patternFill patternType="lightUp">
                  <fgColor theme="0" tint="-0.499984740745262"/>
                </patternFill>
              </fill>
            </x14:dxf>
          </x14:cfRule>
          <xm:sqref>L310:N310</xm:sqref>
        </x14:conditionalFormatting>
        <x14:conditionalFormatting xmlns:xm="http://schemas.microsoft.com/office/excel/2006/main">
          <x14:cfRule type="expression" priority="15" id="{2AB00410-1041-40D9-B345-D8D64237394D}">
            <xm:f>Data3!$H$275="Yes"</xm:f>
            <x14:dxf>
              <fill>
                <patternFill patternType="lightUp">
                  <fgColor theme="0" tint="-0.499984740745262"/>
                </patternFill>
              </fill>
            </x14:dxf>
          </x14:cfRule>
          <xm:sqref>A345:P345</xm:sqref>
        </x14:conditionalFormatting>
        <x14:conditionalFormatting xmlns:xm="http://schemas.microsoft.com/office/excel/2006/main">
          <x14:cfRule type="expression" priority="5177" id="{36113936-6A94-4B3F-BC79-522C86DE8DD9}">
            <xm:f>AND(Funding!$L382&gt;0,N(Funding!$I$382)&gt;0,$K$190&lt;&gt;"FHFC - MMRB")</xm:f>
            <x14:dxf>
              <font>
                <color rgb="FFC00000"/>
              </font>
              <fill>
                <patternFill>
                  <bgColor rgb="FFFFE6FF"/>
                </patternFill>
              </fill>
            </x14:dxf>
          </x14:cfRule>
          <x14:cfRule type="expression" priority="5178" id="{D11438AD-F2A1-4D53-9AAB-7FE0C6588B4E}">
            <xm:f>AND(Funding!L309&gt;0,N(Non_Competetive_HC_Request_Amount)&gt;0,ConstrAnalysis__1st_Type&lt;&gt;"FHFC - MMRB",ConstrAnalysis__1st_Type&lt;&gt;"Local HFA Bonds")</xm:f>
            <x14:dxf>
              <font>
                <b val="0"/>
                <i val="0"/>
                <color rgb="FFC00000"/>
              </font>
              <fill>
                <patternFill>
                  <bgColor rgb="FFFFE6FF"/>
                </patternFill>
              </fill>
            </x14:dxf>
          </x14:cfRule>
          <xm:sqref>K190:N190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tabColor rgb="FF00B0F0"/>
  </sheetPr>
  <dimension ref="A1:AC51"/>
  <sheetViews>
    <sheetView showGridLines="0" zoomScaleNormal="100" zoomScaleSheetLayoutView="100" workbookViewId="0">
      <pane ySplit="2" topLeftCell="A3" activePane="bottomLeft" state="frozen"/>
      <selection activeCell="G13" sqref="G13"/>
      <selection pane="bottomLeft" activeCell="G13" sqref="G13"/>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9" ht="35.85" customHeight="1" thickBot="1">
      <c r="A1" s="2979" t="s">
        <v>1579</v>
      </c>
      <c r="B1" s="2980"/>
      <c r="C1" s="2980"/>
      <c r="D1" s="2980"/>
      <c r="E1" s="2980"/>
      <c r="F1" s="2980"/>
      <c r="G1" s="2980"/>
      <c r="H1" s="2980"/>
      <c r="I1" s="2980"/>
      <c r="J1" s="2981"/>
      <c r="K1" s="24"/>
    </row>
    <row r="2" spans="1:19" ht="14.45" customHeight="1">
      <c r="M2" s="2993" t="s">
        <v>943</v>
      </c>
      <c r="N2" s="2993"/>
      <c r="O2" s="2993"/>
      <c r="P2" s="2993"/>
      <c r="Q2" s="2993"/>
      <c r="R2" s="2993"/>
      <c r="S2" s="2993"/>
    </row>
    <row r="3" spans="1:19" ht="35.1" customHeight="1">
      <c r="A3" s="823" t="str">
        <f>IF($O$3=0,"","a")</f>
        <v>a</v>
      </c>
      <c r="B3" s="3157" t="str">
        <f>IF(AND(OR(Development_Category="&lt;select one&gt;",Development_Category=""),County&lt;&gt; IF(Data1!B775="Yes","Miami-Dade","")),"The Applicant is still dependent upon a Development Category yet to be selected as to whether or not it will automatically earn the maximum points.",IF(AND(Development_Category&lt;&gt;"&lt;select one&gt;",Development_Category&lt;&gt;"",County&lt;&gt; IF(Data1!B775="Yes","Miami-Dade","")),"The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"&amp;TEXT(Data1!B781,"$#,##0")&amp;IF(Data1!B776="Δ NPV"," in contribution value"," in cash")&amp;" funding (i.e., grants, loans"&amp;IF(Data1!B779="Yes"," and/or",", ")&amp;" fee waivers"&amp;IF(Data1!B779="Yes",""," and/or fee deferrals")&amp;") from local government(s)."))</f>
        <v>The Applicant does NOT automatically receive the maximum points based on the selected Development Category of New Construction.</v>
      </c>
      <c r="C3" s="2943"/>
      <c r="D3" s="2943"/>
      <c r="E3" s="2943"/>
      <c r="F3" s="2943"/>
      <c r="G3" s="2943"/>
      <c r="H3" s="2943"/>
      <c r="I3" s="2943"/>
      <c r="J3" s="2943"/>
      <c r="M3" s="630"/>
      <c r="N3" s="630"/>
      <c r="O3" s="313">
        <v>1</v>
      </c>
      <c r="P3" s="630"/>
    </row>
    <row r="4" spans="1:19" ht="45" customHeight="1">
      <c r="A4" s="823" t="str">
        <f>IF($O$3=0,"","b")</f>
        <v>b</v>
      </c>
      <c r="B4" s="2943" t="str">
        <f>IF(AND(Data1!$B$775="Yes",County="Miami-Dade"),"With all proposed Developments located in Miami-Dade County required to provide a Local Government Contribution, "&amp;"indicate a Local Government has committed to provide a contribution to the proposed Development and then continue with the addiitonal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943"/>
      <c r="D4" s="2943"/>
      <c r="E4" s="2943"/>
      <c r="F4" s="2943"/>
      <c r="G4" s="2943"/>
      <c r="H4" s="2943"/>
      <c r="I4" s="2943"/>
      <c r="J4" s="874" t="s">
        <v>59</v>
      </c>
      <c r="M4" s="630"/>
      <c r="N4" s="630"/>
      <c r="O4" s="630"/>
      <c r="P4" s="630"/>
    </row>
    <row r="5" spans="1:19" ht="10.35" customHeight="1"/>
    <row r="6" spans="1:19" ht="30" customHeight="1">
      <c r="A6" s="823" t="str">
        <f>IF($O$3=0,"","c")</f>
        <v>c</v>
      </c>
      <c r="B6" s="2943" t="s">
        <v>2095</v>
      </c>
      <c r="C6" s="2943"/>
      <c r="D6" s="2943"/>
      <c r="E6" s="2943"/>
      <c r="F6" s="2943"/>
      <c r="G6" s="2943"/>
      <c r="H6" s="2943"/>
      <c r="I6" s="2943"/>
      <c r="J6" s="2943"/>
    </row>
    <row r="7" spans="1:19" ht="10.35" customHeight="1">
      <c r="B7" s="6"/>
    </row>
    <row r="8" spans="1:19" ht="77.099999999999994" customHeight="1">
      <c r="B8" s="2943" t="str">
        <f>"Please enter the cumulative total values of all relative forms provided as Attachment 11. If more than one form of the same kind is provided, please add the amounts together and enter the total."&amp;IF($O$12="Yes",""," The Value of Contribution (if applicable) is calculated automatically by taking the Face Amount and subtracting the Net Present Value of the repayment terms (calculated as provided in the RFA).")&amp;" The amounts for the Face Amount "&amp;IF($O$12="Yes","","and the Net Present Value ")&amp;"are provided on each Local Government Contribution form, as applicable."&amp;IF($O$12="Yes"," The Local Government Verification of Contribution form must be dated within NINE months of the Application Deadline.","")</f>
        <v>Please enter the cumulative total values of all relative forms provided as Attachment 11. If more than one form of the same kind is provided, please add the amounts together and enter the total. The Value of Contribution (if applicable) is calculated automatically by taking the Face Amount and subtracting the Net Present Value of the repayment terms (calculated as provided in the RFA). The amounts for the Face Amount and the Net Present Value are provided on each Local Government Contribution form, as applicable.</v>
      </c>
      <c r="C8" s="2943"/>
      <c r="D8" s="2943"/>
      <c r="E8" s="2943"/>
      <c r="F8" s="2943"/>
      <c r="G8" s="2943"/>
      <c r="H8" s="2943"/>
      <c r="I8" s="2943"/>
      <c r="J8" s="2943"/>
    </row>
    <row r="9" spans="1:19" ht="35.1" customHeight="1">
      <c r="B9" s="3478" t="s">
        <v>2665</v>
      </c>
      <c r="C9" s="3478"/>
      <c r="D9" s="3478"/>
      <c r="E9" s="3478"/>
      <c r="F9" s="3478"/>
      <c r="G9" s="3478"/>
      <c r="H9" s="3478"/>
      <c r="I9" s="3478"/>
      <c r="J9" s="3478"/>
      <c r="O9" s="1329"/>
    </row>
    <row r="10" spans="1:19" ht="17.45" customHeight="1">
      <c r="A10" s="6"/>
      <c r="I10" s="1077" t="s">
        <v>1875</v>
      </c>
    </row>
    <row r="11" spans="1:19" ht="17.45" customHeight="1" thickBot="1">
      <c r="B11" s="252" t="s">
        <v>1580</v>
      </c>
      <c r="C11" s="253"/>
      <c r="D11" s="253"/>
      <c r="E11" s="253"/>
      <c r="F11" s="253"/>
      <c r="G11" s="256" t="s">
        <v>1581</v>
      </c>
      <c r="H11" s="256" t="s">
        <v>1582</v>
      </c>
      <c r="I11" s="257" t="s">
        <v>1583</v>
      </c>
      <c r="M11" s="337"/>
      <c r="O11" s="2311" t="s">
        <v>2666</v>
      </c>
    </row>
    <row r="12" spans="1:19" ht="17.45" customHeight="1">
      <c r="B12" s="1188" t="s">
        <v>1858</v>
      </c>
      <c r="C12" s="1189"/>
      <c r="D12" s="1189"/>
      <c r="E12" s="1189"/>
      <c r="F12" s="1189"/>
      <c r="G12" s="1190"/>
      <c r="H12" s="1190"/>
      <c r="I12" s="1191"/>
      <c r="M12" s="337"/>
      <c r="O12" s="1287" t="s">
        <v>459</v>
      </c>
    </row>
    <row r="13" spans="1:19" ht="17.45" customHeight="1">
      <c r="B13" s="1187"/>
      <c r="C13" s="276" t="s">
        <v>1584</v>
      </c>
      <c r="D13" s="271"/>
      <c r="E13" s="271"/>
      <c r="F13" s="271"/>
      <c r="G13" s="1199"/>
      <c r="H13" s="1199"/>
      <c r="I13" s="1200">
        <f>IF(AND(OR(Data1!$B$774="Face",AND(Data1!$B$776="Face",County="Miami-Dade")),AND(Data1!$B$776="Δ NPV",County="Miami-Dade")=FALSE),"",N(G13)-N(H13))</f>
        <v>0</v>
      </c>
      <c r="O13" s="3479" t="str">
        <f>IF(O12="Yes","(O3 needs to be ""0"" and O23 needs to be ""Yes"")","")</f>
        <v/>
      </c>
    </row>
    <row r="14" spans="1:19" ht="17.45" customHeight="1">
      <c r="B14" s="254"/>
      <c r="C14" s="277" t="s">
        <v>1585</v>
      </c>
      <c r="D14" s="255"/>
      <c r="E14" s="255"/>
      <c r="F14" s="255"/>
      <c r="G14" s="1201"/>
      <c r="H14" s="1202"/>
      <c r="I14" s="1203">
        <f>IF(AND(OR(Data1!$B$774="Face",AND(Data1!$B$776="Face",County="Miami-Dade")),AND(Data1!$B$776="Δ NPV",County="Miami-Dade")=FALSE),"",N(G14)-N(H14))</f>
        <v>0</v>
      </c>
      <c r="O14" s="2954"/>
    </row>
    <row r="15" spans="1:19" ht="17.45" customHeight="1">
      <c r="B15" s="1198" t="str">
        <f>IF(AND(Data1!$B$777="Yes",OR(Data1!$B$778="No",AND(Data1!$B$778="Yes",County="Miami-Dade"))),"        Fee Waiver Form(s)","Non-Cash Contributions:")</f>
        <v>Non-Cash Contributions:</v>
      </c>
      <c r="C15" s="276"/>
      <c r="D15" s="271"/>
      <c r="E15" s="271"/>
      <c r="F15" s="271"/>
      <c r="G15" s="2313"/>
      <c r="H15" s="2314"/>
      <c r="I15" s="1200" t="str">
        <f>IF(LEFT($B$15,3)="Non","",IF(AND(OR(Data1!$B$774="Face",AND(Data1!$B$776="Face",County="Miami-Dade")),AND(Data1!$B$776="Δ NPV",County="Miami-Dade")=FALSE),"",N(G15)-N(H15)))</f>
        <v/>
      </c>
      <c r="O15" s="3089">
        <v>0</v>
      </c>
    </row>
    <row r="16" spans="1:19" ht="17.45" customHeight="1">
      <c r="B16" s="1198" t="str">
        <f>IF(LEFT($B$15,3)="Non","        Fee Waiver Form(s)","Non-Cash Contributions:")</f>
        <v xml:space="preserve">        Fee Waiver Form(s)</v>
      </c>
      <c r="C16" s="276"/>
      <c r="D16" s="271"/>
      <c r="E16" s="271"/>
      <c r="F16" s="271"/>
      <c r="G16" s="1199"/>
      <c r="H16" s="1204"/>
      <c r="I16" s="1200">
        <f>IF(LEFT($B$15,3)&lt;&gt;"Non","",IF(AND(OR(Data1!$B$774="Face",AND(Data1!$B$776="Face",County="Miami-Dade")),AND(Data1!$B$776="Δ NPV",County="Miami-Dade")=FALSE),"",N(G16)-N(H16)))</f>
        <v>0</v>
      </c>
      <c r="N16" s="43"/>
      <c r="O16" s="3090"/>
    </row>
    <row r="17" spans="1:29" ht="17.45" customHeight="1">
      <c r="B17" s="254"/>
      <c r="C17" s="277" t="s">
        <v>1586</v>
      </c>
      <c r="D17" s="255"/>
      <c r="E17" s="255"/>
      <c r="F17" s="255"/>
      <c r="G17" s="1201"/>
      <c r="H17" s="1199"/>
      <c r="I17" s="1205">
        <f>IF(AND(Data1!$B$779="Yes",County="Miami-Dade"),"",IF(AND(OR(Data1!$B$774="Face",AND(Data1!$B$776="Face",County="Miami-Dade")),AND(Data1!$B$776="Δ NPV",County="Miami-Dade")=FALSE),"",N(G17)-N(H17)))</f>
        <v>0</v>
      </c>
      <c r="N17" s="43"/>
      <c r="O17" s="3090"/>
    </row>
    <row r="18" spans="1:29" ht="5.0999999999999996" customHeight="1" thickBot="1">
      <c r="B18" s="251"/>
      <c r="G18" s="1206"/>
      <c r="H18" s="1206"/>
      <c r="I18" s="1207"/>
      <c r="O18" s="3091"/>
    </row>
    <row r="19" spans="1:29" ht="17.45" customHeight="1" thickTop="1">
      <c r="B19" s="258" t="s">
        <v>1157</v>
      </c>
      <c r="C19" s="259"/>
      <c r="D19" s="259"/>
      <c r="E19" s="259"/>
      <c r="F19" s="259"/>
      <c r="G19" s="1265">
        <f>N(LGC_Loan_Face)+N(LGC_Grant_Face)+IF(IFERROR(LEFT($B16,3),"")="Non",N(LGC_FW1_Face),0)+IF(OR(Data1!$B$774="Face",AND(Data1!$B$776="Face",County="Miami-Dade")),0,IF(OR(Data1!$B$774&lt;&gt;"Face",AND(Data1!$B$776&lt;&gt;"Face",County="Miami-Dade")),IF(IFERROR(LEFT($B16,3),"")&lt;&gt;"Non",N(LGC_FW2_Face),0),0))+IF(OR(AND(Data1!$B$774&lt;&gt;"Face",County&lt;&gt;"Miami-Dade"),AND(Data1!$B$776&lt;&gt;"Face",County="Miami-Dade",Data1!$B$779="No")),N(LGC_FD_Face),0)</f>
        <v>0</v>
      </c>
      <c r="H19" s="1265">
        <f>IF(AND(OR(Data1!$B$774="Face",AND(Data1!$B$776="Face",County="Miami-Dade")),AND(Data1!$B$776="Δ NPV",County="Miami-Dade")=FALSE),0,SUM(H13:H18)-IF(AND(Data1!$B$779="Yes",County="Miami-Dade"),H17,0))</f>
        <v>0</v>
      </c>
      <c r="I19" s="1266">
        <f>SUM(I13:I18)</f>
        <v>0</v>
      </c>
    </row>
    <row r="20" spans="1:29" ht="10.35" customHeight="1">
      <c r="A20" s="6"/>
    </row>
    <row r="21" spans="1:29" ht="95.1" customHeight="1">
      <c r="A21" s="6"/>
      <c r="B21" s="2806" t="s">
        <v>2782</v>
      </c>
      <c r="C21" s="2806"/>
      <c r="D21" s="2806"/>
      <c r="E21" s="2806"/>
      <c r="F21" s="2806"/>
      <c r="G21" s="2806"/>
      <c r="H21" s="2806"/>
      <c r="I21" s="2806"/>
      <c r="J21" s="2806"/>
      <c r="O21" s="788"/>
      <c r="Q21" s="1217"/>
      <c r="R21" s="6"/>
      <c r="S21" s="6"/>
    </row>
    <row r="22" spans="1:29" ht="17.45" customHeight="1">
      <c r="J22" s="1077" t="s">
        <v>2663</v>
      </c>
      <c r="O22" s="1208"/>
      <c r="Q22" s="2358" t="s">
        <v>1866</v>
      </c>
      <c r="R22" s="2359" t="s">
        <v>1729</v>
      </c>
      <c r="S22" s="2360" t="s">
        <v>1863</v>
      </c>
    </row>
    <row r="23" spans="1:29" ht="15" customHeight="1" thickBot="1">
      <c r="B23" s="3468" t="s">
        <v>1589</v>
      </c>
      <c r="C23" s="3469"/>
      <c r="D23" s="3469"/>
      <c r="E23" s="3469"/>
      <c r="F23" s="3469"/>
      <c r="G23" s="3469"/>
      <c r="H23" s="256"/>
      <c r="I23" s="256"/>
      <c r="J23" s="257" t="s">
        <v>2664</v>
      </c>
      <c r="O23" s="899" t="s">
        <v>1588</v>
      </c>
      <c r="Q23" s="1218" t="s">
        <v>1725</v>
      </c>
      <c r="R23" s="1219" t="s">
        <v>1877</v>
      </c>
      <c r="S23" s="1220" t="s">
        <v>1878</v>
      </c>
    </row>
    <row r="24" spans="1:29" ht="15" customHeight="1">
      <c r="B24" s="3470"/>
      <c r="C24" s="3471"/>
      <c r="D24" s="3471"/>
      <c r="E24" s="3471"/>
      <c r="F24" s="3471"/>
      <c r="G24" s="3471"/>
      <c r="H24" s="3471"/>
      <c r="I24" s="3471"/>
      <c r="J24" s="1195" t="s">
        <v>59</v>
      </c>
      <c r="O24" s="898" t="s">
        <v>459</v>
      </c>
      <c r="Q24" s="1218" t="s">
        <v>1726</v>
      </c>
      <c r="R24" s="1219" t="s">
        <v>1862</v>
      </c>
      <c r="S24" s="1220" t="s">
        <v>1864</v>
      </c>
      <c r="AC24" s="43"/>
    </row>
    <row r="25" spans="1:29" ht="15" customHeight="1">
      <c r="B25" s="3472"/>
      <c r="C25" s="3473"/>
      <c r="D25" s="3473"/>
      <c r="E25" s="3473"/>
      <c r="F25" s="3473"/>
      <c r="G25" s="3473"/>
      <c r="H25" s="3473"/>
      <c r="I25" s="3473"/>
      <c r="J25" s="1196" t="s">
        <v>59</v>
      </c>
      <c r="O25" s="3474" t="str">
        <f>"(Given a '"&amp;O3&amp;"' in O3, a "&amp;IF(O24="No","'Yes' above will add rows "&amp;CHOOSE(O3+1,"8:29 and 35:48.","34 and 36:38."),"'No' above will remove "&amp;CHOOSE(O3+1,"all rows","rows 34 and 36:38;"))&amp;IF(O24="&lt;select one&gt;"," and a 'Yes' will keep everything as presented.","")&amp;") "&amp;"(Given a '"&amp;O24&amp;"' in O23, a "&amp;IF(O3=0,"'1' above will "&amp;IF(O24="No","add rows 3:33.","remove row 35 and 39:48 and add rows 3:7, and 30:34."),"'0' above will "&amp;IF(O24="No","remove all rows.","remove rows 3:7 and 30:34 and add rows 35 and 39:48."))&amp;")"</f>
        <v>(Given a '1' in O3, a 'Yes' above will add rows 34 and 36:38.) (Given a 'No' in O23, a '0' above will remove all rows.)</v>
      </c>
      <c r="P25" s="1039"/>
      <c r="Q25" s="1218" t="s">
        <v>1727</v>
      </c>
      <c r="R25" s="1219" t="s">
        <v>769</v>
      </c>
      <c r="S25" s="1220" t="s">
        <v>1865</v>
      </c>
    </row>
    <row r="26" spans="1:29" ht="15" customHeight="1">
      <c r="B26" s="3472"/>
      <c r="C26" s="3473"/>
      <c r="D26" s="3473"/>
      <c r="E26" s="3473"/>
      <c r="F26" s="3473"/>
      <c r="G26" s="3473"/>
      <c r="H26" s="3473"/>
      <c r="I26" s="3473"/>
      <c r="J26" s="1196" t="s">
        <v>59</v>
      </c>
      <c r="O26" s="3475"/>
      <c r="P26" s="1039"/>
      <c r="Q26" s="1218" t="s">
        <v>1728</v>
      </c>
      <c r="R26" s="1219" t="s">
        <v>1879</v>
      </c>
      <c r="S26" s="1220" t="s">
        <v>1880</v>
      </c>
    </row>
    <row r="27" spans="1:29" ht="15" customHeight="1">
      <c r="B27" s="3472"/>
      <c r="C27" s="3473"/>
      <c r="D27" s="3473"/>
      <c r="E27" s="3473"/>
      <c r="F27" s="3473"/>
      <c r="G27" s="3473"/>
      <c r="H27" s="3473"/>
      <c r="I27" s="3473"/>
      <c r="J27" s="1196" t="s">
        <v>59</v>
      </c>
      <c r="O27" s="3475"/>
      <c r="P27" s="1039"/>
      <c r="Q27" s="1218" t="s">
        <v>1867</v>
      </c>
      <c r="R27" s="1219" t="s">
        <v>1877</v>
      </c>
      <c r="S27" s="1220" t="s">
        <v>1878</v>
      </c>
    </row>
    <row r="28" spans="1:29" ht="15" customHeight="1">
      <c r="B28" s="3472"/>
      <c r="C28" s="3473"/>
      <c r="D28" s="3473"/>
      <c r="E28" s="3473"/>
      <c r="F28" s="3473"/>
      <c r="G28" s="3473"/>
      <c r="H28" s="3473"/>
      <c r="I28" s="3473"/>
      <c r="J28" s="1196" t="s">
        <v>59</v>
      </c>
      <c r="O28" s="3475"/>
      <c r="P28" s="1039"/>
      <c r="Q28" s="1212" t="s">
        <v>1868</v>
      </c>
      <c r="R28" s="1213" t="s">
        <v>1862</v>
      </c>
      <c r="S28" s="1214" t="s">
        <v>1864</v>
      </c>
    </row>
    <row r="29" spans="1:29" ht="5.0999999999999996" customHeight="1" thickBot="1">
      <c r="B29" s="1192"/>
      <c r="C29" s="1193"/>
      <c r="D29" s="1193"/>
      <c r="E29" s="1193"/>
      <c r="F29" s="1193"/>
      <c r="G29" s="1193"/>
      <c r="H29" s="1193"/>
      <c r="I29" s="1193"/>
      <c r="J29" s="1197"/>
      <c r="O29" s="3475"/>
    </row>
    <row r="30" spans="1:29" ht="15" customHeight="1" thickTop="1">
      <c r="B30" s="3476"/>
      <c r="C30" s="3477"/>
      <c r="D30" s="3477"/>
      <c r="E30" s="3477"/>
      <c r="F30" s="3477"/>
      <c r="G30" s="3477"/>
      <c r="H30" s="3477"/>
      <c r="I30" s="3477"/>
      <c r="J30" s="260"/>
      <c r="O30" s="3475"/>
      <c r="Q30" t="s">
        <v>1881</v>
      </c>
    </row>
    <row r="31" spans="1:29" ht="10.35" customHeight="1">
      <c r="A31" s="6"/>
    </row>
    <row r="32" spans="1:29" ht="114.95" customHeight="1">
      <c r="B32" s="2943" t="str">
        <f>IF(AND(OR(Development_Category="Rehabilitation",Development_Category="Acquisition and Rehabilitation"),IF(Data1!$B$775="Yes",County&lt;&gt;"Miami-Dade",TRUE)),"The selected Development Category of "&amp;Development_Category&amp;" earns an automatic 5 points."," In order for the Applicant to receive the maximum of five points without the automatic qualification, the applicable Local Government Verification of Contribution form(s) "&amp;"provided as evidence of Local Government grant(s), loan(s)"&amp;IF(AND(Data1!B779="Yes",County="Miami-Dade")," and/or",", ")&amp;" fee waiver(s)"&amp;IF(AND(Data1!B779="Yes",County="Miami-Dade"),""," and/or fee deferral(s)")&amp;" meeting the eligibility criteria for such contributions must have "&amp;IF(OR(AND(Data1!B776="Face",County="Miami-Dade"),Data1!B774="Face"),"a face amount(s) of the commitment(s)",IF(OR(AND(Data1!B776="Δ NPV",County="Miami-Dade"),Data1!B774="Δ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"&amp;IF(AND(Data1!B775="Yes",County="Miami-Dade"),"not","")&amp;" be scored on a pro-rata basis.")</f>
        <v xml:space="preserve"> 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NA. Applicants that do not have the necessary contribution amount to achieve maximum points will  be scored on a pro-rata basis.</v>
      </c>
      <c r="C32" s="2943"/>
      <c r="D32" s="2943"/>
      <c r="E32" s="2943"/>
      <c r="F32" s="2943"/>
      <c r="G32" s="2943"/>
      <c r="H32" s="2943"/>
      <c r="I32" s="2943"/>
      <c r="J32" s="2943"/>
    </row>
    <row r="33" spans="1:17" ht="35.1" customHeight="1">
      <c r="B33" s="2944"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3" s="2944"/>
      <c r="D33" s="2944"/>
      <c r="E33" s="2944"/>
      <c r="F33" s="2944"/>
      <c r="G33" s="2944"/>
      <c r="H33" s="2944"/>
      <c r="I33" s="2944"/>
      <c r="J33" s="2944"/>
      <c r="O33" s="1542"/>
    </row>
    <row r="34" spans="1:17" ht="10.35" customHeight="1"/>
    <row r="35" spans="1:17" ht="50.1" customHeight="1">
      <c r="A35" s="823" t="str">
        <f>IF(AND($O$3=0,$O$12&lt;&gt;"Yes"),"","d")</f>
        <v>d</v>
      </c>
      <c r="B35" s="2943" t="s">
        <v>1737</v>
      </c>
      <c r="C35" s="2943"/>
      <c r="D35" s="2943"/>
      <c r="E35" s="2943"/>
      <c r="F35" s="2943"/>
      <c r="G35" s="2943"/>
      <c r="H35" s="2943"/>
      <c r="I35" s="2943"/>
      <c r="J35" s="874" t="s">
        <v>59</v>
      </c>
      <c r="K35" s="1331"/>
      <c r="O35" s="6" t="s">
        <v>1766</v>
      </c>
    </row>
    <row r="36" spans="1:17">
      <c r="B36" s="25" t="s">
        <v>1587</v>
      </c>
    </row>
    <row r="37" spans="1:17" ht="10.35" customHeight="1">
      <c r="B37" s="25"/>
      <c r="O37" s="1540"/>
    </row>
    <row r="38" spans="1:17" ht="110.1" customHeight="1">
      <c r="B38" s="2943" t="str">
        <f>"Qualifications for the Local Government Areas of Opportunity Designation include a demonstration of a high level of interest in the development"&amp;" via an increased amont of Local Government contributions in the form of cash loans"&amp;IF(AND(Data1!$B$777="Yes",OR(Data1!$B$779="No",AND(Data1!$B$779="Yes",County="Miami-Dade"))),",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Please enter the name(s) of the Local Government(s) above that contributed cash loans"&amp;IF(AND(Data1!$B$777="Yes",OR(Data1!$B$779="No",AND(Data1!$B$779="Yes",County="Miami-Dade"))),", cash grants and/or Fee Waivers"," and/or cash grants")&amp;" to earn the designation for the proposed Development in the Local Government Contributors table above as well as the corresonding amounts in the Local Government Contribution Funding Table."</f>
        <v>Qualifications for the Local Government Areas of Opportunity Designation include a demonstration of a high level of interest in the development via an increased amont of Local Government contributions in the form of cash loans and/or cash grants with a minium total amount of NA for (not yet selected) County. In addition, a Local Government can only contribute to one Application that qualifies for the Local Government Area of Opportunity Designation. Please enter the name(s) of the Local Government(s) above that contributed cash loans and/or cash grants to earn the designation for the proposed Development in the Local Government Contributors table above as well as the corresonding amounts in the Local Government Contribution Funding Table.</v>
      </c>
      <c r="C38" s="2943"/>
      <c r="D38" s="2943"/>
      <c r="E38" s="2943"/>
      <c r="F38" s="2943"/>
      <c r="G38" s="2943"/>
      <c r="H38" s="2943"/>
      <c r="I38" s="2943"/>
      <c r="J38" s="2943"/>
      <c r="O38" s="1540"/>
      <c r="P38" s="15"/>
      <c r="Q38" s="484"/>
    </row>
    <row r="39" spans="1:17" ht="10.35" customHeight="1"/>
    <row r="40" spans="1:17" ht="45" customHeight="1">
      <c r="A40" s="339" t="s">
        <v>1059</v>
      </c>
      <c r="B40" s="3157" t="s">
        <v>1737</v>
      </c>
      <c r="C40" s="3157"/>
      <c r="D40" s="3157"/>
      <c r="E40" s="3157"/>
      <c r="F40" s="3157"/>
      <c r="G40" s="3157"/>
      <c r="H40" s="3157"/>
      <c r="I40" s="3157"/>
      <c r="J40" s="874" t="s">
        <v>59</v>
      </c>
      <c r="K40" s="1329"/>
      <c r="O40" s="812">
        <v>1</v>
      </c>
    </row>
    <row r="41" spans="1:17" ht="10.35" customHeight="1"/>
    <row r="42" spans="1:17">
      <c r="A42" s="25" t="s">
        <v>1031</v>
      </c>
      <c r="B42" t="s">
        <v>1590</v>
      </c>
      <c r="O42" s="857" t="s">
        <v>1591</v>
      </c>
    </row>
    <row r="43" spans="1:17" ht="10.35" customHeight="1"/>
    <row r="44" spans="1:17" ht="45" customHeight="1">
      <c r="B44" s="2943" t="s">
        <v>1592</v>
      </c>
      <c r="C44" s="2943"/>
      <c r="D44" s="2943"/>
      <c r="E44" s="2943"/>
      <c r="F44" s="2943"/>
      <c r="G44" s="2943"/>
      <c r="H44" s="2943"/>
      <c r="I44" s="2943"/>
      <c r="J44" s="2943"/>
    </row>
    <row r="45" spans="1:17" ht="35.1" customHeight="1">
      <c r="A45" s="822" t="str">
        <f>IF(Data1!B785=TRUE,"Yes","No")</f>
        <v>No</v>
      </c>
      <c r="B45" s="36"/>
      <c r="D45" s="2943" t="s">
        <v>1593</v>
      </c>
      <c r="E45" s="2943"/>
      <c r="F45" s="2943"/>
      <c r="G45" s="2943"/>
      <c r="H45" s="2943"/>
      <c r="I45" s="2943"/>
      <c r="J45" s="1562"/>
      <c r="O45" s="1521" t="s">
        <v>2200</v>
      </c>
    </row>
    <row r="46" spans="1:17" ht="7.35" customHeight="1">
      <c r="A46" s="822"/>
      <c r="B46" s="1329"/>
      <c r="D46" s="1552"/>
      <c r="E46" s="1552"/>
      <c r="F46" s="1552"/>
      <c r="G46" s="1552"/>
      <c r="H46" s="1552"/>
      <c r="I46" s="1552"/>
      <c r="J46" s="1556"/>
      <c r="O46" s="1555"/>
    </row>
    <row r="47" spans="1:17" ht="65.099999999999994" customHeight="1">
      <c r="A47" s="822" t="str">
        <f>IF(Data1!B786=TRUE,"Yes","No")</f>
        <v>No</v>
      </c>
      <c r="B47" s="36"/>
      <c r="D47" s="2943" t="str">
        <f>"(2) The Application has received multiple years of continuous Local Government Area of Opportunity support and the Application Number for the Application submitted in RFA 2021-201 that qualified for the Local Government Area of Opportunity Designation "&amp;IF(Data1!$B$786=FALSE,"is to be",IF($J$47="","needs to be","is"))&amp;" entered to the right."</f>
        <v>(2) The Application has received multiple years of continuous Local Government Area of Opportunity support and the Application Number for the Application submitted in RFA 2021-201 that qualified for the Local Government Area of Opportunity Designation is to be entered to the right.</v>
      </c>
      <c r="E47" s="2943"/>
      <c r="F47" s="2943"/>
      <c r="G47" s="2943"/>
      <c r="H47" s="2943"/>
      <c r="I47" s="2943"/>
      <c r="J47" s="999"/>
      <c r="O47" s="1521" t="s">
        <v>2200</v>
      </c>
    </row>
    <row r="48" spans="1:17" ht="7.35" customHeight="1">
      <c r="A48" s="822"/>
      <c r="B48" s="1329"/>
      <c r="D48" s="1552"/>
      <c r="E48" s="1552"/>
      <c r="F48" s="1552"/>
      <c r="G48" s="1552"/>
      <c r="H48" s="1552"/>
      <c r="I48" s="1552"/>
      <c r="J48" s="1448"/>
      <c r="O48" s="1555"/>
    </row>
    <row r="49" spans="1:10" ht="35.1" customHeight="1">
      <c r="A49" s="822" t="str">
        <f>IF(Data1!B787=TRUE,"Yes","No")</f>
        <v>No</v>
      </c>
      <c r="B49" s="36"/>
      <c r="D49" s="2943" t="s">
        <v>1594</v>
      </c>
      <c r="E49" s="2943"/>
      <c r="F49" s="2943"/>
      <c r="G49" s="2943"/>
      <c r="H49" s="2943"/>
      <c r="I49" s="2943"/>
      <c r="J49" s="2943"/>
    </row>
    <row r="50" spans="1:10">
      <c r="B50" s="905" t="s">
        <v>1595</v>
      </c>
    </row>
    <row r="51" spans="1:10" ht="10.35" customHeight="1"/>
  </sheetData>
  <sheetProtection algorithmName="SHA-512" hashValue="+u6n+E7KbZ/bkgChjMW86qonAtB/005pJOGGhX4LPlrwaW6FhApusWgjNI9zsCw2dNLpvGIrZw9WRCQdDH5OYQ==" saltValue="4gmWSw9QHgoghBcnsGz4eQ==" spinCount="100000" sheet="1" selectLockedCells="1"/>
  <mergeCells count="27">
    <mergeCell ref="B21:J21"/>
    <mergeCell ref="O25:O30"/>
    <mergeCell ref="A1:J1"/>
    <mergeCell ref="B4:I4"/>
    <mergeCell ref="B6:J6"/>
    <mergeCell ref="B8:J8"/>
    <mergeCell ref="M2:S2"/>
    <mergeCell ref="B30:I30"/>
    <mergeCell ref="B9:J9"/>
    <mergeCell ref="O13:O14"/>
    <mergeCell ref="O15:O18"/>
    <mergeCell ref="D45:I45"/>
    <mergeCell ref="D47:I47"/>
    <mergeCell ref="D49:J49"/>
    <mergeCell ref="B3:J3"/>
    <mergeCell ref="B35:I35"/>
    <mergeCell ref="B33:J33"/>
    <mergeCell ref="B38:J38"/>
    <mergeCell ref="B40:I40"/>
    <mergeCell ref="B44:J44"/>
    <mergeCell ref="B23:G23"/>
    <mergeCell ref="B24:I24"/>
    <mergeCell ref="B25:I25"/>
    <mergeCell ref="B26:I26"/>
    <mergeCell ref="B27:I27"/>
    <mergeCell ref="B28:I28"/>
    <mergeCell ref="B32:J32"/>
  </mergeCells>
  <conditionalFormatting sqref="J4">
    <cfRule type="cellIs" dxfId="109" priority="8" operator="notEqual">
      <formula>"&lt;select one&gt;"</formula>
    </cfRule>
  </conditionalFormatting>
  <conditionalFormatting sqref="G13:H13 G14 G17:H17">
    <cfRule type="cellIs" dxfId="108" priority="13" operator="greaterThan">
      <formula>0</formula>
    </cfRule>
  </conditionalFormatting>
  <conditionalFormatting sqref="J24:J28">
    <cfRule type="expression" dxfId="107" priority="53">
      <formula>$B24=""</formula>
    </cfRule>
    <cfRule type="expression" dxfId="106" priority="59">
      <formula>AND(J24&lt;&gt;"&lt;select one&gt;",J24&lt;&gt;"")</formula>
    </cfRule>
  </conditionalFormatting>
  <conditionalFormatting sqref="B24:I28">
    <cfRule type="cellIs" dxfId="105" priority="52" operator="notEqual">
      <formula>""</formula>
    </cfRule>
  </conditionalFormatting>
  <conditionalFormatting sqref="A3:J7 A32:J35">
    <cfRule type="expression" dxfId="104" priority="4">
      <formula>$O$3=0</formula>
    </cfRule>
  </conditionalFormatting>
  <conditionalFormatting sqref="J35">
    <cfRule type="cellIs" dxfId="103" priority="1833" operator="notEqual">
      <formula>"&lt;select one&gt;"</formula>
    </cfRule>
  </conditionalFormatting>
  <conditionalFormatting sqref="A36:J36 A40:J51">
    <cfRule type="expression" dxfId="102" priority="1895">
      <formula>$O$40=0</formula>
    </cfRule>
  </conditionalFormatting>
  <conditionalFormatting sqref="J40">
    <cfRule type="cellIs" dxfId="101" priority="1977" operator="notEqual">
      <formula>"&lt;select one&gt;"</formula>
    </cfRule>
  </conditionalFormatting>
  <conditionalFormatting sqref="A21:J29 A6:J8 A10:I14 A31:J32 A30:B30 J30 A9 A16:I20 A15:F15 I15">
    <cfRule type="expression" dxfId="100" priority="50">
      <formula>Local_govt_contribution&lt;&gt;"Yes"</formula>
    </cfRule>
  </conditionalFormatting>
  <conditionalFormatting sqref="A35:J51 A21:J31 A9:J9">
    <cfRule type="expression" dxfId="99" priority="522">
      <formula>$O$24="No"</formula>
    </cfRule>
  </conditionalFormatting>
  <conditionalFormatting sqref="Q23">
    <cfRule type="expression" dxfId="98" priority="44">
      <formula>AND($O$3=0,$O$24="Yes")</formula>
    </cfRule>
  </conditionalFormatting>
  <conditionalFormatting sqref="Q25">
    <cfRule type="expression" dxfId="97" priority="46">
      <formula>AND($O$3=0,$O$24="No")</formula>
    </cfRule>
  </conditionalFormatting>
  <conditionalFormatting sqref="Q26">
    <cfRule type="expression" dxfId="96" priority="47">
      <formula>AND($O$3=1,$O$24="No")</formula>
    </cfRule>
  </conditionalFormatting>
  <conditionalFormatting sqref="Q28">
    <cfRule type="expression" dxfId="95" priority="69">
      <formula>AND($O$3=1,$O$24="&lt;select one&gt;")</formula>
    </cfRule>
  </conditionalFormatting>
  <conditionalFormatting sqref="Q27">
    <cfRule type="expression" dxfId="94" priority="48">
      <formula>AND($O$3=0,$O$24="&lt;select one&gt;")</formula>
    </cfRule>
  </conditionalFormatting>
  <conditionalFormatting sqref="I23">
    <cfRule type="expression" dxfId="93" priority="51">
      <formula>Local_govt_contribution&lt;&gt;"Yes"</formula>
    </cfRule>
  </conditionalFormatting>
  <conditionalFormatting sqref="I29">
    <cfRule type="expression" dxfId="92" priority="67">
      <formula>Local_govt_contribution&lt;&gt;"Yes"</formula>
    </cfRule>
  </conditionalFormatting>
  <conditionalFormatting sqref="B15:F15 I15">
    <cfRule type="expression" dxfId="91" priority="16">
      <formula>LEFT($B$15,3)&lt;&gt;"Non"</formula>
    </cfRule>
  </conditionalFormatting>
  <conditionalFormatting sqref="B16:I16">
    <cfRule type="expression" dxfId="90" priority="33">
      <formula>LEFT($B$15,3)="Non"</formula>
    </cfRule>
  </conditionalFormatting>
  <conditionalFormatting sqref="G16:I16">
    <cfRule type="expression" dxfId="89" priority="40">
      <formula>AND(LEFT($B$15,3)&lt;&gt;"Non",N($G16)&gt;=0)</formula>
    </cfRule>
  </conditionalFormatting>
  <conditionalFormatting sqref="B15:F15">
    <cfRule type="expression" dxfId="88" priority="17">
      <formula>LEFT($B$15,3)="Non"</formula>
    </cfRule>
  </conditionalFormatting>
  <conditionalFormatting sqref="B16:F16">
    <cfRule type="expression" dxfId="87" priority="34">
      <formula>LEFT($B$15,3)&lt;&gt;"Non"</formula>
    </cfRule>
  </conditionalFormatting>
  <conditionalFormatting sqref="I15">
    <cfRule type="expression" dxfId="86" priority="27">
      <formula>AND(LEFT($B$15,3)="Non",N($G15)&gt;=0)</formula>
    </cfRule>
  </conditionalFormatting>
  <conditionalFormatting sqref="A8:J8 A30:B30 J30 A10:J14 A9 A16:J29 A15:F15 I15:J15">
    <cfRule type="expression" dxfId="85" priority="9">
      <formula>AND($O$3=0,$O$24="No")</formula>
    </cfRule>
  </conditionalFormatting>
  <conditionalFormatting sqref="J47">
    <cfRule type="expression" dxfId="84" priority="3259">
      <formula>AND(DS_ExcelCheckbox_LGAO_Prior_App_2YR=TRUE,$J$47="")</formula>
    </cfRule>
    <cfRule type="cellIs" dxfId="83" priority="3260" operator="notEqual">
      <formula>""</formula>
    </cfRule>
  </conditionalFormatting>
  <conditionalFormatting sqref="B49:J49">
    <cfRule type="expression" dxfId="82" priority="3703">
      <formula>AND(DS_ExcelCheckbox_LGAO_NoPref=TRUE,OR(DS_ExcelCheckbox_LGAO_Prior_App_1YR=TRUE,DS_ExcelCheckbox_LGAO_Prior_App_2YR=TRUE))</formula>
    </cfRule>
    <cfRule type="expression" dxfId="81" priority="3726">
      <formula>DS_ExcelCheckbox_LGAO_NoPref=TRUE</formula>
    </cfRule>
  </conditionalFormatting>
  <conditionalFormatting sqref="B45:I45">
    <cfRule type="expression" dxfId="80" priority="3226">
      <formula>DS_ExcelCheckbox_LGAO_Prior_App_1YR=TRUE</formula>
    </cfRule>
  </conditionalFormatting>
  <conditionalFormatting sqref="J45">
    <cfRule type="expression" dxfId="79" priority="3241">
      <formula>AND(DS_ExcelCheckbox_LGAO_Prior_App_1YR=TRUE,$J$45="")</formula>
    </cfRule>
    <cfRule type="cellIs" dxfId="78" priority="3242" operator="notEqual">
      <formula>""</formula>
    </cfRule>
  </conditionalFormatting>
  <conditionalFormatting sqref="B47:I47">
    <cfRule type="expression" dxfId="77" priority="3243">
      <formula>DS_ExcelCheckbox_LGAO_Prior_App_2YR=TRUE</formula>
    </cfRule>
  </conditionalFormatting>
  <conditionalFormatting sqref="G16">
    <cfRule type="expression" dxfId="76" priority="35">
      <formula>AND(N($G16)&lt;&gt;0,$B16&lt;&gt;"Non-Cash Contributions:")</formula>
    </cfRule>
  </conditionalFormatting>
  <conditionalFormatting sqref="B25:J28">
    <cfRule type="expression" dxfId="75" priority="61">
      <formula>$B24=""</formula>
    </cfRule>
  </conditionalFormatting>
  <conditionalFormatting sqref="O3">
    <cfRule type="cellIs" dxfId="74" priority="14" operator="equal">
      <formula>0</formula>
    </cfRule>
  </conditionalFormatting>
  <conditionalFormatting sqref="B9">
    <cfRule type="expression" dxfId="73" priority="10">
      <formula>Local_govt_contribution&lt;&gt;"Yes"</formula>
    </cfRule>
  </conditionalFormatting>
  <conditionalFormatting sqref="G15:H15">
    <cfRule type="expression" dxfId="72" priority="24">
      <formula>Local_govt_contribution&lt;&gt;"Yes"</formula>
    </cfRule>
  </conditionalFormatting>
  <conditionalFormatting sqref="G15:H15">
    <cfRule type="expression" dxfId="71" priority="25">
      <formula>LEFT($B$15,3)&lt;&gt;"Non"</formula>
    </cfRule>
  </conditionalFormatting>
  <conditionalFormatting sqref="G15:H15">
    <cfRule type="expression" dxfId="70" priority="26">
      <formula>AND(LEFT($B$15,3)="Non",N($G15)&gt;=0)</formula>
    </cfRule>
  </conditionalFormatting>
  <conditionalFormatting sqref="G15">
    <cfRule type="expression" dxfId="69" priority="2">
      <formula>AND(LEFT($B$15,3)&lt;&gt;"Non",$G$15="")</formula>
    </cfRule>
    <cfRule type="expression" dxfId="68" priority="18">
      <formula>AND(N($G15)&lt;&gt;0,$B15&lt;&gt;"Non-Cash Contributions:")</formula>
    </cfRule>
  </conditionalFormatting>
  <conditionalFormatting sqref="G15:H15">
    <cfRule type="expression" dxfId="67" priority="19">
      <formula>$O$12="Yes"</formula>
    </cfRule>
  </conditionalFormatting>
  <conditionalFormatting sqref="O15:O18">
    <cfRule type="cellIs" dxfId="66" priority="3" operator="greaterThan">
      <formula>0</formula>
    </cfRule>
  </conditionalFormatting>
  <conditionalFormatting sqref="H15">
    <cfRule type="expression" dxfId="65" priority="1">
      <formula>AND(LEFT($B$15,3)&lt;&gt;"Non",$G$15="")</formula>
    </cfRule>
  </conditionalFormatting>
  <dataValidations count="4">
    <dataValidation type="list" allowBlank="1" showInputMessage="1" showErrorMessage="1" sqref="J4 J35 O24 J40 O12" xr:uid="{D09B4B7F-58DF-4CE5-B181-B03E123C6EC4}">
      <formula1>"&lt;select one&gt;, Yes, No"</formula1>
    </dataValidation>
    <dataValidation type="list" allowBlank="1" showInputMessage="1" showErrorMessage="1" sqref="J24:J28" xr:uid="{9D34A89C-F028-4C4F-97C8-3E0F3946D64D}">
      <formula1>DS_LGC_Type_DDMenu</formula1>
    </dataValidation>
    <dataValidation type="custom" allowBlank="1" showInputMessage="1" showErrorMessage="1" sqref="G15:G16" xr:uid="{53344645-03BF-47BD-8552-112EBD8B8350}">
      <formula1>$B15&lt;&gt;"Non-Cash Contributions:"</formula1>
    </dataValidation>
    <dataValidation type="custom" showInputMessage="1" showErrorMessage="1" error="An entry is required for the Name of the Local Government above prior to entry in this cell" sqref="B25:I28" xr:uid="{D8F3C2AA-01A1-4B80-B93B-64EADECBCB74}">
      <formula1>$B24&lt;&gt;""</formula1>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9525</xdr:colOff>
                    <xdr:row>43</xdr:row>
                    <xdr:rowOff>542925</xdr:rowOff>
                  </from>
                  <to>
                    <xdr:col>4</xdr:col>
                    <xdr:colOff>95250</xdr:colOff>
                    <xdr:row>44</xdr:row>
                    <xdr:rowOff>190500</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9525</xdr:colOff>
                    <xdr:row>43</xdr:row>
                    <xdr:rowOff>542925</xdr:rowOff>
                  </from>
                  <to>
                    <xdr:col>4</xdr:col>
                    <xdr:colOff>95250</xdr:colOff>
                    <xdr:row>44</xdr:row>
                    <xdr:rowOff>190500</xdr:rowOff>
                  </to>
                </anchor>
              </controlPr>
            </control>
          </mc:Choice>
        </mc:AlternateContent>
        <mc:AlternateContent xmlns:mc="http://schemas.openxmlformats.org/markup-compatibility/2006">
          <mc:Choice Requires="x14">
            <control shapeId="128006" r:id="rId6" name="Check Box 6">
              <controlPr locked="0" defaultSize="0" autoFill="0" autoLine="0" autoPict="0">
                <anchor moveWithCells="1">
                  <from>
                    <xdr:col>1</xdr:col>
                    <xdr:colOff>9525</xdr:colOff>
                    <xdr:row>44</xdr:row>
                    <xdr:rowOff>419100</xdr:rowOff>
                  </from>
                  <to>
                    <xdr:col>4</xdr:col>
                    <xdr:colOff>95250</xdr:colOff>
                    <xdr:row>46</xdr:row>
                    <xdr:rowOff>114300</xdr:rowOff>
                  </to>
                </anchor>
              </controlPr>
            </control>
          </mc:Choice>
        </mc:AlternateContent>
        <mc:AlternateContent xmlns:mc="http://schemas.openxmlformats.org/markup-compatibility/2006">
          <mc:Choice Requires="x14">
            <control shapeId="128007" r:id="rId7" name="Check Box 7">
              <controlPr locked="0" defaultSize="0" autoFill="0" autoLine="0" autoPict="0">
                <anchor moveWithCells="1">
                  <from>
                    <xdr:col>1</xdr:col>
                    <xdr:colOff>9525</xdr:colOff>
                    <xdr:row>48</xdr:row>
                    <xdr:rowOff>0</xdr:rowOff>
                  </from>
                  <to>
                    <xdr:col>4</xdr:col>
                    <xdr:colOff>95250</xdr:colOff>
                    <xdr:row>48</xdr:row>
                    <xdr:rowOff>219075</xdr:rowOff>
                  </to>
                </anchor>
              </controlPr>
            </control>
          </mc:Choice>
        </mc:AlternateContent>
        <mc:AlternateContent xmlns:mc="http://schemas.openxmlformats.org/markup-compatibility/2006">
          <mc:Choice Requires="x14">
            <control shapeId="128009" r:id="rId8" name="Check Box 9">
              <controlPr locked="0" defaultSize="0" autoFill="0" autoLine="0" autoPict="0" altText="">
                <anchor moveWithCells="1">
                  <from>
                    <xdr:col>1</xdr:col>
                    <xdr:colOff>19050</xdr:colOff>
                    <xdr:row>44</xdr:row>
                    <xdr:rowOff>19050</xdr:rowOff>
                  </from>
                  <to>
                    <xdr:col>4</xdr:col>
                    <xdr:colOff>104775</xdr:colOff>
                    <xdr:row>44</xdr:row>
                    <xdr:rowOff>238125</xdr:rowOff>
                  </to>
                </anchor>
              </controlPr>
            </control>
          </mc:Choice>
        </mc:AlternateContent>
        <mc:AlternateContent xmlns:mc="http://schemas.openxmlformats.org/markup-compatibility/2006">
          <mc:Choice Requires="x14">
            <control shapeId="128010" r:id="rId9" name="Check Box 10">
              <controlPr locked="0" defaultSize="0" autoFill="0" autoLine="0" autoPict="0" altText="">
                <anchor moveWithCells="1">
                  <from>
                    <xdr:col>1</xdr:col>
                    <xdr:colOff>19050</xdr:colOff>
                    <xdr:row>46</xdr:row>
                    <xdr:rowOff>19050</xdr:rowOff>
                  </from>
                  <to>
                    <xdr:col>4</xdr:col>
                    <xdr:colOff>104775</xdr:colOff>
                    <xdr:row>46</xdr:row>
                    <xdr:rowOff>238125</xdr:rowOff>
                  </to>
                </anchor>
              </controlPr>
            </control>
          </mc:Choice>
        </mc:AlternateContent>
        <mc:AlternateContent xmlns:mc="http://schemas.openxmlformats.org/markup-compatibility/2006">
          <mc:Choice Requires="x14">
            <control shapeId="128011" r:id="rId10" name="Check Box 11">
              <controlPr locked="0" defaultSize="0" autoFill="0" autoLine="0" autoPict="0" altText="">
                <anchor moveWithCells="1">
                  <from>
                    <xdr:col>1</xdr:col>
                    <xdr:colOff>19050</xdr:colOff>
                    <xdr:row>48</xdr:row>
                    <xdr:rowOff>0</xdr:rowOff>
                  </from>
                  <to>
                    <xdr:col>4</xdr:col>
                    <xdr:colOff>104775</xdr:colOff>
                    <xdr:row>48</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00000000-000E-0000-0F00-000006000000}">
            <xm:f>AND(Development_Category&lt;&gt;"New Construction",IF(AND(Data1!$B$775="Yes",County="Miami-Dade"),FALSE,TRUE))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6" id="{00000000-000E-0000-0F00-000005000000}">
            <xm:f>AND(Development_Category&lt;&gt;"New Construction",IF(AND(Data1!$B$775="Yes",County="Miami-Dade"),FALSE,TRUE))</xm:f>
            <x14:dxf>
              <font>
                <color theme="0" tint="-0.24994659260841701"/>
              </font>
            </x14:dxf>
          </x14:cfRule>
          <xm:sqref>A4:I4</xm:sqref>
        </x14:conditionalFormatting>
        <x14:conditionalFormatting xmlns:xm="http://schemas.microsoft.com/office/excel/2006/main">
          <x14:cfRule type="expression" priority="70" id="{C6DBC65E-903F-4E70-8571-CAF0BB4AB870}">
            <xm:f>IF(AND(OR(Development_Category="Rehabilitation",Development_Category="Acquisition and Rehabilitation"),IF(AND(Data1!$B$775="Yes",County="Miami-Dade"),FALSE,TRUE)),5,ROUND(5*IF(AND(Data1!$B$774="Face",OR(Data1!$B$775="No",AND(Data1!$B$775="Yes",Data1!$B$776="Face",County="Miami-Dade"))),G19,I19)/IFERROR(VLOOKUP(County,DS_CountyData,3),1),2))&lt;5</xm:f>
            <x14:dxf>
              <font>
                <b/>
                <i val="0"/>
                <color rgb="FFC00000"/>
              </font>
              <fill>
                <patternFill patternType="none">
                  <bgColor auto="1"/>
                </patternFill>
              </fill>
            </x14:dxf>
          </x14:cfRule>
          <x14:cfRule type="expression" priority="76" id="{3E06F4D1-52F9-4F59-89A9-7944BEC01F9E}">
            <xm:f>IF(AND(OR(Development_Category="Rehabilitation",Development_Category="Acquisition and Rehabilitation"),IF(AND(Data1!$B$775="Yes",County="Miami-Dade"),FALSE,TRUE)),5,ROUND(5*IF(AND(Data1!$B$774="Face",OR(Data1!$B$775="No",AND(Data1!$B$775="Yes",Data1!$B$776="Face",County="Miami-Dade"))),G19,I19)/IFERROR(VLOOKUP(County,DS_CountyData,3),1),2))&gt;=5</xm:f>
            <x14:dxf>
              <font>
                <b val="0"/>
                <i val="0"/>
              </font>
              <fill>
                <patternFill>
                  <bgColor theme="9" tint="0.79998168889431442"/>
                </patternFill>
              </fill>
            </x14:dxf>
          </x14:cfRule>
          <xm:sqref>B33</xm:sqref>
        </x14:conditionalFormatting>
        <x14:conditionalFormatting xmlns:xm="http://schemas.microsoft.com/office/excel/2006/main">
          <x14:cfRule type="expression" priority="38" id="{9BC93658-38E8-4854-BFB2-7F8F456C3EE9}">
            <xm:f>AND(IFERROR(LEFT($B16,3),"")&lt;&gt;"Non",OR(Data1!$B$774="Face",AND(Data1!$B$776="Face",County="Miami-Dade")),AND(Data1!$B$776="Δ NPV",County="Miami-Dade")=FALSE)</xm:f>
            <x14:dxf>
              <font>
                <strike/>
                <color rgb="FFC00000"/>
              </font>
              <fill>
                <patternFill patternType="darkUp">
                  <fgColor theme="0" tint="-0.24994659260841701"/>
                  <bgColor auto="1"/>
                </patternFill>
              </fill>
              <border>
                <bottom style="hair">
                  <color auto="1"/>
                </bottom>
              </border>
            </x14:dxf>
          </x14:cfRule>
          <xm:sqref>G16</xm:sqref>
        </x14:conditionalFormatting>
        <x14:conditionalFormatting xmlns:xm="http://schemas.microsoft.com/office/excel/2006/main">
          <x14:cfRule type="expression" priority="15" id="{0391F6C8-EC52-4D68-B744-03629F7C545F}">
            <xm:f>AND(OR(Data1!$B$774="Face",AND(Data1!$B$776="Face",County="Miami-Dade")),AND(Data1!$B$776="Δ NPV",County="Miami-Dade")=FALSE,IFERROR(LEFT($B13,3),"")&lt;&gt;"Non")</xm:f>
            <x14:dxf>
              <font>
                <strike val="0"/>
                <color auto="1"/>
              </font>
              <fill>
                <patternFill patternType="darkUp">
                  <fgColor theme="0" tint="-0.24994659260841701"/>
                  <bgColor auto="1"/>
                </patternFill>
              </fill>
            </x14:dxf>
          </x14:cfRule>
          <xm:sqref>I13:I17</xm:sqref>
        </x14:conditionalFormatting>
        <x14:conditionalFormatting xmlns:xm="http://schemas.microsoft.com/office/excel/2006/main">
          <x14:cfRule type="expression" priority="12" id="{F9351EF0-F8F1-41C2-8EC9-9AA97D20D6B5}">
            <xm:f>AND(OR(Data1!$B$774="Face",AND(Data1!$B$776="Face",County="Miami-Dade")),AND(Data1!$B$776="Δ NPV",County="Miami-Dade")=FALSE)</xm:f>
            <x14:dxf>
              <font>
                <strike/>
                <color rgb="FFC00000"/>
              </font>
              <fill>
                <patternFill patternType="darkUp">
                  <fgColor theme="0" tint="-0.24994659260841701"/>
                  <bgColor auto="1"/>
                </patternFill>
              </fill>
              <border>
                <bottom style="hair">
                  <color auto="1"/>
                </bottom>
              </border>
            </x14:dxf>
          </x14:cfRule>
          <xm:sqref>H13</xm:sqref>
        </x14:conditionalFormatting>
        <x14:conditionalFormatting xmlns:xm="http://schemas.microsoft.com/office/excel/2006/main">
          <x14:cfRule type="expression" priority="49" id="{044FF3C9-90C9-4C4D-80FB-2B8A97903099}">
            <xm:f>AND(Data1!$B$779="Yes",County="Miami-Dade")</xm:f>
            <x14:dxf>
              <fill>
                <patternFill patternType="darkUp">
                  <fgColor theme="0" tint="-0.24994659260841701"/>
                </patternFill>
              </fill>
            </x14:dxf>
          </x14:cfRule>
          <xm:sqref>I17</xm:sqref>
        </x14:conditionalFormatting>
        <x14:conditionalFormatting xmlns:xm="http://schemas.microsoft.com/office/excel/2006/main">
          <x14:cfRule type="expression" priority="42" id="{6148CFE6-EC2D-40DA-9221-72A383BFF32B}">
            <xm:f>OR(AND(Data1!$B$774="Face",County&lt;&gt;"Miami-Dade"),AND(County="Miami-Dade",OR(Data1!$B$776="Face",AND(Data1!$B$776="Δ NPV",Data1!$B$779="Yes"))))</xm:f>
            <x14:dxf>
              <font>
                <strike/>
                <color rgb="FFC00000"/>
              </font>
              <fill>
                <patternFill patternType="darkUp">
                  <fgColor theme="0" tint="-0.24994659260841701"/>
                  <bgColor auto="1"/>
                </patternFill>
              </fill>
              <border>
                <bottom style="hair">
                  <color auto="1"/>
                </bottom>
                <vertical/>
                <horizontal/>
              </border>
            </x14:dxf>
          </x14:cfRule>
          <xm:sqref>G17:H17</xm:sqref>
        </x14:conditionalFormatting>
        <x14:conditionalFormatting xmlns:xm="http://schemas.microsoft.com/office/excel/2006/main">
          <x14:cfRule type="expression" priority="4268" id="{00000000-000E-0000-1000-000015000000}">
            <xm:f>AND($O$3=1,$O$24="Yes",Data1!$E$829="No")</xm:f>
            <x14:dxf>
              <fill>
                <patternFill>
                  <bgColor rgb="FFCCFF99"/>
                </patternFill>
              </fill>
            </x14:dxf>
          </x14:cfRule>
          <xm:sqref>Q24</xm:sqref>
        </x14:conditionalFormatting>
        <x14:conditionalFormatting xmlns:xm="http://schemas.microsoft.com/office/excel/2006/main">
          <x14:cfRule type="expression" priority="4269" stopIfTrue="1" id="{4E7FF59A-6E04-4917-B5BA-36790A69BCF4}">
            <xm:f>Data1!$E$829="Yes"</xm:f>
            <x14:dxf>
              <font>
                <color theme="0"/>
              </font>
              <fill>
                <patternFill>
                  <bgColor theme="0"/>
                </patternFill>
              </fill>
              <border>
                <left/>
                <right/>
                <top/>
                <bottom/>
              </border>
            </x14:dxf>
          </x14:cfRule>
          <xm:sqref>O3:S50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tabColor rgb="FF00B0F0"/>
  </sheetPr>
  <dimension ref="A1:P18"/>
  <sheetViews>
    <sheetView showGridLines="0" zoomScaleNormal="100" zoomScaleSheetLayoutView="100" workbookViewId="0">
      <pane ySplit="2" topLeftCell="A3" activePane="bottomLeft" state="frozen"/>
      <selection activeCell="G13" sqref="G13"/>
      <selection pane="bottomLeft" activeCell="G13" sqref="G13"/>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6" ht="35.85" customHeight="1" thickBot="1">
      <c r="A1" s="2979" t="s">
        <v>2384</v>
      </c>
      <c r="B1" s="2980"/>
      <c r="C1" s="2980"/>
      <c r="D1" s="2980"/>
      <c r="E1" s="2980"/>
      <c r="F1" s="2980"/>
      <c r="G1" s="2980"/>
      <c r="H1" s="2980"/>
      <c r="I1" s="2980"/>
      <c r="J1" s="2981"/>
      <c r="K1" s="24"/>
    </row>
    <row r="2" spans="1:16" ht="14.45" customHeight="1">
      <c r="M2" s="2993" t="s">
        <v>943</v>
      </c>
      <c r="N2" s="2993"/>
      <c r="O2" s="2993"/>
      <c r="P2" s="2993"/>
    </row>
    <row r="3" spans="1:16" ht="14.45" customHeight="1">
      <c r="A3" s="87" t="s">
        <v>955</v>
      </c>
      <c r="B3" s="87" t="s">
        <v>2385</v>
      </c>
      <c r="C3" s="87"/>
      <c r="D3" s="87"/>
      <c r="E3" s="87"/>
      <c r="F3" s="1881"/>
      <c r="G3" s="1881"/>
      <c r="H3" s="1881"/>
      <c r="I3" s="1881"/>
      <c r="J3" s="1881"/>
      <c r="M3" s="630"/>
      <c r="N3" s="630"/>
      <c r="O3" s="2400"/>
      <c r="P3" s="630"/>
    </row>
    <row r="4" spans="1:16" ht="10.35" customHeight="1">
      <c r="O4" s="2400"/>
    </row>
    <row r="5" spans="1:16" ht="35.1" customHeight="1">
      <c r="B5" s="2943" t="s">
        <v>2783</v>
      </c>
      <c r="C5" s="2943"/>
      <c r="D5" s="2943"/>
      <c r="E5" s="2943"/>
      <c r="F5" s="2943"/>
      <c r="G5" s="2943"/>
      <c r="H5" s="2943"/>
      <c r="I5" s="2943"/>
      <c r="J5" s="2943"/>
      <c r="O5" s="313">
        <v>1</v>
      </c>
    </row>
    <row r="6" spans="1:16" ht="10.35" customHeight="1">
      <c r="O6" s="2400"/>
    </row>
    <row r="7" spans="1:16" ht="17.45" customHeight="1">
      <c r="A7" s="1880" t="str">
        <f>IF(DS_ExcelCheckbox_MixedUse_Comm=TRUE,"Yes","No")</f>
        <v>No</v>
      </c>
      <c r="B7" s="1882"/>
      <c r="C7" s="2977" t="s">
        <v>2387</v>
      </c>
      <c r="D7" s="2977"/>
      <c r="E7" s="2977"/>
      <c r="F7" s="2977"/>
      <c r="O7" s="3480" t="s">
        <v>2721</v>
      </c>
    </row>
    <row r="8" spans="1:16" ht="17.45" customHeight="1">
      <c r="A8" s="1880" t="str">
        <f>IF(DS_ExcelCheckbox_MixedUse_Inst=TRUE,"Yes","No")</f>
        <v>No</v>
      </c>
      <c r="B8" s="1027"/>
      <c r="C8" s="2977" t="s">
        <v>2386</v>
      </c>
      <c r="D8" s="2977"/>
      <c r="E8" s="2977"/>
      <c r="F8" s="2977"/>
      <c r="O8" s="3480"/>
    </row>
    <row r="9" spans="1:16" ht="10.35" customHeight="1">
      <c r="B9" s="1857"/>
      <c r="C9" s="1857"/>
      <c r="O9" s="2400"/>
    </row>
    <row r="10" spans="1:16" ht="35.1" customHeight="1">
      <c r="B10" s="2943" t="s">
        <v>2388</v>
      </c>
      <c r="C10" s="2943"/>
      <c r="D10" s="2943"/>
      <c r="E10" s="2943"/>
      <c r="F10" s="2943"/>
      <c r="G10" s="2943"/>
      <c r="H10" s="2943"/>
      <c r="I10" s="2943"/>
      <c r="J10" s="2943"/>
      <c r="O10" s="1885">
        <v>0</v>
      </c>
    </row>
    <row r="11" spans="1:16" ht="350.1" customHeight="1">
      <c r="B11" s="3006"/>
      <c r="C11" s="3006"/>
      <c r="D11" s="3006"/>
      <c r="E11" s="3006"/>
      <c r="F11" s="3006"/>
      <c r="G11" s="3006"/>
      <c r="H11" s="3006"/>
      <c r="I11" s="3006"/>
      <c r="J11" s="3006"/>
      <c r="O11" s="2400"/>
    </row>
    <row r="12" spans="1:16">
      <c r="O12" s="2400"/>
    </row>
    <row r="13" spans="1:16">
      <c r="A13" s="25" t="s">
        <v>1031</v>
      </c>
      <c r="B13" s="25" t="s">
        <v>2391</v>
      </c>
    </row>
    <row r="14" spans="1:16" ht="10.35" customHeight="1"/>
    <row r="15" spans="1:16" ht="35.1" customHeight="1">
      <c r="B15" s="2943" t="s">
        <v>2393</v>
      </c>
      <c r="C15" s="2943"/>
      <c r="D15" s="2943"/>
      <c r="E15" s="2943"/>
      <c r="F15" s="2943"/>
      <c r="G15" s="2943"/>
      <c r="H15" s="2943"/>
      <c r="I15" s="2943"/>
      <c r="J15" s="2943"/>
      <c r="O15" s="313">
        <v>1</v>
      </c>
    </row>
    <row r="17" spans="1:10" ht="17.45" customHeight="1">
      <c r="A17" s="1880" t="str">
        <f>IF(DS_ExcelCheckbox_UrbanInfill=TRUE,"Yes","No")</f>
        <v>No</v>
      </c>
      <c r="B17" s="1882"/>
      <c r="C17" s="2977" t="s">
        <v>2392</v>
      </c>
      <c r="D17" s="2977"/>
      <c r="E17" s="2977"/>
      <c r="F17" s="2977"/>
      <c r="J17" s="1912" t="str">
        <f>IF(AND(DS_ExcelCheckbox_UrbanInfill=TRUE,Demographic&lt;&gt;"Family"),"Verify Demographic Commitment","")</f>
        <v/>
      </c>
    </row>
    <row r="18" spans="1:10" ht="10.35" customHeight="1"/>
  </sheetData>
  <sheetProtection algorithmName="SHA-512" hashValue="hJ4M8Lj2MzCc27K/hq/K7MJrBUAjSM2f3Blu5L70pjvPG0bHCRmoC8/C7aaFHt0bC3hZjyjhRuqY72rOH2VRmA==" saltValue="MsyId+Xv1oH3B4aeO2bCcA==" spinCount="100000" sheet="1" selectLockedCells="1"/>
  <mergeCells count="10">
    <mergeCell ref="C17:F17"/>
    <mergeCell ref="A1:J1"/>
    <mergeCell ref="B11:J11"/>
    <mergeCell ref="B15:J15"/>
    <mergeCell ref="M2:P2"/>
    <mergeCell ref="B5:J5"/>
    <mergeCell ref="B10:J10"/>
    <mergeCell ref="C7:F7"/>
    <mergeCell ref="C8:F8"/>
    <mergeCell ref="O7:O8"/>
  </mergeCells>
  <conditionalFormatting sqref="O5 O15">
    <cfRule type="cellIs" dxfId="53" priority="1" operator="equal">
      <formula>0</formula>
    </cfRule>
  </conditionalFormatting>
  <conditionalFormatting sqref="B11">
    <cfRule type="cellIs" dxfId="52" priority="12" operator="notEqual">
      <formula>""</formula>
    </cfRule>
  </conditionalFormatting>
  <conditionalFormatting sqref="B17:J17">
    <cfRule type="expression" dxfId="51" priority="7">
      <formula>$J$17&lt;&gt;""</formula>
    </cfRule>
    <cfRule type="expression" dxfId="50" priority="11">
      <formula>DS_ExcelCheckbox_UrbanInfill=TRUE</formula>
    </cfRule>
  </conditionalFormatting>
  <conditionalFormatting sqref="B7:J7">
    <cfRule type="expression" dxfId="49" priority="10">
      <formula>DS_ExcelCheckbox_MixedUse_Comm=TRUE</formula>
    </cfRule>
  </conditionalFormatting>
  <conditionalFormatting sqref="B8:J8">
    <cfRule type="expression" dxfId="48" priority="9">
      <formula>DS_ExcelCheckbox_MixedUse_Inst=TRUE</formula>
    </cfRule>
  </conditionalFormatting>
  <conditionalFormatting sqref="B7:J8">
    <cfRule type="expression" dxfId="47" priority="8">
      <formula>AND(DS_ExcelCheckbox_MixedUse_Comm=TRUE,DS_ExcelCheckbox_MixedUse_Inst=TRUE)</formula>
    </cfRule>
  </conditionalFormatting>
  <conditionalFormatting sqref="A13:J18">
    <cfRule type="expression" dxfId="46" priority="4">
      <formula>$O$15=0</formula>
    </cfRule>
  </conditionalFormatting>
  <conditionalFormatting sqref="A3:J12">
    <cfRule type="expression" dxfId="45" priority="3">
      <formula>$O$5=0</formula>
    </cfRule>
  </conditionalFormatting>
  <conditionalFormatting sqref="O10">
    <cfRule type="cellIs" dxfId="44" priority="6" operator="greaterThan">
      <formula>0</formula>
    </cfRule>
  </conditionalFormatting>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28575</xdr:colOff>
                    <xdr:row>6</xdr:row>
                    <xdr:rowOff>0</xdr:rowOff>
                  </from>
                  <to>
                    <xdr:col>4</xdr:col>
                    <xdr:colOff>152400</xdr:colOff>
                    <xdr:row>7</xdr:row>
                    <xdr:rowOff>9525</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28575</xdr:colOff>
                    <xdr:row>7</xdr:row>
                    <xdr:rowOff>0</xdr:rowOff>
                  </from>
                  <to>
                    <xdr:col>4</xdr:col>
                    <xdr:colOff>152400</xdr:colOff>
                    <xdr:row>8</xdr:row>
                    <xdr:rowOff>9525</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28575</xdr:colOff>
                    <xdr:row>16</xdr:row>
                    <xdr:rowOff>0</xdr:rowOff>
                  </from>
                  <to>
                    <xdr:col>4</xdr:col>
                    <xdr:colOff>152400</xdr:colOff>
                    <xdr:row>17</xdr:row>
                    <xdr:rowOff>9525</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4" stopIfTrue="1" id="{9CB8F2D9-96B7-4C81-8F2B-AC26DCE6FC40}">
            <xm:f>Data1!$E$830="Yes"</xm:f>
            <x14:dxf>
              <font>
                <color theme="0"/>
              </font>
              <fill>
                <patternFill>
                  <bgColor theme="0"/>
                </patternFill>
              </fill>
              <border>
                <left/>
                <right/>
                <top/>
                <bottom/>
              </border>
            </x14:dxf>
          </x14:cfRule>
          <xm:sqref>O3:O7 O9:O22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dimension ref="A1:AB38"/>
  <sheetViews>
    <sheetView showGridLines="0" zoomScaleNormal="100" zoomScaleSheetLayoutView="100" workbookViewId="0">
      <pane ySplit="2" topLeftCell="A3" activePane="bottomLeft" state="frozen"/>
      <selection activeCell="L364" sqref="L364:N364"/>
      <selection pane="bottomLeft" activeCell="F7" sqref="F7"/>
    </sheetView>
  </sheetViews>
  <sheetFormatPr defaultColWidth="8.85546875" defaultRowHeight="15"/>
  <cols>
    <col min="1" max="1" width="3" style="470" customWidth="1"/>
    <col min="2" max="3" width="3.5703125" style="470" customWidth="1"/>
    <col min="4" max="4" width="29.42578125" style="470" customWidth="1"/>
    <col min="5" max="8" width="15" style="470" customWidth="1"/>
    <col min="9" max="9" width="11.85546875" style="470" customWidth="1"/>
    <col min="10" max="10" width="8.7109375" style="470" customWidth="1"/>
    <col min="11" max="11" width="3.5703125" style="470" customWidth="1"/>
    <col min="12" max="13" width="3.7109375" style="470" hidden="1" customWidth="1"/>
    <col min="14" max="14" width="35.7109375" style="470" hidden="1" customWidth="1"/>
    <col min="15" max="15" width="3.5703125" style="470" hidden="1" customWidth="1"/>
    <col min="16" max="16384" width="8.85546875" style="470"/>
  </cols>
  <sheetData>
    <row r="1" spans="1:28" ht="35.85" customHeight="1" thickBot="1">
      <c r="A1" s="2979" t="s">
        <v>2885</v>
      </c>
      <c r="B1" s="2980"/>
      <c r="C1" s="2980"/>
      <c r="D1" s="2980"/>
      <c r="E1" s="2980"/>
      <c r="F1" s="2980"/>
      <c r="G1" s="2980"/>
      <c r="H1" s="2980"/>
      <c r="I1" s="2981"/>
      <c r="K1" s="2994"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"&amp;IF(Data1!G831=1,"is ","are ")&amp;TEXT(Data1!G831,"0")&amp;" required input field"&amp;IF(Data1!G831=1," that needs an entry","s that need entries")&amp;" and "&amp;TEXT(Data1!H831,"0")&amp;" optional input field"&amp;IF(Data1!H831=1," that may or may not need an entry","s that may or may not need entries")&amp;" tracked on this tab."</f>
        <v>There are 11 required input fields and 0 optional input fields tracked on this tab.
There are 0 required input fields and 0 optional input fields with entries tracked on this tab.
There are 11 required input fields that need entries and 0 optional input fields that may or may not need entries tracked on this tab.</v>
      </c>
      <c r="L1" s="2994"/>
      <c r="M1" s="2994"/>
      <c r="N1" s="2994"/>
      <c r="O1" s="2994"/>
      <c r="P1" s="2994"/>
      <c r="Q1" s="2994"/>
      <c r="R1" s="2994"/>
      <c r="S1" s="2994"/>
      <c r="T1" s="2994"/>
      <c r="U1" s="2994"/>
      <c r="V1" s="2994"/>
      <c r="W1" s="2994"/>
      <c r="X1" s="2994"/>
      <c r="Y1" s="2994"/>
      <c r="Z1" s="2994"/>
      <c r="AA1" s="2994"/>
      <c r="AB1" s="2994"/>
    </row>
    <row r="2" spans="1:28">
      <c r="K2" s="2994"/>
      <c r="L2" s="2994"/>
      <c r="M2" s="2994"/>
      <c r="N2" s="2994"/>
      <c r="O2" s="2994"/>
      <c r="P2" s="2994"/>
      <c r="Q2" s="2994"/>
      <c r="R2" s="2994"/>
      <c r="S2" s="2994"/>
      <c r="T2" s="2994"/>
      <c r="U2" s="2994"/>
      <c r="V2" s="2994"/>
      <c r="W2" s="2994"/>
      <c r="X2" s="2994"/>
      <c r="Y2" s="2994"/>
      <c r="Z2" s="2994"/>
      <c r="AA2" s="2994"/>
      <c r="AB2" s="2994"/>
    </row>
    <row r="3" spans="1:28" ht="17.45" customHeight="1">
      <c r="A3" s="477" t="s">
        <v>955</v>
      </c>
      <c r="B3" s="560" t="s">
        <v>1560</v>
      </c>
      <c r="E3" s="874" t="s">
        <v>59</v>
      </c>
      <c r="L3" s="2047">
        <f>IF(OR($N$27=0,O3=0),0,O3)</f>
        <v>1</v>
      </c>
      <c r="M3" s="952">
        <f>IF(E3&lt;&gt;"&lt;select one&gt;",L3,0)</f>
        <v>0</v>
      </c>
      <c r="N3" s="951" t="str">
        <f>CHOOSE(L3+1,"Not to be included in this RFA","A REQUIRED input field for this RFA","An OPTIONAL input field for this RFA")</f>
        <v>A REQUIRED input field for this RFA</v>
      </c>
      <c r="O3" s="2051">
        <v>1</v>
      </c>
    </row>
    <row r="4" spans="1:28" ht="14.45" customHeight="1">
      <c r="C4" s="1159" t="s">
        <v>1844</v>
      </c>
      <c r="D4" s="24"/>
      <c r="E4" s="1160" t="s">
        <v>1845</v>
      </c>
      <c r="F4" s="384"/>
      <c r="G4" s="620"/>
      <c r="H4" s="652"/>
      <c r="I4" s="652"/>
      <c r="J4" s="653"/>
      <c r="K4" s="653"/>
      <c r="L4" s="2993" t="s">
        <v>943</v>
      </c>
      <c r="M4" s="2993"/>
      <c r="N4" s="2993"/>
      <c r="O4" s="2993"/>
    </row>
    <row r="5" spans="1:28" ht="14.45" customHeight="1">
      <c r="C5" s="652"/>
      <c r="D5" s="654"/>
      <c r="E5" s="652"/>
      <c r="F5" s="652"/>
      <c r="G5" s="1221"/>
      <c r="H5" s="775"/>
      <c r="I5" s="775"/>
      <c r="J5" s="653"/>
      <c r="K5" s="653"/>
      <c r="L5" s="775" t="s">
        <v>1889</v>
      </c>
    </row>
    <row r="6" spans="1:28" ht="17.45" customHeight="1">
      <c r="A6" s="856" t="s">
        <v>1031</v>
      </c>
      <c r="B6" s="476" t="s">
        <v>1561</v>
      </c>
      <c r="C6" s="652"/>
      <c r="D6" s="652"/>
      <c r="E6" s="652"/>
      <c r="G6" s="775"/>
      <c r="H6" s="775"/>
      <c r="I6" s="775"/>
      <c r="L6" s="775" t="s">
        <v>1066</v>
      </c>
    </row>
    <row r="7" spans="1:28" ht="17.45" customHeight="1">
      <c r="B7" s="2147" t="str">
        <f>"(1)"</f>
        <v>(1)</v>
      </c>
      <c r="C7" s="560" t="s">
        <v>1562</v>
      </c>
      <c r="D7" s="560"/>
      <c r="E7" s="560"/>
      <c r="F7" s="874"/>
      <c r="G7" s="560"/>
      <c r="H7" s="560"/>
      <c r="I7" s="560"/>
      <c r="J7" s="560"/>
      <c r="K7" s="560"/>
      <c r="L7" s="929">
        <f>IF(OR($N$27=0,O7=0),0,IF(AND(L$3&lt;&gt;0,E$3="No"),3,1))</f>
        <v>1</v>
      </c>
      <c r="M7" s="952">
        <f>IF(N(F7)&gt;0,L7,0)</f>
        <v>0</v>
      </c>
      <c r="N7" s="951" t="str">
        <f>CHOOSE(L7+1,"Not to be included in this RFA","A REQUIRED input field for this RFA","An OPTIONAL input field for this RFA","Not tracked in this RFA")</f>
        <v>A REQUIRED input field for this RFA</v>
      </c>
      <c r="O7" s="953">
        <v>1</v>
      </c>
    </row>
    <row r="8" spans="1:28" ht="17.45" customHeight="1">
      <c r="B8" s="2147" t="str">
        <f>"(2)"</f>
        <v>(2)</v>
      </c>
      <c r="C8" s="560" t="s">
        <v>1563</v>
      </c>
      <c r="D8" s="560"/>
      <c r="E8" s="874"/>
      <c r="F8" s="560"/>
      <c r="G8" s="560"/>
      <c r="H8" s="560"/>
      <c r="I8" s="560"/>
      <c r="J8" s="560"/>
      <c r="K8" s="560"/>
      <c r="L8" s="929">
        <f>IF(OR($N$27=0,O8=0),0,IF(AND(L$3&lt;&gt;0,E$3="No"),3,1))</f>
        <v>1</v>
      </c>
      <c r="M8" s="952">
        <f>IF(N(E8)&gt;0,L8,0)</f>
        <v>0</v>
      </c>
      <c r="N8" s="951" t="str">
        <f t="shared" ref="N8:N13" si="0">CHOOSE(L8+1,"Not to be included in this RFA","A REQUIRED input field for this RFA","An OPTIONAL input field for this RFA","Not tracked in this RFA")</f>
        <v>A REQUIRED input field for this RFA</v>
      </c>
      <c r="O8" s="953">
        <v>1</v>
      </c>
    </row>
    <row r="9" spans="1:28" ht="14.45" customHeight="1">
      <c r="B9" s="2147" t="str">
        <f>"(3)"</f>
        <v>(3)</v>
      </c>
      <c r="C9" s="3483" t="s">
        <v>1564</v>
      </c>
      <c r="D9" s="3483"/>
      <c r="E9" s="3483"/>
      <c r="F9" s="3483"/>
      <c r="G9" s="3483"/>
      <c r="H9" s="3484" t="s">
        <v>59</v>
      </c>
      <c r="I9" s="560"/>
      <c r="J9" s="657"/>
      <c r="K9" s="657"/>
      <c r="L9" s="3071">
        <f>IF(OR($N$27=0,O9=0),0,IF(AND(L$3&lt;&gt;0,E$3="No"),3,1))</f>
        <v>1</v>
      </c>
      <c r="M9" s="3485">
        <f>IF(H9&lt;&gt;"&lt;select one&gt;",L9,0)</f>
        <v>0</v>
      </c>
      <c r="N9" s="3482" t="str">
        <f t="shared" si="0"/>
        <v>A REQUIRED input field for this RFA</v>
      </c>
      <c r="O9" s="3486">
        <v>1</v>
      </c>
    </row>
    <row r="10" spans="1:28" ht="14.45" customHeight="1">
      <c r="B10" s="656"/>
      <c r="C10" s="3483"/>
      <c r="D10" s="3483"/>
      <c r="E10" s="3483"/>
      <c r="F10" s="3483"/>
      <c r="G10" s="3483"/>
      <c r="H10" s="3484"/>
      <c r="I10" s="560"/>
      <c r="J10" s="656"/>
      <c r="K10" s="656"/>
      <c r="L10" s="3071"/>
      <c r="M10" s="3485"/>
      <c r="N10" s="3482"/>
      <c r="O10" s="3487"/>
    </row>
    <row r="11" spans="1:28" ht="17.45" customHeight="1">
      <c r="B11" s="560"/>
      <c r="C11" s="560"/>
      <c r="D11" s="560" t="s">
        <v>1565</v>
      </c>
      <c r="E11" s="560"/>
      <c r="F11" s="874"/>
      <c r="G11" s="560"/>
      <c r="H11" s="560"/>
      <c r="I11" s="560"/>
      <c r="J11" s="560"/>
      <c r="K11" s="560"/>
      <c r="L11" s="929">
        <f>IF(OR($N$27=0,O11=0),0,IF(AND(L$3&lt;&gt;0,E$3="No"),3,1))</f>
        <v>1</v>
      </c>
      <c r="M11" s="952">
        <f>IF(N(F11)&gt;0,L11,0)</f>
        <v>0</v>
      </c>
      <c r="N11" s="951" t="str">
        <f t="shared" si="0"/>
        <v>A REQUIRED input field for this RFA</v>
      </c>
      <c r="O11" s="953">
        <v>1</v>
      </c>
    </row>
    <row r="12" spans="1:28" ht="17.45" customHeight="1">
      <c r="B12" s="2147" t="str">
        <f>"(4)"</f>
        <v>(4)</v>
      </c>
      <c r="C12" s="560" t="s">
        <v>1566</v>
      </c>
      <c r="D12" s="560"/>
      <c r="E12" s="560"/>
      <c r="F12" s="560"/>
      <c r="G12" s="874" t="s">
        <v>59</v>
      </c>
      <c r="I12" s="560"/>
      <c r="J12" s="560"/>
      <c r="K12" s="560"/>
      <c r="L12" s="929">
        <f>IF(OR($N$27=0,O12=0),0,IF(AND(L$3&lt;&gt;0,E$3="No"),3,1))</f>
        <v>1</v>
      </c>
      <c r="M12" s="952">
        <f>IF(G12&lt;&gt;"&lt;select one&gt;",L12,0)</f>
        <v>0</v>
      </c>
      <c r="N12" s="951" t="str">
        <f t="shared" si="0"/>
        <v>A REQUIRED input field for this RFA</v>
      </c>
      <c r="O12" s="953">
        <v>1</v>
      </c>
    </row>
    <row r="13" spans="1:28" ht="17.45" customHeight="1">
      <c r="B13" s="560"/>
      <c r="D13" s="560" t="s">
        <v>1567</v>
      </c>
      <c r="E13" s="560"/>
      <c r="F13" s="560"/>
      <c r="G13" s="874"/>
      <c r="H13" s="560"/>
      <c r="I13" s="560"/>
      <c r="J13" s="560"/>
      <c r="K13" s="560"/>
      <c r="L13" s="929">
        <f>IF(OR($N$27=0,O13=0),0,IF(AND(L$3&lt;&gt;0,E$3="No"),3,1))</f>
        <v>1</v>
      </c>
      <c r="M13" s="952">
        <f>IF(N(G13)&gt;0,L13,0)</f>
        <v>0</v>
      </c>
      <c r="N13" s="951" t="str">
        <f t="shared" si="0"/>
        <v>A REQUIRED input field for this RFA</v>
      </c>
      <c r="O13" s="953">
        <v>1</v>
      </c>
    </row>
    <row r="14" spans="1:28" ht="14.45" customHeight="1">
      <c r="B14" s="560"/>
      <c r="C14" s="560"/>
      <c r="D14" s="560"/>
      <c r="E14" s="560"/>
      <c r="F14" s="560"/>
      <c r="G14" s="560"/>
      <c r="H14" s="560"/>
      <c r="I14" s="560"/>
      <c r="J14" s="560"/>
      <c r="K14" s="560"/>
    </row>
    <row r="15" spans="1:28" ht="17.45" customHeight="1">
      <c r="A15" s="477" t="s">
        <v>1178</v>
      </c>
      <c r="B15" s="655" t="s">
        <v>1568</v>
      </c>
      <c r="C15" s="560"/>
      <c r="D15" s="560"/>
      <c r="E15" s="560"/>
      <c r="F15" s="560"/>
      <c r="G15" s="560"/>
      <c r="H15" s="560"/>
      <c r="I15" s="560"/>
      <c r="J15" s="560"/>
      <c r="K15" s="560"/>
    </row>
    <row r="16" spans="1:28" ht="17.45" customHeight="1">
      <c r="B16" s="560" t="s">
        <v>1569</v>
      </c>
      <c r="C16" s="560"/>
      <c r="D16" s="560"/>
      <c r="E16" s="560"/>
      <c r="F16" s="874" t="s">
        <v>59</v>
      </c>
      <c r="G16" s="560"/>
      <c r="I16" s="3481" t="str">
        <f>IF(F16="Yes","(Questions (2) through (4) can be skipped based on the response in "&amp;RIGHT(LEFT(A1,FIND(".A.",A1)+4),2)&amp;".c.(1))","")</f>
        <v/>
      </c>
      <c r="J16" s="560"/>
      <c r="K16" s="560"/>
      <c r="L16" s="2047">
        <f>IF(OR($N$27=0,O16=0),0,O16)</f>
        <v>1</v>
      </c>
      <c r="M16" s="952">
        <f>IF(F16&lt;&gt;"&lt;select one&gt;",L16,0)</f>
        <v>0</v>
      </c>
      <c r="N16" s="951" t="str">
        <f>CHOOSE(L16+1,"Not to be included in this RFA","A REQUIRED input field for this RFA","An OPTIONAL input field for this RFA","Not tracked in this RFA")</f>
        <v>A REQUIRED input field for this RFA</v>
      </c>
      <c r="O16" s="953">
        <v>1</v>
      </c>
    </row>
    <row r="17" spans="2:15" ht="14.45" customHeight="1">
      <c r="B17" s="560"/>
      <c r="D17" s="560" t="s">
        <v>1570</v>
      </c>
      <c r="E17" s="560"/>
      <c r="F17" s="560"/>
      <c r="G17" s="560"/>
      <c r="H17" s="560"/>
      <c r="I17" s="3481"/>
      <c r="J17" s="560"/>
      <c r="K17" s="560"/>
    </row>
    <row r="18" spans="2:15" ht="14.45" customHeight="1">
      <c r="B18" s="560"/>
      <c r="D18" s="560" t="s">
        <v>1571</v>
      </c>
      <c r="E18" s="560"/>
      <c r="F18" s="560"/>
      <c r="G18" s="560"/>
      <c r="H18" s="560"/>
      <c r="I18" s="3481"/>
      <c r="J18" s="560"/>
      <c r="K18" s="560"/>
    </row>
    <row r="19" spans="2:15" ht="17.45" customHeight="1">
      <c r="B19" s="560" t="s">
        <v>1572</v>
      </c>
      <c r="C19" s="560"/>
      <c r="D19" s="560"/>
      <c r="E19" s="560"/>
      <c r="F19" s="874" t="s">
        <v>59</v>
      </c>
      <c r="H19" s="3481" t="str">
        <f>IF(F19="Yes","(Questions (3) and (4) can be skipped based on the response in "&amp;RIGHT(LEFT(A1,FIND(".A.",A1)+4),2)&amp;".c.(2))","")</f>
        <v/>
      </c>
      <c r="I19" s="3481"/>
      <c r="J19" s="560"/>
      <c r="K19" s="560"/>
      <c r="L19" s="929">
        <f>IF(OR($N$27=0,O19=0),0,IF(F$16="Yes",3,O19))</f>
        <v>1</v>
      </c>
      <c r="M19" s="952">
        <f>IF(F19&lt;&gt;"&lt;select one&gt;",L19,0)</f>
        <v>0</v>
      </c>
      <c r="N19" s="951" t="str">
        <f>CHOOSE(L19+1,"Not to be included in this RFA","A REQUIRED input field for this RFA","An OPTIONAL input field for this RFA","Not tracked in this RFA")</f>
        <v>A REQUIRED input field for this RFA</v>
      </c>
      <c r="O19" s="953">
        <v>1</v>
      </c>
    </row>
    <row r="20" spans="2:15">
      <c r="B20" s="560"/>
      <c r="D20" s="560" t="s">
        <v>1573</v>
      </c>
      <c r="E20" s="560"/>
      <c r="F20" s="560"/>
      <c r="G20" s="3481" t="str">
        <f>IF(F22="No","(Question (4) can be skipped based on the response in "&amp;RIGHT(LEFT(A1,FIND(".A.",A1)+4),2)&amp;".c.(3))","")</f>
        <v/>
      </c>
      <c r="H20" s="3481"/>
      <c r="I20" s="3481"/>
      <c r="J20" s="560"/>
      <c r="K20" s="560"/>
    </row>
    <row r="21" spans="2:15">
      <c r="B21" s="560"/>
      <c r="D21" s="560" t="s">
        <v>1574</v>
      </c>
      <c r="E21" s="560"/>
      <c r="F21" s="560"/>
      <c r="G21" s="3481"/>
      <c r="H21" s="3481"/>
      <c r="I21" s="3481"/>
      <c r="J21" s="560"/>
      <c r="K21" s="560"/>
    </row>
    <row r="22" spans="2:15" ht="17.45" customHeight="1">
      <c r="B22" s="560" t="s">
        <v>1575</v>
      </c>
      <c r="C22" s="560"/>
      <c r="D22" s="560"/>
      <c r="E22" s="560"/>
      <c r="F22" s="874" t="s">
        <v>59</v>
      </c>
      <c r="G22" s="3481"/>
      <c r="H22" s="3481"/>
      <c r="I22" s="3481"/>
      <c r="J22" s="560"/>
      <c r="K22" s="560"/>
      <c r="L22" s="929">
        <f>IF(OR($N$27=0,O22=0),0,IF(OR(F$16="Yes",F$19="Yes"),3,O22))</f>
        <v>1</v>
      </c>
      <c r="M22" s="952">
        <f>IF(F22&lt;&gt;"&lt;select one&gt;",L22,0)</f>
        <v>0</v>
      </c>
      <c r="N22" s="951" t="str">
        <f>CHOOSE(L22+1,"Not to be included in this RFA","A REQUIRED input field for this RFA","An OPTIONAL input field for this RFA","Not tracked in this RFA")</f>
        <v>A REQUIRED input field for this RFA</v>
      </c>
      <c r="O22" s="953">
        <v>1</v>
      </c>
    </row>
    <row r="23" spans="2:15" ht="14.45" customHeight="1">
      <c r="B23" s="560"/>
      <c r="D23" s="560" t="s">
        <v>1576</v>
      </c>
      <c r="E23" s="560"/>
      <c r="F23" s="560"/>
      <c r="G23" s="3481"/>
      <c r="H23" s="3481"/>
      <c r="I23" s="3481"/>
      <c r="J23" s="560"/>
      <c r="K23" s="560"/>
    </row>
    <row r="24" spans="2:15" ht="14.45" customHeight="1">
      <c r="B24" s="560"/>
      <c r="D24" s="560" t="s">
        <v>1577</v>
      </c>
      <c r="E24" s="560"/>
      <c r="F24" s="560"/>
      <c r="G24" s="3481"/>
      <c r="H24" s="3481"/>
      <c r="I24" s="3481"/>
      <c r="J24" s="560"/>
      <c r="K24" s="560"/>
    </row>
    <row r="25" spans="2:15" ht="17.45" customHeight="1">
      <c r="B25" s="560" t="s">
        <v>1578</v>
      </c>
      <c r="C25" s="560"/>
      <c r="D25" s="560"/>
      <c r="E25" s="560"/>
      <c r="F25" s="874" t="s">
        <v>59</v>
      </c>
      <c r="G25" s="3481"/>
      <c r="H25" s="3481"/>
      <c r="I25" s="3481"/>
      <c r="J25" s="560"/>
      <c r="K25" s="560"/>
      <c r="L25" s="929">
        <f>IF(OR($N$27=0,O25=0),0,IF(OR(F$16="Yes",F$19="Yes",F$22="No"),3,O25))</f>
        <v>1</v>
      </c>
      <c r="M25" s="952">
        <f>IF(F25&lt;&gt;"&lt;select one&gt;",L25,0)</f>
        <v>0</v>
      </c>
      <c r="N25" s="951" t="str">
        <f>CHOOSE(L25+1,"Not to be included in this RFA","A REQUIRED input field for this RFA","An OPTIONAL input field for this RFA","Not tracked in this RFA")</f>
        <v>A REQUIRED input field for this RFA</v>
      </c>
      <c r="O25" s="953">
        <v>1</v>
      </c>
    </row>
    <row r="26" spans="2:15" ht="14.45" customHeight="1">
      <c r="B26" s="560"/>
      <c r="D26" s="620"/>
      <c r="E26" s="560"/>
      <c r="F26" s="560"/>
      <c r="J26" s="560"/>
      <c r="K26" s="560"/>
    </row>
    <row r="27" spans="2:15" ht="14.45" customHeight="1">
      <c r="B27" s="560"/>
      <c r="D27" s="620"/>
      <c r="E27" s="560"/>
      <c r="F27" s="560"/>
      <c r="J27" s="560"/>
      <c r="K27" s="560"/>
      <c r="N27" s="3089">
        <v>1</v>
      </c>
    </row>
    <row r="28" spans="2:15" ht="15.6" customHeight="1">
      <c r="N28" s="3090"/>
    </row>
    <row r="29" spans="2:15" ht="15.6" customHeight="1">
      <c r="N29" s="3090"/>
    </row>
    <row r="30" spans="2:15" ht="15.6" customHeight="1">
      <c r="N30" s="3091"/>
    </row>
    <row r="31" spans="2:15" ht="15.6" customHeight="1"/>
    <row r="32" spans="2:15" ht="15.6" customHeight="1"/>
    <row r="33" ht="15.6" customHeight="1"/>
    <row r="34" ht="15.6" customHeight="1"/>
    <row r="35" ht="15.6" customHeight="1"/>
    <row r="36" ht="15.6" customHeight="1"/>
    <row r="37" ht="15.6" customHeight="1"/>
    <row r="38" ht="15.6" customHeight="1"/>
  </sheetData>
  <sheetProtection algorithmName="SHA-512" hashValue="ukLxF9Ny9o4gsmUY/Tda2HJNFbEOKx3atjtnkbdKLfgnTZt7ZBReMXAnkAOYoY2aE09MmZcTw2FaJlUIsR/Zwg==" saltValue="yy+A8TPA4gwaJiMDPyOakg==" spinCount="100000" sheet="1" formatRows="0" selectLockedCells="1"/>
  <mergeCells count="13">
    <mergeCell ref="A1:I1"/>
    <mergeCell ref="C9:G10"/>
    <mergeCell ref="H9:H10"/>
    <mergeCell ref="K1:AB2"/>
    <mergeCell ref="L4:O4"/>
    <mergeCell ref="L9:L10"/>
    <mergeCell ref="M9:M10"/>
    <mergeCell ref="O9:O10"/>
    <mergeCell ref="N27:N30"/>
    <mergeCell ref="H19:H25"/>
    <mergeCell ref="I16:I25"/>
    <mergeCell ref="G20:G25"/>
    <mergeCell ref="N9:N10"/>
  </mergeCells>
  <conditionalFormatting sqref="F7 E8 F11 G13">
    <cfRule type="cellIs" dxfId="42" priority="12" operator="notEqual">
      <formula>""</formula>
    </cfRule>
  </conditionalFormatting>
  <conditionalFormatting sqref="E3 H9 G12 F16 F19 F22 F25">
    <cfRule type="cellIs" dxfId="41" priority="6" operator="notEqual">
      <formula>"&lt;select one&gt;"</formula>
    </cfRule>
  </conditionalFormatting>
  <conditionalFormatting sqref="D11:F11">
    <cfRule type="expression" dxfId="40" priority="13">
      <formula>$H$9&lt;&gt;"Yes"</formula>
    </cfRule>
  </conditionalFormatting>
  <conditionalFormatting sqref="A6:E6 B7:H13">
    <cfRule type="expression" dxfId="39" priority="11">
      <formula>$E$3="No"</formula>
    </cfRule>
  </conditionalFormatting>
  <conditionalFormatting sqref="D13:F13">
    <cfRule type="expression" dxfId="38" priority="16">
      <formula>$G$12&lt;&gt;"Yes"</formula>
    </cfRule>
  </conditionalFormatting>
  <conditionalFormatting sqref="B19:F25">
    <cfRule type="expression" dxfId="37" priority="23">
      <formula>$F$16="Yes"</formula>
    </cfRule>
  </conditionalFormatting>
  <conditionalFormatting sqref="B22:F25">
    <cfRule type="expression" dxfId="36" priority="32">
      <formula>$F$19="Yes"</formula>
    </cfRule>
  </conditionalFormatting>
  <conditionalFormatting sqref="B25:F25">
    <cfRule type="expression" dxfId="35" priority="37">
      <formula>$F$22="No"</formula>
    </cfRule>
  </conditionalFormatting>
  <conditionalFormatting sqref="F19 F22 F25">
    <cfRule type="expression" dxfId="34" priority="25">
      <formula>$F$16="Yes"</formula>
    </cfRule>
  </conditionalFormatting>
  <conditionalFormatting sqref="F22 F25">
    <cfRule type="expression" dxfId="33" priority="34">
      <formula>$F$19="Yes"</formula>
    </cfRule>
  </conditionalFormatting>
  <conditionalFormatting sqref="F25">
    <cfRule type="expression" dxfId="32" priority="40">
      <formula>$F$22="No"</formula>
    </cfRule>
  </conditionalFormatting>
  <conditionalFormatting sqref="D17:E17 D20:E20 D23:E23">
    <cfRule type="expression" dxfId="31" priority="20">
      <formula>$F16="No"</formula>
    </cfRule>
  </conditionalFormatting>
  <conditionalFormatting sqref="D18:E18 D21:E21 D24:E24">
    <cfRule type="expression" dxfId="30" priority="22">
      <formula>$F16="Yes"</formula>
    </cfRule>
  </conditionalFormatting>
  <conditionalFormatting sqref="D17:E18">
    <cfRule type="expression" dxfId="29" priority="21">
      <formula>$F$16="&lt;select one&gt;"</formula>
    </cfRule>
  </conditionalFormatting>
  <conditionalFormatting sqref="D20:E21">
    <cfRule type="expression" dxfId="28" priority="31">
      <formula>$F$19="&lt;select one&gt;"</formula>
    </cfRule>
  </conditionalFormatting>
  <conditionalFormatting sqref="D23:E24">
    <cfRule type="expression" dxfId="27" priority="36">
      <formula>$F$22="&lt;select one&gt;"</formula>
    </cfRule>
  </conditionalFormatting>
  <conditionalFormatting sqref="E3 H9:H10 G12 F16 F19 F22 F25">
    <cfRule type="cellIs" dxfId="26" priority="5" operator="equal">
      <formula>""</formula>
    </cfRule>
  </conditionalFormatting>
  <conditionalFormatting sqref="C4">
    <cfRule type="expression" dxfId="25" priority="9">
      <formula>$E$3="Yes"</formula>
    </cfRule>
  </conditionalFormatting>
  <conditionalFormatting sqref="E4">
    <cfRule type="expression" dxfId="24" priority="10">
      <formula>$E$3="No"</formula>
    </cfRule>
  </conditionalFormatting>
  <conditionalFormatting sqref="F7 E8 H9:H10 F11 G12:G13">
    <cfRule type="expression" dxfId="23" priority="4">
      <formula>$E$3="No"</formula>
    </cfRule>
  </conditionalFormatting>
  <conditionalFormatting sqref="F11">
    <cfRule type="expression" dxfId="22" priority="15">
      <formula>perm_relocation&lt;&gt;"Yes"</formula>
    </cfRule>
  </conditionalFormatting>
  <conditionalFormatting sqref="G13">
    <cfRule type="expression" dxfId="21" priority="18">
      <formula>temp_relocated&lt;&gt;"Yes"</formula>
    </cfRule>
  </conditionalFormatting>
  <conditionalFormatting sqref="N27:N30">
    <cfRule type="cellIs" dxfId="20" priority="3" operator="greaterThan">
      <formula>0</formula>
    </cfRule>
  </conditionalFormatting>
  <dataValidations count="3">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25 L11:L13 O11:O13 L16 L19 O25 L22 O22 O7:O9 O16 O19 L7:L9 L3 O3" xr:uid="{C6D8E21C-6BF1-45D9-9BAC-1201D4305558}">
      <formula1>AND(L3&gt;=0,L3&lt;3,L3=ROUND(L3,0))</formula1>
    </dataValidation>
  </dataValidations>
  <pageMargins left="0.7" right="0.7" top="0.75" bottom="0.75" header="0.3" footer="0.3"/>
  <pageSetup scale="8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32" stopIfTrue="1" id="{4611CA64-E016-43A1-A028-E3665D3E3FE4}">
            <xm:f>Data1!$E$831="Yes"</xm:f>
            <x14:dxf>
              <font>
                <color theme="0"/>
              </font>
              <fill>
                <patternFill>
                  <bgColor theme="0"/>
                </patternFill>
              </fill>
              <border>
                <left/>
                <right/>
                <top/>
                <bottom/>
                <vertical/>
                <horizontal/>
              </border>
            </x14:dxf>
          </x14:cfRule>
          <xm:sqref>L3:O3 L5:O31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Normal="100" workbookViewId="0">
      <selection activeCell="A8" sqref="A8:J9"/>
    </sheetView>
  </sheetViews>
  <sheetFormatPr defaultColWidth="8.5703125" defaultRowHeight="15"/>
  <cols>
    <col min="1" max="1" width="3" customWidth="1"/>
    <col min="2" max="3" width="3.5703125" customWidth="1"/>
    <col min="4" max="4" width="4.42578125" customWidth="1"/>
    <col min="5" max="8" width="16.42578125" customWidth="1"/>
    <col min="9" max="9" width="15.7109375" customWidth="1"/>
    <col min="10" max="10" width="15.42578125" customWidth="1"/>
    <col min="11" max="11" width="8.7109375" customWidth="1"/>
  </cols>
  <sheetData>
    <row r="1" spans="1:10" ht="35.85" customHeight="1" thickBot="1">
      <c r="A1" s="2979" t="s">
        <v>1596</v>
      </c>
      <c r="B1" s="2980"/>
      <c r="C1" s="2980"/>
      <c r="D1" s="2980"/>
      <c r="E1" s="2980"/>
      <c r="F1" s="2980"/>
      <c r="G1" s="2980"/>
      <c r="H1" s="2980"/>
      <c r="I1" s="2980"/>
      <c r="J1" s="2981"/>
    </row>
    <row r="2" spans="1:10" ht="14.45" customHeight="1"/>
    <row r="3" spans="1:10" ht="65.099999999999994" customHeight="1">
      <c r="A3" s="2943" t="s">
        <v>2171</v>
      </c>
      <c r="B3" s="2943"/>
      <c r="C3" s="2943"/>
      <c r="D3" s="2943"/>
      <c r="E3" s="2943"/>
      <c r="F3" s="2943"/>
      <c r="G3" s="2943"/>
      <c r="H3" s="2943"/>
      <c r="I3" s="2943"/>
      <c r="J3" s="2943"/>
    </row>
    <row r="4" spans="1:10" ht="17.45" customHeight="1">
      <c r="A4" s="265" t="s">
        <v>1597</v>
      </c>
      <c r="B4" s="17" t="s">
        <v>1598</v>
      </c>
      <c r="C4" s="902"/>
      <c r="D4" s="902"/>
      <c r="E4" s="902"/>
      <c r="F4" s="902"/>
      <c r="G4" s="902"/>
      <c r="H4" s="902"/>
      <c r="I4" s="902"/>
      <c r="J4" s="902"/>
    </row>
    <row r="5" spans="1:10" ht="17.45" customHeight="1">
      <c r="A5" s="265" t="s">
        <v>1597</v>
      </c>
      <c r="B5" s="17" t="s">
        <v>1599</v>
      </c>
      <c r="C5" s="902"/>
      <c r="D5" s="902"/>
      <c r="E5" s="902"/>
      <c r="F5" s="902"/>
      <c r="G5" s="902"/>
      <c r="H5" s="902"/>
      <c r="I5" s="902"/>
      <c r="J5" s="902"/>
    </row>
    <row r="6" spans="1:10" ht="35.1" customHeight="1">
      <c r="A6" s="265" t="s">
        <v>1597</v>
      </c>
      <c r="B6" s="2943" t="s">
        <v>1600</v>
      </c>
      <c r="C6" s="2943"/>
      <c r="D6" s="2943"/>
      <c r="E6" s="2943"/>
      <c r="F6" s="2943"/>
      <c r="G6" s="2943"/>
      <c r="H6" s="2943"/>
      <c r="I6" s="2943"/>
      <c r="J6" s="2943"/>
    </row>
    <row r="7" spans="1:10" ht="10.35" customHeight="1">
      <c r="A7" s="902"/>
      <c r="B7" s="902"/>
      <c r="C7" s="902"/>
      <c r="D7" s="902"/>
      <c r="E7" s="902"/>
      <c r="F7" s="902"/>
      <c r="G7" s="902"/>
      <c r="H7" s="902"/>
      <c r="I7" s="902"/>
      <c r="J7" s="902"/>
    </row>
    <row r="8" spans="1:10">
      <c r="A8" s="3489"/>
      <c r="B8" s="3489"/>
      <c r="C8" s="3489"/>
      <c r="D8" s="3489"/>
      <c r="E8" s="3489"/>
      <c r="F8" s="3489"/>
      <c r="G8" s="3489"/>
      <c r="H8" s="3489"/>
      <c r="I8" s="3489"/>
      <c r="J8" s="3489"/>
    </row>
    <row r="9" spans="1:10">
      <c r="A9" s="3490"/>
      <c r="B9" s="3490"/>
      <c r="C9" s="3490"/>
      <c r="D9" s="3490"/>
      <c r="E9" s="3490"/>
      <c r="F9" s="3490"/>
      <c r="G9" s="3490"/>
      <c r="H9" s="3490"/>
      <c r="I9" s="3490"/>
      <c r="J9" s="3490"/>
    </row>
    <row r="10" spans="1:10" ht="10.35" customHeight="1" thickBot="1">
      <c r="A10" s="37"/>
      <c r="B10" s="37"/>
      <c r="C10" s="37"/>
      <c r="D10" s="37"/>
      <c r="E10" s="37"/>
    </row>
    <row r="11" spans="1:10" ht="35.85" customHeight="1" thickBot="1">
      <c r="A11" s="2979" t="s">
        <v>1601</v>
      </c>
      <c r="B11" s="2980"/>
      <c r="C11" s="2980"/>
      <c r="D11" s="2980"/>
      <c r="E11" s="2980"/>
      <c r="F11" s="2980"/>
      <c r="G11" s="2980"/>
      <c r="H11" s="2980"/>
      <c r="I11" s="2980"/>
      <c r="J11" s="2981"/>
    </row>
    <row r="12" spans="1:10" ht="14.45" customHeight="1">
      <c r="A12" s="915"/>
      <c r="B12" s="915"/>
      <c r="C12" s="915"/>
      <c r="D12" s="915"/>
      <c r="E12" s="915"/>
      <c r="F12" s="915"/>
      <c r="G12" s="915"/>
      <c r="H12" s="915"/>
      <c r="I12" s="915"/>
      <c r="J12" s="915"/>
    </row>
    <row r="13" spans="1:10" ht="14.45" customHeight="1">
      <c r="A13" s="941" t="s">
        <v>1602</v>
      </c>
      <c r="B13" s="915"/>
      <c r="C13" s="915"/>
      <c r="D13" s="915"/>
      <c r="E13" s="915"/>
      <c r="F13" s="915"/>
      <c r="G13" s="915"/>
      <c r="H13" s="915"/>
      <c r="I13" s="915"/>
      <c r="J13" s="915"/>
    </row>
    <row r="14" spans="1:10" ht="10.35" customHeight="1" thickBot="1"/>
    <row r="15" spans="1:10" ht="35.85" customHeight="1" thickBot="1">
      <c r="A15" s="2979" t="s">
        <v>1603</v>
      </c>
      <c r="B15" s="2980"/>
      <c r="C15" s="2980"/>
      <c r="D15" s="2980"/>
      <c r="E15" s="2980"/>
      <c r="F15" s="2980"/>
      <c r="G15" s="2980"/>
      <c r="H15" s="2980"/>
      <c r="I15" s="2980"/>
      <c r="J15" s="2981"/>
    </row>
    <row r="16" spans="1:10" ht="14.45" customHeight="1"/>
    <row r="17" spans="1:10" ht="45" customHeight="1">
      <c r="A17" s="2943" t="s">
        <v>1604</v>
      </c>
      <c r="B17" s="2943"/>
      <c r="C17" s="2943"/>
      <c r="D17" s="2943"/>
      <c r="E17" s="2943"/>
      <c r="F17" s="2943"/>
      <c r="G17" s="2943"/>
      <c r="H17" s="2943"/>
      <c r="I17" s="2943"/>
      <c r="J17" s="2943"/>
    </row>
    <row r="18" spans="1:10" ht="249.95" customHeight="1">
      <c r="A18" s="3488"/>
      <c r="B18" s="3488"/>
      <c r="C18" s="3488"/>
      <c r="D18" s="3488"/>
      <c r="E18" s="3488"/>
      <c r="F18" s="3488"/>
      <c r="G18" s="3488"/>
      <c r="H18" s="3488"/>
      <c r="I18" s="3488"/>
      <c r="J18" s="3488"/>
    </row>
    <row r="19" spans="1:10" ht="408.95" customHeight="1">
      <c r="A19" s="3488"/>
      <c r="B19" s="3488"/>
      <c r="C19" s="3488"/>
      <c r="D19" s="3488"/>
      <c r="E19" s="3488"/>
      <c r="F19" s="3488"/>
      <c r="G19" s="3488"/>
      <c r="H19" s="3488"/>
      <c r="I19" s="3488"/>
      <c r="J19" s="3488"/>
    </row>
  </sheetData>
  <sheetProtection algorithmName="SHA-512" hashValue="Gvrr0IAH4M/YsDXxxSGXhziDqsM8/ycxFlelGf2axkgDjz189AmiaG0O2pI/n/+pn27osm//B/ZKxpAhfe2kzA==" saltValue="GIW99qhE7VtPKu+nlntRjQ==" spinCount="100000" sheet="1" formatRows="0"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18" priority="3" operator="notEqual">
      <formula>""</formula>
    </cfRule>
  </conditionalFormatting>
  <conditionalFormatting sqref="A19:J19">
    <cfRule type="expression" dxfId="17" priority="4">
      <formula>$A$18&lt;&gt;""</formula>
    </cfRule>
  </conditionalFormatting>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8"/>
  <sheetViews>
    <sheetView showGridLines="0" zoomScale="90" zoomScaleNormal="90" zoomScaleSheetLayoutView="90" workbookViewId="0">
      <pane ySplit="2" topLeftCell="A17" activePane="bottomLeft" state="frozen"/>
      <selection activeCell="L364" sqref="L364:N364"/>
      <selection pane="bottomLeft" activeCell="K43" sqref="K43:M43"/>
    </sheetView>
  </sheetViews>
  <sheetFormatPr defaultColWidth="8.5703125" defaultRowHeight="15"/>
  <cols>
    <col min="1" max="1" width="3.5703125" style="4" customWidth="1"/>
    <col min="2" max="3" width="3.5703125" customWidth="1"/>
    <col min="4" max="4" width="4.42578125" customWidth="1"/>
    <col min="12" max="12" width="8.42578125" customWidth="1"/>
    <col min="13" max="13" width="27.85546875" customWidth="1"/>
    <col min="14" max="14" width="8.7109375" customWidth="1"/>
    <col min="15" max="15" width="3.5703125" customWidth="1"/>
    <col min="16" max="16" width="35.7109375" hidden="1" customWidth="1"/>
    <col min="17" max="17" width="3.5703125" hidden="1" customWidth="1"/>
    <col min="18" max="18" width="14.7109375" hidden="1" customWidth="1"/>
  </cols>
  <sheetData>
    <row r="1" spans="1:18" ht="35.85" customHeight="1" thickBot="1">
      <c r="A1" s="3491" t="s">
        <v>1605</v>
      </c>
      <c r="B1" s="3492"/>
      <c r="C1" s="3492"/>
      <c r="D1" s="3492"/>
      <c r="E1" s="3492"/>
      <c r="F1" s="3492"/>
      <c r="G1" s="3492"/>
      <c r="H1" s="3492"/>
      <c r="I1" s="3492"/>
      <c r="J1" s="3492"/>
      <c r="K1" s="3492"/>
      <c r="L1" s="3492"/>
      <c r="M1" s="3493"/>
    </row>
    <row r="2" spans="1:18" ht="14.45" customHeight="1">
      <c r="P2" s="2993" t="s">
        <v>943</v>
      </c>
      <c r="Q2" s="2993"/>
      <c r="R2" s="2993"/>
    </row>
    <row r="3" spans="1:18" ht="14.45" customHeight="1">
      <c r="A3" s="3494" t="s">
        <v>1606</v>
      </c>
      <c r="B3" s="3494"/>
      <c r="C3" s="3494"/>
      <c r="D3" s="3494"/>
      <c r="E3" s="3494"/>
      <c r="F3" s="3494"/>
      <c r="G3" s="3494"/>
      <c r="H3" s="3494"/>
      <c r="I3" s="3494"/>
      <c r="J3" s="3494"/>
      <c r="K3" s="3494"/>
      <c r="L3" s="3494"/>
      <c r="M3" s="3494"/>
      <c r="R3" s="106" t="s">
        <v>764</v>
      </c>
    </row>
    <row r="4" spans="1:18" ht="10.35" customHeight="1">
      <c r="B4" s="941"/>
      <c r="C4" s="941"/>
      <c r="D4" s="941"/>
      <c r="E4" s="941"/>
      <c r="F4" s="941"/>
      <c r="G4" s="941"/>
      <c r="H4" s="941"/>
      <c r="I4" s="941"/>
      <c r="J4" s="941"/>
      <c r="K4" s="941"/>
      <c r="L4" s="941"/>
      <c r="M4" s="941"/>
    </row>
    <row r="5" spans="1:18" ht="80.099999999999994" customHeight="1">
      <c r="A5" s="824">
        <f>IF($P5=0,"",MAX(A$4:A4)+1)</f>
        <v>1</v>
      </c>
      <c r="B5" s="2943" t="s">
        <v>2879</v>
      </c>
      <c r="C5" s="2943"/>
      <c r="D5" s="2943"/>
      <c r="E5" s="2943"/>
      <c r="F5" s="2943"/>
      <c r="G5" s="2943"/>
      <c r="H5" s="2943"/>
      <c r="I5" s="2943"/>
      <c r="J5" s="2943"/>
      <c r="K5" s="2943"/>
      <c r="L5" s="2943"/>
      <c r="M5" s="2943"/>
      <c r="N5" s="1"/>
      <c r="P5" s="826">
        <v>1</v>
      </c>
      <c r="R5" s="2207"/>
    </row>
    <row r="6" spans="1:18" ht="35.1" customHeight="1">
      <c r="A6" s="824">
        <f>IF($P6=0,"",MAX(A$4:A5)+1)</f>
        <v>2</v>
      </c>
      <c r="B6" s="2943" t="s">
        <v>2880</v>
      </c>
      <c r="C6" s="2943"/>
      <c r="D6" s="2943"/>
      <c r="E6" s="2943"/>
      <c r="F6" s="2943"/>
      <c r="G6" s="2943"/>
      <c r="H6" s="2943"/>
      <c r="I6" s="2943"/>
      <c r="J6" s="2943"/>
      <c r="K6" s="2943"/>
      <c r="L6" s="2943"/>
      <c r="M6" s="2943"/>
      <c r="P6" s="826">
        <v>1</v>
      </c>
      <c r="R6" s="2208"/>
    </row>
    <row r="7" spans="1:18" ht="35.1" customHeight="1">
      <c r="A7" s="824">
        <f>IF($P7=0,"",MAX(A$4:A6)+1)</f>
        <v>3</v>
      </c>
      <c r="B7" s="2943" t="s">
        <v>1607</v>
      </c>
      <c r="C7" s="2943"/>
      <c r="D7" s="2943"/>
      <c r="E7" s="2943"/>
      <c r="F7" s="2943"/>
      <c r="G7" s="2943"/>
      <c r="H7" s="2943"/>
      <c r="I7" s="2943"/>
      <c r="J7" s="2943"/>
      <c r="K7" s="2943"/>
      <c r="L7" s="2943"/>
      <c r="M7" s="2943"/>
      <c r="P7" s="826">
        <v>1</v>
      </c>
      <c r="R7" s="2208"/>
    </row>
    <row r="8" spans="1:18" ht="50.1" customHeight="1">
      <c r="A8" s="824">
        <f>IF($P8=0,"",MAX(A$4:A7)+1)</f>
        <v>4</v>
      </c>
      <c r="B8" s="2943" t="s">
        <v>1608</v>
      </c>
      <c r="C8" s="2943"/>
      <c r="D8" s="2943"/>
      <c r="E8" s="2943"/>
      <c r="F8" s="2943"/>
      <c r="G8" s="2943"/>
      <c r="H8" s="2943"/>
      <c r="I8" s="2943"/>
      <c r="J8" s="2943"/>
      <c r="K8" s="2943"/>
      <c r="L8" s="2943"/>
      <c r="M8" s="2943"/>
      <c r="P8" s="826">
        <v>1</v>
      </c>
      <c r="R8" s="2208"/>
    </row>
    <row r="9" spans="1:18" ht="95.1" customHeight="1">
      <c r="A9" s="824">
        <f>IF($P9=0,"",MAX(A$4:A8)+1)</f>
        <v>5</v>
      </c>
      <c r="B9" s="2943" t="s">
        <v>1609</v>
      </c>
      <c r="C9" s="2943"/>
      <c r="D9" s="2943"/>
      <c r="E9" s="2943"/>
      <c r="F9" s="2943"/>
      <c r="G9" s="2943"/>
      <c r="H9" s="2943"/>
      <c r="I9" s="2943"/>
      <c r="J9" s="2943"/>
      <c r="K9" s="2943"/>
      <c r="L9" s="2943"/>
      <c r="M9" s="2943"/>
      <c r="P9" s="826">
        <v>1</v>
      </c>
      <c r="R9" s="2208"/>
    </row>
    <row r="10" spans="1:18" ht="65.099999999999994" customHeight="1">
      <c r="A10" s="824">
        <f>IF($P10=0,"",MAX(A$4:A9)+1)</f>
        <v>6</v>
      </c>
      <c r="B10" s="2943" t="s">
        <v>1610</v>
      </c>
      <c r="C10" s="2943"/>
      <c r="D10" s="2943"/>
      <c r="E10" s="2943"/>
      <c r="F10" s="2943"/>
      <c r="G10" s="2943"/>
      <c r="H10" s="2943"/>
      <c r="I10" s="2943"/>
      <c r="J10" s="2943"/>
      <c r="K10" s="2943"/>
      <c r="L10" s="2943"/>
      <c r="M10" s="2943"/>
      <c r="P10" s="826">
        <v>1</v>
      </c>
      <c r="R10" s="2208"/>
    </row>
    <row r="11" spans="1:18" ht="50.1" customHeight="1">
      <c r="A11" s="824">
        <f>IF($P11=0,"",MAX(A$4:A10)+1)</f>
        <v>7</v>
      </c>
      <c r="B11" s="2943" t="s">
        <v>2201</v>
      </c>
      <c r="C11" s="2943"/>
      <c r="D11" s="2943"/>
      <c r="E11" s="2943"/>
      <c r="F11" s="2943"/>
      <c r="G11" s="2943"/>
      <c r="H11" s="2943"/>
      <c r="I11" s="2943"/>
      <c r="J11" s="2943"/>
      <c r="K11" s="2943"/>
      <c r="L11" s="2943"/>
      <c r="M11" s="2943"/>
      <c r="P11" s="826">
        <v>1</v>
      </c>
      <c r="R11" s="2208"/>
    </row>
    <row r="12" spans="1:18" ht="65.099999999999994" customHeight="1">
      <c r="A12" s="824">
        <f>IF($P12=0,"",MAX(A$4:A11)+1)</f>
        <v>8</v>
      </c>
      <c r="B12" s="2943" t="s">
        <v>2202</v>
      </c>
      <c r="C12" s="2943"/>
      <c r="D12" s="2943"/>
      <c r="E12" s="2943"/>
      <c r="F12" s="2943"/>
      <c r="G12" s="2943"/>
      <c r="H12" s="2943"/>
      <c r="I12" s="2943"/>
      <c r="J12" s="2943"/>
      <c r="K12" s="2943"/>
      <c r="L12" s="2943"/>
      <c r="M12" s="2943"/>
      <c r="P12" s="826">
        <v>1</v>
      </c>
      <c r="R12" s="2208"/>
    </row>
    <row r="13" spans="1:18" ht="140.1" customHeight="1">
      <c r="A13" s="824">
        <f>IF($P13=0,"",MAX(A$4:A12)+1)</f>
        <v>9</v>
      </c>
      <c r="B13" s="2943" t="s">
        <v>1611</v>
      </c>
      <c r="C13" s="2943"/>
      <c r="D13" s="2943"/>
      <c r="E13" s="2943"/>
      <c r="F13" s="2943"/>
      <c r="G13" s="2943"/>
      <c r="H13" s="2943"/>
      <c r="I13" s="2943"/>
      <c r="J13" s="2943"/>
      <c r="K13" s="2943"/>
      <c r="L13" s="2943"/>
      <c r="M13" s="2943"/>
      <c r="P13" s="826">
        <v>1</v>
      </c>
      <c r="R13" s="2208"/>
    </row>
    <row r="14" spans="1:18" ht="50.1" customHeight="1">
      <c r="A14" s="824">
        <f>IF($P14=0,"",MAX(A$4:A13)+1)</f>
        <v>10</v>
      </c>
      <c r="B14" s="2943" t="s">
        <v>2881</v>
      </c>
      <c r="C14" s="2943"/>
      <c r="D14" s="2943"/>
      <c r="E14" s="2943"/>
      <c r="F14" s="2943"/>
      <c r="G14" s="2943"/>
      <c r="H14" s="2943"/>
      <c r="I14" s="2943"/>
      <c r="J14" s="2943"/>
      <c r="K14" s="2943"/>
      <c r="L14" s="2943"/>
      <c r="M14" s="2943"/>
      <c r="P14" s="826">
        <v>1</v>
      </c>
      <c r="Q14" s="825" t="s">
        <v>1612</v>
      </c>
      <c r="R14" s="2208"/>
    </row>
    <row r="15" spans="1:18" ht="80.099999999999994" customHeight="1">
      <c r="A15" s="824">
        <f>IF($P15=0,"",MAX(A$4:A14)+1)</f>
        <v>11</v>
      </c>
      <c r="B15" s="2943" t="s">
        <v>1613</v>
      </c>
      <c r="C15" s="2943"/>
      <c r="D15" s="2943"/>
      <c r="E15" s="2943"/>
      <c r="F15" s="2943"/>
      <c r="G15" s="2943"/>
      <c r="H15" s="2943"/>
      <c r="I15" s="2943"/>
      <c r="J15" s="2943"/>
      <c r="K15" s="2943"/>
      <c r="L15" s="2943"/>
      <c r="M15" s="2943"/>
      <c r="P15" s="826">
        <v>1</v>
      </c>
      <c r="R15" s="2208"/>
    </row>
    <row r="16" spans="1:18" ht="35.1" customHeight="1">
      <c r="A16" s="824">
        <f>IF($P16=0,"",MAX(A$4:A15)+1)</f>
        <v>12</v>
      </c>
      <c r="B16" s="2943" t="s">
        <v>1614</v>
      </c>
      <c r="C16" s="2943"/>
      <c r="D16" s="2943"/>
      <c r="E16" s="2943"/>
      <c r="F16" s="2943"/>
      <c r="G16" s="2943"/>
      <c r="H16" s="2943"/>
      <c r="I16" s="2943"/>
      <c r="J16" s="2943"/>
      <c r="K16" s="2943"/>
      <c r="L16" s="2943"/>
      <c r="M16" s="2943"/>
      <c r="P16" s="826">
        <v>1</v>
      </c>
      <c r="R16" s="2208"/>
    </row>
    <row r="17" spans="1:18" ht="50.1" customHeight="1">
      <c r="A17" s="824">
        <f>IF($P17=0,"",MAX(A$4:A16)+1)</f>
        <v>13</v>
      </c>
      <c r="B17" s="2943" t="s">
        <v>1615</v>
      </c>
      <c r="C17" s="2943"/>
      <c r="D17" s="2943"/>
      <c r="E17" s="2943"/>
      <c r="F17" s="2943"/>
      <c r="G17" s="2943"/>
      <c r="H17" s="2943"/>
      <c r="I17" s="2943"/>
      <c r="J17" s="2943"/>
      <c r="K17" s="2943"/>
      <c r="L17" s="2943"/>
      <c r="M17" s="2943"/>
      <c r="P17" s="826">
        <v>1</v>
      </c>
      <c r="R17" s="2208"/>
    </row>
    <row r="18" spans="1:18" ht="35.1" customHeight="1">
      <c r="A18" s="824">
        <f>IF($P18=0,"",MAX(A$4:A17)+1)</f>
        <v>14</v>
      </c>
      <c r="B18" s="2943" t="s">
        <v>1616</v>
      </c>
      <c r="C18" s="2943"/>
      <c r="D18" s="2943"/>
      <c r="E18" s="2943"/>
      <c r="F18" s="2943"/>
      <c r="G18" s="2943"/>
      <c r="H18" s="2943"/>
      <c r="I18" s="2943"/>
      <c r="J18" s="2943"/>
      <c r="K18" s="2943"/>
      <c r="L18" s="2943"/>
      <c r="M18" s="2943"/>
      <c r="P18" s="826">
        <v>1</v>
      </c>
      <c r="R18" s="2208"/>
    </row>
    <row r="19" spans="1:18" ht="123" customHeight="1">
      <c r="A19" s="824">
        <f>IF($P19=0,"",MAX(A$4:A18)+1)</f>
        <v>15</v>
      </c>
      <c r="B19" s="2943" t="s">
        <v>2097</v>
      </c>
      <c r="C19" s="2943"/>
      <c r="D19" s="2943"/>
      <c r="E19" s="2943"/>
      <c r="F19" s="2943"/>
      <c r="G19" s="2943"/>
      <c r="H19" s="2943"/>
      <c r="I19" s="2943"/>
      <c r="J19" s="2943"/>
      <c r="K19" s="2943"/>
      <c r="L19" s="2943"/>
      <c r="M19" s="2943"/>
      <c r="P19" s="826">
        <v>1</v>
      </c>
      <c r="R19" s="2208"/>
    </row>
    <row r="20" spans="1:18" ht="31.5" customHeight="1">
      <c r="A20" s="824">
        <f>IF($P20=0,"",MAX(A$4:A19)+1)</f>
        <v>16</v>
      </c>
      <c r="B20" s="2943" t="s">
        <v>2463</v>
      </c>
      <c r="C20" s="2943"/>
      <c r="D20" s="2943"/>
      <c r="E20" s="2943"/>
      <c r="F20" s="2943"/>
      <c r="G20" s="2943"/>
      <c r="H20" s="2943"/>
      <c r="I20" s="2943"/>
      <c r="J20" s="2943"/>
      <c r="K20" s="2943"/>
      <c r="L20" s="2943"/>
      <c r="M20" s="2943"/>
      <c r="P20" s="826">
        <v>1</v>
      </c>
      <c r="R20" s="2208"/>
    </row>
    <row r="21" spans="1:18" ht="80.099999999999994" customHeight="1">
      <c r="A21" s="824">
        <f>IF($P21=0,"",MAX(A$4:A20)+1)</f>
        <v>17</v>
      </c>
      <c r="B21" s="2943" t="s">
        <v>1617</v>
      </c>
      <c r="C21" s="2943"/>
      <c r="D21" s="2943"/>
      <c r="E21" s="2943"/>
      <c r="F21" s="2943"/>
      <c r="G21" s="2943"/>
      <c r="H21" s="2943"/>
      <c r="I21" s="2943"/>
      <c r="J21" s="2943"/>
      <c r="K21" s="2943"/>
      <c r="L21" s="2943"/>
      <c r="M21" s="2943"/>
      <c r="P21" s="826">
        <v>1</v>
      </c>
      <c r="R21" s="2208"/>
    </row>
    <row r="22" spans="1:18" ht="35.1" customHeight="1">
      <c r="A22" s="824">
        <f>IF($P22=0,"",MAX(A$4:A21)+1)</f>
        <v>18</v>
      </c>
      <c r="B22" s="2943" t="s">
        <v>1618</v>
      </c>
      <c r="C22" s="2943"/>
      <c r="D22" s="2943"/>
      <c r="E22" s="2943"/>
      <c r="F22" s="2943"/>
      <c r="G22" s="2943"/>
      <c r="H22" s="2943"/>
      <c r="I22" s="2943"/>
      <c r="J22" s="2943"/>
      <c r="K22" s="2943"/>
      <c r="L22" s="2943"/>
      <c r="M22" s="2943"/>
      <c r="P22" s="826">
        <v>1</v>
      </c>
      <c r="R22" s="2208"/>
    </row>
    <row r="23" spans="1:18" ht="35.1" customHeight="1">
      <c r="A23" s="824">
        <f>IF($P23=0,"",MAX(A$4:A22)+1)</f>
        <v>19</v>
      </c>
      <c r="B23" s="2943" t="s">
        <v>1619</v>
      </c>
      <c r="C23" s="2943"/>
      <c r="D23" s="2943"/>
      <c r="E23" s="2943"/>
      <c r="F23" s="2943"/>
      <c r="G23" s="2943"/>
      <c r="H23" s="2943"/>
      <c r="I23" s="2943"/>
      <c r="J23" s="2943"/>
      <c r="K23" s="2943"/>
      <c r="L23" s="2943"/>
      <c r="M23" s="2943"/>
      <c r="P23" s="826">
        <v>1</v>
      </c>
      <c r="R23" s="2208"/>
    </row>
    <row r="24" spans="1:18" ht="80.099999999999994" hidden="1" customHeight="1">
      <c r="A24" s="824" t="str">
        <f>IF($P24=0,"",MAX(A$4:A23)+1)</f>
        <v/>
      </c>
      <c r="B24" s="2943" t="s">
        <v>2103</v>
      </c>
      <c r="C24" s="2943"/>
      <c r="D24" s="2943"/>
      <c r="E24" s="2943"/>
      <c r="F24" s="2943"/>
      <c r="G24" s="2943"/>
      <c r="H24" s="2943"/>
      <c r="I24" s="2943"/>
      <c r="J24" s="2943"/>
      <c r="K24" s="2943"/>
      <c r="L24" s="2943"/>
      <c r="M24" s="2943"/>
      <c r="P24" s="826">
        <v>0</v>
      </c>
      <c r="R24" s="2208"/>
    </row>
    <row r="25" spans="1:18" ht="35.1" hidden="1" customHeight="1">
      <c r="A25" s="824" t="str">
        <f>IF($P25=0,"",MAX(A$4:A24)+1)</f>
        <v/>
      </c>
      <c r="B25" s="2943" t="s">
        <v>2104</v>
      </c>
      <c r="C25" s="2943"/>
      <c r="D25" s="2943"/>
      <c r="E25" s="2943"/>
      <c r="F25" s="2943"/>
      <c r="G25" s="2943"/>
      <c r="H25" s="2943"/>
      <c r="I25" s="2943"/>
      <c r="J25" s="2943"/>
      <c r="K25" s="2943"/>
      <c r="L25" s="2943"/>
      <c r="M25" s="2943"/>
      <c r="P25" s="826">
        <v>0</v>
      </c>
      <c r="R25" s="2208"/>
    </row>
    <row r="26" spans="1:18" ht="65.099999999999994" customHeight="1">
      <c r="A26" s="824">
        <f>IF($P26=0,"",MAX(A$4:A25)+1)</f>
        <v>20</v>
      </c>
      <c r="B26" s="2943" t="s">
        <v>2160</v>
      </c>
      <c r="C26" s="2943"/>
      <c r="D26" s="2943"/>
      <c r="E26" s="2943"/>
      <c r="F26" s="2943"/>
      <c r="G26" s="2943"/>
      <c r="H26" s="2943"/>
      <c r="I26" s="2943"/>
      <c r="J26" s="2943"/>
      <c r="K26" s="2943"/>
      <c r="L26" s="2943"/>
      <c r="M26" s="2943"/>
      <c r="P26" s="826">
        <v>1</v>
      </c>
      <c r="R26" s="2208"/>
    </row>
    <row r="27" spans="1:18" ht="126.75" hidden="1" customHeight="1">
      <c r="A27" s="824" t="str">
        <f>IF($P27=0,"",MAX(A$4:A26)+1)</f>
        <v/>
      </c>
      <c r="B27" s="2943" t="s">
        <v>2566</v>
      </c>
      <c r="C27" s="2943"/>
      <c r="D27" s="2943"/>
      <c r="E27" s="2943"/>
      <c r="F27" s="2943"/>
      <c r="G27" s="2943"/>
      <c r="H27" s="2943"/>
      <c r="I27" s="2943"/>
      <c r="J27" s="2943"/>
      <c r="K27" s="2943"/>
      <c r="L27" s="2943"/>
      <c r="M27" s="2943"/>
      <c r="P27" s="826">
        <v>0</v>
      </c>
      <c r="R27" s="2208"/>
    </row>
    <row r="28" spans="1:18" ht="65.099999999999994" customHeight="1">
      <c r="A28" s="824">
        <f>IF($P28=0,"",MAX(A$4:A27)+1)</f>
        <v>21</v>
      </c>
      <c r="B28" s="2943" t="s">
        <v>1620</v>
      </c>
      <c r="C28" s="2943"/>
      <c r="D28" s="2943"/>
      <c r="E28" s="2943"/>
      <c r="F28" s="2943"/>
      <c r="G28" s="2943"/>
      <c r="H28" s="2943"/>
      <c r="I28" s="2943"/>
      <c r="J28" s="2943"/>
      <c r="K28" s="2943"/>
      <c r="L28" s="2943"/>
      <c r="M28" s="2943"/>
      <c r="P28" s="826">
        <v>1</v>
      </c>
      <c r="R28" s="2208"/>
    </row>
    <row r="29" spans="1:18" ht="50.1" customHeight="1">
      <c r="A29" s="824">
        <f>IF($P29=0,"",MAX(A$4:A28)+1)</f>
        <v>22</v>
      </c>
      <c r="B29" s="2943" t="s">
        <v>2882</v>
      </c>
      <c r="C29" s="2943"/>
      <c r="D29" s="2943"/>
      <c r="E29" s="2943"/>
      <c r="F29" s="2943"/>
      <c r="G29" s="2943"/>
      <c r="H29" s="2943"/>
      <c r="I29" s="2943"/>
      <c r="J29" s="2943"/>
      <c r="K29" s="2943"/>
      <c r="L29" s="2943"/>
      <c r="M29" s="2943"/>
      <c r="P29" s="826">
        <v>1</v>
      </c>
      <c r="R29" s="2208"/>
    </row>
    <row r="30" spans="1:18" ht="35.1" customHeight="1">
      <c r="A30" s="824">
        <f>IF($P30=0,"",MAX(A$4:A29)+1)</f>
        <v>23</v>
      </c>
      <c r="B30" s="2943" t="s">
        <v>1621</v>
      </c>
      <c r="C30" s="2943"/>
      <c r="D30" s="2943"/>
      <c r="E30" s="2943"/>
      <c r="F30" s="2943"/>
      <c r="G30" s="2943"/>
      <c r="H30" s="2943"/>
      <c r="I30" s="2943"/>
      <c r="J30" s="2943"/>
      <c r="K30" s="2943"/>
      <c r="L30" s="2943"/>
      <c r="M30" s="2943"/>
      <c r="P30" s="826">
        <v>1</v>
      </c>
      <c r="R30" s="2208" t="s">
        <v>2567</v>
      </c>
    </row>
    <row r="31" spans="1:18" ht="35.1" hidden="1" customHeight="1">
      <c r="A31" s="824" t="str">
        <f>IF($P31=0,"",MAX(A$4:A30)+1)</f>
        <v/>
      </c>
      <c r="B31" s="2943" t="s">
        <v>1622</v>
      </c>
      <c r="C31" s="2943"/>
      <c r="D31" s="2943"/>
      <c r="E31" s="2943"/>
      <c r="F31" s="2943"/>
      <c r="G31" s="2943"/>
      <c r="H31" s="2943"/>
      <c r="I31" s="2943"/>
      <c r="J31" s="2943"/>
      <c r="K31" s="2943"/>
      <c r="L31" s="2943"/>
      <c r="M31" s="2943"/>
      <c r="P31" s="826">
        <v>0</v>
      </c>
      <c r="R31" s="2208"/>
    </row>
    <row r="32" spans="1:18" ht="20.100000000000001" hidden="1" customHeight="1">
      <c r="A32" s="824" t="str">
        <f>IF($P32=0,"",MAX(A$4:A31)+1)</f>
        <v/>
      </c>
      <c r="B32" s="2943" t="s">
        <v>2478</v>
      </c>
      <c r="C32" s="2943"/>
      <c r="D32" s="2943"/>
      <c r="E32" s="2943"/>
      <c r="F32" s="2943"/>
      <c r="G32" s="2943"/>
      <c r="H32" s="2943"/>
      <c r="I32" s="2943"/>
      <c r="J32" s="2943"/>
      <c r="K32" s="2943"/>
      <c r="L32" s="2943"/>
      <c r="M32" s="2943"/>
      <c r="P32" s="826">
        <v>0</v>
      </c>
      <c r="R32" s="2208"/>
    </row>
    <row r="33" spans="1:21" ht="20.100000000000001" customHeight="1">
      <c r="A33" s="824">
        <f>IF($P33=0,"",MAX(A$4:A32)+1)</f>
        <v>24</v>
      </c>
      <c r="B33" s="2943" t="s">
        <v>1623</v>
      </c>
      <c r="C33" s="2943"/>
      <c r="D33" s="2943"/>
      <c r="E33" s="2943"/>
      <c r="F33" s="2943"/>
      <c r="G33" s="2943"/>
      <c r="H33" s="2943"/>
      <c r="I33" s="2943"/>
      <c r="J33" s="2943"/>
      <c r="K33" s="2943"/>
      <c r="L33" s="2943"/>
      <c r="M33" s="2943"/>
      <c r="P33" s="826">
        <v>1</v>
      </c>
      <c r="R33" s="2208"/>
    </row>
    <row r="34" spans="1:21" ht="98.25" hidden="1" customHeight="1">
      <c r="A34" s="824" t="str">
        <f>IF($P34=0,"",MAX(A$4:A33)+1)</f>
        <v/>
      </c>
      <c r="B34" s="2943" t="s">
        <v>2568</v>
      </c>
      <c r="C34" s="2943"/>
      <c r="D34" s="2943"/>
      <c r="E34" s="2943"/>
      <c r="F34" s="2943"/>
      <c r="G34" s="2943"/>
      <c r="H34" s="2943"/>
      <c r="I34" s="2943"/>
      <c r="J34" s="2943"/>
      <c r="K34" s="2943"/>
      <c r="L34" s="2943"/>
      <c r="M34" s="2943"/>
      <c r="P34" s="826">
        <v>0</v>
      </c>
      <c r="R34" s="2208"/>
    </row>
    <row r="35" spans="1:21" ht="20.100000000000001" hidden="1" customHeight="1">
      <c r="A35" s="824" t="str">
        <f>IF($P35=0,"",MAX(A$4:A34)+1)</f>
        <v/>
      </c>
      <c r="B35" s="2943" t="s">
        <v>2478</v>
      </c>
      <c r="C35" s="2943"/>
      <c r="D35" s="2943"/>
      <c r="E35" s="2943"/>
      <c r="F35" s="2943"/>
      <c r="G35" s="2943"/>
      <c r="H35" s="2943"/>
      <c r="I35" s="2943"/>
      <c r="J35" s="2943"/>
      <c r="K35" s="2943"/>
      <c r="L35" s="2943"/>
      <c r="M35" s="2943"/>
      <c r="P35" s="826">
        <v>0</v>
      </c>
      <c r="R35" s="2208"/>
    </row>
    <row r="36" spans="1:21" ht="20.100000000000001" hidden="1" customHeight="1">
      <c r="A36" s="824" t="str">
        <f>IF($P36=0,"",MAX(A$4:A35)+1)</f>
        <v/>
      </c>
      <c r="B36" s="2943" t="s">
        <v>1623</v>
      </c>
      <c r="C36" s="2943"/>
      <c r="D36" s="2943"/>
      <c r="E36" s="2943"/>
      <c r="F36" s="2943"/>
      <c r="G36" s="2943"/>
      <c r="H36" s="2943"/>
      <c r="I36" s="2943"/>
      <c r="J36" s="2943"/>
      <c r="K36" s="2943"/>
      <c r="L36" s="2943"/>
      <c r="M36" s="2943"/>
      <c r="P36" s="826">
        <v>0</v>
      </c>
      <c r="R36" s="2208"/>
    </row>
    <row r="37" spans="1:21" ht="35.1" customHeight="1">
      <c r="A37" s="824">
        <f>IF($P37=0,"",MAX(A$4:A36)+1)</f>
        <v>25</v>
      </c>
      <c r="B37" s="2943" t="s">
        <v>1624</v>
      </c>
      <c r="C37" s="2943"/>
      <c r="D37" s="2943"/>
      <c r="E37" s="2943"/>
      <c r="F37" s="2943"/>
      <c r="G37" s="2943"/>
      <c r="H37" s="2943"/>
      <c r="I37" s="2943"/>
      <c r="J37" s="2943"/>
      <c r="K37" s="2943"/>
      <c r="L37" s="2943"/>
      <c r="M37" s="2943"/>
      <c r="P37" s="826">
        <v>1</v>
      </c>
      <c r="R37" s="2208"/>
    </row>
    <row r="38" spans="1:21" ht="35.1" customHeight="1">
      <c r="A38" s="824">
        <f>IF($P38=0,"",MAX(A$4:A37)+1)</f>
        <v>26</v>
      </c>
      <c r="B38" s="2943" t="s">
        <v>1625</v>
      </c>
      <c r="C38" s="2943"/>
      <c r="D38" s="2943"/>
      <c r="E38" s="2943"/>
      <c r="F38" s="2943"/>
      <c r="G38" s="2943"/>
      <c r="H38" s="2943"/>
      <c r="I38" s="2943"/>
      <c r="J38" s="2943"/>
      <c r="K38" s="2943"/>
      <c r="L38" s="2943"/>
      <c r="M38" s="2943"/>
      <c r="P38" s="826">
        <v>1</v>
      </c>
      <c r="R38" s="2208"/>
    </row>
    <row r="39" spans="1:21" ht="80.099999999999994" customHeight="1">
      <c r="A39" s="824">
        <f>IF($P39=0,"",MAX(A$4:A38)+1)</f>
        <v>27</v>
      </c>
      <c r="B39" s="2943" t="s">
        <v>1626</v>
      </c>
      <c r="C39" s="2943"/>
      <c r="D39" s="2943"/>
      <c r="E39" s="2943"/>
      <c r="F39" s="2943"/>
      <c r="G39" s="2943"/>
      <c r="H39" s="2943"/>
      <c r="I39" s="2943"/>
      <c r="J39" s="2943"/>
      <c r="K39" s="2943"/>
      <c r="L39" s="2943"/>
      <c r="M39" s="2943"/>
      <c r="P39" s="826">
        <v>1</v>
      </c>
      <c r="R39" s="2208"/>
    </row>
    <row r="40" spans="1:21" ht="10.35" customHeight="1">
      <c r="B40" s="954"/>
      <c r="C40" s="954"/>
      <c r="D40" s="954"/>
      <c r="E40" s="954"/>
      <c r="F40" s="954"/>
      <c r="G40" s="954"/>
      <c r="H40" s="954"/>
      <c r="I40" s="954"/>
      <c r="J40" s="954"/>
      <c r="K40" s="954"/>
      <c r="L40" s="954"/>
      <c r="M40" s="954"/>
      <c r="R40" s="50"/>
    </row>
    <row r="41" spans="1:21" ht="35.1" customHeight="1">
      <c r="B41" s="3496" t="s">
        <v>1627</v>
      </c>
      <c r="C41" s="3496"/>
      <c r="D41" s="3496"/>
      <c r="E41" s="3496"/>
      <c r="F41" s="3496"/>
      <c r="G41" s="3496"/>
      <c r="H41" s="3496"/>
      <c r="I41" s="3496"/>
      <c r="J41" s="3496"/>
      <c r="K41" s="3496"/>
      <c r="L41" s="3496"/>
      <c r="M41" s="3496"/>
    </row>
    <row r="42" spans="1:21" ht="10.35" customHeight="1">
      <c r="B42" s="941"/>
      <c r="C42" s="941"/>
      <c r="D42" s="941"/>
      <c r="E42" s="941"/>
      <c r="F42" s="941"/>
      <c r="G42" s="941"/>
      <c r="H42" s="941"/>
      <c r="I42" s="941"/>
      <c r="J42" s="941"/>
      <c r="K42" s="941"/>
      <c r="L42" s="941"/>
      <c r="M42" s="941"/>
    </row>
    <row r="43" spans="1:21" ht="17.45" customHeight="1">
      <c r="A43" s="941" t="s">
        <v>1628</v>
      </c>
      <c r="B43" s="941"/>
      <c r="C43" s="941"/>
      <c r="D43" s="941"/>
      <c r="E43" s="941"/>
      <c r="F43" s="941"/>
      <c r="G43" s="941"/>
      <c r="H43" s="941"/>
      <c r="I43" s="941"/>
      <c r="J43" s="941"/>
      <c r="K43" s="3497"/>
      <c r="L43" s="3497"/>
      <c r="M43" s="3497"/>
      <c r="N43" s="3158" t="str">
        <f>IF(Cert_Signature="","",IF(Cert_Signature=Data1!F184,"This Applicant Certification and Acknowledgement Form has been signed by the Authorized Principal Representative as required.","This Applicant Certification and Acknowledgement Form has not been signed by the Authorized Principal Representative."))</f>
        <v/>
      </c>
      <c r="O43" s="3158"/>
      <c r="P43" s="3158"/>
      <c r="Q43" s="3158"/>
      <c r="R43" s="3158"/>
      <c r="S43" s="3158"/>
      <c r="T43" s="3158"/>
      <c r="U43" s="3158"/>
    </row>
    <row r="44" spans="1:21" ht="10.35" customHeight="1">
      <c r="B44" s="941"/>
      <c r="C44" s="941"/>
      <c r="D44" s="941"/>
      <c r="E44" s="941"/>
      <c r="F44" s="941"/>
      <c r="G44" s="941"/>
      <c r="H44" s="941"/>
      <c r="I44" s="941"/>
      <c r="J44" s="941"/>
      <c r="K44" s="941"/>
      <c r="L44" s="941"/>
      <c r="M44" s="941"/>
      <c r="N44" s="3158"/>
      <c r="O44" s="3158"/>
      <c r="P44" s="3158"/>
      <c r="Q44" s="3158"/>
      <c r="R44" s="3158"/>
      <c r="S44" s="3158"/>
      <c r="T44" s="3158"/>
      <c r="U44" s="3158"/>
    </row>
    <row r="45" spans="1:21" ht="17.45" customHeight="1">
      <c r="B45" s="341" t="s">
        <v>1629</v>
      </c>
      <c r="C45" s="3497"/>
      <c r="D45" s="3497"/>
      <c r="E45" s="3497"/>
      <c r="F45" s="3497"/>
      <c r="G45" s="3497"/>
      <c r="H45" s="3497"/>
      <c r="I45" s="3497"/>
      <c r="J45" s="3497"/>
      <c r="K45" s="3497"/>
      <c r="L45" s="3497"/>
      <c r="M45" s="3497"/>
      <c r="N45" s="3158"/>
      <c r="O45" s="3158"/>
      <c r="P45" s="3158"/>
      <c r="Q45" s="3158"/>
      <c r="R45" s="3158"/>
      <c r="S45" s="3158"/>
      <c r="T45" s="3158"/>
      <c r="U45" s="3158"/>
    </row>
    <row r="46" spans="1:21" ht="10.35" customHeight="1">
      <c r="B46" s="941"/>
      <c r="C46" s="941"/>
      <c r="D46" s="941"/>
      <c r="E46" s="941"/>
      <c r="F46" s="941"/>
      <c r="G46" s="941"/>
      <c r="H46" s="941"/>
      <c r="I46" s="941"/>
      <c r="J46" s="941"/>
      <c r="K46" s="941"/>
      <c r="L46" s="941"/>
      <c r="M46" s="941"/>
    </row>
    <row r="47" spans="1:21" ht="31.5" customHeight="1">
      <c r="A47" s="3495" t="s">
        <v>1630</v>
      </c>
      <c r="B47" s="3495"/>
      <c r="C47" s="3495"/>
      <c r="D47" s="3495"/>
      <c r="E47" s="3495"/>
      <c r="F47" s="3495"/>
      <c r="G47" s="3495"/>
      <c r="H47" s="3495"/>
      <c r="I47" s="3495"/>
      <c r="J47" s="3495"/>
      <c r="K47" s="3495"/>
      <c r="L47" s="3495"/>
      <c r="M47" s="3495"/>
    </row>
    <row r="48" spans="1:21" ht="10.35" customHeight="1"/>
  </sheetData>
  <sheetProtection algorithmName="SHA-512" hashValue="mZSRd+t3IegzOGZTz3n3Z7zWR1/Q3Wdjehg43dy6Zo7rGThboxhtpti78g+lsxXf9pbJtdAPCemCjS0d19KMFA==" saltValue="WOYWPywsX2HWa6L9afj74w==" spinCount="100000" sheet="1" formatRows="0" selectLockedCells="1"/>
  <mergeCells count="43">
    <mergeCell ref="P2:R2"/>
    <mergeCell ref="B27:M27"/>
    <mergeCell ref="B34:M34"/>
    <mergeCell ref="B35:M35"/>
    <mergeCell ref="B36:M36"/>
    <mergeCell ref="B26:M26"/>
    <mergeCell ref="B18:M18"/>
    <mergeCell ref="B32:M32"/>
    <mergeCell ref="B8:M8"/>
    <mergeCell ref="B9:M9"/>
    <mergeCell ref="B10:M10"/>
    <mergeCell ref="B11:M11"/>
    <mergeCell ref="B13:M13"/>
    <mergeCell ref="B14:M14"/>
    <mergeCell ref="B15:M15"/>
    <mergeCell ref="B16:M16"/>
    <mergeCell ref="A47:M47"/>
    <mergeCell ref="N43:U45"/>
    <mergeCell ref="B19:M19"/>
    <mergeCell ref="B20:M20"/>
    <mergeCell ref="B21:M21"/>
    <mergeCell ref="B41:M41"/>
    <mergeCell ref="B23:M23"/>
    <mergeCell ref="B30:M30"/>
    <mergeCell ref="B33:M33"/>
    <mergeCell ref="B37:M37"/>
    <mergeCell ref="B38:M38"/>
    <mergeCell ref="C45:M45"/>
    <mergeCell ref="B22:M22"/>
    <mergeCell ref="K43:M43"/>
    <mergeCell ref="B39:M39"/>
    <mergeCell ref="B28:M28"/>
    <mergeCell ref="A1:M1"/>
    <mergeCell ref="A3:M3"/>
    <mergeCell ref="B5:M5"/>
    <mergeCell ref="B6:M6"/>
    <mergeCell ref="B7:M7"/>
    <mergeCell ref="B29:M29"/>
    <mergeCell ref="B24:M24"/>
    <mergeCell ref="B25:M25"/>
    <mergeCell ref="B12:M12"/>
    <mergeCell ref="B31:M31"/>
    <mergeCell ref="B17:M17"/>
  </mergeCells>
  <conditionalFormatting sqref="K43:M43 C45:M45">
    <cfRule type="cellIs" dxfId="16" priority="7" operator="notEqual">
      <formula>""</formula>
    </cfRule>
  </conditionalFormatting>
  <conditionalFormatting sqref="N43:U45">
    <cfRule type="cellIs" dxfId="15" priority="6" operator="equal">
      <formula>"This Applicant Certification and Acknowledgement Form has not been signed by the Authorized Principal Representative."</formula>
    </cfRule>
  </conditionalFormatting>
  <conditionalFormatting sqref="A24:B25 A5:M23 A26:M26 B27 B28:M28 A27:A28 A29:M33 A37:M39 A34:B36">
    <cfRule type="expression" dxfId="14" priority="3">
      <formula>$P5=0</formula>
    </cfRule>
  </conditionalFormatting>
  <conditionalFormatting sqref="P5:P39">
    <cfRule type="cellIs" dxfId="13" priority="1" operator="equal">
      <formula>0</formula>
    </cfRule>
  </conditionalFormatting>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2" id="{00FC841A-A799-4B13-BCB2-2AB94B27D433}">
            <xm:f>Data1!$E$834="Yes"</xm:f>
            <x14:dxf>
              <font>
                <color theme="0"/>
              </font>
              <fill>
                <patternFill>
                  <bgColor theme="0"/>
                </patternFill>
              </fill>
              <border>
                <left/>
                <right/>
                <top/>
                <bottom/>
                <vertical/>
                <horizontal/>
              </border>
            </x14:dxf>
          </x14:cfRule>
          <xm:sqref>P3:R41</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1:ED4973"/>
  <sheetViews>
    <sheetView topLeftCell="BI1" zoomScale="70" zoomScaleNormal="70" workbookViewId="0">
      <pane ySplit="12" topLeftCell="A64" activePane="bottomLeft" state="frozen"/>
      <selection activeCell="B781" sqref="B781:C781"/>
      <selection pane="bottomLeft" activeCell="B781" sqref="B781:C781"/>
    </sheetView>
  </sheetViews>
  <sheetFormatPr defaultRowHeight="15"/>
  <cols>
    <col min="1" max="2" width="15.28515625" customWidth="1"/>
    <col min="3" max="3" width="0.85546875" customWidth="1"/>
    <col min="4" max="4" width="32.7109375" customWidth="1"/>
    <col min="5" max="5" width="0.85546875" customWidth="1"/>
    <col min="6" max="7" width="15.28515625" customWidth="1"/>
    <col min="8" max="8" width="0.85546875" customWidth="1"/>
    <col min="9" max="10" width="15.28515625" customWidth="1"/>
    <col min="11" max="11" width="0.85546875" customWidth="1"/>
    <col min="12" max="13" width="15.28515625" customWidth="1"/>
    <col min="14" max="14" width="0.85546875" customWidth="1"/>
    <col min="15" max="15" width="21.7109375" customWidth="1"/>
    <col min="16" max="16" width="0.85546875" customWidth="1"/>
    <col min="17" max="17" width="21.7109375" customWidth="1"/>
    <col min="18" max="18" width="0.85546875" customWidth="1"/>
    <col min="19" max="20" width="15.28515625" customWidth="1"/>
    <col min="21" max="21" width="0.85546875" customWidth="1"/>
    <col min="22" max="23" width="15.28515625" customWidth="1"/>
    <col min="24" max="24" width="0.85546875" customWidth="1"/>
    <col min="25" max="26" width="15.28515625" customWidth="1"/>
    <col min="27" max="27" width="0.85546875" customWidth="1"/>
    <col min="28" max="29" width="15.28515625" customWidth="1"/>
    <col min="30" max="30" width="0.85546875" customWidth="1"/>
    <col min="31" max="32" width="15.28515625" customWidth="1"/>
    <col min="33" max="33" width="0.85546875" customWidth="1"/>
    <col min="34" max="34" width="32.7109375" customWidth="1"/>
    <col min="35" max="35" width="0.85546875" customWidth="1"/>
    <col min="36" max="37" width="15.28515625" customWidth="1"/>
    <col min="38" max="38" width="0.85546875" customWidth="1"/>
    <col min="39" max="40" width="15.28515625" customWidth="1"/>
    <col min="41" max="41" width="0.85546875" customWidth="1"/>
    <col min="42" max="43" width="15.28515625" customWidth="1"/>
    <col min="44" max="44" width="0.85546875" customWidth="1"/>
    <col min="45" max="45" width="21.7109375" customWidth="1"/>
    <col min="46" max="46" width="0.85546875" customWidth="1"/>
    <col min="47" max="47" width="21.7109375" customWidth="1"/>
    <col min="48" max="48" width="0.85546875" customWidth="1"/>
    <col min="49" max="50" width="15.28515625" customWidth="1"/>
    <col min="51" max="51" width="0.85546875" customWidth="1"/>
    <col min="52" max="53" width="15.28515625" customWidth="1"/>
    <col min="54" max="54" width="0.85546875" customWidth="1"/>
    <col min="55" max="56" width="15.28515625" customWidth="1"/>
    <col min="57" max="57" width="0.85546875" customWidth="1"/>
    <col min="58" max="59" width="15.28515625" customWidth="1"/>
    <col min="60" max="60" width="0.85546875" customWidth="1"/>
    <col min="61" max="62" width="15.28515625" customWidth="1"/>
    <col min="63" max="63" width="0.85546875" customWidth="1"/>
    <col min="64" max="64" width="32.7109375" customWidth="1"/>
    <col min="65" max="65" width="0.85546875" customWidth="1"/>
    <col min="66" max="67" width="15.28515625" customWidth="1"/>
    <col min="68" max="68" width="0.85546875" customWidth="1"/>
    <col min="69" max="70" width="15.28515625" customWidth="1"/>
    <col min="71" max="71" width="0.85546875" customWidth="1"/>
    <col min="72" max="73" width="15.28515625" customWidth="1"/>
    <col min="74" max="74" width="0.85546875" customWidth="1"/>
    <col min="75" max="75" width="21.7109375" customWidth="1"/>
    <col min="76" max="76" width="0.85546875" customWidth="1"/>
    <col min="77" max="77" width="21.7109375" customWidth="1"/>
    <col min="78" max="78" width="0.85546875" customWidth="1"/>
    <col min="79" max="80" width="15.28515625" customWidth="1"/>
    <col min="81" max="81" width="0.85546875" customWidth="1"/>
    <col min="82" max="83" width="15.28515625" customWidth="1"/>
    <col min="84" max="84" width="0.85546875" customWidth="1"/>
    <col min="85" max="86" width="15.28515625" customWidth="1"/>
    <col min="87" max="87" width="0.85546875" customWidth="1"/>
    <col min="88" max="89" width="15.28515625" customWidth="1"/>
    <col min="90" max="90" width="0.85546875" customWidth="1"/>
    <col min="91" max="92" width="15.28515625" style="1329" customWidth="1"/>
    <col min="93" max="93" width="0.85546875" style="1329" customWidth="1"/>
    <col min="94" max="94" width="32.7109375" style="1329" customWidth="1"/>
    <col min="95" max="95" width="0.85546875" style="1329" customWidth="1"/>
    <col min="96" max="97" width="15.28515625" style="1329" customWidth="1"/>
    <col min="98" max="98" width="0.85546875" style="1329" customWidth="1"/>
    <col min="99" max="100" width="15.28515625" style="1329" customWidth="1"/>
    <col min="101" max="101" width="0.85546875" style="1329" customWidth="1"/>
    <col min="102" max="103" width="15.28515625" style="1329" customWidth="1"/>
    <col min="104" max="104" width="0.85546875" style="1329" customWidth="1"/>
    <col min="105" max="105" width="21.7109375" style="1329" customWidth="1"/>
    <col min="106" max="106" width="0.85546875" style="1329" customWidth="1"/>
    <col min="107" max="107" width="15.28515625" style="1329" customWidth="1"/>
    <col min="108" max="108" width="0.85546875" style="1329" customWidth="1"/>
    <col min="109" max="110" width="15.28515625" style="1329" customWidth="1"/>
    <col min="111" max="111" width="0.85546875" style="1329" customWidth="1"/>
    <col min="112" max="113" width="15.28515625" style="1329" customWidth="1"/>
    <col min="114" max="114" width="0.85546875" style="1329" customWidth="1"/>
    <col min="115" max="116" width="15.28515625" style="1329" customWidth="1"/>
    <col min="117" max="117" width="0.85546875" style="1329" customWidth="1"/>
    <col min="118" max="119" width="15.28515625" style="1329" customWidth="1"/>
    <col min="120" max="120" width="0.85546875" style="1329" customWidth="1"/>
    <col min="121" max="122" width="15.28515625" style="1329" customWidth="1"/>
    <col min="123" max="123" width="0.85546875" style="1329" customWidth="1"/>
    <col min="124" max="124" width="11.7109375" customWidth="1"/>
    <col min="125" max="125" width="15.7109375" customWidth="1"/>
    <col min="126" max="126" width="44.7109375" customWidth="1"/>
    <col min="127" max="128" width="16.7109375" customWidth="1"/>
    <col min="131" max="131" width="54.7109375" customWidth="1"/>
    <col min="132" max="132" width="22.5703125" customWidth="1"/>
    <col min="133" max="133" width="36.42578125" customWidth="1"/>
    <col min="139" max="139" width="32.42578125" bestFit="1" customWidth="1"/>
  </cols>
  <sheetData>
    <row r="1" spans="1:134">
      <c r="CM1" s="2509"/>
      <c r="CP1" s="2509"/>
      <c r="CR1" s="2509"/>
      <c r="CS1" s="2509"/>
      <c r="CU1" s="2509"/>
      <c r="CV1" s="2509"/>
      <c r="CX1" s="2509"/>
      <c r="CY1" s="2509"/>
      <c r="DA1" s="2509"/>
      <c r="DC1" s="2509"/>
      <c r="DE1" s="2509"/>
      <c r="DF1" s="2509"/>
      <c r="DH1" s="2509"/>
      <c r="DI1" s="2509"/>
      <c r="DK1" s="2509"/>
      <c r="DL1" s="2509"/>
      <c r="DN1" s="2509"/>
      <c r="DO1" s="2509"/>
    </row>
    <row r="2" spans="1:134">
      <c r="BY2" s="1329"/>
      <c r="CM2" s="2508" t="s">
        <v>2835</v>
      </c>
      <c r="CP2" s="2508" t="s">
        <v>2835</v>
      </c>
      <c r="CR2" s="2508" t="s">
        <v>2835</v>
      </c>
      <c r="CS2" s="2508" t="s">
        <v>2835</v>
      </c>
      <c r="CU2" s="2508" t="s">
        <v>2835</v>
      </c>
      <c r="CV2" s="2508" t="s">
        <v>2835</v>
      </c>
      <c r="CX2" s="2508" t="s">
        <v>2835</v>
      </c>
      <c r="CY2" s="2508" t="s">
        <v>2835</v>
      </c>
      <c r="DA2" s="2508" t="s">
        <v>2835</v>
      </c>
      <c r="DC2" s="2508" t="s">
        <v>2835</v>
      </c>
      <c r="DE2" s="2508" t="s">
        <v>2835</v>
      </c>
      <c r="DH2" s="2508" t="s">
        <v>2835</v>
      </c>
      <c r="DK2" s="2508" t="s">
        <v>2835</v>
      </c>
      <c r="DN2" s="2508" t="s">
        <v>2835</v>
      </c>
    </row>
    <row r="3" spans="1:134" ht="15" customHeight="1">
      <c r="A3" s="2873" t="s">
        <v>2811</v>
      </c>
      <c r="B3" s="2873"/>
      <c r="C3" s="2873"/>
      <c r="D3" s="2873"/>
      <c r="E3" s="2873"/>
      <c r="F3" s="2873"/>
      <c r="G3" s="2873"/>
      <c r="H3" s="2873"/>
      <c r="I3" s="2873"/>
      <c r="J3" s="2873"/>
      <c r="K3" s="2873"/>
      <c r="L3" s="2873"/>
      <c r="M3" s="2873"/>
      <c r="N3" s="2873"/>
      <c r="O3" s="2873"/>
      <c r="P3" s="2873"/>
      <c r="Q3" s="2873"/>
      <c r="R3" s="2873"/>
      <c r="S3" s="2873"/>
      <c r="T3" s="2873"/>
      <c r="U3" s="2873"/>
      <c r="V3" s="2873"/>
      <c r="W3" s="2873"/>
      <c r="X3" s="2873"/>
      <c r="Y3" s="2873"/>
      <c r="Z3" s="2873"/>
      <c r="AA3" s="2873"/>
      <c r="AB3" s="2873"/>
      <c r="AC3" s="2873"/>
      <c r="AD3" s="2851"/>
      <c r="AE3" s="2852" t="s">
        <v>2812</v>
      </c>
      <c r="AF3" s="2852"/>
      <c r="AG3" s="2852"/>
      <c r="AH3" s="2852"/>
      <c r="AI3" s="2852"/>
      <c r="AJ3" s="2852"/>
      <c r="AK3" s="2852"/>
      <c r="AL3" s="2852"/>
      <c r="AM3" s="2852"/>
      <c r="AN3" s="2852"/>
      <c r="AO3" s="2852"/>
      <c r="AP3" s="2852"/>
      <c r="AQ3" s="2852"/>
      <c r="AR3" s="2852"/>
      <c r="AS3" s="2852"/>
      <c r="AT3" s="2852"/>
      <c r="AU3" s="2852"/>
      <c r="AV3" s="2852"/>
      <c r="AW3" s="2852"/>
      <c r="AX3" s="2852"/>
      <c r="AY3" s="2852"/>
      <c r="AZ3" s="2852"/>
      <c r="BA3" s="2852"/>
      <c r="BB3" s="2852"/>
      <c r="BC3" s="2852"/>
      <c r="BD3" s="2852"/>
      <c r="BE3" s="2852"/>
      <c r="BF3" s="2852"/>
      <c r="BG3" s="2852"/>
      <c r="BH3" s="2864"/>
      <c r="BI3" s="2885" t="s">
        <v>2813</v>
      </c>
      <c r="BJ3" s="2885"/>
      <c r="BK3" s="2885"/>
      <c r="BL3" s="2885"/>
      <c r="BM3" s="2885"/>
      <c r="BN3" s="2885"/>
      <c r="BO3" s="2885"/>
      <c r="BP3" s="2885"/>
      <c r="BQ3" s="2885"/>
      <c r="BR3" s="2885"/>
      <c r="BS3" s="2885"/>
      <c r="BT3" s="2885"/>
      <c r="BU3" s="2885"/>
      <c r="BV3" s="2885"/>
      <c r="BW3" s="2885"/>
      <c r="BX3" s="2885"/>
      <c r="BY3" s="2885"/>
      <c r="BZ3" s="2885"/>
      <c r="CA3" s="2885"/>
      <c r="CB3" s="2885"/>
      <c r="CC3" s="2885"/>
      <c r="CD3" s="2885"/>
      <c r="CE3" s="2885"/>
      <c r="CF3" s="2885"/>
      <c r="CG3" s="2885"/>
      <c r="CH3" s="2885"/>
      <c r="CI3" s="2885"/>
      <c r="CJ3" s="2885"/>
      <c r="CK3" s="2885"/>
      <c r="CL3" s="2885"/>
      <c r="CM3" s="2888" t="s">
        <v>2814</v>
      </c>
      <c r="CN3" s="2888"/>
      <c r="CO3" s="2888"/>
      <c r="CP3" s="2888"/>
      <c r="CQ3" s="2888"/>
      <c r="CR3" s="2888"/>
      <c r="CS3" s="2888"/>
      <c r="CT3" s="2888"/>
      <c r="CU3" s="2888"/>
      <c r="CV3" s="2888"/>
      <c r="CW3" s="2888"/>
      <c r="CX3" s="2888"/>
      <c r="CY3" s="2888"/>
      <c r="CZ3" s="2888"/>
      <c r="DA3" s="2888"/>
      <c r="DB3" s="2888"/>
      <c r="DC3" s="2888"/>
      <c r="DD3" s="2888"/>
      <c r="DE3" s="2888"/>
      <c r="DF3" s="2888"/>
      <c r="DG3" s="2888"/>
      <c r="DH3" s="2888"/>
      <c r="DI3" s="2888"/>
      <c r="DJ3" s="2888"/>
      <c r="DK3" s="2888"/>
      <c r="DL3" s="2888"/>
      <c r="DM3" s="2888"/>
      <c r="DN3" s="2888"/>
      <c r="DO3" s="2888"/>
      <c r="DP3" s="2888"/>
      <c r="DQ3" s="2503"/>
      <c r="DR3" s="2503"/>
      <c r="DS3" s="2503"/>
    </row>
    <row r="4" spans="1:134" ht="17.100000000000001" customHeight="1">
      <c r="O4" s="2839" t="str">
        <f>"The maximum # of DDAs in any one County is "&amp;TEXT(MAX(Data1!$R$354:$R$420,Data1!$Q$354:$Q$420),"#,##0")&amp;". There are "&amp;TEXT(ROWS(DS_2022_County_QCTs),"#,##0")&amp;" available slots for any one county below."</f>
        <v>The maximum # of DDAs in any one County is 151. There are 159 available slots for any one county below.</v>
      </c>
      <c r="Q4" s="2842" t="str">
        <f>"The maximum GAOs in any one County is "&amp;TEXT(MAX(Data1!$S$354:$S$420),"#,##0")&amp;". There are "&amp;TEXT(ROWS(DS_2022_County_GAOs),"#,##0")&amp;" available slots for any one county below."</f>
        <v>The maximum GAOs in any one County is 284. There are 289 available slots for any one county below.</v>
      </c>
      <c r="S4" s="2833" t="str">
        <f>"The are ["&amp;TEXT(ROWS(DS_ZCTAs_2022),"#,##0")&amp;"] total 2022 ZCTAs in the non-Sorted column (a maximum in any one County of ["&amp;TEXT(MAX(Data1!$P$354:$P$420),"#,##0")&amp;"]) and ["&amp;TEXT(ROWS(DS_2022_ZCTAs_Sorted),"#,##0")&amp;"] in the 2022 sorted list below."</f>
        <v>The are [348] total 2022 ZCTAs in the non-Sorted column (a maximum in any one County of [42]) and [348] in the 2022 sorted list below.</v>
      </c>
      <c r="T4" s="2834"/>
      <c r="V4" s="2845" t="str">
        <f>"There are ["&amp;TEXT(COUNT(DS_Metro_QCTs_2022),"#,##0")&amp;"] 2022 Metro QCTs in the non-Sorted column and ["&amp;TEXT(COUNT(DS_2022_Metro_QCTs_Sorted),"#,##0")&amp;"] in the 2022 sorted list below."</f>
        <v>There are [726] 2022 Metro QCTs in the non-Sorted column and [726] in the 2022 sorted list below.</v>
      </c>
      <c r="W4" s="2846"/>
      <c r="Y4" s="2845" t="str">
        <f>"There are ["&amp;TEXT(COUNT(DS_NonMetro_QCTs_2022),"#,##0")&amp;"] 2022 Non-Metro QCTs in the non-Sorted column and ["&amp;TEXT(COUNT(DS_2022_NonMetro_QCTs_Sorted),"#,##0")&amp;"] in the 2022 sorted list below."</f>
        <v>There are [30] 2022 Non-Metro QCTs in the non-Sorted column and [30] in the 2022 sorted list below.</v>
      </c>
      <c r="Z4" s="2846"/>
      <c r="AB4" s="2845" t="str">
        <f>"There are ["&amp;TEXT(COUNTA(DS_2022_GAO_Counties),"#,##0")&amp;"] 2022 GAOs in the non-Sorted column and ["&amp;TEXT(COUNT(DS_2022_GAO_QCTs_Sorted),"#,##0")&amp;"] in the 2022 sorted list below."</f>
        <v>There are [2,301] 2022 GAOs in the non-Sorted column and [2,301] in the 2022 sorted list below.</v>
      </c>
      <c r="AC4" s="2846"/>
      <c r="AD4" s="2851"/>
      <c r="AS4" s="2839" t="str">
        <f>"The maximum # of 2023 DDAs in any one county is ["&amp;TEXT(MAX(Data1!$V$354:$V$420,Data1!$U$354:$U$420),"#,##0")&amp;"]. There are ["&amp;TEXT(ROWS(DS_2023_County_QCTs),"#,##0")&amp;"] available slots for any one 2023 county below."</f>
        <v>The maximum # of 2023 DDAs in any one county is [214]. There are [223] available slots for any one 2023 county below.</v>
      </c>
      <c r="AU4" s="2842" t="str">
        <f>"The maximum 2023 GAOs in any one county is ["&amp;TEXT(MAX(Data1!$W$354:$W$420),"#,##0")&amp;"]. There are ["&amp;TEXT(ROWS(DS_2023_County_GAOs),"#,##0")&amp;"] available slots for any one 2023 county below."</f>
        <v>The maximum 2023 GAOs in any one county is [426]. There are [501] available slots for any one 2023 county below.</v>
      </c>
      <c r="AW4" s="2833" t="str">
        <f>"The are ["&amp;TEXT(ROWS(DS_ZCTAs_2023),"#,##0")&amp;"] total 2023 ZCTAs in the non-Sorted column (a maximum in any one County of ["&amp;TEXT(MAX(Data1!$T$354:$T$420),"#,##0")&amp;"]) and ["&amp;TEXT(ROWS(DS_2023_ZCTAs_Sorted),"#,##0")&amp;"] in the 2023 sorted list below."</f>
        <v>The are [353] total 2023 ZCTAs in the non-Sorted column (a maximum in any one County of [47]) and [353] in the 2023 sorted list below.</v>
      </c>
      <c r="AX4" s="2834"/>
      <c r="AZ4" s="2845" t="str">
        <f>"There are ["&amp;TEXT(COUNT(DS_Metro_QCTs_2023),"#,##0")&amp;"] 2023 Metro QCTs in the non-Sorted column and ["&amp;TEXT(COUNT(DS_2023_Metro_QCTs_Sorted),"#,##0")&amp;"] in the sorted 2023 list below."</f>
        <v>There are [802] 2023 Metro QCTs in the non-Sorted column and [802] in the sorted 2023 list below.</v>
      </c>
      <c r="BA4" s="2846"/>
      <c r="BC4" s="2845"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4" s="2846"/>
      <c r="BF4" s="2845" t="str">
        <f>"There are ["&amp;TEXT(COUNTA(DS_2023_GAO_Counties),"#,##0")&amp;"] 2023 GAOs in the non-Sorted column and ["&amp;TEXT(COUNT(DS_2023_GAO_QCTs_Sorted),"#,##0")&amp;"] in the 2023 sorted list below."</f>
        <v>There are [2,938] 2023 GAOs in the non-Sorted column and [2,938] in the 2023 sorted list below.</v>
      </c>
      <c r="BG4" s="2846"/>
      <c r="BH4" s="2864"/>
      <c r="BI4" s="1786"/>
      <c r="BJ4" s="1786"/>
      <c r="BK4" s="1786"/>
      <c r="BL4" s="1786"/>
      <c r="BM4" s="1786"/>
      <c r="BN4" s="1786"/>
      <c r="BO4" s="1786"/>
      <c r="BP4" s="1786"/>
      <c r="BQ4" s="1786"/>
      <c r="BR4" s="1786"/>
      <c r="BS4" s="1786"/>
      <c r="BT4" s="1786"/>
      <c r="BU4" s="1786"/>
      <c r="BV4" s="1786"/>
      <c r="BW4" s="2839" t="str">
        <f>"The maximum # of 2024 DDAs in any one county is ["&amp;TEXT(MAX(Data1!$Z$354:$Z$420,Data1!$Y$354:$Y$420),"#,##0")&amp;"]. There are ["&amp;TEXT(ROWS(DS_2024_County_QCTs),"#,##0")&amp;"] available slots for any one 2024 county below."</f>
        <v>The maximum # of 2024 DDAs in any one county is [707]. There are [710] available slots for any one 2024 county below.</v>
      </c>
      <c r="BY4" s="2839" t="str">
        <f>"The maximum 2024 GAOs in any one county is ["&amp;TEXT(MAX(Data1!$AA$354:$AA$420),"#,##0")&amp;"]. There are ["&amp;TEXT(ROWS(DS_2024_County_GAOs),"#,##0")&amp;"] available slots for any one 2024 county below."</f>
        <v>The maximum 2024 GAOs in any one county is [414]. There are [501] available slots for any one 2024 county below.</v>
      </c>
      <c r="CA4" s="2833" t="str">
        <f>"The are ["&amp;TEXT(ROWS(DS_ZCTAs_2024),"#,##0")&amp;"] total 2024 ZCTAs in the non-Sorted column (a maximum in any one County of ["&amp;TEXT(MAX(Data1!$X$354:$X$420),"#,##0")&amp;"]) and ["&amp;TEXT(ROWS(DS_2024_ZCTAs_Sorted),"#,##0")&amp;"] in the 2024 sorted list below."</f>
        <v>The are [398] total 2024 ZCTAs in the non-Sorted column (a maximum in any one County of [48]) and [398] in the 2024 sorted list below.</v>
      </c>
      <c r="CB4" s="2834"/>
      <c r="CD4" s="2845" t="str">
        <f>"There are ["&amp;TEXT(COUNT(DS_Metro_QCTs_2024),"#,##0")&amp;"] 2024 Metro QCTs in the non-Sorted column and ["&amp;TEXT(COUNT(DS_2024_Metro_QCTs_Sorted),"#,##0")&amp;"] in the sorted 2024 list below."</f>
        <v>There are [4,960] 2024 Metro QCTs in the non-Sorted column and [4,960] in the sorted 2024 list below.</v>
      </c>
      <c r="CE4" s="2846"/>
      <c r="CG4" s="2845"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4" s="2846"/>
      <c r="CJ4" s="2845" t="str">
        <f>"There are ["&amp;TEXT(COUNTA(DS_2024_GAO_Counties),"#,##0")&amp;"] 2024 GAOs in the non-Sorted column and ["&amp;TEXT(COUNT(DS_2024_GAO_QCTs_Sorted),"#,##0")&amp;"] in the 2024 sorted list below."</f>
        <v>There are [2,931] 2024 GAOs in the non-Sorted column and [2,931] in the 2024 sorted list below.</v>
      </c>
      <c r="CK4" s="2846"/>
      <c r="CL4" s="1787"/>
      <c r="CM4" s="1786"/>
      <c r="CN4" s="1786"/>
      <c r="CO4" s="1786"/>
      <c r="CP4" s="1786"/>
      <c r="CQ4" s="1786"/>
      <c r="CR4" s="1786"/>
      <c r="CS4" s="1786"/>
      <c r="CT4" s="1786"/>
      <c r="CU4" s="1786"/>
      <c r="CV4" s="1786"/>
      <c r="CW4" s="1786"/>
      <c r="CX4" s="1786"/>
      <c r="CY4" s="1786"/>
      <c r="CZ4" s="1786"/>
      <c r="DA4" s="2839" t="str">
        <f>"The maximum # of 2025 DDAs in any one county is ["&amp;TEXT(MAX(Data1!$AD$354:$AD$420,Data1!$AC$354:$AC$420),"#,##0")&amp;"]. There are ["&amp;TEXT(ROWS(DS_2025_County_QCTs),"#,##0")&amp;"] available slots for any one 2025 county below."</f>
        <v>The maximum # of 2025 DDAs in any one county is [0]. There are [738] available slots for any one 2025 county below.</v>
      </c>
      <c r="DB4"/>
      <c r="DC4" s="2839" t="str">
        <f>"The maximum 2025 GAOs in any one county is ["&amp;TEXT(MAX(Data1!$AE$354:$AE$420),"#,##0")&amp;"]. There are ["&amp;TEXT(ROWS(DS_2025_County_GAOs),"#,##0")&amp;"] available slots for any one 2025 county below."</f>
        <v>The maximum 2025 GAOs in any one county is [0]. There are [501] available slots for any one 2025 county below.</v>
      </c>
      <c r="DD4"/>
      <c r="DE4" s="2833" t="str">
        <f>"The are ["&amp;TEXT(ROWS(DS_ZCTAs_2025),"#,##0")&amp;"] total 2025 ZCTAs in the non-Sorted column (a maximum in any one County of ["&amp;TEXT(MAX(Data1!$AB$354:$AB$420),"#,##0")&amp;"]) and ["&amp;TEXT(ROWS(DS_2025_ZCTAs_Sorted),"#,##0")&amp;"] in the 2025 sorted list below."</f>
        <v>The are [438] total 2025 ZCTAs in the non-Sorted column (a maximum in any one County of [0]) and [438] in the 2025 sorted list below.</v>
      </c>
      <c r="DF4" s="2834"/>
      <c r="DG4"/>
      <c r="DH4" s="2845" t="str">
        <f>"There are ["&amp;TEXT(COUNT(DS_Metro_QCTs_2025),"#,##0")&amp;"] 2025 Metro QCTs in the non-Sorted column and ["&amp;TEXT(COUNT(DS_2025_Metro_QCTs_Sorted),"#,##0")&amp;"] in the sorted 2025 list below."</f>
        <v>There are [0] 2025 Metro QCTs in the non-Sorted column and [0] in the sorted 2025 list below.</v>
      </c>
      <c r="DI4" s="2846"/>
      <c r="DJ4"/>
      <c r="DK4" s="2845" t="str">
        <f>"There are ["&amp;TEXT(COUNT(DS_NonMetro_QCTs_2025),"#,##0")&amp;"] 2025 Non-Metro QCTs in the non-Sorted column and ["&amp;TEXT(COUNT(DS_2025_NonMetro_QCTs_Sorted),"#,##0")&amp;"] in the 2025 sorted list below."</f>
        <v>There are [0] 2025 Non-Metro QCTs in the non-Sorted column and [0] in the 2025 sorted list below.</v>
      </c>
      <c r="DL4" s="2846"/>
      <c r="DM4"/>
      <c r="DN4" s="2845" t="str">
        <f>"There are ["&amp;TEXT(COUNTA(DS_2025_GAO_Counties),"#,##0")&amp;"] 2025 GAOs in the non-Sorted column and ["&amp;TEXT(COUNT(DS_2025_GAO_QCTs_Sorted),"#,##0")&amp;"] in the 2025 sorted list below."</f>
        <v>There are [0] 2025 GAOs in the non-Sorted column and [0] in the 2025 sorted list below.</v>
      </c>
      <c r="DO4" s="2846"/>
      <c r="DP4" s="2504"/>
      <c r="DQ4" s="1786"/>
      <c r="DR4" s="1786"/>
      <c r="DS4" s="1786"/>
    </row>
    <row r="5" spans="1:134" ht="17.100000000000001" customHeight="1">
      <c r="O5" s="2840"/>
      <c r="Q5" s="2843"/>
      <c r="S5" s="2835"/>
      <c r="T5" s="2836"/>
      <c r="V5" s="2847"/>
      <c r="W5" s="2848"/>
      <c r="Y5" s="2847"/>
      <c r="Z5" s="2848"/>
      <c r="AB5" s="2847"/>
      <c r="AC5" s="2848"/>
      <c r="AD5" s="2851"/>
      <c r="AS5" s="2840"/>
      <c r="AU5" s="2843"/>
      <c r="AW5" s="2835"/>
      <c r="AX5" s="2836"/>
      <c r="AZ5" s="2847"/>
      <c r="BA5" s="2848"/>
      <c r="BC5" s="2847"/>
      <c r="BD5" s="2848"/>
      <c r="BF5" s="2847"/>
      <c r="BG5" s="2848"/>
      <c r="BH5" s="2864"/>
      <c r="BK5" s="1786"/>
      <c r="BL5" s="1786"/>
      <c r="BM5" s="1786"/>
      <c r="BN5" s="1786"/>
      <c r="BO5" s="1786"/>
      <c r="BP5" s="1786"/>
      <c r="BQ5" s="1786"/>
      <c r="BR5" s="1786"/>
      <c r="BS5" s="1786"/>
      <c r="BT5" s="1786"/>
      <c r="BU5" s="1786"/>
      <c r="BV5" s="1786"/>
      <c r="BW5" s="2840"/>
      <c r="BY5" s="2840"/>
      <c r="CA5" s="2835"/>
      <c r="CB5" s="2836"/>
      <c r="CD5" s="2847"/>
      <c r="CE5" s="2848"/>
      <c r="CG5" s="2847"/>
      <c r="CH5" s="2848"/>
      <c r="CJ5" s="2847"/>
      <c r="CK5" s="2848"/>
      <c r="CL5" s="1787"/>
      <c r="CM5"/>
      <c r="CN5"/>
      <c r="CO5" s="1786"/>
      <c r="CP5" s="1786"/>
      <c r="CQ5" s="1786"/>
      <c r="CR5" s="1786"/>
      <c r="CS5" s="1786"/>
      <c r="CT5" s="1786"/>
      <c r="CU5" s="1786"/>
      <c r="CV5" s="1786"/>
      <c r="CW5" s="1786"/>
      <c r="CX5" s="1786"/>
      <c r="CY5" s="1786"/>
      <c r="CZ5" s="1786"/>
      <c r="DA5" s="2840"/>
      <c r="DB5"/>
      <c r="DC5" s="2840"/>
      <c r="DD5"/>
      <c r="DE5" s="2835"/>
      <c r="DF5" s="2836"/>
      <c r="DG5"/>
      <c r="DH5" s="2847"/>
      <c r="DI5" s="2848"/>
      <c r="DJ5"/>
      <c r="DK5" s="2847"/>
      <c r="DL5" s="2848"/>
      <c r="DM5"/>
      <c r="DN5" s="2847"/>
      <c r="DO5" s="2848"/>
      <c r="DP5" s="2504"/>
      <c r="DQ5" s="1786"/>
      <c r="DR5" s="1786"/>
      <c r="DS5" s="1786"/>
    </row>
    <row r="6" spans="1:134" ht="17.100000000000001" customHeight="1">
      <c r="A6" s="2627" t="s">
        <v>2596</v>
      </c>
      <c r="B6" s="2736"/>
      <c r="F6" s="2627" t="s">
        <v>2596</v>
      </c>
      <c r="G6" s="2736"/>
      <c r="I6" s="2627" t="s">
        <v>2596</v>
      </c>
      <c r="J6" s="2736"/>
      <c r="L6" s="2627" t="s">
        <v>2596</v>
      </c>
      <c r="M6" s="2736"/>
      <c r="O6" s="2840"/>
      <c r="Q6" s="2843"/>
      <c r="S6" s="2835"/>
      <c r="T6" s="2836"/>
      <c r="V6" s="2847"/>
      <c r="W6" s="2848"/>
      <c r="Y6" s="2847"/>
      <c r="Z6" s="2848"/>
      <c r="AB6" s="2847"/>
      <c r="AC6" s="2848"/>
      <c r="AD6" s="2851"/>
      <c r="AE6" s="2627" t="s">
        <v>2596</v>
      </c>
      <c r="AF6" s="2736"/>
      <c r="AJ6" s="2627" t="s">
        <v>2596</v>
      </c>
      <c r="AK6" s="2736"/>
      <c r="AM6" s="2627" t="s">
        <v>2596</v>
      </c>
      <c r="AN6" s="2736"/>
      <c r="AP6" s="2627" t="s">
        <v>2596</v>
      </c>
      <c r="AQ6" s="2736"/>
      <c r="AS6" s="2840"/>
      <c r="AU6" s="2843"/>
      <c r="AW6" s="2835"/>
      <c r="AX6" s="2836"/>
      <c r="AZ6" s="2847"/>
      <c r="BA6" s="2848"/>
      <c r="BC6" s="2847"/>
      <c r="BD6" s="2848"/>
      <c r="BF6" s="2847"/>
      <c r="BG6" s="2848"/>
      <c r="BH6" s="2864"/>
      <c r="BI6" s="2627" t="s">
        <v>2596</v>
      </c>
      <c r="BJ6" s="2736"/>
      <c r="BN6" s="2627" t="s">
        <v>2596</v>
      </c>
      <c r="BO6" s="2736"/>
      <c r="BQ6" s="2627" t="s">
        <v>2596</v>
      </c>
      <c r="BR6" s="2736"/>
      <c r="BT6" s="2627" t="s">
        <v>2596</v>
      </c>
      <c r="BU6" s="2736"/>
      <c r="BV6" s="1786"/>
      <c r="BW6" s="2840"/>
      <c r="BY6" s="2840"/>
      <c r="CA6" s="2835"/>
      <c r="CB6" s="2836"/>
      <c r="CD6" s="2847"/>
      <c r="CE6" s="2848"/>
      <c r="CG6" s="2847"/>
      <c r="CH6" s="2848"/>
      <c r="CJ6" s="2847"/>
      <c r="CK6" s="2848"/>
      <c r="CL6" s="1787"/>
      <c r="CM6" s="2627" t="s">
        <v>2596</v>
      </c>
      <c r="CN6" s="2736"/>
      <c r="CO6"/>
      <c r="CP6"/>
      <c r="CQ6"/>
      <c r="CR6" s="2627" t="s">
        <v>2596</v>
      </c>
      <c r="CS6" s="2736"/>
      <c r="CT6"/>
      <c r="CU6" s="2627" t="s">
        <v>2596</v>
      </c>
      <c r="CV6" s="2736"/>
      <c r="CW6"/>
      <c r="CX6" s="2627" t="s">
        <v>2596</v>
      </c>
      <c r="CY6" s="2736"/>
      <c r="CZ6" s="1786"/>
      <c r="DA6" s="2840"/>
      <c r="DB6"/>
      <c r="DC6" s="2840"/>
      <c r="DD6"/>
      <c r="DE6" s="2835"/>
      <c r="DF6" s="2836"/>
      <c r="DG6"/>
      <c r="DH6" s="2847"/>
      <c r="DI6" s="2848"/>
      <c r="DJ6"/>
      <c r="DK6" s="2847"/>
      <c r="DL6" s="2848"/>
      <c r="DM6"/>
      <c r="DN6" s="2847"/>
      <c r="DO6" s="2848"/>
      <c r="DP6" s="2504"/>
      <c r="DQ6" s="1786"/>
      <c r="DR6" s="1786"/>
      <c r="DS6" s="1786"/>
    </row>
    <row r="7" spans="1:134" ht="17.100000000000001" customHeight="1">
      <c r="A7" s="1786">
        <f>COUNTIF(B13:B360,B7)</f>
        <v>42</v>
      </c>
      <c r="B7" s="1786" t="str" cm="1">
        <f t="array" ref="B7">IFERROR(_xlfn.SINGLE(INDEX(B13:B360,MODE(MATCH(B13:B360,B13:B360,0)))),"NA")</f>
        <v>Miami-Dade</v>
      </c>
      <c r="C7" s="1786"/>
      <c r="D7" s="1786"/>
      <c r="E7" s="1786"/>
      <c r="F7" s="1786">
        <f>COUNTIF(G13:G738,G7)</f>
        <v>151</v>
      </c>
      <c r="G7" s="1786" t="str" cm="1">
        <f t="array" ref="G7">IFERROR(_xlfn.SINGLE(INDEX(G13:G738,MODE(MATCH(G13:G738,G13:G738,0)))),"NA")</f>
        <v>Miami-Dade</v>
      </c>
      <c r="H7" s="1786"/>
      <c r="I7" s="1786">
        <f>COUNTIF(J13:J42,J7)</f>
        <v>6</v>
      </c>
      <c r="J7" s="1786" t="str" cm="1">
        <f t="array" ref="J7">IFERROR(_xlfn.SINGLE(INDEX(J13:J42,MODE(MATCH(J13:J42,J13:J42,0)))),"NA")</f>
        <v>Putnam</v>
      </c>
      <c r="L7" s="1786">
        <f>COUNTIF(M13:M2313,M7)</f>
        <v>284</v>
      </c>
      <c r="M7" s="1786" t="str" cm="1">
        <f t="array" ref="M7">IFERROR(_xlfn.SINGLE(INDEX(M13:M2313,MODE(MATCH(M13:M2313,M13:M2313,0)))),"NA")</f>
        <v>Miami-Dade</v>
      </c>
      <c r="O7" s="2840"/>
      <c r="Q7" s="2843"/>
      <c r="S7" s="2835"/>
      <c r="T7" s="2836"/>
      <c r="V7" s="2847"/>
      <c r="W7" s="2848"/>
      <c r="Y7" s="2847"/>
      <c r="Z7" s="2848"/>
      <c r="AB7" s="2847"/>
      <c r="AC7" s="2848"/>
      <c r="AD7" s="2851"/>
      <c r="AE7" s="1786">
        <f>COUNTIF(AF13:AF365,AF7)</f>
        <v>47</v>
      </c>
      <c r="AF7" s="1786" t="str" cm="1">
        <f t="array" ref="AF7">IFERROR(_xlfn.SINGLE(INDEX(AF13:AF365,MODE(MATCH(AF13:AF365,AF13:AF365,0)))),"NA")</f>
        <v>Miami-Dade</v>
      </c>
      <c r="AG7" s="1786"/>
      <c r="AH7" s="1786"/>
      <c r="AI7" s="1786"/>
      <c r="AJ7" s="1786">
        <f>COUNTIF(AK13:AK814,AK7)</f>
        <v>214</v>
      </c>
      <c r="AK7" s="1786" t="str" cm="1">
        <f t="array" ref="AK7">IFERROR(_xlfn.SINGLE(INDEX(AK13:AK814,MODE(MATCH(AK13:AK814,AK13:AK814,0)))),"NA")</f>
        <v>Miami-Dade</v>
      </c>
      <c r="AL7" s="1786"/>
      <c r="AM7" s="1786">
        <f>COUNTIF(AN13:AN48,AN7)</f>
        <v>7</v>
      </c>
      <c r="AN7" s="1786" t="str" cm="1">
        <f t="array" ref="AN7">IFERROR(_xlfn.SINGLE(INDEX(AN13:AN48,MODE(MATCH(AN13:AN48,AN13:AN48,0)))),"NA")</f>
        <v>Putnam</v>
      </c>
      <c r="AP7" s="1786">
        <f>COUNTIF(AQ13:AQ2950,AQ7)</f>
        <v>426</v>
      </c>
      <c r="AQ7" s="1786" t="str" cm="1">
        <f t="array" ref="AQ7">IFERROR(_xlfn.SINGLE(INDEX(AQ13:AQ2950,MODE(MATCH(AQ13:AQ2950,AQ13:AQ2950,0)))),"NA")</f>
        <v>Miami-Dade</v>
      </c>
      <c r="AS7" s="2840"/>
      <c r="AU7" s="2843"/>
      <c r="AW7" s="2835"/>
      <c r="AX7" s="2836"/>
      <c r="AZ7" s="2847"/>
      <c r="BA7" s="2848"/>
      <c r="BC7" s="2847"/>
      <c r="BD7" s="2848"/>
      <c r="BF7" s="2847"/>
      <c r="BG7" s="2848"/>
      <c r="BH7" s="2864"/>
      <c r="BI7" s="1786">
        <f>COUNTIF(BJ13:BJ410,BJ7)</f>
        <v>48</v>
      </c>
      <c r="BJ7" s="1786" t="str" cm="1">
        <f t="array" ref="BJ7">IFERROR(_xlfn.SINGLE(INDEX(BJ13:BJ410,MODE(MATCH(BJ13:BJ410,BJ13:BJ410,0)))),"NA")</f>
        <v>Miami-Dade</v>
      </c>
      <c r="BK7" s="1786"/>
      <c r="BL7" s="1786"/>
      <c r="BM7" s="1786"/>
      <c r="BN7" s="1786">
        <f>COUNTIF(BO13:BO4972,BO7)</f>
        <v>707</v>
      </c>
      <c r="BO7" s="1786" t="str" cm="1">
        <f t="array" ref="BO7">IFERROR(_xlfn.SINGLE(INDEX(BO13:BO4972,MODE(MATCH(BO13:BO4972,BO13:BO4972,0)))),"NA")</f>
        <v>Miami-Dade</v>
      </c>
      <c r="BP7" s="1786"/>
      <c r="BQ7" s="1786">
        <f>COUNTIF(BR13:BR212,BR7)</f>
        <v>29</v>
      </c>
      <c r="BR7" s="1786" t="str" cm="1">
        <f t="array" ref="BR7">IFERROR(_xlfn.SINGLE(INDEX(BR13:BR212,MODE(MATCH(BR13:BR212,BR13:BR212,0)))),"NA")</f>
        <v>Monroe</v>
      </c>
      <c r="BS7" s="1786"/>
      <c r="BT7" s="1786">
        <f>COUNTIF(DS_2024_GAO_Counties,BU7)</f>
        <v>414</v>
      </c>
      <c r="BU7" s="1786" t="str" cm="1">
        <f t="array" ref="BU7">IFERROR(_xlfn.SINGLE(INDEX(DS_2024_GAO_Counties,MODE(MATCH(DS_2024_GAO_Counties,DS_2024_GAO_Counties,0)))),"NA")</f>
        <v>Miami-Dade</v>
      </c>
      <c r="BV7" s="1786"/>
      <c r="BW7" s="2840"/>
      <c r="BY7" s="2840"/>
      <c r="CA7" s="2835"/>
      <c r="CB7" s="2836"/>
      <c r="CD7" s="2847"/>
      <c r="CE7" s="2848"/>
      <c r="CG7" s="2847"/>
      <c r="CH7" s="2848"/>
      <c r="CJ7" s="2847"/>
      <c r="CK7" s="2848"/>
      <c r="CL7" s="1787"/>
      <c r="CM7" s="1786">
        <f>COUNTIF(CN13:CN450,CN7)</f>
        <v>0</v>
      </c>
      <c r="CN7" s="1786" t="str" cm="1">
        <f t="array" ref="CN7">IFERROR(_xlfn.SINGLE(INDEX(CN13:CN450,MODE(MATCH(CN13:CN450,CN13:CN450,0)))),"NA")</f>
        <v>NA</v>
      </c>
      <c r="CO7" s="1786"/>
      <c r="CP7" s="1786"/>
      <c r="CQ7" s="1786"/>
      <c r="CR7" s="1786">
        <f>COUNTIF(CS13:CS4972,CS7)</f>
        <v>0</v>
      </c>
      <c r="CS7" s="1786" t="str" cm="1">
        <f t="array" ref="CS7">IFERROR(_xlfn.SINGLE(INDEX(CS13:CS4972,MODE(MATCH(CS13:CS4972,CS13:CS4972,0)))),"NA")</f>
        <v>NA</v>
      </c>
      <c r="CT7" s="1786"/>
      <c r="CU7" s="1786">
        <f>COUNTIF(CV13:CV212,CV7)</f>
        <v>0</v>
      </c>
      <c r="CV7" s="1786" t="str" cm="1">
        <f t="array" ref="CV7">IFERROR(_xlfn.SINGLE(INDEX(CV13:CV212,MODE(MATCH(CV13:CV212,CV13:CV212,0)))),"NA")</f>
        <v>NA</v>
      </c>
      <c r="CW7" s="1786"/>
      <c r="CX7" s="1786" cm="1">
        <f t="array" ref="CX7">IFERROR(COUNTIF(DS_2025_GAO_Counties,CY7),0)</f>
        <v>0</v>
      </c>
      <c r="CY7" s="1786" t="str" cm="1">
        <f t="array" ref="CY7">IFERROR(_xlfn.SINGLE(INDEX(DS_2025_GAO_Counties,MODE(MATCH(DS_2025_GAO_Counties,DS_2025_GAO_Counties,0)))),"NA")</f>
        <v>NA</v>
      </c>
      <c r="CZ7" s="1786"/>
      <c r="DA7" s="2840"/>
      <c r="DB7"/>
      <c r="DC7" s="2840"/>
      <c r="DD7"/>
      <c r="DE7" s="2835"/>
      <c r="DF7" s="2836"/>
      <c r="DG7"/>
      <c r="DH7" s="2847"/>
      <c r="DI7" s="2848"/>
      <c r="DJ7"/>
      <c r="DK7" s="2847"/>
      <c r="DL7" s="2848"/>
      <c r="DM7"/>
      <c r="DN7" s="2847"/>
      <c r="DO7" s="2848"/>
      <c r="DP7" s="2504"/>
      <c r="DQ7" s="1786"/>
      <c r="DR7" s="1786"/>
      <c r="DS7" s="1786"/>
    </row>
    <row r="8" spans="1:134" ht="17.100000000000001" customHeight="1">
      <c r="O8" s="2841"/>
      <c r="Q8" s="2844"/>
      <c r="R8" s="24"/>
      <c r="S8" s="2837"/>
      <c r="T8" s="2838"/>
      <c r="U8" s="24"/>
      <c r="V8" s="2849"/>
      <c r="W8" s="2850"/>
      <c r="Y8" s="2849"/>
      <c r="Z8" s="2850"/>
      <c r="AB8" s="2849"/>
      <c r="AC8" s="2850"/>
      <c r="AD8" s="2851"/>
      <c r="AS8" s="2841"/>
      <c r="AU8" s="2844"/>
      <c r="AW8" s="2837"/>
      <c r="AX8" s="2838"/>
      <c r="AZ8" s="2849"/>
      <c r="BA8" s="2850"/>
      <c r="BC8" s="2849"/>
      <c r="BD8" s="2850"/>
      <c r="BF8" s="2849"/>
      <c r="BG8" s="2850"/>
      <c r="BH8" s="2864"/>
      <c r="BI8" s="1786"/>
      <c r="BJ8" s="1786"/>
      <c r="BK8" s="1786"/>
      <c r="BL8" s="1786"/>
      <c r="BM8" s="1786"/>
      <c r="BN8" s="1786"/>
      <c r="BO8" s="1786"/>
      <c r="BP8" s="1786"/>
      <c r="BQ8" s="1786"/>
      <c r="BR8" s="1786"/>
      <c r="BS8" s="1786"/>
      <c r="BT8" s="1786"/>
      <c r="BU8" s="1786"/>
      <c r="BV8" s="1786"/>
      <c r="BW8" s="2841"/>
      <c r="BY8" s="2841"/>
      <c r="CA8" s="2837"/>
      <c r="CB8" s="2838"/>
      <c r="CD8" s="2849"/>
      <c r="CE8" s="2850"/>
      <c r="CG8" s="2849"/>
      <c r="CH8" s="2850"/>
      <c r="CJ8" s="2849"/>
      <c r="CK8" s="2850"/>
      <c r="CL8" s="1787"/>
      <c r="CM8" s="1786"/>
      <c r="CN8" s="1786"/>
      <c r="CO8" s="1786"/>
      <c r="CP8" s="1786"/>
      <c r="CQ8" s="1786"/>
      <c r="CR8" s="1786"/>
      <c r="CS8" s="1786"/>
      <c r="CT8" s="1786"/>
      <c r="CU8" s="1786"/>
      <c r="CV8" s="1786"/>
      <c r="CW8" s="1786"/>
      <c r="CX8" s="1786"/>
      <c r="CY8" s="1786"/>
      <c r="CZ8" s="1786"/>
      <c r="DA8" s="2841"/>
      <c r="DB8"/>
      <c r="DC8" s="2841"/>
      <c r="DD8"/>
      <c r="DE8" s="2837"/>
      <c r="DF8" s="2838"/>
      <c r="DG8"/>
      <c r="DH8" s="2849"/>
      <c r="DI8" s="2850"/>
      <c r="DJ8"/>
      <c r="DK8" s="2849"/>
      <c r="DL8" s="2850"/>
      <c r="DM8"/>
      <c r="DN8" s="2849"/>
      <c r="DO8" s="2850"/>
      <c r="DP8" s="2504"/>
      <c r="DQ8" s="1786"/>
      <c r="DR8" s="1786"/>
      <c r="DS8" s="1786"/>
    </row>
    <row r="9" spans="1:134" ht="30" customHeight="1">
      <c r="A9" s="2871" t="s">
        <v>28</v>
      </c>
      <c r="B9" s="2872"/>
      <c r="D9" s="1736" t="s">
        <v>24</v>
      </c>
      <c r="F9" s="2855" t="s">
        <v>22</v>
      </c>
      <c r="G9" s="2856"/>
      <c r="I9" s="2855" t="s">
        <v>26</v>
      </c>
      <c r="J9" s="2856"/>
      <c r="L9" s="2879" t="s">
        <v>20</v>
      </c>
      <c r="M9" s="2880"/>
      <c r="O9" s="1735" t="s">
        <v>5</v>
      </c>
      <c r="P9" s="50"/>
      <c r="Q9" s="848" t="s">
        <v>4</v>
      </c>
      <c r="R9" s="846"/>
      <c r="S9" s="2881" t="s">
        <v>12</v>
      </c>
      <c r="T9" s="2882"/>
      <c r="U9" s="846"/>
      <c r="V9" s="2883" t="s">
        <v>9</v>
      </c>
      <c r="W9" s="2884"/>
      <c r="X9" s="846"/>
      <c r="Y9" s="2883" t="s">
        <v>11</v>
      </c>
      <c r="Z9" s="2884"/>
      <c r="AB9" s="2853"/>
      <c r="AC9" s="2854"/>
      <c r="AD9" s="2851"/>
      <c r="AE9" s="2871" t="s">
        <v>29</v>
      </c>
      <c r="AF9" s="2872"/>
      <c r="AH9" s="1736" t="s">
        <v>25</v>
      </c>
      <c r="AJ9" s="2855" t="s">
        <v>23</v>
      </c>
      <c r="AK9" s="2856"/>
      <c r="AM9" s="2855" t="s">
        <v>27</v>
      </c>
      <c r="AN9" s="2856"/>
      <c r="AP9" s="2860" t="s">
        <v>665</v>
      </c>
      <c r="AQ9" s="2861"/>
      <c r="AS9" s="1735" t="s">
        <v>14</v>
      </c>
      <c r="AU9" s="848" t="s">
        <v>13</v>
      </c>
      <c r="AW9" s="2871" t="s">
        <v>19</v>
      </c>
      <c r="AX9" s="2872"/>
      <c r="AZ9" s="2855" t="s">
        <v>16</v>
      </c>
      <c r="BA9" s="2856"/>
      <c r="BC9" s="2855" t="s">
        <v>18</v>
      </c>
      <c r="BD9" s="2856"/>
      <c r="BF9" s="2853"/>
      <c r="BG9" s="2854"/>
      <c r="BH9" s="2864"/>
      <c r="BI9" s="2871" t="s">
        <v>2340</v>
      </c>
      <c r="BJ9" s="2872"/>
      <c r="BL9" s="1736" t="s">
        <v>2341</v>
      </c>
      <c r="BN9" s="2855" t="s">
        <v>2342</v>
      </c>
      <c r="BO9" s="2856"/>
      <c r="BQ9" s="2855" t="s">
        <v>2343</v>
      </c>
      <c r="BR9" s="2856"/>
      <c r="BT9" s="2886" t="s">
        <v>2356</v>
      </c>
      <c r="BU9" s="2887"/>
      <c r="BW9" s="1735" t="s">
        <v>2344</v>
      </c>
      <c r="BY9" s="848" t="s">
        <v>2345</v>
      </c>
      <c r="CA9" s="2871" t="s">
        <v>2346</v>
      </c>
      <c r="CB9" s="2872"/>
      <c r="CD9" s="2855" t="s">
        <v>2347</v>
      </c>
      <c r="CE9" s="2856"/>
      <c r="CG9" s="2855" t="s">
        <v>2348</v>
      </c>
      <c r="CH9" s="2856"/>
      <c r="CJ9" s="2853"/>
      <c r="CK9" s="2854"/>
      <c r="CL9" s="1787"/>
      <c r="CM9" s="2871" t="s">
        <v>2816</v>
      </c>
      <c r="CN9" s="2872"/>
      <c r="CO9"/>
      <c r="CP9" s="1736" t="s">
        <v>2817</v>
      </c>
      <c r="CQ9"/>
      <c r="CR9" s="2855" t="s">
        <v>2818</v>
      </c>
      <c r="CS9" s="2856"/>
      <c r="CT9"/>
      <c r="CU9" s="2855" t="s">
        <v>2819</v>
      </c>
      <c r="CV9" s="2856"/>
      <c r="CW9"/>
      <c r="CX9" s="2886" t="s">
        <v>2836</v>
      </c>
      <c r="CY9" s="2887"/>
      <c r="CZ9"/>
      <c r="DA9" s="1735" t="s">
        <v>2820</v>
      </c>
      <c r="DB9"/>
      <c r="DC9" s="848" t="s">
        <v>2821</v>
      </c>
      <c r="DD9"/>
      <c r="DE9" s="2871" t="s">
        <v>2822</v>
      </c>
      <c r="DF9" s="2872"/>
      <c r="DG9"/>
      <c r="DH9" s="2855" t="s">
        <v>2823</v>
      </c>
      <c r="DI9" s="2856"/>
      <c r="DJ9"/>
      <c r="DK9" s="2855" t="s">
        <v>2824</v>
      </c>
      <c r="DL9" s="2856"/>
      <c r="DM9"/>
      <c r="DN9" s="2853"/>
      <c r="DO9" s="2854"/>
      <c r="DP9" s="2504"/>
      <c r="DQ9" s="1786"/>
      <c r="DR9" s="1786"/>
      <c r="DS9" s="1786"/>
      <c r="DT9" s="10" t="s">
        <v>1703</v>
      </c>
      <c r="EA9" s="2304" t="s">
        <v>2650</v>
      </c>
    </row>
    <row r="10" spans="1:134" ht="15" customHeight="1">
      <c r="G10" s="1078" t="s">
        <v>8</v>
      </c>
      <c r="H10" s="24"/>
      <c r="I10" s="24"/>
      <c r="J10" s="1078" t="s">
        <v>10</v>
      </c>
      <c r="M10" s="851" t="s">
        <v>6</v>
      </c>
      <c r="Q10" s="106" t="s">
        <v>30</v>
      </c>
      <c r="AB10" s="849" t="s">
        <v>7</v>
      </c>
      <c r="AD10" s="1138"/>
      <c r="AK10" s="850" t="s">
        <v>15</v>
      </c>
      <c r="AN10" s="845" t="s">
        <v>17</v>
      </c>
      <c r="AQ10" s="845" t="s">
        <v>666</v>
      </c>
      <c r="AS10" s="846"/>
      <c r="AU10" s="106" t="s">
        <v>30</v>
      </c>
      <c r="AW10" s="50"/>
      <c r="AX10" s="50"/>
      <c r="AZ10" s="50"/>
      <c r="BA10" s="50"/>
      <c r="BC10" s="50"/>
      <c r="BD10" s="50"/>
      <c r="BF10" s="849" t="s">
        <v>2416</v>
      </c>
      <c r="BH10" s="2864"/>
      <c r="BO10" s="850" t="s">
        <v>2349</v>
      </c>
      <c r="BR10" s="845" t="s">
        <v>2350</v>
      </c>
      <c r="BU10" s="1798" t="s">
        <v>2351</v>
      </c>
      <c r="BW10" s="846"/>
      <c r="BY10" s="106" t="s">
        <v>30</v>
      </c>
      <c r="CA10" s="50"/>
      <c r="CB10" s="50"/>
      <c r="CD10" s="50"/>
      <c r="CE10" s="50"/>
      <c r="CG10" s="50"/>
      <c r="CH10" s="50"/>
      <c r="CJ10" s="1797" t="s">
        <v>2597</v>
      </c>
      <c r="CL10" s="1787"/>
      <c r="CM10"/>
      <c r="CN10"/>
      <c r="CO10"/>
      <c r="CP10"/>
      <c r="CQ10"/>
      <c r="CR10"/>
      <c r="CS10" s="850" t="s">
        <v>2825</v>
      </c>
      <c r="CT10"/>
      <c r="CU10"/>
      <c r="CV10" s="845" t="s">
        <v>2826</v>
      </c>
      <c r="CW10"/>
      <c r="CX10"/>
      <c r="CY10" s="1798" t="s">
        <v>2827</v>
      </c>
      <c r="CZ10"/>
      <c r="DA10" s="846"/>
      <c r="DB10"/>
      <c r="DC10" s="106" t="s">
        <v>30</v>
      </c>
      <c r="DD10"/>
      <c r="DE10" s="50"/>
      <c r="DF10" s="50"/>
      <c r="DG10"/>
      <c r="DH10" s="50"/>
      <c r="DI10" s="50"/>
      <c r="DJ10"/>
      <c r="DK10" s="50"/>
      <c r="DL10" s="50"/>
      <c r="DM10"/>
      <c r="DN10" s="1797" t="s">
        <v>2828</v>
      </c>
      <c r="DO10"/>
      <c r="DP10" s="2504"/>
      <c r="DQ10" s="1786"/>
      <c r="DR10" s="1786"/>
      <c r="DS10" s="1786"/>
    </row>
    <row r="11" spans="1:134">
      <c r="G11" s="833" t="s">
        <v>667</v>
      </c>
      <c r="J11" s="833" t="s">
        <v>667</v>
      </c>
      <c r="M11" s="833" t="s">
        <v>667</v>
      </c>
      <c r="O11" s="785" t="str">
        <f>IF(NOT(ISNA(VLOOKUP(County,DS_2022_Metro_QCT_Counties,1,FALSE))),"Metro",IF(NOT(ISNA(VLOOKUP(County,DS_2022_NonMetro_QCT_Counties,1,FALSE))),"Non-Metro",IF(AND(ISNA(VLOOKUP(County,DS_2022_NonMetro_QCT_Counties,1,FALSE)),ISNA(VLOOKUP(County,DS_2022_Metro_QCT_Counties,1,FALSE))),"Neither","")))</f>
        <v>Neither</v>
      </c>
      <c r="Q11" s="785" t="str">
        <f>Geo_Area_of_Opp_boost</f>
        <v>&lt;select from menu&gt;</v>
      </c>
      <c r="AB11" s="833" t="s">
        <v>667</v>
      </c>
      <c r="AD11" s="1138"/>
      <c r="AF11" s="2410"/>
      <c r="AK11" s="106" t="s">
        <v>667</v>
      </c>
      <c r="AN11" s="106" t="s">
        <v>667</v>
      </c>
      <c r="AQ11" s="833" t="s">
        <v>667</v>
      </c>
      <c r="AS11" s="785" t="str">
        <f>IF(NOT(ISNA(VLOOKUP(County,DS_2023_Metro_QCT_Counties,1,FALSE))),"Metro",IF(NOT(ISNA(VLOOKUP(County,DS_2023_NonMetro_QCT_Counties,1,FALSE))),"Non-Metro",IF(AND(ISNA(VLOOKUP(County,DS_2023_NonMetro_QCT_Counties,1,FALSE)),ISNA(VLOOKUP(County,DS_2023_Metro_QCT_Counties,1,FALSE))),"Neither","")))</f>
        <v>Neither</v>
      </c>
      <c r="AU11" s="785" t="str">
        <f>Geo_Area_of_Opp_boost</f>
        <v>&lt;select from menu&gt;</v>
      </c>
      <c r="BF11" s="833" t="s">
        <v>667</v>
      </c>
      <c r="BH11" s="2864"/>
      <c r="BJ11" s="2410"/>
      <c r="BO11" s="106" t="s">
        <v>667</v>
      </c>
      <c r="BR11" s="106" t="s">
        <v>667</v>
      </c>
      <c r="BU11" s="833" t="s">
        <v>667</v>
      </c>
      <c r="BW11" s="785" t="str">
        <f>IF(NOT(ISNA(VLOOKUP(County,DS_2024_Metro_QCT_Counties,1,FALSE))),"Metro",IF(NOT(ISNA(VLOOKUP(County,DS_2024_NonMetro_QCT_Counties,1,FALSE))),"Non-Metro",IF(AND(ISNA(VLOOKUP(County,DS_2024_NonMetro_QCT_Counties,1,FALSE)),ISNA(VLOOKUP(County,DS_2024_Metro_QCT_Counties,1,FALSE))),"Neither","")))</f>
        <v>Neither</v>
      </c>
      <c r="BY11" s="785" t="str">
        <f>Geo_Area_of_Opp_boost</f>
        <v>&lt;select from menu&gt;</v>
      </c>
      <c r="CJ11" s="833" t="s">
        <v>667</v>
      </c>
      <c r="CL11" s="1787"/>
      <c r="CM11"/>
      <c r="CN11" s="2410"/>
      <c r="CO11"/>
      <c r="CP11"/>
      <c r="CQ11"/>
      <c r="CR11"/>
      <c r="CS11" s="106" t="s">
        <v>667</v>
      </c>
      <c r="CT11"/>
      <c r="CU11"/>
      <c r="CV11" s="106" t="s">
        <v>667</v>
      </c>
      <c r="CW11"/>
      <c r="CX11"/>
      <c r="CY11" s="833" t="s">
        <v>667</v>
      </c>
      <c r="CZ11"/>
      <c r="DA11" s="785" t="str">
        <f>IF(NOT(ISNA(VLOOKUP(County,DS_2025_Metro_QCT_Counties,1,FALSE))),"Metro",IF(NOT(ISNA(VLOOKUP(County,DS_2025_NonMetro_QCT_Counties,1,FALSE))),"Non-Metro",IF(AND(ISNA(VLOOKUP(County,DS_2025_NonMetro_QCT_Counties,1,FALSE)),ISNA(VLOOKUP(County,DS_2025_Metro_QCT_Counties,1,FALSE))),"Neither","")))</f>
        <v>Neither</v>
      </c>
      <c r="DB11"/>
      <c r="DC11" s="785" t="str">
        <f>Geo_Area_of_Opp_boost</f>
        <v>&lt;select from menu&gt;</v>
      </c>
      <c r="DD11"/>
      <c r="DE11"/>
      <c r="DF11"/>
      <c r="DG11"/>
      <c r="DH11"/>
      <c r="DI11"/>
      <c r="DJ11"/>
      <c r="DK11"/>
      <c r="DL11"/>
      <c r="DM11"/>
      <c r="DN11" s="833" t="s">
        <v>667</v>
      </c>
      <c r="DO11"/>
      <c r="DP11" s="2504"/>
      <c r="DQ11" s="1786"/>
      <c r="DR11" s="1786"/>
      <c r="DS11" s="1786"/>
    </row>
    <row r="12" spans="1:134" ht="30" customHeight="1">
      <c r="A12" s="2857" t="str">
        <f>"2022 ZCTAs"&amp;CHAR(10)&amp;"(last row is "&amp;TEXT(12+COUNTA(DS_ZCTAs_2022)/2,"#,##0")&amp;")"</f>
        <v>2022 ZCTAs
(last row is 360)</v>
      </c>
      <c r="B12" s="2858"/>
      <c r="D12" s="1737" t="str">
        <f>"2022 Non-Metro DDA's"&amp;CHAR(10)&amp;"(last row is "&amp;TEXT(12+COUNTA(DS_NonMetro_DDAs_2022),"#,##0")&amp;")"</f>
        <v>2022 Non-Metro DDA's
(last row is 35)</v>
      </c>
      <c r="F12" s="2857" t="str">
        <f>"2022 Metro QCT's"&amp;CHAR(10)&amp;"(last row is "&amp;TEXT(12+COUNTA(DS_Metro_QCTs_2022)/2,"#,##0")&amp;")"</f>
        <v>2022 Metro QCT's
(last row is 738)</v>
      </c>
      <c r="G12" s="2858"/>
      <c r="I12" s="2857" t="str">
        <f>"2022 Non-Metro QCT's"&amp;CHAR(10)&amp;"(last row is "&amp;TEXT(12+COUNTA(DS_NonMetro_QCTs_2022)/2,"#,##0")&amp;")"</f>
        <v>2022 Non-Metro QCT's
(last row is 42)</v>
      </c>
      <c r="J12" s="2858"/>
      <c r="K12" s="484"/>
      <c r="L12" s="2857" t="str">
        <f>"GAO's effective 2/1/22"&amp;CHAR(10)&amp;"(last row is "&amp;TEXT(12+COUNTA(DS_GAOs_effective2.1.22)/2,"#,##0")&amp;")"</f>
        <v>GAO's effective 2/1/22
(last row is 2,313)</v>
      </c>
      <c r="M12" s="2858"/>
      <c r="N12" s="484"/>
      <c r="O12" s="838" t="str">
        <f>"2022 QCTs in "&amp;County&amp;CHAR(10)&amp;"(last row is "&amp;TEXT(12+COUNTA(DS_2022_County_QCTs),"#,##0")&amp;")"</f>
        <v>2022 QCTs in &lt;select one&gt;
(last row is 171)</v>
      </c>
      <c r="P12" s="484"/>
      <c r="Q12" s="838" t="str">
        <f>"2022 GAOs in "&amp;County&amp;CHAR(10)&amp;"(last row is "&amp;TEXT(12+COUNTA(DS_2022_County_GAOs),"#,##0")&amp;")"</f>
        <v>2022 GAOs in &lt;select one&gt;
(last row is 301)</v>
      </c>
      <c r="S12" s="2857" t="s">
        <v>668</v>
      </c>
      <c r="T12" s="2859"/>
      <c r="V12" s="2857" t="s">
        <v>669</v>
      </c>
      <c r="W12" s="2858"/>
      <c r="Y12" s="2857" t="s">
        <v>670</v>
      </c>
      <c r="Z12" s="2858"/>
      <c r="AB12" s="2857" t="s">
        <v>671</v>
      </c>
      <c r="AC12" s="2859"/>
      <c r="AD12" s="1138"/>
      <c r="AE12" s="2857" t="str">
        <f>"2023 ZCTAs"&amp;CHAR(10)&amp;"(last row is "&amp;TEXT(12+COUNTA(DS_ZCTAs_2023)/2,"#,##0")&amp;")"</f>
        <v>2023 ZCTAs
(last row is 365)</v>
      </c>
      <c r="AF12" s="2858"/>
      <c r="AH12" s="1737" t="str">
        <f>"2023 Non-Metro DDA's"&amp;CHAR(10)&amp;"(last row is "&amp;TEXT(12+COUNTA(DS_NonMetro_DDAs_2023),"#,##0")&amp;")"</f>
        <v>2023 Non-Metro DDA's
(last row is 35)</v>
      </c>
      <c r="AJ12" s="2857" t="str">
        <f>"2023 Metro QCT's"&amp;CHAR(10)&amp;"(last row is "&amp;TEXT(12+COUNTA(DS_Metro_QCTs_2023)/2,"#,##0")&amp;")"</f>
        <v>2023 Metro QCT's
(last row is 814)</v>
      </c>
      <c r="AK12" s="2858"/>
      <c r="AM12" s="2857" t="str">
        <f>"2023 Non-Metro QCT's"&amp;CHAR(10)&amp;"(last row is "&amp;TEXT(12+COUNTA(DS_NonMetro_QCTs_2023)/2,"#,##0")&amp;")"</f>
        <v>2023 Non-Metro QCT's
(last row is 48)</v>
      </c>
      <c r="AN12" s="2858"/>
      <c r="AP12" s="2857" t="str">
        <f>"GAO's effective 2/1/23"&amp;CHAR(10)&amp;"(last row is "&amp;TEXT(12+COUNTA(DS_GAOs_effective2.1.23)/2,"#,##0")&amp;")"</f>
        <v>GAO's effective 2/1/23
(last row is 2,950)</v>
      </c>
      <c r="AQ12" s="2858"/>
      <c r="AS12" s="838" t="str">
        <f>"2023 QCTs in "&amp;County&amp;CHAR(10)&amp;"(last row is "&amp;TEXT(12+COUNTA(DS_2023_County_QCTs),"#,##0")&amp;")"</f>
        <v>2023 QCTs in &lt;select one&gt;
(last row is 235)</v>
      </c>
      <c r="AU12" s="838" t="str">
        <f>"2023 GAOs in "&amp;County&amp;CHAR(10)&amp;"(last row is "&amp;TEXT(12+COUNTA(DS_2023_County_GAOs),"#,##0")&amp;")"</f>
        <v>2023 GAOs in &lt;select one&gt;
(last row is 513)</v>
      </c>
      <c r="AW12" s="2857" t="s">
        <v>672</v>
      </c>
      <c r="AX12" s="2859"/>
      <c r="AZ12" s="2857" t="s">
        <v>673</v>
      </c>
      <c r="BA12" s="2858"/>
      <c r="BC12" s="2857" t="s">
        <v>674</v>
      </c>
      <c r="BD12" s="2858"/>
      <c r="BF12" s="2869" t="s">
        <v>675</v>
      </c>
      <c r="BG12" s="2870"/>
      <c r="BH12" s="1790"/>
      <c r="BI12" s="2857" t="str">
        <f>"2024 ZCTAs"&amp;CHAR(10)&amp;"(last row is "&amp;TEXT(12+COUNTA(DS_ZCTAs_2024)/2,"#,##0")&amp;")"</f>
        <v>2024 ZCTAs
(last row is 410)</v>
      </c>
      <c r="BJ12" s="2858"/>
      <c r="BL12" s="1737" t="str">
        <f>"2024 Non-Metro DDA's"&amp;CHAR(10)&amp;"(last row is "&amp;TEXT(12+COUNTA(DS_NonMetro_DDAs_2024),"#,##0")&amp;")"</f>
        <v>2024 Non-Metro DDA's
(last row is 35)</v>
      </c>
      <c r="BN12" s="2857" t="str">
        <f>"2024 Metro QCT's"&amp;CHAR(10)&amp;"(last row is "&amp;TEXT(12+COUNTA(DS_Metro_QCTs_2024)/2,"#,##0")&amp;")"</f>
        <v>2024 Metro QCT's
(last row is 4,972)</v>
      </c>
      <c r="BO12" s="2858"/>
      <c r="BQ12" s="2857" t="str">
        <f>"2024 Non-Metro QCT's"&amp;CHAR(10)&amp;"(last row is "&amp;TEXT(12+COUNTA(DS_NonMetro_QCTs_2024)/2,"#,##0")&amp;")"</f>
        <v>2024 Non-Metro QCT's
(last row is 212)</v>
      </c>
      <c r="BR12" s="2858"/>
      <c r="BT12" s="2857" t="str">
        <f>"GAO's effective 2/1/24"&amp;CHAR(10)&amp;"(last row is "&amp;TEXT(12+COUNTA(DS_GAOs_effective2.1.24)/2,"#,##0")&amp;")"</f>
        <v>GAO's effective 2/1/24
(last row is 2,944)</v>
      </c>
      <c r="BU12" s="2858"/>
      <c r="BW12" s="838" t="str">
        <f>"2024 QCTs in "&amp;County&amp;CHAR(10)&amp;"(last row is "&amp;TEXT(12+COUNTA(DS_2024_County_QCTs),"#,##0")&amp;")"</f>
        <v>2024 QCTs in &lt;select one&gt;
(last row is 722)</v>
      </c>
      <c r="BY12" s="838" t="str">
        <f>"2024 GAOs in "&amp;County&amp;CHAR(10)&amp;"(last row is "&amp;TEXT(12+COUNTA(DS_2024_County_GAOs),"#,##0")&amp;")"</f>
        <v>2024 GAOs in &lt;select one&gt;
(last row is 513)</v>
      </c>
      <c r="CA12" s="2857" t="s">
        <v>2352</v>
      </c>
      <c r="CB12" s="2859"/>
      <c r="CD12" s="2857" t="s">
        <v>2353</v>
      </c>
      <c r="CE12" s="2858"/>
      <c r="CG12" s="2857" t="s">
        <v>2354</v>
      </c>
      <c r="CH12" s="2858"/>
      <c r="CJ12" s="2869" t="s">
        <v>2355</v>
      </c>
      <c r="CK12" s="2870"/>
      <c r="CL12" s="1789"/>
      <c r="CM12" s="2857" t="str">
        <f>"2025 ZCTAs"&amp;CHAR(10)&amp;"(last row is "&amp;TEXT(12+COUNTA(DS_ZCTAs_2025)/2,"#,##0")&amp;")"</f>
        <v>2025 ZCTAs
(last row is 12)</v>
      </c>
      <c r="CN12" s="2858"/>
      <c r="CO12"/>
      <c r="CP12" s="1737" t="str">
        <f>"2025 Non-Metro DDA's"&amp;CHAR(10)&amp;"(last row is "&amp;TEXT(12+COUNTA(DS_NonMetro_DDAs_2025),"#,##0")&amp;")"</f>
        <v>2025 Non-Metro DDA's
(last row is 12)</v>
      </c>
      <c r="CQ12"/>
      <c r="CR12" s="2857" t="str">
        <f>"2025 Metro QCT's"&amp;CHAR(10)&amp;"(last row is "&amp;TEXT(12+COUNTA(DS_Metro_QCTs_2025)/2,"#,##0")&amp;")"</f>
        <v>2025 Metro QCT's
(last row is 12)</v>
      </c>
      <c r="CS12" s="2858"/>
      <c r="CT12"/>
      <c r="CU12" s="2857" t="str">
        <f>"2025 Non-Metro QCT's"&amp;CHAR(10)&amp;"(last row is "&amp;TEXT(12+COUNTA(DS_NonMetro_QCTs_2025)/2,"#,##0")&amp;")"</f>
        <v>2025 Non-Metro QCT's
(last row is 12)</v>
      </c>
      <c r="CV12" s="2858"/>
      <c r="CW12"/>
      <c r="CX12" s="2857" t="str">
        <f>"GAO's effective 2/1/25"&amp;CHAR(10)&amp;"(last row is "&amp;TEXT(12+COUNTA(DS_GAOs_effective2.1.25)/2,"#,##0")&amp;")"</f>
        <v>GAO's effective 2/1/25
(last row is 12)</v>
      </c>
      <c r="CY12" s="2858"/>
      <c r="CZ12"/>
      <c r="DA12" s="838" t="str">
        <f>"2025 QCTs in "&amp;County&amp;CHAR(10)&amp;"(last row is "&amp;TEXT(12+COUNTA(DS_2025_County_QCTs),"#,##0")&amp;")"</f>
        <v>2025 QCTs in &lt;select one&gt;
(last row is 12)</v>
      </c>
      <c r="DB12"/>
      <c r="DC12" s="838" t="str">
        <f>"2025 GAOs in "&amp;County&amp;CHAR(10)&amp;"(last row is "&amp;TEXT(12+COUNTA(DS_2025_County_GAOs),"#,##0")&amp;")"</f>
        <v>2025 GAOs in &lt;select one&gt;
(last row is 12)</v>
      </c>
      <c r="DD12"/>
      <c r="DE12" s="2857" t="s">
        <v>2829</v>
      </c>
      <c r="DF12" s="2859"/>
      <c r="DG12"/>
      <c r="DH12" s="2857" t="s">
        <v>2830</v>
      </c>
      <c r="DI12" s="2858"/>
      <c r="DJ12"/>
      <c r="DK12" s="2857" t="s">
        <v>2831</v>
      </c>
      <c r="DL12" s="2858"/>
      <c r="DM12"/>
      <c r="DN12" s="2869" t="s">
        <v>2832</v>
      </c>
      <c r="DO12" s="2870"/>
      <c r="DP12" s="2505"/>
      <c r="DT12" s="587" t="s">
        <v>0</v>
      </c>
      <c r="DU12" s="587" t="s">
        <v>676</v>
      </c>
      <c r="DV12" s="587" t="s">
        <v>677</v>
      </c>
      <c r="DW12" s="587" t="s">
        <v>678</v>
      </c>
      <c r="DX12" s="587" t="s">
        <v>679</v>
      </c>
      <c r="DY12" s="587" t="s">
        <v>680</v>
      </c>
      <c r="DZ12" s="587" t="s">
        <v>681</v>
      </c>
      <c r="EA12" s="587" t="s">
        <v>59</v>
      </c>
      <c r="EB12" s="587" t="s">
        <v>1</v>
      </c>
      <c r="EC12" s="587" t="s">
        <v>682</v>
      </c>
      <c r="ED12" s="587" t="s">
        <v>683</v>
      </c>
    </row>
    <row r="13" spans="1:134" ht="14.45" customHeight="1">
      <c r="A13" s="346">
        <v>32605</v>
      </c>
      <c r="B13" s="345" t="s">
        <v>297</v>
      </c>
      <c r="D13" s="345" t="s">
        <v>308</v>
      </c>
      <c r="F13" s="345">
        <v>2</v>
      </c>
      <c r="G13" s="345" t="s">
        <v>297</v>
      </c>
      <c r="I13" s="345">
        <v>1103</v>
      </c>
      <c r="J13" s="345" t="s">
        <v>319</v>
      </c>
      <c r="L13" s="347">
        <v>5</v>
      </c>
      <c r="M13" s="347" t="s">
        <v>297</v>
      </c>
      <c r="O13" s="348" t="str">
        <f t="array" ref="O13">IFERROR(IF($O$11="Metro",INDEX($F$13:$F$738,SMALL(IF((County=$G$13:$G$738),MATCH(ROW($G$13:$G$738),ROW($G$13:$G$738)),""),ROWS($A$13:A13))),INDEX($I$13:$I$42,SMALL(IF((County=$J$13:$J$42),MATCH(ROW($J$13:$J$42),ROW($J$13:$J$42)),""),ROWS($A$13:A13)))),"")</f>
        <v/>
      </c>
      <c r="Q13" s="348" t="str">
        <f t="array" ref="Q13">IFERROR(IF($Q$11="Yes",INDEX($L$13:$L$2313,SMALL(IF((County=$M$13:$M$2313),MATCH(ROW($M$13:$M$2313),ROW($M$13:$M$2313)),""),ROWS($A$13:A13))),""),"")</f>
        <v/>
      </c>
      <c r="S13" s="346">
        <v>32003</v>
      </c>
      <c r="T13" s="345" t="s">
        <v>317</v>
      </c>
      <c r="V13" s="345">
        <v>1</v>
      </c>
      <c r="W13" s="345" t="s">
        <v>323</v>
      </c>
      <c r="Y13" s="345">
        <v>2</v>
      </c>
      <c r="Z13" s="345" t="s">
        <v>334</v>
      </c>
      <c r="AB13" s="347">
        <v>1</v>
      </c>
      <c r="AC13" s="347" t="s">
        <v>325</v>
      </c>
      <c r="AD13" s="1138"/>
      <c r="AE13" s="346">
        <v>32403</v>
      </c>
      <c r="AF13" s="345" t="s">
        <v>306</v>
      </c>
      <c r="AH13" s="345" t="s">
        <v>308</v>
      </c>
      <c r="AJ13" s="345">
        <v>2.0099999999999998</v>
      </c>
      <c r="AK13" s="345" t="s">
        <v>297</v>
      </c>
      <c r="AM13" s="345">
        <v>400</v>
      </c>
      <c r="AN13" s="345" t="s">
        <v>319</v>
      </c>
      <c r="AP13" s="347">
        <v>2.0099999999999998</v>
      </c>
      <c r="AQ13" s="347" t="s">
        <v>297</v>
      </c>
      <c r="AS13" s="348" t="str">
        <f t="array" ref="AS13">IFERROR(IF($AS$11="Metro",INDEX($AJ$13:$AJ$814,SMALL(IF((County=$AK$13:$AK$814),MATCH(ROW($AK$13:$AK$814),ROW($AK$13:$AK$814)),""),ROWS($A$13:$A13))),INDEX($AM$13:$AM$48,SMALL(IF((County=$AN$13:$AN$48),MATCH(ROW($AN$13:$AN$48),ROW($AN$13:$AN$48)),""),ROWS($A$13:$A13)))),"")</f>
        <v/>
      </c>
      <c r="AU13" s="348" t="str">
        <f t="array" ref="AU13">IFERROR(IF($AU$11="Yes",INDEX($AP$13:$AP$2950,SMALL(IF((County=$AQ$13:$AQ$2950),MATCH(ROW($AQ$13:$AQ$2950),ROW($AQ$13:$AQ$2950)),""),ROWS($A$13:$A13))),""),"")</f>
        <v/>
      </c>
      <c r="AW13" s="346">
        <v>32003</v>
      </c>
      <c r="AX13" s="345" t="s">
        <v>317</v>
      </c>
      <c r="AZ13" s="345">
        <v>1.01</v>
      </c>
      <c r="BA13" s="345" t="s">
        <v>323</v>
      </c>
      <c r="BC13" s="345">
        <v>0</v>
      </c>
      <c r="BD13" s="345" t="s">
        <v>347</v>
      </c>
      <c r="BF13" s="347">
        <v>1</v>
      </c>
      <c r="BG13" s="347" t="s">
        <v>325</v>
      </c>
      <c r="BH13" s="1790"/>
      <c r="BI13" s="2299">
        <v>32403</v>
      </c>
      <c r="BJ13" s="345" t="s">
        <v>306</v>
      </c>
      <c r="BL13" s="345" t="s">
        <v>308</v>
      </c>
      <c r="BN13" s="345">
        <v>2.0099999999999998</v>
      </c>
      <c r="BO13" s="345" t="s">
        <v>297</v>
      </c>
      <c r="BQ13" s="345">
        <v>1</v>
      </c>
      <c r="BR13" s="345" t="s">
        <v>308</v>
      </c>
      <c r="BT13" s="347">
        <v>2.0099999999999998</v>
      </c>
      <c r="BU13" s="347" t="s">
        <v>297</v>
      </c>
      <c r="BW13" s="348" t="str">
        <f t="array" ref="BW13">IFERROR(IF($BW$11="Metro",INDEX($BN$13:$BN$4972,SMALL(IF((County=$BO$13:$BO$4972),MATCH(ROW($BO$13:$BO$4972),ROW($BO$13:$BO$4972)),""),ROWS($A$13:$A13))),INDEX($BQ$13:$BQ$212,SMALL(IF((County=$BR$13:$BR$212),MATCH(ROW($BR$13:$BR$212),ROW($BR$13:$BR$212)),""),ROWS($A$13:$A13)))),"")</f>
        <v/>
      </c>
      <c r="BX13" s="1329"/>
      <c r="BY13" s="348" t="str">
        <f t="array" ref="BY13">IFERROR(IF($BY$11="Yes",INDEX($BT$13:$BT$2950,SMALL(IF((County=$BU$13:$BU$2950),MATCH(ROW($BU$13:$BU$2950),ROW($BU$13:$BU$2950)),""),ROWS($A$13:$A13))),""),"")</f>
        <v/>
      </c>
      <c r="CA13" s="1792">
        <v>32003</v>
      </c>
      <c r="CB13" s="345" t="s">
        <v>317</v>
      </c>
      <c r="CD13" s="237">
        <v>1</v>
      </c>
      <c r="CE13" s="237" t="s">
        <v>325</v>
      </c>
      <c r="CG13" s="345">
        <v>1</v>
      </c>
      <c r="CH13" s="345" t="s">
        <v>308</v>
      </c>
      <c r="CJ13" s="347">
        <v>1</v>
      </c>
      <c r="CK13" s="347" t="s">
        <v>325</v>
      </c>
      <c r="CL13" s="1789"/>
      <c r="CM13" s="2299"/>
      <c r="CN13" s="345"/>
      <c r="CO13"/>
      <c r="CP13" s="345"/>
      <c r="CQ13"/>
      <c r="CR13" s="345"/>
      <c r="CS13" s="345"/>
      <c r="CT13"/>
      <c r="CU13" s="345"/>
      <c r="CV13" s="345"/>
      <c r="CW13"/>
      <c r="CX13" s="347"/>
      <c r="CY13" s="347"/>
      <c r="CZ13"/>
      <c r="DA13" s="348"/>
      <c r="DC13" s="348"/>
      <c r="DD13"/>
      <c r="DE13" s="1792"/>
      <c r="DF13" s="345"/>
      <c r="DG13"/>
      <c r="DH13" s="237"/>
      <c r="DI13" s="237"/>
      <c r="DJ13"/>
      <c r="DK13" s="345"/>
      <c r="DL13" s="345"/>
      <c r="DM13"/>
      <c r="DN13" s="347"/>
      <c r="DO13" s="347"/>
      <c r="DP13" s="2505"/>
      <c r="DT13" s="591" t="s">
        <v>297</v>
      </c>
      <c r="DU13" s="591" t="s">
        <v>2598</v>
      </c>
      <c r="DV13" s="591" t="s">
        <v>2599</v>
      </c>
      <c r="DW13" s="598">
        <v>29.645696000000001</v>
      </c>
      <c r="DX13" s="599">
        <v>-82.293299000000005</v>
      </c>
      <c r="DY13" s="595" t="s">
        <v>684</v>
      </c>
      <c r="DZ13" s="594" t="s">
        <v>685</v>
      </c>
      <c r="EA13" s="592" t="str">
        <f t="shared" ref="EA13:EA44" si="0">DT13&amp;" - "&amp;DV13</f>
        <v>Alachua - Hawthorne Heights</v>
      </c>
      <c r="EB13" s="592" t="str">
        <f t="shared" ref="EB13:EB44" si="1">IF(DY13="F","Family",IF(DY13="E","Elderly, Non-ALF",IF(DY13="ALF","Elderly, Assisted Living Facility",IF(DY13="W","Workforce",""))))</f>
        <v>Elderly, Non-ALF</v>
      </c>
      <c r="EC13" s="592" t="str">
        <f t="shared" ref="EC13:EC44" si="2">"("&amp;DW13&amp;", "&amp;DX13&amp;")"</f>
        <v>(29.645696, -82.293299)</v>
      </c>
      <c r="ED13" s="594" t="str">
        <f t="shared" ref="ED13:ED44" si="3">IF(DZ13="N","&gt;30",IF(DZ13="Y","&lt;31",""))</f>
        <v>&gt;30</v>
      </c>
    </row>
    <row r="14" spans="1:134" ht="14.45" customHeight="1">
      <c r="A14" s="346">
        <v>32606</v>
      </c>
      <c r="B14" s="345" t="s">
        <v>297</v>
      </c>
      <c r="D14" s="345" t="s">
        <v>313</v>
      </c>
      <c r="E14" s="934"/>
      <c r="F14" s="345">
        <v>8.06</v>
      </c>
      <c r="G14" s="345" t="s">
        <v>297</v>
      </c>
      <c r="I14" s="345">
        <v>1104</v>
      </c>
      <c r="J14" s="345" t="s">
        <v>319</v>
      </c>
      <c r="L14" s="347">
        <v>10</v>
      </c>
      <c r="M14" s="347" t="s">
        <v>297</v>
      </c>
      <c r="O14" s="348" t="str">
        <f t="array" ref="O14">IFERROR(IF($O$11="Metro",INDEX($F$13:$F$738,SMALL(IF((County=$G$13:$G$738),MATCH(ROW($G$13:$G$738),ROW($G$13:$G$738)),""),ROWS($A$13:A14))),INDEX($I$13:$I$42,SMALL(IF((County=$J$13:$J$42),MATCH(ROW($J$13:$J$42),ROW($J$13:$J$42)),""),ROWS($A$13:A14)))),"")</f>
        <v/>
      </c>
      <c r="Q14" s="348" t="str">
        <f t="array" ref="Q14">IFERROR(IF($Q$11="Yes",INDEX($L$13:$L$2313,SMALL(IF((County=$M$13:$M$2313),MATCH(ROW($M$13:$M$2313),ROW($M$13:$M$2313)),""),ROWS($A$13:A14))),""),"")</f>
        <v/>
      </c>
      <c r="S14" s="346">
        <v>32081</v>
      </c>
      <c r="T14" s="345" t="s">
        <v>370</v>
      </c>
      <c r="V14" s="345">
        <v>1.01</v>
      </c>
      <c r="W14" s="345" t="s">
        <v>337</v>
      </c>
      <c r="Y14" s="345">
        <v>3</v>
      </c>
      <c r="Z14" s="345" t="s">
        <v>334</v>
      </c>
      <c r="AB14" s="347">
        <v>1</v>
      </c>
      <c r="AC14" s="347" t="s">
        <v>330</v>
      </c>
      <c r="AD14" s="1138"/>
      <c r="AE14" s="346">
        <v>32407</v>
      </c>
      <c r="AF14" s="345" t="s">
        <v>306</v>
      </c>
      <c r="AH14" s="345" t="s">
        <v>313</v>
      </c>
      <c r="AI14" s="934"/>
      <c r="AJ14" s="345">
        <v>2.02</v>
      </c>
      <c r="AK14" s="345" t="s">
        <v>297</v>
      </c>
      <c r="AM14" s="345">
        <v>200</v>
      </c>
      <c r="AN14" s="345" t="s">
        <v>321</v>
      </c>
      <c r="AP14" s="347">
        <v>5</v>
      </c>
      <c r="AQ14" s="347" t="s">
        <v>297</v>
      </c>
      <c r="AS14" s="348" t="str">
        <f t="array" ref="AS14">IFERROR(IF($AS$11="Metro",INDEX($AJ$13:$AJ$814,SMALL(IF((County=$AK$13:$AK$814),MATCH(ROW($AK$13:$AK$814),ROW($AK$13:$AK$814)),""),ROWS($A$13:$A14))),INDEX($AM$13:$AM$48,SMALL(IF((County=$AN$13:$AN$48),MATCH(ROW($AN$13:$AN$48),ROW($AN$13:$AN$48)),""),ROWS($A$13:$A14)))),"")</f>
        <v/>
      </c>
      <c r="AU14" s="348" t="str">
        <f t="array" ref="AU14">IFERROR(IF($AU$11="Yes",INDEX($AP$13:$AP$2950,SMALL(IF((County=$AQ$13:$AQ$2950),MATCH(ROW($AQ$13:$AQ$2950),ROW($AQ$13:$AQ$2950)),""),ROWS($A$13:$A14))),""),"")</f>
        <v/>
      </c>
      <c r="AW14" s="346">
        <v>32079</v>
      </c>
      <c r="AX14" s="345" t="s">
        <v>317</v>
      </c>
      <c r="AZ14" s="345">
        <v>1.01</v>
      </c>
      <c r="BA14" s="345" t="s">
        <v>337</v>
      </c>
      <c r="BC14" s="345">
        <v>103</v>
      </c>
      <c r="BD14" s="345" t="s">
        <v>379</v>
      </c>
      <c r="BF14" s="347">
        <v>1</v>
      </c>
      <c r="BG14" s="347" t="s">
        <v>351</v>
      </c>
      <c r="BH14" s="1790"/>
      <c r="BI14" s="2299">
        <v>32407</v>
      </c>
      <c r="BJ14" s="345" t="s">
        <v>306</v>
      </c>
      <c r="BL14" s="345" t="s">
        <v>313</v>
      </c>
      <c r="BM14" s="1784"/>
      <c r="BN14" s="345">
        <v>2.02</v>
      </c>
      <c r="BO14" s="345" t="s">
        <v>297</v>
      </c>
      <c r="BQ14" s="345">
        <v>2.0099999999999998</v>
      </c>
      <c r="BR14" s="345" t="s">
        <v>308</v>
      </c>
      <c r="BT14" s="347">
        <v>5</v>
      </c>
      <c r="BU14" s="347" t="s">
        <v>297</v>
      </c>
      <c r="BW14" s="348" t="str">
        <f t="array" ref="BW14">IFERROR(IF($BW$11="Metro",INDEX($BN$13:$BN$4972,SMALL(IF((County=$BO$13:$BO$4972),MATCH(ROW($BO$13:$BO$4972),ROW($BO$13:$BO$4972)),""),ROWS($A$13:$A14))),INDEX($BQ$13:$BQ$212,SMALL(IF((County=$BR$13:$BR$212),MATCH(ROW($BR$13:$BR$212),ROW($BR$13:$BR$212)),""),ROWS($A$13:$A14)))),"")</f>
        <v/>
      </c>
      <c r="BY14" s="348" t="str">
        <f t="array" ref="BY14">IFERROR(IF($BY$11="Yes",INDEX($BT$13:$BT$2950,SMALL(IF((County=$BU$13:$BU$2950),MATCH(ROW($BU$13:$BU$2950),ROW($BU$13:$BU$2950)),""),ROWS($A$13:$A14))),""),"")</f>
        <v/>
      </c>
      <c r="CA14" s="1792">
        <v>32079</v>
      </c>
      <c r="CB14" s="345" t="s">
        <v>317</v>
      </c>
      <c r="CD14" s="237">
        <v>1</v>
      </c>
      <c r="CE14" s="237" t="s">
        <v>351</v>
      </c>
      <c r="CG14" s="237">
        <v>1</v>
      </c>
      <c r="CH14" s="237" t="s">
        <v>330</v>
      </c>
      <c r="CJ14" s="347">
        <v>1</v>
      </c>
      <c r="CK14" s="347" t="s">
        <v>351</v>
      </c>
      <c r="CL14" s="1789"/>
      <c r="CM14" s="2299"/>
      <c r="CN14" s="345"/>
      <c r="CO14"/>
      <c r="CP14" s="345"/>
      <c r="CQ14" s="2499"/>
      <c r="CR14" s="345"/>
      <c r="CS14" s="345"/>
      <c r="CT14"/>
      <c r="CU14" s="345"/>
      <c r="CV14" s="345"/>
      <c r="CW14"/>
      <c r="CX14" s="347"/>
      <c r="CY14" s="347"/>
      <c r="CZ14"/>
      <c r="DA14" s="348"/>
      <c r="DB14"/>
      <c r="DC14" s="348"/>
      <c r="DD14"/>
      <c r="DE14" s="1792"/>
      <c r="DF14" s="345"/>
      <c r="DG14"/>
      <c r="DH14" s="237"/>
      <c r="DI14" s="237"/>
      <c r="DJ14"/>
      <c r="DK14" s="345"/>
      <c r="DL14" s="345"/>
      <c r="DM14"/>
      <c r="DN14" s="347"/>
      <c r="DO14" s="347"/>
      <c r="DP14" s="2505"/>
      <c r="DT14" s="596" t="s">
        <v>297</v>
      </c>
      <c r="DU14" s="596" t="s">
        <v>2600</v>
      </c>
      <c r="DV14" s="591" t="s">
        <v>2601</v>
      </c>
      <c r="DW14" s="591">
        <v>29.610125</v>
      </c>
      <c r="DX14" s="591">
        <v>-82.360519999999994</v>
      </c>
      <c r="DY14" s="595" t="s">
        <v>686</v>
      </c>
      <c r="DZ14" s="597" t="s">
        <v>685</v>
      </c>
      <c r="EA14" s="592" t="str">
        <f t="shared" si="0"/>
        <v>Alachua - Williston Pointe</v>
      </c>
      <c r="EB14" s="592" t="str">
        <f t="shared" si="1"/>
        <v>Family</v>
      </c>
      <c r="EC14" s="592" t="str">
        <f t="shared" si="2"/>
        <v>(29.610125, -82.36052)</v>
      </c>
      <c r="ED14" s="594" t="str">
        <f t="shared" si="3"/>
        <v>&gt;30</v>
      </c>
    </row>
    <row r="15" spans="1:134" ht="14.45" customHeight="1">
      <c r="A15" s="346">
        <v>32403</v>
      </c>
      <c r="B15" s="345" t="s">
        <v>306</v>
      </c>
      <c r="D15" s="345" t="s">
        <v>319</v>
      </c>
      <c r="E15" s="934"/>
      <c r="F15" s="345">
        <v>9.01</v>
      </c>
      <c r="G15" s="345" t="s">
        <v>297</v>
      </c>
      <c r="I15" s="345">
        <v>102</v>
      </c>
      <c r="J15" s="345" t="s">
        <v>321</v>
      </c>
      <c r="L15" s="347">
        <v>11</v>
      </c>
      <c r="M15" s="347" t="s">
        <v>297</v>
      </c>
      <c r="O15" s="348" t="str">
        <f t="array" ref="O15">IFERROR(IF($O$11="Metro",INDEX($F$13:$F$738,SMALL(IF((County=$G$13:$G$738),MATCH(ROW($G$13:$G$738),ROW($G$13:$G$738)),""),ROWS($A$13:A15))),INDEX($I$13:$I$42,SMALL(IF((County=$J$13:$J$42),MATCH(ROW($J$13:$J$42),ROW($J$13:$J$42)),""),ROWS($A$13:A15)))),"")</f>
        <v/>
      </c>
      <c r="Q15" s="348" t="str">
        <f t="array" ref="Q15">IFERROR(IF($Q$11="Yes",INDEX($L$13:$L$2313,SMALL(IF((County=$M$13:$M$2313),MATCH(ROW($M$13:$M$2313),ROW($M$13:$M$2313)),""),ROWS($A$13:A15))),""),"")</f>
        <v/>
      </c>
      <c r="S15" s="346">
        <v>32082</v>
      </c>
      <c r="T15" s="345" t="s">
        <v>370</v>
      </c>
      <c r="V15" s="345">
        <v>1.02</v>
      </c>
      <c r="W15" s="345" t="s">
        <v>337</v>
      </c>
      <c r="Y15" s="345">
        <v>6</v>
      </c>
      <c r="Z15" s="345" t="s">
        <v>334</v>
      </c>
      <c r="AB15" s="347">
        <v>1</v>
      </c>
      <c r="AC15" s="347" t="s">
        <v>334</v>
      </c>
      <c r="AD15" s="1138"/>
      <c r="AE15" s="346">
        <v>32410</v>
      </c>
      <c r="AF15" s="345" t="s">
        <v>306</v>
      </c>
      <c r="AH15" s="345" t="s">
        <v>319</v>
      </c>
      <c r="AI15" s="934"/>
      <c r="AJ15" s="345">
        <v>3.01</v>
      </c>
      <c r="AK15" s="345" t="s">
        <v>297</v>
      </c>
      <c r="AM15" s="345">
        <v>301</v>
      </c>
      <c r="AN15" s="345" t="s">
        <v>321</v>
      </c>
      <c r="AP15" s="347">
        <v>8.08</v>
      </c>
      <c r="AQ15" s="347" t="s">
        <v>297</v>
      </c>
      <c r="AS15" s="348" t="str">
        <f t="array" ref="AS15">IFERROR(IF($AS$11="Metro",INDEX($AJ$13:$AJ$814,SMALL(IF((County=$AK$13:$AK$814),MATCH(ROW($AK$13:$AK$814),ROW($AK$13:$AK$814)),""),ROWS($A$13:$A15))),INDEX($AM$13:$AM$48,SMALL(IF((County=$AN$13:$AN$48),MATCH(ROW($AN$13:$AN$48),ROW($AN$13:$AN$48)),""),ROWS($A$13:$A15)))),"")</f>
        <v/>
      </c>
      <c r="AU15" s="348" t="str">
        <f t="array" ref="AU15">IFERROR(IF($AU$11="Yes",INDEX($AP$13:$AP$2950,SMALL(IF((County=$AQ$13:$AQ$2950),MATCH(ROW($AQ$13:$AQ$2950),ROW($AQ$13:$AQ$2950)),""),ROWS($A$13:$A15))),""),"")</f>
        <v/>
      </c>
      <c r="AW15" s="346">
        <v>32081</v>
      </c>
      <c r="AX15" s="345" t="s">
        <v>370</v>
      </c>
      <c r="AZ15" s="345">
        <v>1.02</v>
      </c>
      <c r="BA15" s="345" t="s">
        <v>323</v>
      </c>
      <c r="BC15" s="345">
        <v>104</v>
      </c>
      <c r="BD15" s="345" t="s">
        <v>379</v>
      </c>
      <c r="BF15" s="347">
        <v>1.01</v>
      </c>
      <c r="BG15" s="347" t="s">
        <v>318</v>
      </c>
      <c r="BH15" s="1790"/>
      <c r="BI15" s="2299">
        <v>32410</v>
      </c>
      <c r="BJ15" s="345" t="s">
        <v>306</v>
      </c>
      <c r="BL15" s="345" t="s">
        <v>319</v>
      </c>
      <c r="BM15" s="1784"/>
      <c r="BN15" s="345">
        <v>3.01</v>
      </c>
      <c r="BO15" s="345" t="s">
        <v>297</v>
      </c>
      <c r="BQ15" s="345">
        <v>2.02</v>
      </c>
      <c r="BR15" s="345" t="s">
        <v>308</v>
      </c>
      <c r="BT15" s="347">
        <v>8.08</v>
      </c>
      <c r="BU15" s="347" t="s">
        <v>297</v>
      </c>
      <c r="BW15" s="348" t="str">
        <f t="array" ref="BW15">IFERROR(IF($BW$11="Metro",INDEX($BN$13:$BN$4972,SMALL(IF((County=$BO$13:$BO$4972),MATCH(ROW($BO$13:$BO$4972),ROW($BO$13:$BO$4972)),""),ROWS($A$13:$A15))),INDEX($BQ$13:$BQ$212,SMALL(IF((County=$BR$13:$BR$212),MATCH(ROW($BR$13:$BR$212),ROW($BR$13:$BR$212)),""),ROWS($A$13:$A15)))),"")</f>
        <v/>
      </c>
      <c r="BY15" s="348" t="str">
        <f t="array" ref="BY15">IFERROR(IF($BY$11="Yes",INDEX($BT$13:$BT$2950,SMALL(IF((County=$BU$13:$BU$2950),MATCH(ROW($BU$13:$BU$2950),ROW($BU$13:$BU$2950)),""),ROWS($A$13:$A15))),""),"")</f>
        <v/>
      </c>
      <c r="CA15" s="1792">
        <v>32081</v>
      </c>
      <c r="CB15" s="237" t="s">
        <v>370</v>
      </c>
      <c r="CD15" s="237">
        <v>1.01</v>
      </c>
      <c r="CE15" s="237" t="s">
        <v>318</v>
      </c>
      <c r="CG15" s="237">
        <v>1.01</v>
      </c>
      <c r="CH15" s="237" t="s">
        <v>334</v>
      </c>
      <c r="CJ15" s="347">
        <v>1.01</v>
      </c>
      <c r="CK15" s="347" t="s">
        <v>318</v>
      </c>
      <c r="CL15" s="1789"/>
      <c r="CM15" s="2299"/>
      <c r="CN15" s="345"/>
      <c r="CP15" s="345"/>
      <c r="CR15" s="345"/>
      <c r="CS15" s="345"/>
      <c r="CU15" s="345"/>
      <c r="CV15" s="345"/>
      <c r="CX15" s="347"/>
      <c r="CY15" s="347"/>
      <c r="DA15" s="348"/>
      <c r="DC15" s="348"/>
      <c r="DE15" s="1792"/>
      <c r="DF15" s="345"/>
      <c r="DH15" s="237"/>
      <c r="DI15" s="237"/>
      <c r="DK15" s="345"/>
      <c r="DL15" s="345"/>
      <c r="DN15" s="347"/>
      <c r="DO15" s="347"/>
      <c r="DP15" s="2505"/>
      <c r="DT15" s="591" t="s">
        <v>302</v>
      </c>
      <c r="DU15" s="591" t="s">
        <v>687</v>
      </c>
      <c r="DV15" s="591" t="s">
        <v>688</v>
      </c>
      <c r="DW15" s="601">
        <v>30.25507</v>
      </c>
      <c r="DX15" s="599">
        <v>-82.127399999999994</v>
      </c>
      <c r="DY15" s="595" t="s">
        <v>686</v>
      </c>
      <c r="DZ15" s="595" t="s">
        <v>689</v>
      </c>
      <c r="EA15" s="592" t="str">
        <f t="shared" si="0"/>
        <v>Baker - Sandcastle Manor</v>
      </c>
      <c r="EB15" s="592" t="str">
        <f t="shared" si="1"/>
        <v>Family</v>
      </c>
      <c r="EC15" s="592" t="str">
        <f t="shared" si="2"/>
        <v>(30.25507, -82.1274)</v>
      </c>
      <c r="ED15" s="594" t="str">
        <f t="shared" si="3"/>
        <v>&lt;31</v>
      </c>
    </row>
    <row r="16" spans="1:134" ht="14.45" customHeight="1">
      <c r="A16" s="346">
        <v>32407</v>
      </c>
      <c r="B16" s="345" t="s">
        <v>306</v>
      </c>
      <c r="D16" s="345" t="s">
        <v>321</v>
      </c>
      <c r="E16" s="934"/>
      <c r="F16" s="345">
        <v>15.14</v>
      </c>
      <c r="G16" s="345" t="s">
        <v>297</v>
      </c>
      <c r="I16" s="345">
        <v>103.01</v>
      </c>
      <c r="J16" s="345" t="s">
        <v>321</v>
      </c>
      <c r="L16" s="347">
        <v>12.01</v>
      </c>
      <c r="M16" s="347" t="s">
        <v>297</v>
      </c>
      <c r="O16" s="348" t="str">
        <f t="array" ref="O16">IFERROR(IF($O$11="Metro",INDEX($F$13:$F$738,SMALL(IF((County=$G$13:$G$738),MATCH(ROW($G$13:$G$738),ROW($G$13:$G$738)),""),ROWS($A$13:A16))),INDEX($I$13:$I$42,SMALL(IF((County=$J$13:$J$42),MATCH(ROW($J$13:$J$42),ROW($J$13:$J$42)),""),ROWS($A$13:A16)))),"")</f>
        <v/>
      </c>
      <c r="Q16" s="348" t="str">
        <f t="array" ref="Q16">IFERROR(IF($Q$11="Yes",INDEX($L$13:$L$2313,SMALL(IF((County=$M$13:$M$2313),MATCH(ROW($M$13:$M$2313),ROW($M$13:$M$2313)),""),ROWS($A$13:A16))),""),"")</f>
        <v/>
      </c>
      <c r="S16" s="346">
        <v>32092</v>
      </c>
      <c r="T16" s="345" t="s">
        <v>370</v>
      </c>
      <c r="V16" s="345">
        <v>1.03</v>
      </c>
      <c r="W16" s="345" t="s">
        <v>349</v>
      </c>
      <c r="Y16" s="345">
        <v>102</v>
      </c>
      <c r="Z16" s="345" t="s">
        <v>321</v>
      </c>
      <c r="AB16" s="347">
        <v>1</v>
      </c>
      <c r="AC16" s="347" t="s">
        <v>350</v>
      </c>
      <c r="AD16" s="1138"/>
      <c r="AE16" s="346">
        <v>32903</v>
      </c>
      <c r="AF16" s="345" t="s">
        <v>309</v>
      </c>
      <c r="AH16" s="345" t="s">
        <v>321</v>
      </c>
      <c r="AI16" s="934"/>
      <c r="AJ16" s="345">
        <v>6</v>
      </c>
      <c r="AK16" s="345" t="s">
        <v>297</v>
      </c>
      <c r="AM16" s="345">
        <v>302</v>
      </c>
      <c r="AN16" s="345" t="s">
        <v>321</v>
      </c>
      <c r="AP16" s="347">
        <v>8.09</v>
      </c>
      <c r="AQ16" s="347" t="s">
        <v>297</v>
      </c>
      <c r="AS16" s="348" t="str">
        <f t="array" ref="AS16">IFERROR(IF($AS$11="Metro",INDEX($AJ$13:$AJ$814,SMALL(IF((County=$AK$13:$AK$814),MATCH(ROW($AK$13:$AK$814),ROW($AK$13:$AK$814)),""),ROWS($A$13:$A16))),INDEX($AM$13:$AM$48,SMALL(IF((County=$AN$13:$AN$48),MATCH(ROW($AN$13:$AN$48),ROW($AN$13:$AN$48)),""),ROWS($A$13:$A16)))),"")</f>
        <v/>
      </c>
      <c r="AU16" s="348" t="str">
        <f t="array" ref="AU16">IFERROR(IF($AU$11="Yes",INDEX($AP$13:$AP$2950,SMALL(IF((County=$AQ$13:$AQ$2950),MATCH(ROW($AQ$13:$AQ$2950),ROW($AQ$13:$AQ$2950)),""),ROWS($A$13:$A16))),""),"")</f>
        <v/>
      </c>
      <c r="AW16" s="346">
        <v>32082</v>
      </c>
      <c r="AX16" s="345" t="s">
        <v>370</v>
      </c>
      <c r="AZ16" s="345">
        <v>1.02</v>
      </c>
      <c r="BA16" s="345" t="s">
        <v>337</v>
      </c>
      <c r="BC16" s="345">
        <v>200</v>
      </c>
      <c r="BD16" s="345" t="s">
        <v>321</v>
      </c>
      <c r="BF16" s="347">
        <v>1.01</v>
      </c>
      <c r="BG16" s="347" t="s">
        <v>334</v>
      </c>
      <c r="BH16" s="1790"/>
      <c r="BI16" s="2299">
        <v>32444</v>
      </c>
      <c r="BJ16" s="345" t="s">
        <v>306</v>
      </c>
      <c r="BL16" s="345" t="s">
        <v>321</v>
      </c>
      <c r="BM16" s="1784"/>
      <c r="BN16" s="345">
        <v>3.02</v>
      </c>
      <c r="BO16" s="345" t="s">
        <v>297</v>
      </c>
      <c r="BQ16" s="345">
        <v>3.01</v>
      </c>
      <c r="BR16" s="345" t="s">
        <v>308</v>
      </c>
      <c r="BT16" s="347">
        <v>8.09</v>
      </c>
      <c r="BU16" s="347" t="s">
        <v>297</v>
      </c>
      <c r="BW16" s="348" t="str">
        <f t="array" ref="BW16">IFERROR(IF($BW$11="Metro",INDEX($BN$13:$BN$4972,SMALL(IF((County=$BO$13:$BO$4972),MATCH(ROW($BO$13:$BO$4972),ROW($BO$13:$BO$4972)),""),ROWS($A$13:$A16))),INDEX($BQ$13:$BQ$212,SMALL(IF((County=$BR$13:$BR$212),MATCH(ROW($BR$13:$BR$212),ROW($BR$13:$BR$212)),""),ROWS($A$13:$A16)))),"")</f>
        <v/>
      </c>
      <c r="BY16" s="348" t="str">
        <f t="array" ref="BY16">IFERROR(IF($BY$11="Yes",INDEX($BT$13:$BT$2950,SMALL(IF((County=$BU$13:$BU$2950),MATCH(ROW($BU$13:$BU$2950),ROW($BU$13:$BU$2950)),""),ROWS($A$13:$A16))),""),"")</f>
        <v/>
      </c>
      <c r="CA16" s="1792">
        <v>32082</v>
      </c>
      <c r="CB16" s="237" t="s">
        <v>370</v>
      </c>
      <c r="CD16" s="237">
        <v>1.01</v>
      </c>
      <c r="CE16" s="237" t="s">
        <v>323</v>
      </c>
      <c r="CG16" s="237">
        <v>1.02</v>
      </c>
      <c r="CH16" s="237" t="s">
        <v>334</v>
      </c>
      <c r="CJ16" s="347">
        <v>1.01</v>
      </c>
      <c r="CK16" s="347" t="s">
        <v>349</v>
      </c>
      <c r="CL16" s="1789"/>
      <c r="CM16" s="2299"/>
      <c r="CN16" s="345"/>
      <c r="CP16" s="345"/>
      <c r="CR16" s="345"/>
      <c r="CS16" s="345"/>
      <c r="CU16" s="345"/>
      <c r="CV16" s="345"/>
      <c r="CX16" s="347"/>
      <c r="CY16" s="347"/>
      <c r="DA16" s="348"/>
      <c r="DC16" s="348"/>
      <c r="DE16" s="1792"/>
      <c r="DF16" s="345"/>
      <c r="DH16" s="237"/>
      <c r="DI16" s="237"/>
      <c r="DK16" s="345"/>
      <c r="DL16" s="345"/>
      <c r="DN16" s="347"/>
      <c r="DO16" s="347"/>
      <c r="DP16" s="2505"/>
      <c r="DT16" s="591" t="s">
        <v>306</v>
      </c>
      <c r="DU16" s="591" t="s">
        <v>2105</v>
      </c>
      <c r="DV16" s="591" t="s">
        <v>2106</v>
      </c>
      <c r="DW16" s="591">
        <v>30.223725000000002</v>
      </c>
      <c r="DX16" s="591">
        <v>-85.659203000000005</v>
      </c>
      <c r="DY16" s="594" t="s">
        <v>684</v>
      </c>
      <c r="DZ16" s="594" t="s">
        <v>685</v>
      </c>
      <c r="EA16" s="592" t="str">
        <f t="shared" si="0"/>
        <v>Bay - The Enclave at Northshore</v>
      </c>
      <c r="EB16" s="592" t="str">
        <f t="shared" si="1"/>
        <v>Elderly, Non-ALF</v>
      </c>
      <c r="EC16" s="592" t="str">
        <f t="shared" si="2"/>
        <v>(30.223725, -85.659203)</v>
      </c>
      <c r="ED16" s="594" t="str">
        <f t="shared" si="3"/>
        <v>&gt;30</v>
      </c>
    </row>
    <row r="17" spans="1:134" ht="14.45" customHeight="1">
      <c r="A17" s="346">
        <v>32410</v>
      </c>
      <c r="B17" s="345" t="s">
        <v>306</v>
      </c>
      <c r="D17" s="345" t="s">
        <v>322</v>
      </c>
      <c r="E17" s="934"/>
      <c r="F17" s="345">
        <v>15.15</v>
      </c>
      <c r="G17" s="345" t="s">
        <v>297</v>
      </c>
      <c r="I17" s="345">
        <v>103.02</v>
      </c>
      <c r="J17" s="345" t="s">
        <v>321</v>
      </c>
      <c r="L17" s="347">
        <v>12.02</v>
      </c>
      <c r="M17" s="347" t="s">
        <v>297</v>
      </c>
      <c r="O17" s="348" t="str">
        <f t="array" ref="O17">IFERROR(IF($O$11="Metro",INDEX($F$13:$F$738,SMALL(IF((County=$G$13:$G$738),MATCH(ROW($G$13:$G$738),ROW($G$13:$G$738)),""),ROWS($A$13:A17))),INDEX($I$13:$I$42,SMALL(IF((County=$J$13:$J$42),MATCH(ROW($J$13:$J$42),ROW($J$13:$J$42)),""),ROWS($A$13:A17)))),"")</f>
        <v/>
      </c>
      <c r="Q17" s="348" t="str">
        <f t="array" ref="Q17">IFERROR(IF($Q$11="Yes",INDEX($L$13:$L$2313,SMALL(IF((County=$M$13:$M$2313),MATCH(ROW($M$13:$M$2313),ROW($M$13:$M$2313)),""),ROWS($A$13:A17))),""),"")</f>
        <v/>
      </c>
      <c r="S17" s="346">
        <v>32124</v>
      </c>
      <c r="T17" s="345" t="s">
        <v>376</v>
      </c>
      <c r="V17" s="345">
        <v>1.05</v>
      </c>
      <c r="W17" s="345" t="s">
        <v>349</v>
      </c>
      <c r="Y17" s="345">
        <v>103.01</v>
      </c>
      <c r="Z17" s="345" t="s">
        <v>321</v>
      </c>
      <c r="AB17" s="347">
        <v>1</v>
      </c>
      <c r="AC17" s="347" t="s">
        <v>351</v>
      </c>
      <c r="AD17" s="1138"/>
      <c r="AE17" s="346">
        <v>32904</v>
      </c>
      <c r="AF17" s="345" t="s">
        <v>309</v>
      </c>
      <c r="AH17" s="345" t="s">
        <v>322</v>
      </c>
      <c r="AI17" s="934"/>
      <c r="AJ17" s="345">
        <v>8.06</v>
      </c>
      <c r="AK17" s="345" t="s">
        <v>297</v>
      </c>
      <c r="AM17" s="345">
        <v>202</v>
      </c>
      <c r="AN17" s="345" t="s">
        <v>322</v>
      </c>
      <c r="AP17" s="347">
        <v>11</v>
      </c>
      <c r="AQ17" s="347" t="s">
        <v>297</v>
      </c>
      <c r="AS17" s="348" t="str">
        <f t="array" ref="AS17">IFERROR(IF($AS$11="Metro",INDEX($AJ$13:$AJ$814,SMALL(IF((County=$AK$13:$AK$814),MATCH(ROW($AK$13:$AK$814),ROW($AK$13:$AK$814)),""),ROWS($A$13:$A17))),INDEX($AM$13:$AM$48,SMALL(IF((County=$AN$13:$AN$48),MATCH(ROW($AN$13:$AN$48),ROW($AN$13:$AN$48)),""),ROWS($A$13:$A17)))),"")</f>
        <v/>
      </c>
      <c r="AU17" s="348" t="str">
        <f t="array" ref="AU17">IFERROR(IF($AU$11="Yes",INDEX($AP$13:$AP$2950,SMALL(IF((County=$AQ$13:$AQ$2950),MATCH(ROW($AQ$13:$AQ$2950),ROW($AQ$13:$AQ$2950)),""),ROWS($A$13:$A17))),""),"")</f>
        <v/>
      </c>
      <c r="AW17" s="346">
        <v>32092</v>
      </c>
      <c r="AX17" s="345" t="s">
        <v>370</v>
      </c>
      <c r="AZ17" s="345">
        <v>1.03</v>
      </c>
      <c r="BA17" s="345" t="s">
        <v>349</v>
      </c>
      <c r="BC17" s="345">
        <v>200</v>
      </c>
      <c r="BD17" s="345" t="s">
        <v>334</v>
      </c>
      <c r="BF17" s="347">
        <v>1.01</v>
      </c>
      <c r="BG17" s="347" t="s">
        <v>349</v>
      </c>
      <c r="BH17" s="1790"/>
      <c r="BI17" s="2299">
        <v>32903</v>
      </c>
      <c r="BJ17" s="345" t="s">
        <v>309</v>
      </c>
      <c r="BL17" s="345" t="s">
        <v>322</v>
      </c>
      <c r="BM17" s="1784"/>
      <c r="BN17" s="345">
        <v>4</v>
      </c>
      <c r="BO17" s="345" t="s">
        <v>297</v>
      </c>
      <c r="BQ17" s="345">
        <v>3.02</v>
      </c>
      <c r="BR17" s="345" t="s">
        <v>308</v>
      </c>
      <c r="BT17" s="347">
        <v>11</v>
      </c>
      <c r="BU17" s="347" t="s">
        <v>297</v>
      </c>
      <c r="BW17" s="348" t="str">
        <f t="array" ref="BW17">IFERROR(IF($BW$11="Metro",INDEX($BN$13:$BN$4972,SMALL(IF((County=$BO$13:$BO$4972),MATCH(ROW($BO$13:$BO$4972),ROW($BO$13:$BO$4972)),""),ROWS($A$13:$A17))),INDEX($BQ$13:$BQ$212,SMALL(IF((County=$BR$13:$BR$212),MATCH(ROW($BR$13:$BR$212),ROW($BR$13:$BR$212)),""),ROWS($A$13:$A17)))),"")</f>
        <v/>
      </c>
      <c r="BY17" s="348" t="str">
        <f t="array" ref="BY17">IFERROR(IF($BY$11="Yes",INDEX($BT$13:$BT$2950,SMALL(IF((County=$BU$13:$BU$2950),MATCH(ROW($BU$13:$BU$2950),ROW($BU$13:$BU$2950)),""),ROWS($A$13:$A17))),""),"")</f>
        <v/>
      </c>
      <c r="CA17" s="1792">
        <v>32092</v>
      </c>
      <c r="CB17" s="237" t="s">
        <v>370</v>
      </c>
      <c r="CD17" s="237">
        <v>1.01</v>
      </c>
      <c r="CE17" s="237" t="s">
        <v>337</v>
      </c>
      <c r="CG17" s="237">
        <v>2</v>
      </c>
      <c r="CH17" s="237" t="s">
        <v>334</v>
      </c>
      <c r="CJ17" s="347">
        <v>1.02</v>
      </c>
      <c r="CK17" s="347" t="s">
        <v>318</v>
      </c>
      <c r="CL17" s="1789"/>
      <c r="CM17" s="2299"/>
      <c r="CN17" s="345"/>
      <c r="CP17" s="345"/>
      <c r="CR17" s="345"/>
      <c r="CS17" s="345"/>
      <c r="CU17" s="345"/>
      <c r="CV17" s="345"/>
      <c r="CX17" s="347"/>
      <c r="CY17" s="347"/>
      <c r="DA17" s="348"/>
      <c r="DC17" s="348"/>
      <c r="DE17" s="1792"/>
      <c r="DF17" s="345"/>
      <c r="DH17" s="237"/>
      <c r="DI17" s="237"/>
      <c r="DK17" s="345"/>
      <c r="DL17" s="345"/>
      <c r="DN17" s="347"/>
      <c r="DO17" s="347"/>
      <c r="DP17" s="2505"/>
      <c r="DT17" s="596" t="s">
        <v>306</v>
      </c>
      <c r="DU17" s="596" t="s">
        <v>2602</v>
      </c>
      <c r="DV17" s="591" t="s">
        <v>2603</v>
      </c>
      <c r="DW17" s="591">
        <v>30.201072</v>
      </c>
      <c r="DX17" s="591">
        <v>-85.680198000000004</v>
      </c>
      <c r="DY17" s="595" t="s">
        <v>686</v>
      </c>
      <c r="DZ17" s="597" t="s">
        <v>685</v>
      </c>
      <c r="EA17" s="592" t="str">
        <f t="shared" si="0"/>
        <v>Bay - Tranquility at Saint Andrews</v>
      </c>
      <c r="EB17" s="592" t="str">
        <f t="shared" si="1"/>
        <v>Family</v>
      </c>
      <c r="EC17" s="592" t="str">
        <f t="shared" si="2"/>
        <v>(30.201072, -85.680198)</v>
      </c>
      <c r="ED17" s="594" t="str">
        <f t="shared" si="3"/>
        <v>&gt;30</v>
      </c>
    </row>
    <row r="18" spans="1:134" ht="14.45" customHeight="1">
      <c r="A18" s="346">
        <v>32903</v>
      </c>
      <c r="B18" s="345" t="s">
        <v>309</v>
      </c>
      <c r="D18" s="345" t="s">
        <v>327</v>
      </c>
      <c r="E18" s="934"/>
      <c r="F18" s="345">
        <v>15.16</v>
      </c>
      <c r="G18" s="345" t="s">
        <v>297</v>
      </c>
      <c r="I18" s="345">
        <v>9602</v>
      </c>
      <c r="J18" s="345" t="s">
        <v>332</v>
      </c>
      <c r="L18" s="347">
        <v>12.03</v>
      </c>
      <c r="M18" s="347" t="s">
        <v>297</v>
      </c>
      <c r="O18" s="348" t="str">
        <f t="array" ref="O18">IFERROR(IF($O$11="Metro",INDEX($F$13:$F$738,SMALL(IF((County=$G$13:$G$738),MATCH(ROW($G$13:$G$738),ROW($G$13:$G$738)),""),ROWS($A$13:A18))),INDEX($I$13:$I$42,SMALL(IF((County=$J$13:$J$42),MATCH(ROW($J$13:$J$42),ROW($J$13:$J$42)),""),ROWS($A$13:A18)))),"")</f>
        <v/>
      </c>
      <c r="Q18" s="348" t="str">
        <f t="array" ref="Q18">IFERROR(IF($Q$11="Yes",INDEX($L$13:$L$2313,SMALL(IF((County=$M$13:$M$2313),MATCH(ROW($M$13:$M$2313),ROW($M$13:$M$2313)),""),ROWS($A$13:A18))),""),"")</f>
        <v/>
      </c>
      <c r="S18" s="346">
        <v>32128</v>
      </c>
      <c r="T18" s="345" t="s">
        <v>376</v>
      </c>
      <c r="V18" s="345">
        <v>1.06</v>
      </c>
      <c r="W18" s="345" t="s">
        <v>349</v>
      </c>
      <c r="Y18" s="345">
        <v>103.02</v>
      </c>
      <c r="Z18" s="345" t="s">
        <v>321</v>
      </c>
      <c r="AB18" s="347">
        <v>1.01</v>
      </c>
      <c r="AC18" s="347" t="s">
        <v>318</v>
      </c>
      <c r="AD18" s="1138"/>
      <c r="AE18" s="346">
        <v>32908</v>
      </c>
      <c r="AF18" s="345" t="s">
        <v>309</v>
      </c>
      <c r="AH18" s="345" t="s">
        <v>327</v>
      </c>
      <c r="AI18" s="934"/>
      <c r="AJ18" s="345">
        <v>8.08</v>
      </c>
      <c r="AK18" s="345" t="s">
        <v>297</v>
      </c>
      <c r="AM18" s="345">
        <v>201</v>
      </c>
      <c r="AN18" s="345" t="s">
        <v>332</v>
      </c>
      <c r="AP18" s="347">
        <v>12.01</v>
      </c>
      <c r="AQ18" s="347" t="s">
        <v>297</v>
      </c>
      <c r="AS18" s="348" t="str">
        <f t="array" ref="AS18">IFERROR(IF($AS$11="Metro",INDEX($AJ$13:$AJ$814,SMALL(IF((County=$AK$13:$AK$814),MATCH(ROW($AK$13:$AK$814),ROW($AK$13:$AK$814)),""),ROWS($A$13:$A18))),INDEX($AM$13:$AM$48,SMALL(IF((County=$AN$13:$AN$48),MATCH(ROW($AN$13:$AN$48),ROW($AN$13:$AN$48)),""),ROWS($A$13:$A18)))),"")</f>
        <v/>
      </c>
      <c r="AU18" s="348" t="str">
        <f t="array" ref="AU18">IFERROR(IF($AU$11="Yes",INDEX($AP$13:$AP$2950,SMALL(IF((County=$AQ$13:$AQ$2950),MATCH(ROW($AQ$13:$AQ$2950),ROW($AQ$13:$AQ$2950)),""),ROWS($A$13:$A18))),""),"")</f>
        <v/>
      </c>
      <c r="AW18" s="346">
        <v>32102</v>
      </c>
      <c r="AX18" s="345" t="s">
        <v>343</v>
      </c>
      <c r="AZ18" s="345">
        <v>1.05</v>
      </c>
      <c r="BA18" s="345" t="s">
        <v>349</v>
      </c>
      <c r="BC18" s="345">
        <v>200</v>
      </c>
      <c r="BD18" s="345" t="s">
        <v>348</v>
      </c>
      <c r="BF18" s="347">
        <v>1.01</v>
      </c>
      <c r="BG18" s="347" t="s">
        <v>350</v>
      </c>
      <c r="BH18" s="1790"/>
      <c r="BI18" s="2299">
        <v>32904</v>
      </c>
      <c r="BJ18" s="345" t="s">
        <v>309</v>
      </c>
      <c r="BL18" s="345" t="s">
        <v>327</v>
      </c>
      <c r="BM18" s="1784"/>
      <c r="BN18" s="345">
        <v>5</v>
      </c>
      <c r="BO18" s="345" t="s">
        <v>297</v>
      </c>
      <c r="BQ18" s="345">
        <v>4</v>
      </c>
      <c r="BR18" s="345" t="s">
        <v>308</v>
      </c>
      <c r="BT18" s="347">
        <v>12.01</v>
      </c>
      <c r="BU18" s="347" t="s">
        <v>297</v>
      </c>
      <c r="BW18" s="348" t="str">
        <f t="array" ref="BW18">IFERROR(IF($BW$11="Metro",INDEX($BN$13:$BN$4972,SMALL(IF((County=$BO$13:$BO$4972),MATCH(ROW($BO$13:$BO$4972),ROW($BO$13:$BO$4972)),""),ROWS($A$13:$A18))),INDEX($BQ$13:$BQ$212,SMALL(IF((County=$BR$13:$BR$212),MATCH(ROW($BR$13:$BR$212),ROW($BR$13:$BR$212)),""),ROWS($A$13:$A18)))),"")</f>
        <v/>
      </c>
      <c r="BY18" s="348" t="str">
        <f t="array" ref="BY18">IFERROR(IF($BY$11="Yes",INDEX($BT$13:$BT$2950,SMALL(IF((County=$BU$13:$BU$2950),MATCH(ROW($BU$13:$BU$2950),ROW($BU$13:$BU$2950)),""),ROWS($A$13:$A18))),""),"")</f>
        <v/>
      </c>
      <c r="CA18" s="1792">
        <v>32102</v>
      </c>
      <c r="CB18" s="345" t="s">
        <v>343</v>
      </c>
      <c r="CD18" s="237">
        <v>1.01</v>
      </c>
      <c r="CE18" s="237" t="s">
        <v>349</v>
      </c>
      <c r="CG18" s="345">
        <v>2.0099999999999998</v>
      </c>
      <c r="CH18" s="345" t="s">
        <v>308</v>
      </c>
      <c r="CJ18" s="347">
        <v>1.02</v>
      </c>
      <c r="CK18" s="347" t="s">
        <v>334</v>
      </c>
      <c r="CL18" s="1789"/>
      <c r="CM18" s="2299"/>
      <c r="CN18" s="345"/>
      <c r="CP18" s="345"/>
      <c r="CR18" s="345"/>
      <c r="CS18" s="345"/>
      <c r="CU18" s="345"/>
      <c r="CV18" s="345"/>
      <c r="CX18" s="347"/>
      <c r="CY18" s="347"/>
      <c r="DA18" s="348"/>
      <c r="DC18" s="348"/>
      <c r="DE18" s="1792"/>
      <c r="DF18" s="345"/>
      <c r="DH18" s="237"/>
      <c r="DI18" s="237"/>
      <c r="DK18" s="345"/>
      <c r="DL18" s="345"/>
      <c r="DN18" s="347"/>
      <c r="DO18" s="347"/>
      <c r="DP18" s="2505"/>
      <c r="DT18" s="596" t="s">
        <v>315</v>
      </c>
      <c r="DU18" s="596" t="s">
        <v>2604</v>
      </c>
      <c r="DV18" s="591" t="s">
        <v>2605</v>
      </c>
      <c r="DW18" s="591">
        <v>26.993019</v>
      </c>
      <c r="DX18" s="591">
        <v>-82.028435999999999</v>
      </c>
      <c r="DY18" s="595" t="s">
        <v>686</v>
      </c>
      <c r="DZ18" s="597" t="s">
        <v>685</v>
      </c>
      <c r="EA18" s="592" t="str">
        <f t="shared" si="0"/>
        <v>Charlotte - Blue Deep Creek</v>
      </c>
      <c r="EB18" s="592" t="str">
        <f t="shared" si="1"/>
        <v>Family</v>
      </c>
      <c r="EC18" s="592" t="str">
        <f t="shared" si="2"/>
        <v>(26.993019, -82.028436)</v>
      </c>
      <c r="ED18" s="594" t="str">
        <f t="shared" si="3"/>
        <v>&gt;30</v>
      </c>
    </row>
    <row r="19" spans="1:134" ht="14.45" customHeight="1">
      <c r="A19" s="346">
        <v>32904</v>
      </c>
      <c r="B19" s="345" t="s">
        <v>309</v>
      </c>
      <c r="D19" s="345" t="s">
        <v>330</v>
      </c>
      <c r="E19" s="934"/>
      <c r="F19" s="345">
        <v>15.17</v>
      </c>
      <c r="G19" s="345" t="s">
        <v>297</v>
      </c>
      <c r="I19" s="345">
        <v>9603</v>
      </c>
      <c r="J19" s="345" t="s">
        <v>332</v>
      </c>
      <c r="L19" s="347">
        <v>15.14</v>
      </c>
      <c r="M19" s="347" t="s">
        <v>297</v>
      </c>
      <c r="O19" s="348" t="str">
        <f t="array" ref="O19">IFERROR(IF($O$11="Metro",INDEX($F$13:$F$738,SMALL(IF((County=$G$13:$G$738),MATCH(ROW($G$13:$G$738),ROW($G$13:$G$738)),""),ROWS($A$13:A19))),INDEX($I$13:$I$42,SMALL(IF((County=$J$13:$J$42),MATCH(ROW($J$13:$J$42),ROW($J$13:$J$42)),""),ROWS($A$13:A19)))),"")</f>
        <v/>
      </c>
      <c r="Q19" s="348" t="str">
        <f t="array" ref="Q19">IFERROR(IF($Q$11="Yes",INDEX($L$13:$L$2313,SMALL(IF((County=$M$13:$M$2313),MATCH(ROW($M$13:$M$2313),ROW($M$13:$M$2313)),""),ROWS($A$13:A19))),""),"")</f>
        <v/>
      </c>
      <c r="S19" s="346">
        <v>32129</v>
      </c>
      <c r="T19" s="345" t="s">
        <v>376</v>
      </c>
      <c r="V19" s="345">
        <v>1.0900000000000001</v>
      </c>
      <c r="W19" s="345" t="s">
        <v>352</v>
      </c>
      <c r="Y19" s="345">
        <v>1102</v>
      </c>
      <c r="Z19" s="345" t="s">
        <v>348</v>
      </c>
      <c r="AB19" s="347">
        <v>1.01</v>
      </c>
      <c r="AC19" s="347" t="s">
        <v>349</v>
      </c>
      <c r="AD19" s="1138"/>
      <c r="AE19" s="346">
        <v>32925</v>
      </c>
      <c r="AF19" s="345" t="s">
        <v>309</v>
      </c>
      <c r="AH19" s="345" t="s">
        <v>330</v>
      </c>
      <c r="AI19" s="934"/>
      <c r="AJ19" s="345">
        <v>9.01</v>
      </c>
      <c r="AK19" s="345" t="s">
        <v>297</v>
      </c>
      <c r="AM19" s="345">
        <v>202</v>
      </c>
      <c r="AN19" s="345" t="s">
        <v>332</v>
      </c>
      <c r="AP19" s="347">
        <v>12.02</v>
      </c>
      <c r="AQ19" s="347" t="s">
        <v>297</v>
      </c>
      <c r="AS19" s="348" t="str">
        <f t="array" ref="AS19">IFERROR(IF($AS$11="Metro",INDEX($AJ$13:$AJ$814,SMALL(IF((County=$AK$13:$AK$814),MATCH(ROW($AK$13:$AK$814),ROW($AK$13:$AK$814)),""),ROWS($A$13:$A19))),INDEX($AM$13:$AM$48,SMALL(IF((County=$AN$13:$AN$48),MATCH(ROW($AN$13:$AN$48),ROW($AN$13:$AN$48)),""),ROWS($A$13:$A19)))),"")</f>
        <v/>
      </c>
      <c r="AU19" s="348" t="str">
        <f t="array" ref="AU19">IFERROR(IF($AU$11="Yes",INDEX($AP$13:$AP$2950,SMALL(IF((County=$AQ$13:$AQ$2950),MATCH(ROW($AQ$13:$AQ$2950),ROW($AQ$13:$AQ$2950)),""),ROWS($A$13:$A19))),""),"")</f>
        <v/>
      </c>
      <c r="AW19" s="346">
        <v>32124</v>
      </c>
      <c r="AX19" s="345" t="s">
        <v>376</v>
      </c>
      <c r="AZ19" s="345">
        <v>1.06</v>
      </c>
      <c r="BA19" s="345" t="s">
        <v>349</v>
      </c>
      <c r="BC19" s="345">
        <v>200</v>
      </c>
      <c r="BD19" s="345" t="s">
        <v>379</v>
      </c>
      <c r="BF19" s="347">
        <v>1.02</v>
      </c>
      <c r="BG19" s="347" t="s">
        <v>318</v>
      </c>
      <c r="BH19" s="1790"/>
      <c r="BI19" s="2299">
        <v>32908</v>
      </c>
      <c r="BJ19" s="345" t="s">
        <v>309</v>
      </c>
      <c r="BL19" s="345" t="s">
        <v>330</v>
      </c>
      <c r="BM19" s="1784"/>
      <c r="BN19" s="345">
        <v>6</v>
      </c>
      <c r="BO19" s="345" t="s">
        <v>297</v>
      </c>
      <c r="BQ19" s="345">
        <v>101</v>
      </c>
      <c r="BR19" s="345" t="s">
        <v>313</v>
      </c>
      <c r="BT19" s="347">
        <v>12.02</v>
      </c>
      <c r="BU19" s="347" t="s">
        <v>297</v>
      </c>
      <c r="BW19" s="348" t="str">
        <f t="array" ref="BW19">IFERROR(IF($BW$11="Metro",INDEX($BN$13:$BN$4972,SMALL(IF((County=$BO$13:$BO$4972),MATCH(ROW($BO$13:$BO$4972),ROW($BO$13:$BO$4972)),""),ROWS($A$13:$A19))),INDEX($BQ$13:$BQ$212,SMALL(IF((County=$BR$13:$BR$212),MATCH(ROW($BR$13:$BR$212),ROW($BR$13:$BR$212)),""),ROWS($A$13:$A19)))),"")</f>
        <v/>
      </c>
      <c r="BY19" s="348" t="str">
        <f t="array" ref="BY19">IFERROR(IF($BY$11="Yes",INDEX($BT$13:$BT$2950,SMALL(IF((County=$BU$13:$BU$2950),MATCH(ROW($BU$13:$BU$2950),ROW($BU$13:$BU$2950)),""),ROWS($A$13:$A19))),""),"")</f>
        <v/>
      </c>
      <c r="CA19" s="1792">
        <v>32124</v>
      </c>
      <c r="CB19" s="237" t="s">
        <v>376</v>
      </c>
      <c r="CD19" s="237">
        <v>1.01</v>
      </c>
      <c r="CE19" s="237" t="s">
        <v>350</v>
      </c>
      <c r="CG19" s="237">
        <v>2.0099999999999998</v>
      </c>
      <c r="CH19" s="237" t="s">
        <v>330</v>
      </c>
      <c r="CJ19" s="347">
        <v>1.02</v>
      </c>
      <c r="CK19" s="347" t="s">
        <v>350</v>
      </c>
      <c r="CL19" s="1789"/>
      <c r="CM19" s="2299"/>
      <c r="CN19" s="345"/>
      <c r="CP19" s="345"/>
      <c r="CR19" s="345"/>
      <c r="CS19" s="345"/>
      <c r="CU19" s="345"/>
      <c r="CV19" s="345"/>
      <c r="CX19" s="347"/>
      <c r="CY19" s="347"/>
      <c r="DA19" s="348"/>
      <c r="DC19" s="348"/>
      <c r="DE19" s="1792"/>
      <c r="DF19" s="345"/>
      <c r="DH19" s="237"/>
      <c r="DI19" s="237"/>
      <c r="DK19" s="345"/>
      <c r="DL19" s="345"/>
      <c r="DN19" s="347"/>
      <c r="DO19" s="347"/>
      <c r="DP19" s="2505"/>
      <c r="DT19" s="591" t="s">
        <v>315</v>
      </c>
      <c r="DU19" s="591" t="s">
        <v>2107</v>
      </c>
      <c r="DV19" s="591" t="s">
        <v>2108</v>
      </c>
      <c r="DW19" s="592">
        <v>26.896048</v>
      </c>
      <c r="DX19" s="592">
        <v>-82.270073999999994</v>
      </c>
      <c r="DY19" s="595" t="s">
        <v>686</v>
      </c>
      <c r="DZ19" s="594" t="s">
        <v>685</v>
      </c>
      <c r="EA19" s="592" t="str">
        <f t="shared" si="0"/>
        <v>Charlotte - Sovereign at Harbor West</v>
      </c>
      <c r="EB19" s="592" t="str">
        <f t="shared" si="1"/>
        <v>Family</v>
      </c>
      <c r="EC19" s="592" t="str">
        <f t="shared" si="2"/>
        <v>(26.896048, -82.270074)</v>
      </c>
      <c r="ED19" s="594" t="str">
        <f t="shared" si="3"/>
        <v>&gt;30</v>
      </c>
    </row>
    <row r="20" spans="1:134" ht="14.45" customHeight="1">
      <c r="A20" s="346">
        <v>32908</v>
      </c>
      <c r="B20" s="345" t="s">
        <v>309</v>
      </c>
      <c r="D20" s="345" t="s">
        <v>332</v>
      </c>
      <c r="E20" s="934"/>
      <c r="F20" s="345">
        <v>15.19</v>
      </c>
      <c r="G20" s="345" t="s">
        <v>297</v>
      </c>
      <c r="I20" s="345">
        <v>9701.02</v>
      </c>
      <c r="J20" s="345" t="s">
        <v>333</v>
      </c>
      <c r="L20" s="347">
        <v>15.17</v>
      </c>
      <c r="M20" s="347" t="s">
        <v>297</v>
      </c>
      <c r="O20" s="348" t="str">
        <f t="array" ref="O20">IFERROR(IF($O$11="Metro",INDEX($F$13:$F$738,SMALL(IF((County=$G$13:$G$738),MATCH(ROW($G$13:$G$738),ROW($G$13:$G$738)),""),ROWS($A$13:A20))),INDEX($I$13:$I$42,SMALL(IF((County=$J$13:$J$42),MATCH(ROW($J$13:$J$42),ROW($J$13:$J$42)),""),ROWS($A$13:A20)))),"")</f>
        <v/>
      </c>
      <c r="Q20" s="348" t="str">
        <f t="array" ref="Q20">IFERROR(IF($Q$11="Yes",INDEX($L$13:$L$2313,SMALL(IF((County=$M$13:$M$2313),MATCH(ROW($M$13:$M$2313),ROW($M$13:$M$2313)),""),ROWS($A$13:A20))),""),"")</f>
        <v/>
      </c>
      <c r="S20" s="346">
        <v>32133</v>
      </c>
      <c r="T20" s="345" t="s">
        <v>350</v>
      </c>
      <c r="V20" s="345">
        <v>1.26</v>
      </c>
      <c r="W20" s="345" t="s">
        <v>352</v>
      </c>
      <c r="Y20" s="345">
        <v>1103</v>
      </c>
      <c r="Z20" s="345" t="s">
        <v>319</v>
      </c>
      <c r="AB20" s="347">
        <v>1.01</v>
      </c>
      <c r="AC20" s="347" t="s">
        <v>361</v>
      </c>
      <c r="AD20" s="1138"/>
      <c r="AE20" s="346">
        <v>32934</v>
      </c>
      <c r="AF20" s="345" t="s">
        <v>309</v>
      </c>
      <c r="AH20" s="345" t="s">
        <v>331</v>
      </c>
      <c r="AI20" s="934"/>
      <c r="AJ20" s="345">
        <v>15.14</v>
      </c>
      <c r="AK20" s="345" t="s">
        <v>297</v>
      </c>
      <c r="AM20" s="345">
        <v>201</v>
      </c>
      <c r="AN20" s="345" t="s">
        <v>333</v>
      </c>
      <c r="AP20" s="347">
        <v>12.03</v>
      </c>
      <c r="AQ20" s="347" t="s">
        <v>297</v>
      </c>
      <c r="AS20" s="348" t="str">
        <f t="array" ref="AS20">IFERROR(IF($AS$11="Metro",INDEX($AJ$13:$AJ$814,SMALL(IF((County=$AK$13:$AK$814),MATCH(ROW($AK$13:$AK$814),ROW($AK$13:$AK$814)),""),ROWS($A$13:$A20))),INDEX($AM$13:$AM$48,SMALL(IF((County=$AN$13:$AN$48),MATCH(ROW($AN$13:$AN$48),ROW($AN$13:$AN$48)),""),ROWS($A$13:$A20)))),"")</f>
        <v/>
      </c>
      <c r="AU20" s="348" t="str">
        <f t="array" ref="AU20">IFERROR(IF($AU$11="Yes",INDEX($AP$13:$AP$2950,SMALL(IF((County=$AQ$13:$AQ$2950),MATCH(ROW($AQ$13:$AQ$2950),ROW($AQ$13:$AQ$2950)),""),ROWS($A$13:$A20))),""),"")</f>
        <v/>
      </c>
      <c r="AW20" s="346">
        <v>32128</v>
      </c>
      <c r="AX20" s="345" t="s">
        <v>376</v>
      </c>
      <c r="AZ20" s="345">
        <v>1.0900000000000001</v>
      </c>
      <c r="BA20" s="345" t="s">
        <v>352</v>
      </c>
      <c r="BC20" s="345">
        <v>201</v>
      </c>
      <c r="BD20" s="345" t="s">
        <v>332</v>
      </c>
      <c r="BF20" s="347">
        <v>1.02</v>
      </c>
      <c r="BG20" s="347" t="s">
        <v>334</v>
      </c>
      <c r="BH20" s="1790"/>
      <c r="BI20" s="2299">
        <v>32925</v>
      </c>
      <c r="BJ20" s="345" t="s">
        <v>309</v>
      </c>
      <c r="BL20" s="345" t="s">
        <v>331</v>
      </c>
      <c r="BM20" s="1784"/>
      <c r="BN20" s="345">
        <v>7</v>
      </c>
      <c r="BO20" s="345" t="s">
        <v>297</v>
      </c>
      <c r="BQ20" s="345">
        <v>102</v>
      </c>
      <c r="BR20" s="345" t="s">
        <v>313</v>
      </c>
      <c r="BT20" s="347">
        <v>12.03</v>
      </c>
      <c r="BU20" s="347" t="s">
        <v>297</v>
      </c>
      <c r="BW20" s="348" t="str">
        <f t="array" ref="BW20">IFERROR(IF($BW$11="Metro",INDEX($BN$13:$BN$4972,SMALL(IF((County=$BO$13:$BO$4972),MATCH(ROW($BO$13:$BO$4972),ROW($BO$13:$BO$4972)),""),ROWS($A$13:$A20))),INDEX($BQ$13:$BQ$212,SMALL(IF((County=$BR$13:$BR$212),MATCH(ROW($BR$13:$BR$212),ROW($BR$13:$BR$212)),""),ROWS($A$13:$A20)))),"")</f>
        <v/>
      </c>
      <c r="BY20" s="348" t="str">
        <f t="array" ref="BY20">IFERROR(IF($BY$11="Yes",INDEX($BT$13:$BT$2950,SMALL(IF((County=$BU$13:$BU$2950),MATCH(ROW($BU$13:$BU$2950),ROW($BU$13:$BU$2950)),""),ROWS($A$13:$A20))),""),"")</f>
        <v/>
      </c>
      <c r="CA20" s="1792">
        <v>32127</v>
      </c>
      <c r="CB20" s="237" t="s">
        <v>376</v>
      </c>
      <c r="CD20" s="237">
        <v>1.02</v>
      </c>
      <c r="CE20" s="237" t="s">
        <v>318</v>
      </c>
      <c r="CG20" s="345">
        <v>2.02</v>
      </c>
      <c r="CH20" s="345" t="s">
        <v>308</v>
      </c>
      <c r="CJ20" s="347">
        <v>1.02</v>
      </c>
      <c r="CK20" s="347" t="s">
        <v>361</v>
      </c>
      <c r="CL20" s="1789"/>
      <c r="CM20" s="2299"/>
      <c r="CN20" s="345"/>
      <c r="CP20" s="345"/>
      <c r="CR20" s="345"/>
      <c r="CS20" s="345"/>
      <c r="CU20" s="345"/>
      <c r="CV20" s="345"/>
      <c r="CX20" s="347"/>
      <c r="CY20" s="347"/>
      <c r="DA20" s="348"/>
      <c r="DC20" s="348"/>
      <c r="DE20" s="1792"/>
      <c r="DF20" s="345"/>
      <c r="DH20" s="237"/>
      <c r="DI20" s="237"/>
      <c r="DK20" s="345"/>
      <c r="DL20" s="345"/>
      <c r="DN20" s="347"/>
      <c r="DO20" s="347"/>
      <c r="DP20" s="2505"/>
      <c r="DT20" s="596" t="s">
        <v>315</v>
      </c>
      <c r="DU20" s="596" t="s">
        <v>2109</v>
      </c>
      <c r="DV20" s="591" t="s">
        <v>2110</v>
      </c>
      <c r="DW20" s="591">
        <v>26.895129000000001</v>
      </c>
      <c r="DX20" s="591">
        <v>-82.268783999999997</v>
      </c>
      <c r="DY20" s="595" t="s">
        <v>684</v>
      </c>
      <c r="DZ20" s="597" t="s">
        <v>685</v>
      </c>
      <c r="EA20" s="592" t="str">
        <f t="shared" si="0"/>
        <v>Charlotte - Sovereign at Parkside East</v>
      </c>
      <c r="EB20" s="592" t="str">
        <f t="shared" si="1"/>
        <v>Elderly, Non-ALF</v>
      </c>
      <c r="EC20" s="592" t="str">
        <f t="shared" si="2"/>
        <v>(26.895129, -82.268784)</v>
      </c>
      <c r="ED20" s="594" t="str">
        <f t="shared" si="3"/>
        <v>&gt;30</v>
      </c>
    </row>
    <row r="21" spans="1:134" ht="14.45" customHeight="1">
      <c r="A21" s="346">
        <v>32925</v>
      </c>
      <c r="B21" s="345" t="s">
        <v>309</v>
      </c>
      <c r="D21" s="345" t="s">
        <v>333</v>
      </c>
      <c r="E21" s="934"/>
      <c r="F21" s="345">
        <v>15.21</v>
      </c>
      <c r="G21" s="345" t="s">
        <v>297</v>
      </c>
      <c r="I21" s="345">
        <v>9702.01</v>
      </c>
      <c r="J21" s="345" t="s">
        <v>333</v>
      </c>
      <c r="L21" s="347">
        <v>16.03</v>
      </c>
      <c r="M21" s="347" t="s">
        <v>297</v>
      </c>
      <c r="O21" s="348" t="str">
        <f t="array" ref="O21">IFERROR(IF($O$11="Metro",INDEX($F$13:$F$738,SMALL(IF((County=$G$13:$G$738),MATCH(ROW($G$13:$G$738),ROW($G$13:$G$738)),""),ROWS($A$13:A21))),INDEX($I$13:$I$42,SMALL(IF((County=$J$13:$J$42),MATCH(ROW($J$13:$J$42),ROW($J$13:$J$42)),""),ROWS($A$13:A21)))),"")</f>
        <v/>
      </c>
      <c r="Q21" s="348" t="str">
        <f t="array" ref="Q21">IFERROR(IF($Q$11="Yes",INDEX($L$13:$L$2313,SMALL(IF((County=$M$13:$M$2313),MATCH(ROW($M$13:$M$2313),ROW($M$13:$M$2313)),""),ROWS($A$13:A21))),""),"")</f>
        <v/>
      </c>
      <c r="S21" s="346">
        <v>32162</v>
      </c>
      <c r="T21" s="345" t="s">
        <v>372</v>
      </c>
      <c r="V21" s="345">
        <v>2</v>
      </c>
      <c r="W21" s="345" t="s">
        <v>297</v>
      </c>
      <c r="Y21" s="345">
        <v>1103.02</v>
      </c>
      <c r="Z21" s="345" t="s">
        <v>348</v>
      </c>
      <c r="AB21" s="347">
        <v>1.02</v>
      </c>
      <c r="AC21" s="347" t="s">
        <v>318</v>
      </c>
      <c r="AD21" s="1138"/>
      <c r="AE21" s="346">
        <v>32937</v>
      </c>
      <c r="AF21" s="345" t="s">
        <v>309</v>
      </c>
      <c r="AH21" s="345" t="s">
        <v>332</v>
      </c>
      <c r="AI21" s="934"/>
      <c r="AJ21" s="345">
        <v>15.15</v>
      </c>
      <c r="AK21" s="345" t="s">
        <v>297</v>
      </c>
      <c r="AM21" s="345">
        <v>301</v>
      </c>
      <c r="AN21" s="345" t="s">
        <v>333</v>
      </c>
      <c r="AP21" s="347">
        <v>14</v>
      </c>
      <c r="AQ21" s="347" t="s">
        <v>297</v>
      </c>
      <c r="AS21" s="348" t="str">
        <f t="array" ref="AS21">IFERROR(IF($AS$11="Metro",INDEX($AJ$13:$AJ$814,SMALL(IF((County=$AK$13:$AK$814),MATCH(ROW($AK$13:$AK$814),ROW($AK$13:$AK$814)),""),ROWS($A$13:$A21))),INDEX($AM$13:$AM$48,SMALL(IF((County=$AN$13:$AN$48),MATCH(ROW($AN$13:$AN$48),ROW($AN$13:$AN$48)),""),ROWS($A$13:$A21)))),"")</f>
        <v/>
      </c>
      <c r="AU21" s="348" t="str">
        <f t="array" ref="AU21">IFERROR(IF($AU$11="Yes",INDEX($AP$13:$AP$2950,SMALL(IF((County=$AQ$13:$AQ$2950),MATCH(ROW($AQ$13:$AQ$2950),ROW($AQ$13:$AQ$2950)),""),ROWS($A$13:$A21))),""),"")</f>
        <v/>
      </c>
      <c r="AW21" s="346">
        <v>32129</v>
      </c>
      <c r="AX21" s="345" t="s">
        <v>376</v>
      </c>
      <c r="AZ21" s="345">
        <v>1.24</v>
      </c>
      <c r="BA21" s="345" t="s">
        <v>352</v>
      </c>
      <c r="BC21" s="345">
        <v>201</v>
      </c>
      <c r="BD21" s="345" t="s">
        <v>333</v>
      </c>
      <c r="BF21" s="347">
        <v>1.02</v>
      </c>
      <c r="BG21" s="347" t="s">
        <v>361</v>
      </c>
      <c r="BH21" s="1790"/>
      <c r="BI21" s="2299">
        <v>32934</v>
      </c>
      <c r="BJ21" s="345" t="s">
        <v>309</v>
      </c>
      <c r="BL21" s="345" t="s">
        <v>332</v>
      </c>
      <c r="BM21" s="1784"/>
      <c r="BN21" s="345">
        <v>8.06</v>
      </c>
      <c r="BO21" s="345" t="s">
        <v>297</v>
      </c>
      <c r="BQ21" s="345">
        <v>103.01</v>
      </c>
      <c r="BR21" s="345" t="s">
        <v>313</v>
      </c>
      <c r="BT21" s="347">
        <v>15.14</v>
      </c>
      <c r="BU21" s="347" t="s">
        <v>297</v>
      </c>
      <c r="BW21" s="348" t="str">
        <f t="array" ref="BW21">IFERROR(IF($BW$11="Metro",INDEX($BN$13:$BN$4972,SMALL(IF((County=$BO$13:$BO$4972),MATCH(ROW($BO$13:$BO$4972),ROW($BO$13:$BO$4972)),""),ROWS($A$13:$A21))),INDEX($BQ$13:$BQ$212,SMALL(IF((County=$BR$13:$BR$212),MATCH(ROW($BR$13:$BR$212),ROW($BR$13:$BR$212)),""),ROWS($A$13:$A21)))),"")</f>
        <v/>
      </c>
      <c r="BY21" s="348" t="str">
        <f t="array" ref="BY21">IFERROR(IF($BY$11="Yes",INDEX($BT$13:$BT$2950,SMALL(IF((County=$BU$13:$BU$2950),MATCH(ROW($BU$13:$BU$2950),ROW($BU$13:$BU$2950)),""),ROWS($A$13:$A21))),""),"")</f>
        <v/>
      </c>
      <c r="CA21" s="1792">
        <v>32128</v>
      </c>
      <c r="CB21" s="237" t="s">
        <v>376</v>
      </c>
      <c r="CD21" s="237">
        <v>1.02</v>
      </c>
      <c r="CE21" s="237" t="s">
        <v>323</v>
      </c>
      <c r="CG21" s="237">
        <v>2.02</v>
      </c>
      <c r="CH21" s="237" t="s">
        <v>330</v>
      </c>
      <c r="CJ21" s="347">
        <v>1.03</v>
      </c>
      <c r="CK21" s="347" t="s">
        <v>361</v>
      </c>
      <c r="CL21" s="1789"/>
      <c r="CM21" s="2299"/>
      <c r="CN21" s="345"/>
      <c r="CP21" s="345"/>
      <c r="CR21" s="345"/>
      <c r="CS21" s="345"/>
      <c r="CU21" s="345"/>
      <c r="CV21" s="345"/>
      <c r="CX21" s="347"/>
      <c r="CY21" s="347"/>
      <c r="DA21" s="348"/>
      <c r="DC21" s="348"/>
      <c r="DE21" s="1792"/>
      <c r="DF21" s="345"/>
      <c r="DH21" s="237"/>
      <c r="DI21" s="237"/>
      <c r="DK21" s="345"/>
      <c r="DL21" s="345"/>
      <c r="DN21" s="347"/>
      <c r="DO21" s="347"/>
      <c r="DP21" s="2505"/>
      <c r="DT21" s="596" t="s">
        <v>315</v>
      </c>
      <c r="DU21" s="596" t="s">
        <v>690</v>
      </c>
      <c r="DV21" s="591" t="s">
        <v>691</v>
      </c>
      <c r="DW21" s="591">
        <v>26.917735</v>
      </c>
      <c r="DX21" s="610">
        <v>-82.042008999999993</v>
      </c>
      <c r="DY21" s="595" t="s">
        <v>686</v>
      </c>
      <c r="DZ21" s="597" t="s">
        <v>685</v>
      </c>
      <c r="EA21" s="592" t="str">
        <f t="shared" si="0"/>
        <v>Charlotte - The Verandas of Punta Gorda III</v>
      </c>
      <c r="EB21" s="592" t="str">
        <f t="shared" si="1"/>
        <v>Family</v>
      </c>
      <c r="EC21" s="592" t="str">
        <f t="shared" si="2"/>
        <v>(26.917735, -82.042009)</v>
      </c>
      <c r="ED21" s="594" t="str">
        <f t="shared" si="3"/>
        <v>&gt;30</v>
      </c>
    </row>
    <row r="22" spans="1:134" ht="14.45" customHeight="1">
      <c r="A22" s="346">
        <v>32934</v>
      </c>
      <c r="B22" s="345" t="s">
        <v>309</v>
      </c>
      <c r="D22" s="345" t="s">
        <v>334</v>
      </c>
      <c r="E22" s="934"/>
      <c r="F22" s="345">
        <v>16.03</v>
      </c>
      <c r="G22" s="345" t="s">
        <v>297</v>
      </c>
      <c r="I22" s="345">
        <v>2</v>
      </c>
      <c r="J22" s="345" t="s">
        <v>334</v>
      </c>
      <c r="L22" s="347">
        <v>16.04</v>
      </c>
      <c r="M22" s="347" t="s">
        <v>297</v>
      </c>
      <c r="O22" s="348" t="str">
        <f t="array" ref="O22">IFERROR(IF($O$11="Metro",INDEX($F$13:$F$738,SMALL(IF((County=$G$13:$G$738),MATCH(ROW($G$13:$G$738),ROW($G$13:$G$738)),""),ROWS($A$13:A22))),INDEX($I$13:$I$42,SMALL(IF((County=$J$13:$J$42),MATCH(ROW($J$13:$J$42),ROW($J$13:$J$42)),""),ROWS($A$13:A22)))),"")</f>
        <v/>
      </c>
      <c r="Q22" s="348" t="str">
        <f t="array" ref="Q22">IFERROR(IF($Q$11="Yes",INDEX($L$13:$L$2313,SMALL(IF((County=$M$13:$M$2313),MATCH(ROW($M$13:$M$2313),ROW($M$13:$M$2313)),""),ROWS($A$13:A22))),""),"")</f>
        <v/>
      </c>
      <c r="S22" s="346">
        <v>32169</v>
      </c>
      <c r="T22" s="345" t="s">
        <v>376</v>
      </c>
      <c r="V22" s="345">
        <v>2</v>
      </c>
      <c r="W22" s="345" t="s">
        <v>323</v>
      </c>
      <c r="Y22" s="345">
        <v>1104</v>
      </c>
      <c r="Z22" s="345" t="s">
        <v>319</v>
      </c>
      <c r="AB22" s="347">
        <v>1.02</v>
      </c>
      <c r="AC22" s="347" t="s">
        <v>361</v>
      </c>
      <c r="AD22" s="1138"/>
      <c r="AE22" s="346">
        <v>32940</v>
      </c>
      <c r="AF22" s="345" t="s">
        <v>309</v>
      </c>
      <c r="AH22" s="345" t="s">
        <v>333</v>
      </c>
      <c r="AI22" s="934"/>
      <c r="AJ22" s="345">
        <v>15.16</v>
      </c>
      <c r="AK22" s="345" t="s">
        <v>297</v>
      </c>
      <c r="AM22" s="345">
        <v>302</v>
      </c>
      <c r="AN22" s="345" t="s">
        <v>333</v>
      </c>
      <c r="AP22" s="347">
        <v>15.17</v>
      </c>
      <c r="AQ22" s="347" t="s">
        <v>297</v>
      </c>
      <c r="AS22" s="348" t="str">
        <f t="array" ref="AS22">IFERROR(IF($AS$11="Metro",INDEX($AJ$13:$AJ$814,SMALL(IF((County=$AK$13:$AK$814),MATCH(ROW($AK$13:$AK$814),ROW($AK$13:$AK$814)),""),ROWS($A$13:$A22))),INDEX($AM$13:$AM$48,SMALL(IF((County=$AN$13:$AN$48),MATCH(ROW($AN$13:$AN$48),ROW($AN$13:$AN$48)),""),ROWS($A$13:$A22)))),"")</f>
        <v/>
      </c>
      <c r="AU22" s="348" t="str">
        <f t="array" ref="AU22">IFERROR(IF($AU$11="Yes",INDEX($AP$13:$AP$2950,SMALL(IF((County=$AQ$13:$AQ$2950),MATCH(ROW($AQ$13:$AQ$2950),ROW($AQ$13:$AQ$2950)),""),ROWS($A$13:$A22))),""),"")</f>
        <v/>
      </c>
      <c r="AW22" s="346">
        <v>32133</v>
      </c>
      <c r="AX22" s="345" t="s">
        <v>350</v>
      </c>
      <c r="AZ22" s="345">
        <v>1.26</v>
      </c>
      <c r="BA22" s="345" t="s">
        <v>352</v>
      </c>
      <c r="BC22" s="345">
        <v>201</v>
      </c>
      <c r="BD22" s="345" t="s">
        <v>366</v>
      </c>
      <c r="BF22" s="347">
        <v>1.03</v>
      </c>
      <c r="BG22" s="347" t="s">
        <v>361</v>
      </c>
      <c r="BH22" s="1790"/>
      <c r="BI22" s="2299">
        <v>32937</v>
      </c>
      <c r="BJ22" s="345" t="s">
        <v>309</v>
      </c>
      <c r="BL22" s="345" t="s">
        <v>333</v>
      </c>
      <c r="BM22" s="1784"/>
      <c r="BN22" s="345">
        <v>8.08</v>
      </c>
      <c r="BO22" s="345" t="s">
        <v>297</v>
      </c>
      <c r="BQ22" s="345">
        <v>103.02</v>
      </c>
      <c r="BR22" s="345" t="s">
        <v>313</v>
      </c>
      <c r="BT22" s="347">
        <v>15.22</v>
      </c>
      <c r="BU22" s="347" t="s">
        <v>297</v>
      </c>
      <c r="BW22" s="348" t="str">
        <f t="array" ref="BW22">IFERROR(IF($BW$11="Metro",INDEX($BN$13:$BN$4972,SMALL(IF((County=$BO$13:$BO$4972),MATCH(ROW($BO$13:$BO$4972),ROW($BO$13:$BO$4972)),""),ROWS($A$13:$A22))),INDEX($BQ$13:$BQ$212,SMALL(IF((County=$BR$13:$BR$212),MATCH(ROW($BR$13:$BR$212),ROW($BR$13:$BR$212)),""),ROWS($A$13:$A22)))),"")</f>
        <v/>
      </c>
      <c r="BY22" s="348" t="str">
        <f t="array" ref="BY22">IFERROR(IF($BY$11="Yes",INDEX($BT$13:$BT$2950,SMALL(IF((County=$BU$13:$BU$2950),MATCH(ROW($BU$13:$BU$2950),ROW($BU$13:$BU$2950)),""),ROWS($A$13:$A22))),""),"")</f>
        <v/>
      </c>
      <c r="CA22" s="1792">
        <v>32129</v>
      </c>
      <c r="CB22" s="237" t="s">
        <v>376</v>
      </c>
      <c r="CD22" s="237">
        <v>1.02</v>
      </c>
      <c r="CE22" s="237" t="s">
        <v>337</v>
      </c>
      <c r="CG22" s="237">
        <v>3</v>
      </c>
      <c r="CH22" s="237" t="s">
        <v>330</v>
      </c>
      <c r="CJ22" s="347">
        <v>1.03</v>
      </c>
      <c r="CK22" s="347" t="s">
        <v>368</v>
      </c>
      <c r="CL22" s="1789"/>
      <c r="CM22" s="2299"/>
      <c r="CN22" s="345"/>
      <c r="CP22" s="345"/>
      <c r="CR22" s="345"/>
      <c r="CS22" s="345"/>
      <c r="CU22" s="345"/>
      <c r="CV22" s="345"/>
      <c r="CX22" s="347"/>
      <c r="CY22" s="347"/>
      <c r="DA22" s="348"/>
      <c r="DC22" s="348"/>
      <c r="DE22" s="1792"/>
      <c r="DF22" s="345"/>
      <c r="DH22" s="237"/>
      <c r="DI22" s="237"/>
      <c r="DK22" s="345"/>
      <c r="DL22" s="345"/>
      <c r="DN22" s="347"/>
      <c r="DO22" s="347"/>
      <c r="DP22" s="2505"/>
      <c r="DT22" s="591" t="s">
        <v>316</v>
      </c>
      <c r="DU22" s="591" t="s">
        <v>2606</v>
      </c>
      <c r="DV22" s="591" t="s">
        <v>2607</v>
      </c>
      <c r="DW22" s="591">
        <v>28.765781</v>
      </c>
      <c r="DX22" s="591">
        <v>-82.549772000000004</v>
      </c>
      <c r="DY22" s="595" t="s">
        <v>686</v>
      </c>
      <c r="DZ22" s="595" t="s">
        <v>685</v>
      </c>
      <c r="EA22" s="592" t="str">
        <f t="shared" si="0"/>
        <v>Citrus - Cardinal Oaks</v>
      </c>
      <c r="EB22" s="592" t="str">
        <f t="shared" si="1"/>
        <v>Family</v>
      </c>
      <c r="EC22" s="592" t="str">
        <f t="shared" si="2"/>
        <v>(28.765781, -82.549772)</v>
      </c>
      <c r="ED22" s="594" t="str">
        <f t="shared" si="3"/>
        <v>&gt;30</v>
      </c>
    </row>
    <row r="23" spans="1:134" ht="14.45" customHeight="1">
      <c r="A23" s="346">
        <v>32937</v>
      </c>
      <c r="B23" s="345" t="s">
        <v>309</v>
      </c>
      <c r="D23" s="345" t="s">
        <v>338</v>
      </c>
      <c r="E23" s="934"/>
      <c r="F23" s="345">
        <v>16.04</v>
      </c>
      <c r="G23" s="345" t="s">
        <v>297</v>
      </c>
      <c r="I23" s="345">
        <v>3</v>
      </c>
      <c r="J23" s="345" t="s">
        <v>334</v>
      </c>
      <c r="L23" s="347">
        <v>17.010000000000002</v>
      </c>
      <c r="M23" s="347" t="s">
        <v>297</v>
      </c>
      <c r="O23" s="348" t="str">
        <f t="array" ref="O23">IFERROR(IF($O$11="Metro",INDEX($F$13:$F$738,SMALL(IF((County=$G$13:$G$738),MATCH(ROW($G$13:$G$738),ROW($G$13:$G$738)),""),ROWS($A$13:A23))),INDEX($I$13:$I$42,SMALL(IF((County=$J$13:$J$42),MATCH(ROW($J$13:$J$42),ROW($J$13:$J$42)),""),ROWS($A$13:A23)))),"")</f>
        <v/>
      </c>
      <c r="Q23" s="348" t="str">
        <f t="array" ref="Q23">IFERROR(IF($Q$11="Yes",INDEX($L$13:$L$2313,SMALL(IF((County=$M$13:$M$2313),MATCH(ROW($M$13:$M$2313),ROW($M$13:$M$2313)),""),ROWS($A$13:A23))),""),"")</f>
        <v/>
      </c>
      <c r="S23" s="346">
        <v>32176</v>
      </c>
      <c r="T23" s="345" t="s">
        <v>376</v>
      </c>
      <c r="V23" s="345">
        <v>2</v>
      </c>
      <c r="W23" s="345" t="s">
        <v>350</v>
      </c>
      <c r="Y23" s="345">
        <v>2102</v>
      </c>
      <c r="Z23" s="345" t="s">
        <v>340</v>
      </c>
      <c r="AB23" s="347">
        <v>1.07</v>
      </c>
      <c r="AC23" s="347" t="s">
        <v>352</v>
      </c>
      <c r="AD23" s="1138"/>
      <c r="AE23" s="346">
        <v>32951</v>
      </c>
      <c r="AF23" s="345" t="s">
        <v>309</v>
      </c>
      <c r="AH23" s="345" t="s">
        <v>334</v>
      </c>
      <c r="AI23" s="934"/>
      <c r="AJ23" s="345">
        <v>15.17</v>
      </c>
      <c r="AK23" s="345" t="s">
        <v>297</v>
      </c>
      <c r="AM23" s="345">
        <v>401</v>
      </c>
      <c r="AN23" s="345" t="s">
        <v>333</v>
      </c>
      <c r="AP23" s="347">
        <v>16.05</v>
      </c>
      <c r="AQ23" s="347" t="s">
        <v>297</v>
      </c>
      <c r="AS23" s="348" t="str">
        <f t="array" ref="AS23">IFERROR(IF($AS$11="Metro",INDEX($AJ$13:$AJ$814,SMALL(IF((County=$AK$13:$AK$814),MATCH(ROW($AK$13:$AK$814),ROW($AK$13:$AK$814)),""),ROWS($A$13:$A23))),INDEX($AM$13:$AM$48,SMALL(IF((County=$AN$13:$AN$48),MATCH(ROW($AN$13:$AN$48),ROW($AN$13:$AN$48)),""),ROWS($A$13:$A23)))),"")</f>
        <v/>
      </c>
      <c r="AU23" s="348" t="str">
        <f t="array" ref="AU23">IFERROR(IF($AU$11="Yes",INDEX($AP$13:$AP$2950,SMALL(IF((County=$AQ$13:$AQ$2950),MATCH(ROW($AQ$13:$AQ$2950),ROW($AQ$13:$AQ$2950)),""),ROWS($A$13:$A23))),""),"")</f>
        <v/>
      </c>
      <c r="AW23" s="346">
        <v>32162</v>
      </c>
      <c r="AX23" s="345" t="s">
        <v>372</v>
      </c>
      <c r="AZ23" s="345">
        <v>2</v>
      </c>
      <c r="BA23" s="345" t="s">
        <v>323</v>
      </c>
      <c r="BC23" s="345">
        <v>202</v>
      </c>
      <c r="BD23" s="345" t="s">
        <v>322</v>
      </c>
      <c r="BF23" s="347">
        <v>1.03</v>
      </c>
      <c r="BG23" s="347" t="s">
        <v>368</v>
      </c>
      <c r="BH23" s="1790"/>
      <c r="BI23" s="2299">
        <v>32940</v>
      </c>
      <c r="BJ23" s="345" t="s">
        <v>309</v>
      </c>
      <c r="BL23" s="345" t="s">
        <v>334</v>
      </c>
      <c r="BM23" s="1784"/>
      <c r="BN23" s="345">
        <v>8.09</v>
      </c>
      <c r="BO23" s="345" t="s">
        <v>297</v>
      </c>
      <c r="BQ23" s="345">
        <v>1102.01</v>
      </c>
      <c r="BR23" s="345" t="s">
        <v>319</v>
      </c>
      <c r="BT23" s="347">
        <v>16.05</v>
      </c>
      <c r="BU23" s="347" t="s">
        <v>297</v>
      </c>
      <c r="BW23" s="348" t="str">
        <f t="array" ref="BW23">IFERROR(IF($BW$11="Metro",INDEX($BN$13:$BN$4972,SMALL(IF((County=$BO$13:$BO$4972),MATCH(ROW($BO$13:$BO$4972),ROW($BO$13:$BO$4972)),""),ROWS($A$13:$A23))),INDEX($BQ$13:$BQ$212,SMALL(IF((County=$BR$13:$BR$212),MATCH(ROW($BR$13:$BR$212),ROW($BR$13:$BR$212)),""),ROWS($A$13:$A23)))),"")</f>
        <v/>
      </c>
      <c r="BY23" s="348" t="str">
        <f t="array" ref="BY23">IFERROR(IF($BY$11="Yes",INDEX($BT$13:$BT$2950,SMALL(IF((County=$BU$13:$BU$2950),MATCH(ROW($BU$13:$BU$2950),ROW($BU$13:$BU$2950)),""),ROWS($A$13:$A23))),""),"")</f>
        <v/>
      </c>
      <c r="CA23" s="2298">
        <v>32133</v>
      </c>
      <c r="CB23" s="345" t="s">
        <v>350</v>
      </c>
      <c r="CD23" s="237">
        <v>1.02</v>
      </c>
      <c r="CE23" s="237" t="s">
        <v>350</v>
      </c>
      <c r="CG23" s="237">
        <v>3</v>
      </c>
      <c r="CH23" s="237" t="s">
        <v>334</v>
      </c>
      <c r="CJ23" s="347">
        <v>1.04</v>
      </c>
      <c r="CK23" s="347" t="s">
        <v>361</v>
      </c>
      <c r="CL23" s="1789"/>
      <c r="CM23" s="2299"/>
      <c r="CN23" s="345"/>
      <c r="CP23" s="345"/>
      <c r="CR23" s="345"/>
      <c r="CS23" s="345"/>
      <c r="CU23" s="345"/>
      <c r="CV23" s="345"/>
      <c r="CX23" s="347"/>
      <c r="CY23" s="347"/>
      <c r="DA23" s="348"/>
      <c r="DC23" s="348"/>
      <c r="DE23" s="1792"/>
      <c r="DF23" s="345"/>
      <c r="DH23" s="237"/>
      <c r="DI23" s="237"/>
      <c r="DK23" s="345"/>
      <c r="DL23" s="345"/>
      <c r="DN23" s="347"/>
      <c r="DO23" s="347"/>
      <c r="DP23" s="2505"/>
      <c r="DT23" s="591" t="s">
        <v>2111</v>
      </c>
      <c r="DU23" s="591" t="s">
        <v>2112</v>
      </c>
      <c r="DV23" s="591" t="s">
        <v>2113</v>
      </c>
      <c r="DW23" s="592">
        <v>28.922747000000001</v>
      </c>
      <c r="DX23" s="592">
        <v>-82.610242</v>
      </c>
      <c r="DY23" s="595" t="s">
        <v>684</v>
      </c>
      <c r="DZ23" s="594" t="s">
        <v>685</v>
      </c>
      <c r="EA23" s="592" t="str">
        <f t="shared" si="0"/>
        <v>Citrus  - The Fountains at Hidden Lake</v>
      </c>
      <c r="EB23" s="592" t="str">
        <f t="shared" si="1"/>
        <v>Elderly, Non-ALF</v>
      </c>
      <c r="EC23" s="592" t="str">
        <f t="shared" si="2"/>
        <v>(28.922747, -82.610242)</v>
      </c>
      <c r="ED23" s="594" t="str">
        <f t="shared" si="3"/>
        <v>&gt;30</v>
      </c>
    </row>
    <row r="24" spans="1:134" ht="14.45" customHeight="1">
      <c r="A24" s="346">
        <v>32940</v>
      </c>
      <c r="B24" s="345" t="s">
        <v>309</v>
      </c>
      <c r="D24" s="345" t="s">
        <v>340</v>
      </c>
      <c r="E24" s="934"/>
      <c r="F24" s="345">
        <v>18.02</v>
      </c>
      <c r="G24" s="345" t="s">
        <v>297</v>
      </c>
      <c r="I24" s="345">
        <v>6</v>
      </c>
      <c r="J24" s="345" t="s">
        <v>334</v>
      </c>
      <c r="L24" s="347">
        <v>17.02</v>
      </c>
      <c r="M24" s="347" t="s">
        <v>297</v>
      </c>
      <c r="O24" s="348" t="str">
        <f t="array" ref="O24">IFERROR(IF($O$11="Metro",INDEX($F$13:$F$738,SMALL(IF((County=$G$13:$G$738),MATCH(ROW($G$13:$G$738),ROW($G$13:$G$738)),""),ROWS($A$13:A24))),INDEX($I$13:$I$42,SMALL(IF((County=$J$13:$J$42),MATCH(ROW($J$13:$J$42),ROW($J$13:$J$42)),""),ROWS($A$13:A24)))),"")</f>
        <v/>
      </c>
      <c r="Q24" s="348" t="str">
        <f t="array" ref="Q24">IFERROR(IF($Q$11="Yes",INDEX($L$13:$L$2313,SMALL(IF((County=$M$13:$M$2313),MATCH(ROW($M$13:$M$2313),ROW($M$13:$M$2313)),""),ROWS($A$13:A24))),""),"")</f>
        <v/>
      </c>
      <c r="S24" s="346">
        <v>32195</v>
      </c>
      <c r="T24" s="345" t="s">
        <v>350</v>
      </c>
      <c r="V24" s="345">
        <v>2</v>
      </c>
      <c r="W24" s="345" t="s">
        <v>368</v>
      </c>
      <c r="Y24" s="345">
        <v>2106</v>
      </c>
      <c r="Z24" s="345" t="s">
        <v>340</v>
      </c>
      <c r="AB24" s="347">
        <v>1.1299999999999999</v>
      </c>
      <c r="AC24" s="347" t="s">
        <v>352</v>
      </c>
      <c r="AD24" s="1138"/>
      <c r="AE24" s="346">
        <v>32955</v>
      </c>
      <c r="AF24" s="345" t="s">
        <v>309</v>
      </c>
      <c r="AH24" s="345" t="s">
        <v>338</v>
      </c>
      <c r="AI24" s="934"/>
      <c r="AJ24" s="345">
        <v>15.19</v>
      </c>
      <c r="AK24" s="345" t="s">
        <v>297</v>
      </c>
      <c r="AM24" s="345">
        <v>200</v>
      </c>
      <c r="AN24" s="345" t="s">
        <v>334</v>
      </c>
      <c r="AP24" s="347">
        <v>17.010000000000002</v>
      </c>
      <c r="AQ24" s="347" t="s">
        <v>297</v>
      </c>
      <c r="AS24" s="348" t="str">
        <f t="array" ref="AS24">IFERROR(IF($AS$11="Metro",INDEX($AJ$13:$AJ$814,SMALL(IF((County=$AK$13:$AK$814),MATCH(ROW($AK$13:$AK$814),ROW($AK$13:$AK$814)),""),ROWS($A$13:$A24))),INDEX($AM$13:$AM$48,SMALL(IF((County=$AN$13:$AN$48),MATCH(ROW($AN$13:$AN$48),ROW($AN$13:$AN$48)),""),ROWS($A$13:$A24)))),"")</f>
        <v/>
      </c>
      <c r="AU24" s="348" t="str">
        <f t="array" ref="AU24">IFERROR(IF($AU$11="Yes",INDEX($AP$13:$AP$2950,SMALL(IF((County=$AQ$13:$AQ$2950),MATCH(ROW($AQ$13:$AQ$2950),ROW($AQ$13:$AQ$2950)),""),ROWS($A$13:$A24))),""),"")</f>
        <v/>
      </c>
      <c r="AW24" s="346">
        <v>32169</v>
      </c>
      <c r="AX24" s="345" t="s">
        <v>376</v>
      </c>
      <c r="AZ24" s="345">
        <v>2</v>
      </c>
      <c r="BA24" s="345" t="s">
        <v>368</v>
      </c>
      <c r="BC24" s="345">
        <v>202</v>
      </c>
      <c r="BD24" s="345" t="s">
        <v>332</v>
      </c>
      <c r="BF24" s="347">
        <v>1.04</v>
      </c>
      <c r="BG24" s="347" t="s">
        <v>361</v>
      </c>
      <c r="BH24" s="1790"/>
      <c r="BI24" s="2299">
        <v>32950</v>
      </c>
      <c r="BJ24" s="345" t="s">
        <v>309</v>
      </c>
      <c r="BL24" s="345" t="s">
        <v>338</v>
      </c>
      <c r="BM24" s="1784"/>
      <c r="BN24" s="345">
        <v>9.01</v>
      </c>
      <c r="BO24" s="345" t="s">
        <v>297</v>
      </c>
      <c r="BQ24" s="345">
        <v>1102.02</v>
      </c>
      <c r="BR24" s="345" t="s">
        <v>319</v>
      </c>
      <c r="BT24" s="347">
        <v>17.010000000000002</v>
      </c>
      <c r="BU24" s="347" t="s">
        <v>297</v>
      </c>
      <c r="BW24" s="348" t="str">
        <f t="array" ref="BW24">IFERROR(IF($BW$11="Metro",INDEX($BN$13:$BN$4972,SMALL(IF((County=$BO$13:$BO$4972),MATCH(ROW($BO$13:$BO$4972),ROW($BO$13:$BO$4972)),""),ROWS($A$13:$A24))),INDEX($BQ$13:$BQ$212,SMALL(IF((County=$BR$13:$BR$212),MATCH(ROW($BR$13:$BR$212),ROW($BR$13:$BR$212)),""),ROWS($A$13:$A24)))),"")</f>
        <v/>
      </c>
      <c r="BY24" s="348" t="str">
        <f t="array" ref="BY24">IFERROR(IF($BY$11="Yes",INDEX($BT$13:$BT$2950,SMALL(IF((County=$BU$13:$BU$2950),MATCH(ROW($BU$13:$BU$2950),ROW($BU$13:$BU$2950)),""),ROWS($A$13:$A24))),""),"")</f>
        <v/>
      </c>
      <c r="CA24" s="1792">
        <v>32137</v>
      </c>
      <c r="CB24" s="345" t="s">
        <v>326</v>
      </c>
      <c r="CD24" s="237">
        <v>1.02</v>
      </c>
      <c r="CE24" s="237" t="s">
        <v>361</v>
      </c>
      <c r="CG24" s="345">
        <v>3.01</v>
      </c>
      <c r="CH24" s="345" t="s">
        <v>308</v>
      </c>
      <c r="CJ24" s="347">
        <v>1.04</v>
      </c>
      <c r="CK24" s="347" t="s">
        <v>368</v>
      </c>
      <c r="CL24" s="1789"/>
      <c r="CM24" s="2299"/>
      <c r="CN24" s="345"/>
      <c r="CP24" s="345"/>
      <c r="CR24" s="345"/>
      <c r="CS24" s="345"/>
      <c r="CU24" s="345"/>
      <c r="CV24" s="345"/>
      <c r="CX24" s="347"/>
      <c r="CY24" s="347"/>
      <c r="DA24" s="348"/>
      <c r="DC24" s="348"/>
      <c r="DE24" s="1792"/>
      <c r="DF24" s="345"/>
      <c r="DH24" s="237"/>
      <c r="DI24" s="237"/>
      <c r="DK24" s="345"/>
      <c r="DL24" s="345"/>
      <c r="DN24" s="347"/>
      <c r="DO24" s="347"/>
      <c r="DP24" s="2505"/>
      <c r="DT24" s="591" t="s">
        <v>318</v>
      </c>
      <c r="DU24" s="591" t="s">
        <v>2608</v>
      </c>
      <c r="DV24" s="591" t="s">
        <v>2609</v>
      </c>
      <c r="DW24" s="592">
        <v>26.416374000000001</v>
      </c>
      <c r="DX24" s="592">
        <v>-81.428310999999994</v>
      </c>
      <c r="DY24" s="595" t="s">
        <v>686</v>
      </c>
      <c r="DZ24" s="594" t="s">
        <v>685</v>
      </c>
      <c r="EA24" s="592" t="str">
        <f t="shared" si="0"/>
        <v>Collier - Casa San Juan Diego</v>
      </c>
      <c r="EB24" s="592" t="str">
        <f t="shared" si="1"/>
        <v>Family</v>
      </c>
      <c r="EC24" s="592" t="str">
        <f t="shared" si="2"/>
        <v>(26.416374, -81.428311)</v>
      </c>
      <c r="ED24" s="594" t="str">
        <f t="shared" si="3"/>
        <v>&gt;30</v>
      </c>
    </row>
    <row r="25" spans="1:134" ht="14.45" customHeight="1">
      <c r="A25" s="346">
        <v>32951</v>
      </c>
      <c r="B25" s="345" t="s">
        <v>309</v>
      </c>
      <c r="D25" s="345" t="s">
        <v>342</v>
      </c>
      <c r="E25" s="934"/>
      <c r="F25" s="345">
        <v>19.02</v>
      </c>
      <c r="G25" s="345" t="s">
        <v>297</v>
      </c>
      <c r="I25" s="345">
        <v>9604</v>
      </c>
      <c r="J25" s="345" t="s">
        <v>338</v>
      </c>
      <c r="L25" s="347">
        <v>18.010000000000002</v>
      </c>
      <c r="M25" s="347" t="s">
        <v>297</v>
      </c>
      <c r="O25" s="348" t="str">
        <f t="array" ref="O25">IFERROR(IF($O$11="Metro",INDEX($F$13:$F$738,SMALL(IF((County=$G$13:$G$738),MATCH(ROW($G$13:$G$738),ROW($G$13:$G$738)),""),ROWS($A$13:A25))),INDEX($I$13:$I$42,SMALL(IF((County=$J$13:$J$42),MATCH(ROW($J$13:$J$42),ROW($J$13:$J$42)),""),ROWS($A$13:A25)))),"")</f>
        <v/>
      </c>
      <c r="Q25" s="348" t="str">
        <f t="array" ref="Q25">IFERROR(IF($Q$11="Yes",INDEX($L$13:$L$2313,SMALL(IF((County=$M$13:$M$2313),MATCH(ROW($M$13:$M$2313),ROW($M$13:$M$2313)),""),ROWS($A$13:A25))),""),"")</f>
        <v/>
      </c>
      <c r="S25" s="346">
        <v>32212</v>
      </c>
      <c r="T25" s="345" t="s">
        <v>323</v>
      </c>
      <c r="V25" s="345">
        <v>2.0099999999999998</v>
      </c>
      <c r="W25" s="345" t="s">
        <v>337</v>
      </c>
      <c r="Y25" s="345">
        <v>9502.01</v>
      </c>
      <c r="Z25" s="345" t="s">
        <v>366</v>
      </c>
      <c r="AB25" s="347">
        <v>1.1499999999999999</v>
      </c>
      <c r="AC25" s="347" t="s">
        <v>352</v>
      </c>
      <c r="AD25" s="1138"/>
      <c r="AE25" s="346">
        <v>33019</v>
      </c>
      <c r="AF25" s="345" t="s">
        <v>310</v>
      </c>
      <c r="AH25" s="345" t="s">
        <v>340</v>
      </c>
      <c r="AI25" s="934"/>
      <c r="AJ25" s="345">
        <v>16.05</v>
      </c>
      <c r="AK25" s="345" t="s">
        <v>297</v>
      </c>
      <c r="AM25" s="345">
        <v>300</v>
      </c>
      <c r="AN25" s="345" t="s">
        <v>334</v>
      </c>
      <c r="AP25" s="347">
        <v>17.02</v>
      </c>
      <c r="AQ25" s="347" t="s">
        <v>297</v>
      </c>
      <c r="AS25" s="348" t="str">
        <f t="array" ref="AS25">IFERROR(IF($AS$11="Metro",INDEX($AJ$13:$AJ$814,SMALL(IF((County=$AK$13:$AK$814),MATCH(ROW($AK$13:$AK$814),ROW($AK$13:$AK$814)),""),ROWS($A$13:$A25))),INDEX($AM$13:$AM$48,SMALL(IF((County=$AN$13:$AN$48),MATCH(ROW($AN$13:$AN$48),ROW($AN$13:$AN$48)),""),ROWS($A$13:$A25)))),"")</f>
        <v/>
      </c>
      <c r="AU25" s="348" t="str">
        <f t="array" ref="AU25">IFERROR(IF($AU$11="Yes",INDEX($AP$13:$AP$2950,SMALL(IF((County=$AQ$13:$AQ$2950),MATCH(ROW($AQ$13:$AQ$2950),ROW($AQ$13:$AQ$2950)),""),ROWS($A$13:$A25))),""),"")</f>
        <v/>
      </c>
      <c r="AW25" s="346">
        <v>32176</v>
      </c>
      <c r="AX25" s="345" t="s">
        <v>376</v>
      </c>
      <c r="AZ25" s="345">
        <v>2.0099999999999998</v>
      </c>
      <c r="BA25" s="345" t="s">
        <v>297</v>
      </c>
      <c r="BC25" s="345">
        <v>202</v>
      </c>
      <c r="BD25" s="345" t="s">
        <v>366</v>
      </c>
      <c r="BF25" s="347">
        <v>1.04</v>
      </c>
      <c r="BG25" s="347" t="s">
        <v>368</v>
      </c>
      <c r="BH25" s="1790"/>
      <c r="BI25" s="2299">
        <v>32951</v>
      </c>
      <c r="BJ25" s="345" t="s">
        <v>309</v>
      </c>
      <c r="BL25" s="345" t="s">
        <v>340</v>
      </c>
      <c r="BM25" s="1784"/>
      <c r="BN25" s="345">
        <v>9.02</v>
      </c>
      <c r="BO25" s="345" t="s">
        <v>297</v>
      </c>
      <c r="BQ25" s="345">
        <v>1103</v>
      </c>
      <c r="BR25" s="345" t="s">
        <v>319</v>
      </c>
      <c r="BT25" s="347">
        <v>17.02</v>
      </c>
      <c r="BU25" s="347" t="s">
        <v>297</v>
      </c>
      <c r="BW25" s="348" t="str">
        <f t="array" ref="BW25">IFERROR(IF($BW$11="Metro",INDEX($BN$13:$BN$4972,SMALL(IF((County=$BO$13:$BO$4972),MATCH(ROW($BO$13:$BO$4972),ROW($BO$13:$BO$4972)),""),ROWS($A$13:$A25))),INDEX($BQ$13:$BQ$212,SMALL(IF((County=$BR$13:$BR$212),MATCH(ROW($BR$13:$BR$212),ROW($BR$13:$BR$212)),""),ROWS($A$13:$A25)))),"")</f>
        <v/>
      </c>
      <c r="BY25" s="348" t="str">
        <f t="array" ref="BY25">IFERROR(IF($BY$11="Yes",INDEX($BT$13:$BT$2950,SMALL(IF((County=$BU$13:$BU$2950),MATCH(ROW($BU$13:$BU$2950),ROW($BU$13:$BU$2950)),""),ROWS($A$13:$A25))),""),"")</f>
        <v/>
      </c>
      <c r="CA25" s="2298">
        <v>32162</v>
      </c>
      <c r="CB25" s="237" t="s">
        <v>372</v>
      </c>
      <c r="CD25" s="237">
        <v>1.02</v>
      </c>
      <c r="CE25" s="237" t="s">
        <v>368</v>
      </c>
      <c r="CG25" s="345">
        <v>3.02</v>
      </c>
      <c r="CH25" s="345" t="s">
        <v>308</v>
      </c>
      <c r="CJ25" s="347">
        <v>1.07</v>
      </c>
      <c r="CK25" s="347" t="s">
        <v>352</v>
      </c>
      <c r="CL25" s="1789"/>
      <c r="CM25" s="2299"/>
      <c r="CN25" s="345"/>
      <c r="CP25" s="345"/>
      <c r="CR25" s="345"/>
      <c r="CS25" s="345"/>
      <c r="CU25" s="345"/>
      <c r="CV25" s="345"/>
      <c r="CX25" s="347"/>
      <c r="CY25" s="347"/>
      <c r="DA25" s="348"/>
      <c r="DC25" s="348"/>
      <c r="DE25" s="1792"/>
      <c r="DF25" s="345"/>
      <c r="DH25" s="237"/>
      <c r="DI25" s="237"/>
      <c r="DK25" s="345"/>
      <c r="DL25" s="345"/>
      <c r="DN25" s="347"/>
      <c r="DO25" s="347"/>
      <c r="DP25" s="2505"/>
      <c r="DT25" s="591" t="s">
        <v>318</v>
      </c>
      <c r="DU25" s="591" t="s">
        <v>2610</v>
      </c>
      <c r="DV25" s="591" t="s">
        <v>2611</v>
      </c>
      <c r="DW25" s="602">
        <v>26.053602999999999</v>
      </c>
      <c r="DX25" s="602">
        <v>-81.699196999999998</v>
      </c>
      <c r="DY25" s="595" t="s">
        <v>686</v>
      </c>
      <c r="DZ25" s="595" t="s">
        <v>685</v>
      </c>
      <c r="EA25" s="592" t="str">
        <f t="shared" si="0"/>
        <v>Collier - Ekos on Collier</v>
      </c>
      <c r="EB25" s="592" t="str">
        <f t="shared" si="1"/>
        <v>Family</v>
      </c>
      <c r="EC25" s="592" t="str">
        <f t="shared" si="2"/>
        <v>(26.053603, -81.699197)</v>
      </c>
      <c r="ED25" s="594" t="str">
        <f t="shared" si="3"/>
        <v>&gt;30</v>
      </c>
    </row>
    <row r="26" spans="1:134" ht="14.45" customHeight="1">
      <c r="A26" s="346">
        <v>32955</v>
      </c>
      <c r="B26" s="345" t="s">
        <v>309</v>
      </c>
      <c r="D26" s="345" t="s">
        <v>346</v>
      </c>
      <c r="E26" s="934"/>
      <c r="F26" s="345">
        <v>22.18</v>
      </c>
      <c r="G26" s="345" t="s">
        <v>297</v>
      </c>
      <c r="I26" s="345">
        <v>2102</v>
      </c>
      <c r="J26" s="345" t="s">
        <v>340</v>
      </c>
      <c r="L26" s="347">
        <v>18.05</v>
      </c>
      <c r="M26" s="347" t="s">
        <v>297</v>
      </c>
      <c r="O26" s="348" t="str">
        <f t="array" ref="O26">IFERROR(IF($O$11="Metro",INDEX($F$13:$F$738,SMALL(IF((County=$G$13:$G$738),MATCH(ROW($G$13:$G$738),ROW($G$13:$G$738)),""),ROWS($A$13:A26))),INDEX($I$13:$I$42,SMALL(IF((County=$J$13:$J$42),MATCH(ROW($J$13:$J$42),ROW($J$13:$J$42)),""),ROWS($A$13:A26)))),"")</f>
        <v/>
      </c>
      <c r="Q26" s="348" t="str">
        <f t="array" ref="Q26">IFERROR(IF($Q$11="Yes",INDEX($L$13:$L$2313,SMALL(IF((County=$M$13:$M$2313),MATCH(ROW($M$13:$M$2313),ROW($M$13:$M$2313)),""),ROWS($A$13:A26))),""),"")</f>
        <v/>
      </c>
      <c r="S26" s="346">
        <v>32222</v>
      </c>
      <c r="T26" s="345" t="s">
        <v>323</v>
      </c>
      <c r="V26" s="345">
        <v>2.0099999999999998</v>
      </c>
      <c r="W26" s="345" t="s">
        <v>349</v>
      </c>
      <c r="Y26" s="345">
        <v>9503</v>
      </c>
      <c r="Z26" s="345" t="s">
        <v>374</v>
      </c>
      <c r="AB26" s="347">
        <v>1.18</v>
      </c>
      <c r="AC26" s="347" t="s">
        <v>352</v>
      </c>
      <c r="AD26" s="1138"/>
      <c r="AE26" s="346">
        <v>33021</v>
      </c>
      <c r="AF26" s="345" t="s">
        <v>310</v>
      </c>
      <c r="AH26" s="345" t="s">
        <v>342</v>
      </c>
      <c r="AI26" s="934"/>
      <c r="AJ26" s="345">
        <v>18.02</v>
      </c>
      <c r="AK26" s="345" t="s">
        <v>297</v>
      </c>
      <c r="AM26" s="345">
        <v>601</v>
      </c>
      <c r="AN26" s="345" t="s">
        <v>334</v>
      </c>
      <c r="AP26" s="347">
        <v>18.03</v>
      </c>
      <c r="AQ26" s="347" t="s">
        <v>297</v>
      </c>
      <c r="AS26" s="348" t="str">
        <f t="array" ref="AS26">IFERROR(IF($AS$11="Metro",INDEX($AJ$13:$AJ$814,SMALL(IF((County=$AK$13:$AK$814),MATCH(ROW($AK$13:$AK$814),ROW($AK$13:$AK$814)),""),ROWS($A$13:$A26))),INDEX($AM$13:$AM$48,SMALL(IF((County=$AN$13:$AN$48),MATCH(ROW($AN$13:$AN$48),ROW($AN$13:$AN$48)),""),ROWS($A$13:$A26)))),"")</f>
        <v/>
      </c>
      <c r="AU26" s="348" t="str">
        <f t="array" ref="AU26">IFERROR(IF($AU$11="Yes",INDEX($AP$13:$AP$2950,SMALL(IF((County=$AQ$13:$AQ$2950),MATCH(ROW($AQ$13:$AQ$2950),ROW($AQ$13:$AQ$2950)),""),ROWS($A$13:$A26))),""),"")</f>
        <v/>
      </c>
      <c r="AW26" s="346">
        <v>32195</v>
      </c>
      <c r="AX26" s="345" t="s">
        <v>350</v>
      </c>
      <c r="AZ26" s="345">
        <v>2.0099999999999998</v>
      </c>
      <c r="BA26" s="345" t="s">
        <v>337</v>
      </c>
      <c r="BC26" s="345">
        <v>300</v>
      </c>
      <c r="BD26" s="345" t="s">
        <v>334</v>
      </c>
      <c r="BF26" s="347">
        <v>1.07</v>
      </c>
      <c r="BG26" s="347" t="s">
        <v>352</v>
      </c>
      <c r="BH26" s="1790"/>
      <c r="BI26" s="2299">
        <v>32955</v>
      </c>
      <c r="BJ26" s="345" t="s">
        <v>309</v>
      </c>
      <c r="BL26" s="345" t="s">
        <v>342</v>
      </c>
      <c r="BM26" s="1784"/>
      <c r="BN26" s="345">
        <v>10</v>
      </c>
      <c r="BO26" s="345" t="s">
        <v>297</v>
      </c>
      <c r="BQ26" s="345">
        <v>1104</v>
      </c>
      <c r="BR26" s="345" t="s">
        <v>319</v>
      </c>
      <c r="BT26" s="347">
        <v>18.03</v>
      </c>
      <c r="BU26" s="347" t="s">
        <v>297</v>
      </c>
      <c r="BW26" s="348" t="str">
        <f t="array" ref="BW26">IFERROR(IF($BW$11="Metro",INDEX($BN$13:$BN$4972,SMALL(IF((County=$BO$13:$BO$4972),MATCH(ROW($BO$13:$BO$4972),ROW($BO$13:$BO$4972)),""),ROWS($A$13:$A26))),INDEX($BQ$13:$BQ$212,SMALL(IF((County=$BR$13:$BR$212),MATCH(ROW($BR$13:$BR$212),ROW($BR$13:$BR$212)),""),ROWS($A$13:$A26)))),"")</f>
        <v/>
      </c>
      <c r="BY26" s="348" t="str">
        <f t="array" ref="BY26">IFERROR(IF($BY$11="Yes",INDEX($BT$13:$BT$2950,SMALL(IF((County=$BU$13:$BU$2950),MATCH(ROW($BU$13:$BU$2950),ROW($BU$13:$BU$2950)),""),ROWS($A$13:$A26))),""),"")</f>
        <v/>
      </c>
      <c r="CA26" s="1792">
        <v>32169</v>
      </c>
      <c r="CB26" s="237" t="s">
        <v>376</v>
      </c>
      <c r="CD26" s="237">
        <v>1.03</v>
      </c>
      <c r="CE26" s="237" t="s">
        <v>349</v>
      </c>
      <c r="CG26" s="345">
        <v>4</v>
      </c>
      <c r="CH26" s="345" t="s">
        <v>308</v>
      </c>
      <c r="CJ26" s="347">
        <v>1.0900000000000001</v>
      </c>
      <c r="CK26" s="347" t="s">
        <v>352</v>
      </c>
      <c r="CL26" s="1789"/>
      <c r="CM26" s="2299"/>
      <c r="CN26" s="345"/>
      <c r="CP26" s="345"/>
      <c r="CR26" s="345"/>
      <c r="CS26" s="345"/>
      <c r="CU26" s="345"/>
      <c r="CV26" s="345"/>
      <c r="CX26" s="347"/>
      <c r="CY26" s="347"/>
      <c r="DA26" s="348"/>
      <c r="DC26" s="348"/>
      <c r="DE26" s="1792"/>
      <c r="DF26" s="345"/>
      <c r="DH26" s="237"/>
      <c r="DI26" s="237"/>
      <c r="DK26" s="345"/>
      <c r="DL26" s="345"/>
      <c r="DN26" s="347"/>
      <c r="DO26" s="347"/>
      <c r="DP26" s="2505"/>
      <c r="DT26" s="591" t="s">
        <v>319</v>
      </c>
      <c r="DU26" s="591" t="s">
        <v>2612</v>
      </c>
      <c r="DV26" s="591" t="s">
        <v>2613</v>
      </c>
      <c r="DW26" s="592">
        <v>30.196731</v>
      </c>
      <c r="DX26" s="592">
        <v>-82.633733000000007</v>
      </c>
      <c r="DY26" s="595" t="s">
        <v>686</v>
      </c>
      <c r="DZ26" s="595" t="s">
        <v>685</v>
      </c>
      <c r="EA26" s="592" t="str">
        <f t="shared" si="0"/>
        <v>Columbia - Sweetwater Apartments Phase II</v>
      </c>
      <c r="EB26" s="592" t="str">
        <f t="shared" si="1"/>
        <v>Family</v>
      </c>
      <c r="EC26" s="592" t="str">
        <f t="shared" si="2"/>
        <v>(30.196731, -82.633733)</v>
      </c>
      <c r="ED26" s="594" t="str">
        <f t="shared" si="3"/>
        <v>&gt;30</v>
      </c>
    </row>
    <row r="27" spans="1:134" ht="14.45" customHeight="1">
      <c r="A27" s="346">
        <v>33019</v>
      </c>
      <c r="B27" s="345" t="s">
        <v>310</v>
      </c>
      <c r="D27" s="345" t="s">
        <v>347</v>
      </c>
      <c r="E27" s="934"/>
      <c r="F27" s="345">
        <v>8.0299999999999994</v>
      </c>
      <c r="G27" s="345" t="s">
        <v>306</v>
      </c>
      <c r="I27" s="345">
        <v>2106</v>
      </c>
      <c r="J27" s="345" t="s">
        <v>340</v>
      </c>
      <c r="L27" s="347">
        <v>18.059999999999999</v>
      </c>
      <c r="M27" s="347" t="s">
        <v>297</v>
      </c>
      <c r="O27" s="348" t="str">
        <f t="array" ref="O27">IFERROR(IF($O$11="Metro",INDEX($F$13:$F$738,SMALL(IF((County=$G$13:$G$738),MATCH(ROW($G$13:$G$738),ROW($G$13:$G$738)),""),ROWS($A$13:A27))),INDEX($I$13:$I$42,SMALL(IF((County=$J$13:$J$42),MATCH(ROW($J$13:$J$42),ROW($J$13:$J$42)),""),ROWS($A$13:A27)))),"")</f>
        <v/>
      </c>
      <c r="Q27" s="348" t="str">
        <f t="array" ref="Q27">IFERROR(IF($Q$11="Yes",INDEX($L$13:$L$2313,SMALL(IF((County=$M$13:$M$2313),MATCH(ROW($M$13:$M$2313),ROW($M$13:$M$2313)),""),ROWS($A$13:A27))),""),"")</f>
        <v/>
      </c>
      <c r="S27" s="346">
        <v>32224</v>
      </c>
      <c r="T27" s="345" t="s">
        <v>323</v>
      </c>
      <c r="V27" s="345">
        <v>2.02</v>
      </c>
      <c r="W27" s="345" t="s">
        <v>337</v>
      </c>
      <c r="Y27" s="345">
        <v>9507</v>
      </c>
      <c r="Z27" s="345" t="s">
        <v>366</v>
      </c>
      <c r="AB27" s="347">
        <v>1.19</v>
      </c>
      <c r="AC27" s="347" t="s">
        <v>352</v>
      </c>
      <c r="AD27" s="1138"/>
      <c r="AE27" s="346">
        <v>33025</v>
      </c>
      <c r="AF27" s="345" t="s">
        <v>310</v>
      </c>
      <c r="AH27" s="345" t="s">
        <v>347</v>
      </c>
      <c r="AI27" s="934"/>
      <c r="AJ27" s="345">
        <v>19.02</v>
      </c>
      <c r="AK27" s="345" t="s">
        <v>297</v>
      </c>
      <c r="AM27" s="345">
        <v>602</v>
      </c>
      <c r="AN27" s="345" t="s">
        <v>334</v>
      </c>
      <c r="AP27" s="347">
        <v>18.11</v>
      </c>
      <c r="AQ27" s="347" t="s">
        <v>297</v>
      </c>
      <c r="AS27" s="348" t="str">
        <f t="array" ref="AS27">IFERROR(IF($AS$11="Metro",INDEX($AJ$13:$AJ$814,SMALL(IF((County=$AK$13:$AK$814),MATCH(ROW($AK$13:$AK$814),ROW($AK$13:$AK$814)),""),ROWS($A$13:$A27))),INDEX($AM$13:$AM$48,SMALL(IF((County=$AN$13:$AN$48),MATCH(ROW($AN$13:$AN$48),ROW($AN$13:$AN$48)),""),ROWS($A$13:$A27)))),"")</f>
        <v/>
      </c>
      <c r="AU27" s="348" t="str">
        <f t="array" ref="AU27">IFERROR(IF($AU$11="Yes",INDEX($AP$13:$AP$2950,SMALL(IF((County=$AQ$13:$AQ$2950),MATCH(ROW($AQ$13:$AQ$2950),ROW($AQ$13:$AQ$2950)),""),ROWS($A$13:$A27))),""),"")</f>
        <v/>
      </c>
      <c r="AW27" s="346">
        <v>32212</v>
      </c>
      <c r="AX27" s="345" t="s">
        <v>323</v>
      </c>
      <c r="AZ27" s="345">
        <v>2.0099999999999998</v>
      </c>
      <c r="BA27" s="345" t="s">
        <v>349</v>
      </c>
      <c r="BC27" s="345">
        <v>301</v>
      </c>
      <c r="BD27" s="345" t="s">
        <v>321</v>
      </c>
      <c r="BF27" s="347">
        <v>1.0900000000000001</v>
      </c>
      <c r="BG27" s="347" t="s">
        <v>352</v>
      </c>
      <c r="BH27" s="1790"/>
      <c r="BI27" s="1791">
        <v>33009</v>
      </c>
      <c r="BJ27" s="345" t="s">
        <v>310</v>
      </c>
      <c r="BL27" s="345" t="s">
        <v>347</v>
      </c>
      <c r="BM27" s="1784"/>
      <c r="BN27" s="345">
        <v>11</v>
      </c>
      <c r="BO27" s="345" t="s">
        <v>297</v>
      </c>
      <c r="BQ27" s="345">
        <v>1105</v>
      </c>
      <c r="BR27" s="345" t="s">
        <v>319</v>
      </c>
      <c r="BT27" s="347">
        <v>18.11</v>
      </c>
      <c r="BU27" s="347" t="s">
        <v>297</v>
      </c>
      <c r="BW27" s="348" t="str">
        <f t="array" ref="BW27">IFERROR(IF($BW$11="Metro",INDEX($BN$13:$BN$4972,SMALL(IF((County=$BO$13:$BO$4972),MATCH(ROW($BO$13:$BO$4972),ROW($BO$13:$BO$4972)),""),ROWS($A$13:$A27))),INDEX($BQ$13:$BQ$212,SMALL(IF((County=$BR$13:$BR$212),MATCH(ROW($BR$13:$BR$212),ROW($BR$13:$BR$212)),""),ROWS($A$13:$A27)))),"")</f>
        <v/>
      </c>
      <c r="BY27" s="348" t="str">
        <f t="array" ref="BY27">IFERROR(IF($BY$11="Yes",INDEX($BT$13:$BT$2950,SMALL(IF((County=$BU$13:$BU$2950),MATCH(ROW($BU$13:$BU$2950),ROW($BU$13:$BU$2950)),""),ROWS($A$13:$A27))),""),"")</f>
        <v/>
      </c>
      <c r="CA27" s="1792">
        <v>32176</v>
      </c>
      <c r="CB27" s="237" t="s">
        <v>376</v>
      </c>
      <c r="CD27" s="237">
        <v>1.03</v>
      </c>
      <c r="CE27" s="237" t="s">
        <v>361</v>
      </c>
      <c r="CG27" s="237">
        <v>4.01</v>
      </c>
      <c r="CH27" s="237" t="s">
        <v>334</v>
      </c>
      <c r="CJ27" s="347">
        <v>1.1499999999999999</v>
      </c>
      <c r="CK27" s="347" t="s">
        <v>352</v>
      </c>
      <c r="CL27" s="1789"/>
      <c r="CM27" s="2299"/>
      <c r="CN27" s="345"/>
      <c r="CP27" s="345"/>
      <c r="CR27" s="345"/>
      <c r="CS27" s="345"/>
      <c r="CU27" s="345"/>
      <c r="CV27" s="345"/>
      <c r="CX27" s="347"/>
      <c r="CY27" s="347"/>
      <c r="DA27" s="348"/>
      <c r="DC27" s="348"/>
      <c r="DE27" s="1792"/>
      <c r="DF27" s="345"/>
      <c r="DH27" s="237"/>
      <c r="DI27" s="237"/>
      <c r="DK27" s="345"/>
      <c r="DL27" s="345"/>
      <c r="DN27" s="347"/>
      <c r="DO27" s="347"/>
      <c r="DP27" s="2505"/>
      <c r="DT27" s="591" t="s">
        <v>326</v>
      </c>
      <c r="DU27" s="591" t="s">
        <v>2114</v>
      </c>
      <c r="DV27" s="591" t="s">
        <v>2115</v>
      </c>
      <c r="DW27" s="600">
        <v>29.464379999999998</v>
      </c>
      <c r="DX27" s="600">
        <v>-81.263054999999994</v>
      </c>
      <c r="DY27" s="595" t="s">
        <v>686</v>
      </c>
      <c r="DZ27" s="594" t="s">
        <v>689</v>
      </c>
      <c r="EA27" s="592" t="str">
        <f t="shared" si="0"/>
        <v>Flagler - Phoenix Crossings</v>
      </c>
      <c r="EB27" s="592" t="str">
        <f t="shared" si="1"/>
        <v>Family</v>
      </c>
      <c r="EC27" s="592" t="str">
        <f t="shared" si="2"/>
        <v>(29.46438, -81.263055)</v>
      </c>
      <c r="ED27" s="594" t="str">
        <f t="shared" si="3"/>
        <v>&lt;31</v>
      </c>
    </row>
    <row r="28" spans="1:134" ht="14.45" customHeight="1">
      <c r="A28" s="346">
        <v>33025</v>
      </c>
      <c r="B28" s="345" t="s">
        <v>310</v>
      </c>
      <c r="D28" s="345" t="s">
        <v>348</v>
      </c>
      <c r="E28" s="934"/>
      <c r="F28" s="345">
        <v>10</v>
      </c>
      <c r="G28" s="345" t="s">
        <v>306</v>
      </c>
      <c r="I28" s="345">
        <v>9702</v>
      </c>
      <c r="J28" s="345" t="s">
        <v>346</v>
      </c>
      <c r="L28" s="347">
        <v>18.11</v>
      </c>
      <c r="M28" s="347" t="s">
        <v>297</v>
      </c>
      <c r="O28" s="348" t="str">
        <f t="array" ref="O28">IFERROR(IF($O$11="Metro",INDEX($F$13:$F$738,SMALL(IF((County=$G$13:$G$738),MATCH(ROW($G$13:$G$738),ROW($G$13:$G$738)),""),ROWS($A$13:A28))),INDEX($I$13:$I$42,SMALL(IF((County=$J$13:$J$42),MATCH(ROW($J$13:$J$42),ROW($J$13:$J$42)),""),ROWS($A$13:A28)))),"")</f>
        <v/>
      </c>
      <c r="Q28" s="348" t="str">
        <f t="array" ref="Q28">IFERROR(IF($Q$11="Yes",INDEX($L$13:$L$2313,SMALL(IF((County=$M$13:$M$2313),MATCH(ROW($M$13:$M$2313),ROW($M$13:$M$2313)),""),ROWS($A$13:A28))),""),"")</f>
        <v/>
      </c>
      <c r="S28" s="346">
        <v>32226</v>
      </c>
      <c r="T28" s="345" t="s">
        <v>323</v>
      </c>
      <c r="V28" s="345">
        <v>2.02</v>
      </c>
      <c r="W28" s="345" t="s">
        <v>349</v>
      </c>
      <c r="Y28" s="345">
        <v>9508</v>
      </c>
      <c r="Z28" s="345" t="s">
        <v>366</v>
      </c>
      <c r="AB28" s="347">
        <v>1.2</v>
      </c>
      <c r="AC28" s="347" t="s">
        <v>352</v>
      </c>
      <c r="AD28" s="1138"/>
      <c r="AE28" s="346">
        <v>33026</v>
      </c>
      <c r="AF28" s="345" t="s">
        <v>310</v>
      </c>
      <c r="AH28" s="345" t="s">
        <v>348</v>
      </c>
      <c r="AI28" s="934"/>
      <c r="AJ28" s="345">
        <v>22.18</v>
      </c>
      <c r="AK28" s="345" t="s">
        <v>297</v>
      </c>
      <c r="AM28" s="345">
        <v>401</v>
      </c>
      <c r="AN28" s="345" t="s">
        <v>338</v>
      </c>
      <c r="AP28" s="347">
        <v>18.13</v>
      </c>
      <c r="AQ28" s="347" t="s">
        <v>297</v>
      </c>
      <c r="AS28" s="348" t="str">
        <f t="array" ref="AS28">IFERROR(IF($AS$11="Metro",INDEX($AJ$13:$AJ$814,SMALL(IF((County=$AK$13:$AK$814),MATCH(ROW($AK$13:$AK$814),ROW($AK$13:$AK$814)),""),ROWS($A$13:$A28))),INDEX($AM$13:$AM$48,SMALL(IF((County=$AN$13:$AN$48),MATCH(ROW($AN$13:$AN$48),ROW($AN$13:$AN$48)),""),ROWS($A$13:$A28)))),"")</f>
        <v/>
      </c>
      <c r="AU28" s="348" t="str">
        <f t="array" ref="AU28">IFERROR(IF($AU$11="Yes",INDEX($AP$13:$AP$2950,SMALL(IF((County=$AQ$13:$AQ$2950),MATCH(ROW($AQ$13:$AQ$2950),ROW($AQ$13:$AQ$2950)),""),ROWS($A$13:$A28))),""),"")</f>
        <v/>
      </c>
      <c r="AW28" s="346">
        <v>32224</v>
      </c>
      <c r="AX28" s="345" t="s">
        <v>323</v>
      </c>
      <c r="AZ28" s="345">
        <v>2.0099999999999998</v>
      </c>
      <c r="BA28" s="345" t="s">
        <v>350</v>
      </c>
      <c r="BC28" s="345">
        <v>301</v>
      </c>
      <c r="BD28" s="345" t="s">
        <v>333</v>
      </c>
      <c r="BF28" s="347">
        <v>1.1499999999999999</v>
      </c>
      <c r="BG28" s="347" t="s">
        <v>352</v>
      </c>
      <c r="BH28" s="1790"/>
      <c r="BI28" s="1791">
        <v>33019</v>
      </c>
      <c r="BJ28" s="345" t="s">
        <v>310</v>
      </c>
      <c r="BL28" s="345" t="s">
        <v>348</v>
      </c>
      <c r="BM28" s="1784"/>
      <c r="BN28" s="345">
        <v>12.01</v>
      </c>
      <c r="BO28" s="345" t="s">
        <v>297</v>
      </c>
      <c r="BQ28" s="345">
        <v>1106.02</v>
      </c>
      <c r="BR28" s="345" t="s">
        <v>319</v>
      </c>
      <c r="BT28" s="347">
        <v>18.13</v>
      </c>
      <c r="BU28" s="347" t="s">
        <v>297</v>
      </c>
      <c r="BW28" s="348" t="str">
        <f t="array" ref="BW28">IFERROR(IF($BW$11="Metro",INDEX($BN$13:$BN$4972,SMALL(IF((County=$BO$13:$BO$4972),MATCH(ROW($BO$13:$BO$4972),ROW($BO$13:$BO$4972)),""),ROWS($A$13:$A28))),INDEX($BQ$13:$BQ$212,SMALL(IF((County=$BR$13:$BR$212),MATCH(ROW($BR$13:$BR$212),ROW($BR$13:$BR$212)),""),ROWS($A$13:$A28)))),"")</f>
        <v/>
      </c>
      <c r="BY28" s="348" t="str">
        <f t="array" ref="BY28">IFERROR(IF($BY$11="Yes",INDEX($BT$13:$BT$2950,SMALL(IF((County=$BU$13:$BU$2950),MATCH(ROW($BU$13:$BU$2950),ROW($BU$13:$BU$2950)),""),ROWS($A$13:$A28))),""),"")</f>
        <v/>
      </c>
      <c r="CA28" s="2298">
        <v>32195</v>
      </c>
      <c r="CB28" s="345" t="s">
        <v>350</v>
      </c>
      <c r="CD28" s="237">
        <v>1.03</v>
      </c>
      <c r="CE28" s="237" t="s">
        <v>368</v>
      </c>
      <c r="CG28" s="237">
        <v>4.03</v>
      </c>
      <c r="CH28" s="237" t="s">
        <v>334</v>
      </c>
      <c r="CJ28" s="347">
        <v>1.18</v>
      </c>
      <c r="CK28" s="347" t="s">
        <v>352</v>
      </c>
      <c r="CL28" s="1789"/>
      <c r="CM28" s="2299"/>
      <c r="CN28" s="345"/>
      <c r="CP28" s="345"/>
      <c r="CR28" s="345"/>
      <c r="CS28" s="345"/>
      <c r="CU28" s="345"/>
      <c r="CV28" s="345"/>
      <c r="CX28" s="347"/>
      <c r="CY28" s="347"/>
      <c r="DA28" s="348"/>
      <c r="DC28" s="348"/>
      <c r="DE28" s="1792"/>
      <c r="DF28" s="345"/>
      <c r="DH28" s="237"/>
      <c r="DI28" s="237"/>
      <c r="DK28" s="345"/>
      <c r="DL28" s="345"/>
      <c r="DN28" s="347"/>
      <c r="DO28" s="347"/>
      <c r="DP28" s="2505"/>
      <c r="DT28" s="591" t="s">
        <v>328</v>
      </c>
      <c r="DU28" s="591" t="s">
        <v>692</v>
      </c>
      <c r="DV28" s="591" t="s">
        <v>693</v>
      </c>
      <c r="DW28" s="592">
        <v>30.558461999999999</v>
      </c>
      <c r="DX28" s="592">
        <v>-84.598144000000005</v>
      </c>
      <c r="DY28" s="593" t="s">
        <v>686</v>
      </c>
      <c r="DZ28" s="594" t="s">
        <v>685</v>
      </c>
      <c r="EA28" s="592" t="str">
        <f t="shared" si="0"/>
        <v>Gadsden - Cross Creek Gardens at Quincy</v>
      </c>
      <c r="EB28" s="592" t="str">
        <f t="shared" si="1"/>
        <v>Family</v>
      </c>
      <c r="EC28" s="592" t="str">
        <f t="shared" si="2"/>
        <v>(30.558462, -84.598144)</v>
      </c>
      <c r="ED28" s="594" t="str">
        <f t="shared" si="3"/>
        <v>&gt;30</v>
      </c>
    </row>
    <row r="29" spans="1:134" ht="14.45" customHeight="1">
      <c r="A29" s="346">
        <v>33026</v>
      </c>
      <c r="B29" s="345" t="s">
        <v>310</v>
      </c>
      <c r="D29" s="345" t="s">
        <v>354</v>
      </c>
      <c r="E29" s="934"/>
      <c r="F29" s="345">
        <v>11</v>
      </c>
      <c r="G29" s="345" t="s">
        <v>306</v>
      </c>
      <c r="I29" s="345">
        <v>9703.01</v>
      </c>
      <c r="J29" s="345" t="s">
        <v>346</v>
      </c>
      <c r="L29" s="347">
        <v>18.13</v>
      </c>
      <c r="M29" s="347" t="s">
        <v>297</v>
      </c>
      <c r="O29" s="348" t="str">
        <f t="array" ref="O29">IFERROR(IF($O$11="Metro",INDEX($F$13:$F$738,SMALL(IF((County=$G$13:$G$738),MATCH(ROW($G$13:$G$738),ROW($G$13:$G$738)),""),ROWS($A$13:A29))),INDEX($I$13:$I$42,SMALL(IF((County=$J$13:$J$42),MATCH(ROW($J$13:$J$42),ROW($J$13:$J$42)),""),ROWS($A$13:A29)))),"")</f>
        <v/>
      </c>
      <c r="Q29" s="348" t="str">
        <f t="array" ref="Q29">IFERROR(IF($Q$11="Yes",INDEX($L$13:$L$2313,SMALL(IF((County=$M$13:$M$2313),MATCH(ROW($M$13:$M$2313),ROW($M$13:$M$2313)),""),ROWS($A$13:A29))),""),"")</f>
        <v/>
      </c>
      <c r="S29" s="346">
        <v>32227</v>
      </c>
      <c r="T29" s="345" t="s">
        <v>323</v>
      </c>
      <c r="V29" s="345">
        <v>2.06</v>
      </c>
      <c r="W29" s="345" t="s">
        <v>352</v>
      </c>
      <c r="Y29" s="345">
        <v>9509</v>
      </c>
      <c r="Z29" s="345" t="s">
        <v>366</v>
      </c>
      <c r="AB29" s="347">
        <v>1.21</v>
      </c>
      <c r="AC29" s="347" t="s">
        <v>352</v>
      </c>
      <c r="AD29" s="1138"/>
      <c r="AE29" s="346">
        <v>33027</v>
      </c>
      <c r="AF29" s="345" t="s">
        <v>310</v>
      </c>
      <c r="AH29" s="345" t="s">
        <v>354</v>
      </c>
      <c r="AI29" s="934"/>
      <c r="AJ29" s="345">
        <v>8.0299999999999994</v>
      </c>
      <c r="AK29" s="345" t="s">
        <v>306</v>
      </c>
      <c r="AM29" s="345">
        <v>402</v>
      </c>
      <c r="AN29" s="345" t="s">
        <v>338</v>
      </c>
      <c r="AP29" s="347">
        <v>18.149999999999999</v>
      </c>
      <c r="AQ29" s="347" t="s">
        <v>297</v>
      </c>
      <c r="AS29" s="348" t="str">
        <f t="array" ref="AS29">IFERROR(IF($AS$11="Metro",INDEX($AJ$13:$AJ$814,SMALL(IF((County=$AK$13:$AK$814),MATCH(ROW($AK$13:$AK$814),ROW($AK$13:$AK$814)),""),ROWS($A$13:$A29))),INDEX($AM$13:$AM$48,SMALL(IF((County=$AN$13:$AN$48),MATCH(ROW($AN$13:$AN$48),ROW($AN$13:$AN$48)),""),ROWS($A$13:$A29)))),"")</f>
        <v/>
      </c>
      <c r="AU29" s="348" t="str">
        <f t="array" ref="AU29">IFERROR(IF($AU$11="Yes",INDEX($AP$13:$AP$2950,SMALL(IF((County=$AQ$13:$AQ$2950),MATCH(ROW($AQ$13:$AQ$2950),ROW($AQ$13:$AQ$2950)),""),ROWS($A$13:$A29))),""),"")</f>
        <v/>
      </c>
      <c r="AW29" s="346">
        <v>32225</v>
      </c>
      <c r="AX29" s="345" t="s">
        <v>323</v>
      </c>
      <c r="AZ29" s="345">
        <v>2.02</v>
      </c>
      <c r="BA29" s="345" t="s">
        <v>297</v>
      </c>
      <c r="BC29" s="345">
        <v>301</v>
      </c>
      <c r="BD29" s="345" t="s">
        <v>374</v>
      </c>
      <c r="BF29" s="347">
        <v>1.18</v>
      </c>
      <c r="BG29" s="347" t="s">
        <v>352</v>
      </c>
      <c r="BH29" s="1790"/>
      <c r="BI29" s="1791">
        <v>33021</v>
      </c>
      <c r="BJ29" s="345" t="s">
        <v>310</v>
      </c>
      <c r="BL29" s="345" t="s">
        <v>354</v>
      </c>
      <c r="BM29" s="1784"/>
      <c r="BN29" s="345">
        <v>12.02</v>
      </c>
      <c r="BO29" s="345" t="s">
        <v>297</v>
      </c>
      <c r="BQ29" s="345">
        <v>1106.03</v>
      </c>
      <c r="BR29" s="345" t="s">
        <v>319</v>
      </c>
      <c r="BT29" s="347">
        <v>18.149999999999999</v>
      </c>
      <c r="BU29" s="347" t="s">
        <v>297</v>
      </c>
      <c r="BW29" s="348" t="str">
        <f t="array" ref="BW29">IFERROR(IF($BW$11="Metro",INDEX($BN$13:$BN$4972,SMALL(IF((County=$BO$13:$BO$4972),MATCH(ROW($BO$13:$BO$4972),ROW($BO$13:$BO$4972)),""),ROWS($A$13:$A29))),INDEX($BQ$13:$BQ$212,SMALL(IF((County=$BR$13:$BR$212),MATCH(ROW($BR$13:$BR$212),ROW($BR$13:$BR$212)),""),ROWS($A$13:$A29)))),"")</f>
        <v/>
      </c>
      <c r="BY29" s="348" t="str">
        <f t="array" ref="BY29">IFERROR(IF($BY$11="Yes",INDEX($BT$13:$BT$2950,SMALL(IF((County=$BU$13:$BU$2950),MATCH(ROW($BU$13:$BU$2950),ROW($BU$13:$BU$2950)),""),ROWS($A$13:$A29))),""),"")</f>
        <v/>
      </c>
      <c r="CA29" s="1792">
        <v>32212</v>
      </c>
      <c r="CB29" s="345" t="s">
        <v>323</v>
      </c>
      <c r="CD29" s="237">
        <v>1.04</v>
      </c>
      <c r="CE29" s="237" t="s">
        <v>361</v>
      </c>
      <c r="CG29" s="237">
        <v>4.04</v>
      </c>
      <c r="CH29" s="237" t="s">
        <v>334</v>
      </c>
      <c r="CJ29" s="347">
        <v>1.2</v>
      </c>
      <c r="CK29" s="347" t="s">
        <v>352</v>
      </c>
      <c r="CL29" s="1789"/>
      <c r="CM29" s="2299"/>
      <c r="CN29" s="345"/>
      <c r="CP29" s="345"/>
      <c r="CR29" s="345"/>
      <c r="CS29" s="345"/>
      <c r="CU29" s="345"/>
      <c r="CV29" s="345"/>
      <c r="CX29" s="347"/>
      <c r="CY29" s="347"/>
      <c r="DA29" s="348"/>
      <c r="DC29" s="348"/>
      <c r="DE29" s="1792"/>
      <c r="DF29" s="345"/>
      <c r="DH29" s="237"/>
      <c r="DI29" s="237"/>
      <c r="DK29" s="345"/>
      <c r="DL29" s="345"/>
      <c r="DN29" s="347"/>
      <c r="DO29" s="347"/>
      <c r="DP29" s="2505"/>
      <c r="DT29" s="591" t="s">
        <v>333</v>
      </c>
      <c r="DU29" s="591" t="s">
        <v>2116</v>
      </c>
      <c r="DV29" s="591" t="s">
        <v>2117</v>
      </c>
      <c r="DW29" s="592">
        <v>27.633792</v>
      </c>
      <c r="DX29" s="592">
        <v>-81.825901000000002</v>
      </c>
      <c r="DY29" s="595" t="s">
        <v>686</v>
      </c>
      <c r="DZ29" s="594" t="s">
        <v>689</v>
      </c>
      <c r="EA29" s="592" t="str">
        <f t="shared" si="0"/>
        <v>Hardee - Holy Child</v>
      </c>
      <c r="EB29" s="592" t="str">
        <f t="shared" si="1"/>
        <v>Family</v>
      </c>
      <c r="EC29" s="592" t="str">
        <f t="shared" si="2"/>
        <v>(27.633792, -81.825901)</v>
      </c>
      <c r="ED29" s="594" t="str">
        <f t="shared" si="3"/>
        <v>&lt;31</v>
      </c>
    </row>
    <row r="30" spans="1:134" ht="14.45" customHeight="1">
      <c r="A30" s="346">
        <v>33027</v>
      </c>
      <c r="B30" s="345" t="s">
        <v>310</v>
      </c>
      <c r="D30" s="345" t="s">
        <v>358</v>
      </c>
      <c r="E30" s="934"/>
      <c r="F30" s="345">
        <v>16</v>
      </c>
      <c r="G30" s="345" t="s">
        <v>306</v>
      </c>
      <c r="I30" s="345">
        <v>1102</v>
      </c>
      <c r="J30" s="345" t="s">
        <v>348</v>
      </c>
      <c r="L30" s="347">
        <v>18.14</v>
      </c>
      <c r="M30" s="347" t="s">
        <v>297</v>
      </c>
      <c r="O30" s="348" t="str">
        <f t="array" ref="O30">IFERROR(IF($O$11="Metro",INDEX($F$13:$F$738,SMALL(IF((County=$G$13:$G$738),MATCH(ROW($G$13:$G$738),ROW($G$13:$G$738)),""),ROWS($A$13:A30))),INDEX($I$13:$I$42,SMALL(IF((County=$J$13:$J$42),MATCH(ROW($J$13:$J$42),ROW($J$13:$J$42)),""),ROWS($A$13:A30)))),"")</f>
        <v/>
      </c>
      <c r="Q30" s="348" t="str">
        <f t="array" ref="Q30">IFERROR(IF($Q$11="Yes",INDEX($L$13:$L$2313,SMALL(IF((County=$M$13:$M$2313),MATCH(ROW($M$13:$M$2313),ROW($M$13:$M$2313)),""),ROWS($A$13:A30))),""),"")</f>
        <v/>
      </c>
      <c r="S30" s="346">
        <v>32228</v>
      </c>
      <c r="T30" s="345" t="s">
        <v>323</v>
      </c>
      <c r="V30" s="345">
        <v>2.09</v>
      </c>
      <c r="W30" s="345" t="s">
        <v>352</v>
      </c>
      <c r="Y30" s="345">
        <v>9512</v>
      </c>
      <c r="Z30" s="345" t="s">
        <v>366</v>
      </c>
      <c r="AB30" s="347">
        <v>1.22</v>
      </c>
      <c r="AC30" s="347" t="s">
        <v>352</v>
      </c>
      <c r="AD30" s="1138"/>
      <c r="AE30" s="346">
        <v>33028</v>
      </c>
      <c r="AF30" s="345" t="s">
        <v>310</v>
      </c>
      <c r="AH30" s="345" t="s">
        <v>358</v>
      </c>
      <c r="AI30" s="934"/>
      <c r="AJ30" s="345">
        <v>10</v>
      </c>
      <c r="AK30" s="345" t="s">
        <v>306</v>
      </c>
      <c r="AM30" s="345">
        <v>403</v>
      </c>
      <c r="AN30" s="345" t="s">
        <v>338</v>
      </c>
      <c r="AP30" s="347">
        <v>18.16</v>
      </c>
      <c r="AQ30" s="347" t="s">
        <v>297</v>
      </c>
      <c r="AS30" s="348" t="str">
        <f t="array" ref="AS30">IFERROR(IF($AS$11="Metro",INDEX($AJ$13:$AJ$814,SMALL(IF((County=$AK$13:$AK$814),MATCH(ROW($AK$13:$AK$814),ROW($AK$13:$AK$814)),""),ROWS($A$13:$A30))),INDEX($AM$13:$AM$48,SMALL(IF((County=$AN$13:$AN$48),MATCH(ROW($AN$13:$AN$48),ROW($AN$13:$AN$48)),""),ROWS($A$13:$A30)))),"")</f>
        <v/>
      </c>
      <c r="AU30" s="348" t="str">
        <f t="array" ref="AU30">IFERROR(IF($AU$11="Yes",INDEX($AP$13:$AP$2950,SMALL(IF((County=$AQ$13:$AQ$2950),MATCH(ROW($AQ$13:$AQ$2950),ROW($AQ$13:$AQ$2950)),""),ROWS($A$13:$A30))),""),"")</f>
        <v/>
      </c>
      <c r="AW30" s="346">
        <v>32226</v>
      </c>
      <c r="AX30" s="345" t="s">
        <v>323</v>
      </c>
      <c r="AZ30" s="345">
        <v>2.02</v>
      </c>
      <c r="BA30" s="345" t="s">
        <v>337</v>
      </c>
      <c r="BC30" s="345">
        <v>302</v>
      </c>
      <c r="BD30" s="345" t="s">
        <v>321</v>
      </c>
      <c r="BF30" s="347">
        <v>1.2</v>
      </c>
      <c r="BG30" s="347" t="s">
        <v>352</v>
      </c>
      <c r="BH30" s="1790"/>
      <c r="BI30" s="1791">
        <v>33024</v>
      </c>
      <c r="BJ30" s="345" t="s">
        <v>310</v>
      </c>
      <c r="BL30" s="345" t="s">
        <v>358</v>
      </c>
      <c r="BM30" s="1784"/>
      <c r="BN30" s="345">
        <v>12.03</v>
      </c>
      <c r="BO30" s="345" t="s">
        <v>297</v>
      </c>
      <c r="BQ30" s="345">
        <v>1106.04</v>
      </c>
      <c r="BR30" s="345" t="s">
        <v>319</v>
      </c>
      <c r="BT30" s="347">
        <v>18.170000000000002</v>
      </c>
      <c r="BU30" s="347" t="s">
        <v>297</v>
      </c>
      <c r="BW30" s="348" t="str">
        <f t="array" ref="BW30">IFERROR(IF($BW$11="Metro",INDEX($BN$13:$BN$4972,SMALL(IF((County=$BO$13:$BO$4972),MATCH(ROW($BO$13:$BO$4972),ROW($BO$13:$BO$4972)),""),ROWS($A$13:$A30))),INDEX($BQ$13:$BQ$212,SMALL(IF((County=$BR$13:$BR$212),MATCH(ROW($BR$13:$BR$212),ROW($BR$13:$BR$212)),""),ROWS($A$13:$A30)))),"")</f>
        <v/>
      </c>
      <c r="BY30" s="348" t="str">
        <f t="array" ref="BY30">IFERROR(IF($BY$11="Yes",INDEX($BT$13:$BT$2950,SMALL(IF((County=$BU$13:$BU$2950),MATCH(ROW($BU$13:$BU$2950),ROW($BU$13:$BU$2950)),""),ROWS($A$13:$A30))),""),"")</f>
        <v/>
      </c>
      <c r="CA30" s="1792">
        <v>32225</v>
      </c>
      <c r="CB30" s="345" t="s">
        <v>323</v>
      </c>
      <c r="CD30" s="237">
        <v>1.04</v>
      </c>
      <c r="CE30" s="237" t="s">
        <v>368</v>
      </c>
      <c r="CG30" s="237">
        <v>6.01</v>
      </c>
      <c r="CH30" s="237" t="s">
        <v>334</v>
      </c>
      <c r="CJ30" s="347">
        <v>1.21</v>
      </c>
      <c r="CK30" s="347" t="s">
        <v>352</v>
      </c>
      <c r="CL30" s="1789"/>
      <c r="CM30" s="2299"/>
      <c r="CN30" s="345"/>
      <c r="CP30" s="345"/>
      <c r="CR30" s="345"/>
      <c r="CS30" s="345"/>
      <c r="CU30" s="345"/>
      <c r="CV30" s="345"/>
      <c r="CX30" s="347"/>
      <c r="CY30" s="347"/>
      <c r="DA30" s="348"/>
      <c r="DC30" s="348"/>
      <c r="DE30" s="1792"/>
      <c r="DF30" s="345"/>
      <c r="DH30" s="237"/>
      <c r="DI30" s="237"/>
      <c r="DK30" s="345"/>
      <c r="DL30" s="345"/>
      <c r="DN30" s="347"/>
      <c r="DO30" s="347"/>
      <c r="DP30" s="2505"/>
      <c r="DT30" s="591" t="s">
        <v>333</v>
      </c>
      <c r="DU30" s="591" t="s">
        <v>2118</v>
      </c>
      <c r="DV30" s="591" t="s">
        <v>2119</v>
      </c>
      <c r="DW30" s="591">
        <v>27.552095999999999</v>
      </c>
      <c r="DX30" s="591">
        <v>-81.805902000000003</v>
      </c>
      <c r="DY30" s="604" t="s">
        <v>686</v>
      </c>
      <c r="DZ30" s="595" t="s">
        <v>689</v>
      </c>
      <c r="EA30" s="592" t="str">
        <f t="shared" si="0"/>
        <v>Hardee - Wauchula Place</v>
      </c>
      <c r="EB30" s="592" t="str">
        <f t="shared" si="1"/>
        <v>Family</v>
      </c>
      <c r="EC30" s="592" t="str">
        <f t="shared" si="2"/>
        <v>(27.552096, -81.805902)</v>
      </c>
      <c r="ED30" s="594" t="str">
        <f t="shared" si="3"/>
        <v>&lt;31</v>
      </c>
    </row>
    <row r="31" spans="1:134" ht="14.45" customHeight="1">
      <c r="A31" s="346">
        <v>33028</v>
      </c>
      <c r="B31" s="345" t="s">
        <v>310</v>
      </c>
      <c r="D31" s="345" t="s">
        <v>366</v>
      </c>
      <c r="E31" s="934"/>
      <c r="F31" s="345">
        <v>18</v>
      </c>
      <c r="G31" s="345" t="s">
        <v>306</v>
      </c>
      <c r="I31" s="345">
        <v>1103.02</v>
      </c>
      <c r="J31" s="345" t="s">
        <v>348</v>
      </c>
      <c r="L31" s="347">
        <v>21.01</v>
      </c>
      <c r="M31" s="347" t="s">
        <v>297</v>
      </c>
      <c r="O31" s="348" t="str">
        <f t="array" ref="O31">IFERROR(IF($O$11="Metro",INDEX($F$13:$F$738,SMALL(IF((County=$G$13:$G$738),MATCH(ROW($G$13:$G$738),ROW($G$13:$G$738)),""),ROWS($A$13:A31))),INDEX($I$13:$I$42,SMALL(IF((County=$J$13:$J$42),MATCH(ROW($J$13:$J$42),ROW($J$13:$J$42)),""),ROWS($A$13:A31)))),"")</f>
        <v/>
      </c>
      <c r="Q31" s="348" t="str">
        <f t="array" ref="Q31">IFERROR(IF($Q$11="Yes",INDEX($L$13:$L$2313,SMALL(IF((County=$M$13:$M$2313),MATCH(ROW($M$13:$M$2313),ROW($M$13:$M$2313)),""),ROWS($A$13:A31))),""),"")</f>
        <v/>
      </c>
      <c r="S31" s="346">
        <v>32256</v>
      </c>
      <c r="T31" s="345" t="s">
        <v>323</v>
      </c>
      <c r="V31" s="345">
        <v>2.12</v>
      </c>
      <c r="W31" s="345" t="s">
        <v>352</v>
      </c>
      <c r="Y31" s="345">
        <v>9514.01</v>
      </c>
      <c r="Z31" s="345" t="s">
        <v>366</v>
      </c>
      <c r="AB31" s="347">
        <v>1.23</v>
      </c>
      <c r="AC31" s="347" t="s">
        <v>352</v>
      </c>
      <c r="AD31" s="1138"/>
      <c r="AE31" s="346">
        <v>33029</v>
      </c>
      <c r="AF31" s="345" t="s">
        <v>310</v>
      </c>
      <c r="AH31" s="345" t="s">
        <v>366</v>
      </c>
      <c r="AI31" s="934"/>
      <c r="AJ31" s="345">
        <v>11</v>
      </c>
      <c r="AK31" s="345" t="s">
        <v>306</v>
      </c>
      <c r="AM31" s="345">
        <v>600</v>
      </c>
      <c r="AN31" s="345" t="s">
        <v>340</v>
      </c>
      <c r="AP31" s="347">
        <v>18.170000000000002</v>
      </c>
      <c r="AQ31" s="347" t="s">
        <v>297</v>
      </c>
      <c r="AS31" s="348" t="str">
        <f t="array" ref="AS31">IFERROR(IF($AS$11="Metro",INDEX($AJ$13:$AJ$814,SMALL(IF((County=$AK$13:$AK$814),MATCH(ROW($AK$13:$AK$814),ROW($AK$13:$AK$814)),""),ROWS($A$13:$A31))),INDEX($AM$13:$AM$48,SMALL(IF((County=$AN$13:$AN$48),MATCH(ROW($AN$13:$AN$48),ROW($AN$13:$AN$48)),""),ROWS($A$13:$A31)))),"")</f>
        <v/>
      </c>
      <c r="AU31" s="348" t="str">
        <f t="array" ref="AU31">IFERROR(IF($AU$11="Yes",INDEX($AP$13:$AP$2950,SMALL(IF((County=$AQ$13:$AQ$2950),MATCH(ROW($AQ$13:$AQ$2950),ROW($AQ$13:$AQ$2950)),""),ROWS($A$13:$A31))),""),"")</f>
        <v/>
      </c>
      <c r="AW31" s="346">
        <v>32227</v>
      </c>
      <c r="AX31" s="345" t="s">
        <v>323</v>
      </c>
      <c r="AZ31" s="345">
        <v>2.02</v>
      </c>
      <c r="BA31" s="345" t="s">
        <v>350</v>
      </c>
      <c r="BC31" s="345">
        <v>302</v>
      </c>
      <c r="BD31" s="345" t="s">
        <v>333</v>
      </c>
      <c r="BF31" s="347">
        <v>1.21</v>
      </c>
      <c r="BG31" s="347" t="s">
        <v>352</v>
      </c>
      <c r="BH31" s="1790"/>
      <c r="BI31" s="1791">
        <v>33025</v>
      </c>
      <c r="BJ31" s="345" t="s">
        <v>310</v>
      </c>
      <c r="BL31" s="345" t="s">
        <v>366</v>
      </c>
      <c r="BM31" s="1784"/>
      <c r="BN31" s="345">
        <v>14</v>
      </c>
      <c r="BO31" s="345" t="s">
        <v>297</v>
      </c>
      <c r="BQ31" s="345">
        <v>1107</v>
      </c>
      <c r="BR31" s="345" t="s">
        <v>319</v>
      </c>
      <c r="BT31" s="347">
        <v>18.190000000000001</v>
      </c>
      <c r="BU31" s="347" t="s">
        <v>297</v>
      </c>
      <c r="BW31" s="348" t="str">
        <f t="array" ref="BW31">IFERROR(IF($BW$11="Metro",INDEX($BN$13:$BN$4972,SMALL(IF((County=$BO$13:$BO$4972),MATCH(ROW($BO$13:$BO$4972),ROW($BO$13:$BO$4972)),""),ROWS($A$13:$A31))),INDEX($BQ$13:$BQ$212,SMALL(IF((County=$BR$13:$BR$212),MATCH(ROW($BR$13:$BR$212),ROW($BR$13:$BR$212)),""),ROWS($A$13:$A31)))),"")</f>
        <v/>
      </c>
      <c r="BY31" s="348" t="str">
        <f t="array" ref="BY31">IFERROR(IF($BY$11="Yes",INDEX($BT$13:$BT$2950,SMALL(IF((County=$BU$13:$BU$2950),MATCH(ROW($BU$13:$BU$2950),ROW($BU$13:$BU$2950)),""),ROWS($A$13:$A31))),""),"")</f>
        <v/>
      </c>
      <c r="CA31" s="1792">
        <v>32226</v>
      </c>
      <c r="CB31" s="345" t="s">
        <v>323</v>
      </c>
      <c r="CD31" s="237">
        <v>1.05</v>
      </c>
      <c r="CE31" s="237" t="s">
        <v>349</v>
      </c>
      <c r="CG31" s="237">
        <v>6.02</v>
      </c>
      <c r="CH31" s="237" t="s">
        <v>334</v>
      </c>
      <c r="CJ31" s="347">
        <v>1.22</v>
      </c>
      <c r="CK31" s="347" t="s">
        <v>352</v>
      </c>
      <c r="CL31" s="1789"/>
      <c r="CM31" s="2299"/>
      <c r="CN31" s="345"/>
      <c r="CP31" s="345"/>
      <c r="CR31" s="345"/>
      <c r="CS31" s="345"/>
      <c r="CU31" s="345"/>
      <c r="CV31" s="345"/>
      <c r="CX31" s="347"/>
      <c r="CY31" s="347"/>
      <c r="DA31" s="348"/>
      <c r="DC31" s="348"/>
      <c r="DE31" s="1792"/>
      <c r="DF31" s="345"/>
      <c r="DH31" s="237"/>
      <c r="DI31" s="237"/>
      <c r="DK31" s="345"/>
      <c r="DL31" s="345"/>
      <c r="DN31" s="347"/>
      <c r="DO31" s="347"/>
      <c r="DP31" s="2505"/>
      <c r="DT31" s="591" t="s">
        <v>334</v>
      </c>
      <c r="DU31" s="591" t="s">
        <v>694</v>
      </c>
      <c r="DV31" s="591" t="s">
        <v>695</v>
      </c>
      <c r="DW31" s="592">
        <v>26.749832000000001</v>
      </c>
      <c r="DX31" s="592">
        <v>-81.441800999999998</v>
      </c>
      <c r="DY31" s="595" t="s">
        <v>686</v>
      </c>
      <c r="DZ31" s="595" t="s">
        <v>689</v>
      </c>
      <c r="EA31" s="592" t="str">
        <f t="shared" si="0"/>
        <v>Hendry - Pollywog Creek Mews</v>
      </c>
      <c r="EB31" s="592" t="str">
        <f t="shared" si="1"/>
        <v>Family</v>
      </c>
      <c r="EC31" s="592" t="str">
        <f t="shared" si="2"/>
        <v>(26.749832, -81.441801)</v>
      </c>
      <c r="ED31" s="594" t="str">
        <f t="shared" si="3"/>
        <v>&lt;31</v>
      </c>
    </row>
    <row r="32" spans="1:134" ht="14.45" customHeight="1">
      <c r="A32" s="346">
        <v>33029</v>
      </c>
      <c r="B32" s="345" t="s">
        <v>310</v>
      </c>
      <c r="D32" s="345" t="s">
        <v>373</v>
      </c>
      <c r="E32" s="934"/>
      <c r="F32" s="345">
        <v>20</v>
      </c>
      <c r="G32" s="345" t="s">
        <v>306</v>
      </c>
      <c r="I32" s="345">
        <v>9704</v>
      </c>
      <c r="J32" s="345" t="s">
        <v>354</v>
      </c>
      <c r="L32" s="347">
        <v>21.02</v>
      </c>
      <c r="M32" s="347" t="s">
        <v>297</v>
      </c>
      <c r="O32" s="348" t="str">
        <f t="array" ref="O32">IFERROR(IF($O$11="Metro",INDEX($F$13:$F$738,SMALL(IF((County=$G$13:$G$738),MATCH(ROW($G$13:$G$738),ROW($G$13:$G$738)),""),ROWS($A$13:A32))),INDEX($I$13:$I$42,SMALL(IF((County=$J$13:$J$42),MATCH(ROW($J$13:$J$42),ROW($J$13:$J$42)),""),ROWS($A$13:A32)))),"")</f>
        <v/>
      </c>
      <c r="Q32" s="348" t="str">
        <f t="array" ref="Q32">IFERROR(IF($Q$11="Yes",INDEX($L$13:$L$2313,SMALL(IF((County=$M$13:$M$2313),MATCH(ROW($M$13:$M$2313),ROW($M$13:$M$2313)),""),ROWS($A$13:A32))),""),"")</f>
        <v/>
      </c>
      <c r="S32" s="346">
        <v>32258</v>
      </c>
      <c r="T32" s="345" t="s">
        <v>323</v>
      </c>
      <c r="V32" s="345">
        <v>2.17</v>
      </c>
      <c r="W32" s="345" t="s">
        <v>352</v>
      </c>
      <c r="Y32" s="345">
        <v>9602</v>
      </c>
      <c r="Z32" s="345" t="s">
        <v>332</v>
      </c>
      <c r="AB32" s="347">
        <v>1.25</v>
      </c>
      <c r="AC32" s="347" t="s">
        <v>352</v>
      </c>
      <c r="AD32" s="1138"/>
      <c r="AE32" s="346">
        <v>33062</v>
      </c>
      <c r="AF32" s="345" t="s">
        <v>310</v>
      </c>
      <c r="AH32" s="345" t="s">
        <v>373</v>
      </c>
      <c r="AI32" s="934"/>
      <c r="AJ32" s="345">
        <v>16</v>
      </c>
      <c r="AK32" s="345" t="s">
        <v>306</v>
      </c>
      <c r="AM32" s="345">
        <v>0</v>
      </c>
      <c r="AN32" s="345" t="s">
        <v>347</v>
      </c>
      <c r="AP32" s="347">
        <v>18.190000000000001</v>
      </c>
      <c r="AQ32" s="347" t="s">
        <v>297</v>
      </c>
      <c r="AS32" s="348" t="str">
        <f t="array" ref="AS32">IFERROR(IF($AS$11="Metro",INDEX($AJ$13:$AJ$814,SMALL(IF((County=$AK$13:$AK$814),MATCH(ROW($AK$13:$AK$814),ROW($AK$13:$AK$814)),""),ROWS($A$13:$A32))),INDEX($AM$13:$AM$48,SMALL(IF((County=$AN$13:$AN$48),MATCH(ROW($AN$13:$AN$48),ROW($AN$13:$AN$48)),""),ROWS($A$13:$A32)))),"")</f>
        <v/>
      </c>
      <c r="AU32" s="348" t="str">
        <f t="array" ref="AU32">IFERROR(IF($AU$11="Yes",INDEX($AP$13:$AP$2950,SMALL(IF((County=$AQ$13:$AQ$2950),MATCH(ROW($AQ$13:$AQ$2950),ROW($AQ$13:$AQ$2950)),""),ROWS($A$13:$A32))),""),"")</f>
        <v/>
      </c>
      <c r="AW32" s="346">
        <v>32228</v>
      </c>
      <c r="AX32" s="345" t="s">
        <v>323</v>
      </c>
      <c r="AZ32" s="345">
        <v>2.0299999999999998</v>
      </c>
      <c r="BA32" s="345" t="s">
        <v>349</v>
      </c>
      <c r="BC32" s="345">
        <v>302</v>
      </c>
      <c r="BD32" s="345" t="s">
        <v>348</v>
      </c>
      <c r="BF32" s="347">
        <v>1.22</v>
      </c>
      <c r="BG32" s="347" t="s">
        <v>352</v>
      </c>
      <c r="BH32" s="1790"/>
      <c r="BI32" s="1791">
        <v>33026</v>
      </c>
      <c r="BJ32" s="345" t="s">
        <v>310</v>
      </c>
      <c r="BL32" s="345" t="s">
        <v>373</v>
      </c>
      <c r="BM32" s="1784"/>
      <c r="BN32" s="345">
        <v>15.14</v>
      </c>
      <c r="BO32" s="345" t="s">
        <v>297</v>
      </c>
      <c r="BQ32" s="345">
        <v>1108</v>
      </c>
      <c r="BR32" s="345" t="s">
        <v>319</v>
      </c>
      <c r="BT32" s="347">
        <v>21.01</v>
      </c>
      <c r="BU32" s="347" t="s">
        <v>297</v>
      </c>
      <c r="BW32" s="348" t="str">
        <f t="array" ref="BW32">IFERROR(IF($BW$11="Metro",INDEX($BN$13:$BN$4972,SMALL(IF((County=$BO$13:$BO$4972),MATCH(ROW($BO$13:$BO$4972),ROW($BO$13:$BO$4972)),""),ROWS($A$13:$A32))),INDEX($BQ$13:$BQ$212,SMALL(IF((County=$BR$13:$BR$212),MATCH(ROW($BR$13:$BR$212),ROW($BR$13:$BR$212)),""),ROWS($A$13:$A32)))),"")</f>
        <v/>
      </c>
      <c r="BY32" s="348" t="str">
        <f t="array" ref="BY32">IFERROR(IF($BY$11="Yes",INDEX($BT$13:$BT$2950,SMALL(IF((County=$BU$13:$BU$2950),MATCH(ROW($BU$13:$BU$2950),ROW($BU$13:$BU$2950)),""),ROWS($A$13:$A32))),""),"")</f>
        <v/>
      </c>
      <c r="CA32" s="1792">
        <v>32227</v>
      </c>
      <c r="CB32" s="345" t="s">
        <v>323</v>
      </c>
      <c r="CD32" s="237">
        <v>1.06</v>
      </c>
      <c r="CE32" s="237" t="s">
        <v>349</v>
      </c>
      <c r="CG32" s="345">
        <v>101</v>
      </c>
      <c r="CH32" s="345" t="s">
        <v>313</v>
      </c>
      <c r="CJ32" s="347">
        <v>1.23</v>
      </c>
      <c r="CK32" s="347" t="s">
        <v>352</v>
      </c>
      <c r="CL32" s="1789"/>
      <c r="CM32" s="2299"/>
      <c r="CN32" s="345"/>
      <c r="CP32" s="345"/>
      <c r="CR32" s="345"/>
      <c r="CS32" s="345"/>
      <c r="CU32" s="345"/>
      <c r="CV32" s="345"/>
      <c r="CX32" s="347"/>
      <c r="CY32" s="347"/>
      <c r="DA32" s="348"/>
      <c r="DC32" s="348"/>
      <c r="DE32" s="1792"/>
      <c r="DF32" s="345"/>
      <c r="DH32" s="237"/>
      <c r="DI32" s="237"/>
      <c r="DK32" s="345"/>
      <c r="DL32" s="345"/>
      <c r="DN32" s="347"/>
      <c r="DO32" s="347"/>
      <c r="DP32" s="2505"/>
      <c r="DT32" s="591" t="s">
        <v>336</v>
      </c>
      <c r="DU32" s="591" t="s">
        <v>2614</v>
      </c>
      <c r="DV32" s="591" t="s">
        <v>2615</v>
      </c>
      <c r="DW32" s="598">
        <v>27.588829</v>
      </c>
      <c r="DX32" s="599">
        <v>-81.512071000000006</v>
      </c>
      <c r="DY32" s="595" t="s">
        <v>686</v>
      </c>
      <c r="DZ32" s="594" t="s">
        <v>685</v>
      </c>
      <c r="EA32" s="592" t="str">
        <f t="shared" si="0"/>
        <v>Highlands - Avon Park Apartments</v>
      </c>
      <c r="EB32" s="592" t="str">
        <f t="shared" si="1"/>
        <v>Family</v>
      </c>
      <c r="EC32" s="592" t="str">
        <f t="shared" si="2"/>
        <v>(27.588829, -81.512071)</v>
      </c>
      <c r="ED32" s="594" t="str">
        <f t="shared" si="3"/>
        <v>&gt;30</v>
      </c>
    </row>
    <row r="33" spans="1:134" ht="14.45" customHeight="1">
      <c r="A33" s="346">
        <v>33062</v>
      </c>
      <c r="B33" s="345" t="s">
        <v>310</v>
      </c>
      <c r="D33" s="345" t="s">
        <v>374</v>
      </c>
      <c r="E33" s="934"/>
      <c r="F33" s="345">
        <v>22</v>
      </c>
      <c r="G33" s="345" t="s">
        <v>306</v>
      </c>
      <c r="I33" s="345">
        <v>9502.01</v>
      </c>
      <c r="J33" s="345" t="s">
        <v>366</v>
      </c>
      <c r="L33" s="347">
        <v>22.01</v>
      </c>
      <c r="M33" s="347" t="s">
        <v>297</v>
      </c>
      <c r="O33" s="348" t="str">
        <f t="array" ref="O33">IFERROR(IF($O$11="Metro",INDEX($F$13:$F$738,SMALL(IF((County=$G$13:$G$738),MATCH(ROW($G$13:$G$738),ROW($G$13:$G$738)),""),ROWS($A$13:A33))),INDEX($I$13:$I$42,SMALL(IF((County=$J$13:$J$42),MATCH(ROW($J$13:$J$42),ROW($J$13:$J$42)),""),ROWS($A$13:A33)))),"")</f>
        <v/>
      </c>
      <c r="Q33" s="348" t="str">
        <f t="array" ref="Q33">IFERROR(IF($Q$11="Yes",INDEX($L$13:$L$2313,SMALL(IF((County=$M$13:$M$2313),MATCH(ROW($M$13:$M$2313),ROW($M$13:$M$2313)),""),ROWS($A$13:A33))),""),"")</f>
        <v/>
      </c>
      <c r="S33" s="346">
        <v>32259</v>
      </c>
      <c r="T33" s="345" t="s">
        <v>370</v>
      </c>
      <c r="V33" s="345">
        <v>2.1800000000000002</v>
      </c>
      <c r="W33" s="345" t="s">
        <v>352</v>
      </c>
      <c r="Y33" s="345">
        <v>9603</v>
      </c>
      <c r="Z33" s="345" t="s">
        <v>332</v>
      </c>
      <c r="AB33" s="347">
        <v>1.26</v>
      </c>
      <c r="AC33" s="347" t="s">
        <v>352</v>
      </c>
      <c r="AD33" s="1138"/>
      <c r="AE33" s="346">
        <v>33063</v>
      </c>
      <c r="AF33" s="345" t="s">
        <v>310</v>
      </c>
      <c r="AH33" s="345" t="s">
        <v>374</v>
      </c>
      <c r="AI33" s="934"/>
      <c r="AJ33" s="345">
        <v>18</v>
      </c>
      <c r="AK33" s="345" t="s">
        <v>306</v>
      </c>
      <c r="AM33" s="345">
        <v>200</v>
      </c>
      <c r="AN33" s="345" t="s">
        <v>348</v>
      </c>
      <c r="AP33" s="347">
        <v>22.01</v>
      </c>
      <c r="AQ33" s="347" t="s">
        <v>297</v>
      </c>
      <c r="AS33" s="348" t="str">
        <f t="array" ref="AS33">IFERROR(IF($AS$11="Metro",INDEX($AJ$13:$AJ$814,SMALL(IF((County=$AK$13:$AK$814),MATCH(ROW($AK$13:$AK$814),ROW($AK$13:$AK$814)),""),ROWS($A$13:$A33))),INDEX($AM$13:$AM$48,SMALL(IF((County=$AN$13:$AN$48),MATCH(ROW($AN$13:$AN$48),ROW($AN$13:$AN$48)),""),ROWS($A$13:$A33)))),"")</f>
        <v/>
      </c>
      <c r="AU33" s="348" t="str">
        <f t="array" ref="AU33">IFERROR(IF($AU$11="Yes",INDEX($AP$13:$AP$2950,SMALL(IF((County=$AQ$13:$AQ$2950),MATCH(ROW($AQ$13:$AQ$2950),ROW($AQ$13:$AQ$2950)),""),ROWS($A$13:$A33))),""),"")</f>
        <v/>
      </c>
      <c r="AW33" s="346">
        <v>32250</v>
      </c>
      <c r="AX33" s="345" t="s">
        <v>323</v>
      </c>
      <c r="AZ33" s="345">
        <v>2.0299999999999998</v>
      </c>
      <c r="BA33" s="345" t="s">
        <v>350</v>
      </c>
      <c r="BC33" s="345">
        <v>302</v>
      </c>
      <c r="BD33" s="345" t="s">
        <v>374</v>
      </c>
      <c r="BF33" s="347">
        <v>1.23</v>
      </c>
      <c r="BG33" s="347" t="s">
        <v>352</v>
      </c>
      <c r="BH33" s="1790"/>
      <c r="BI33" s="1791">
        <v>33027</v>
      </c>
      <c r="BJ33" s="345" t="s">
        <v>310</v>
      </c>
      <c r="BL33" s="345" t="s">
        <v>374</v>
      </c>
      <c r="BM33" s="1784"/>
      <c r="BN33" s="345">
        <v>15.15</v>
      </c>
      <c r="BO33" s="345" t="s">
        <v>297</v>
      </c>
      <c r="BQ33" s="345">
        <v>1109.01</v>
      </c>
      <c r="BR33" s="345" t="s">
        <v>319</v>
      </c>
      <c r="BT33" s="347">
        <v>22.01</v>
      </c>
      <c r="BU33" s="347" t="s">
        <v>297</v>
      </c>
      <c r="BW33" s="348" t="str">
        <f t="array" ref="BW33">IFERROR(IF($BW$11="Metro",INDEX($BN$13:$BN$4972,SMALL(IF((County=$BO$13:$BO$4972),MATCH(ROW($BO$13:$BO$4972),ROW($BO$13:$BO$4972)),""),ROWS($A$13:$A33))),INDEX($BQ$13:$BQ$212,SMALL(IF((County=$BR$13:$BR$212),MATCH(ROW($BR$13:$BR$212),ROW($BR$13:$BR$212)),""),ROWS($A$13:$A33)))),"")</f>
        <v/>
      </c>
      <c r="BY33" s="348" t="str">
        <f t="array" ref="BY33">IFERROR(IF($BY$11="Yes",INDEX($BT$13:$BT$2950,SMALL(IF((County=$BU$13:$BU$2950),MATCH(ROW($BU$13:$BU$2950),ROW($BU$13:$BU$2950)),""),ROWS($A$13:$A33))),""),"")</f>
        <v/>
      </c>
      <c r="CA33" s="1792">
        <v>32250</v>
      </c>
      <c r="CB33" s="345" t="s">
        <v>323</v>
      </c>
      <c r="CD33" s="237">
        <v>1.07</v>
      </c>
      <c r="CE33" s="237" t="s">
        <v>352</v>
      </c>
      <c r="CG33" s="345">
        <v>101.01</v>
      </c>
      <c r="CH33" s="345" t="s">
        <v>321</v>
      </c>
      <c r="CJ33" s="347">
        <v>1.26</v>
      </c>
      <c r="CK33" s="347" t="s">
        <v>352</v>
      </c>
      <c r="CL33" s="1789"/>
      <c r="CM33" s="2299"/>
      <c r="CN33" s="345"/>
      <c r="CP33" s="345"/>
      <c r="CR33" s="345"/>
      <c r="CS33" s="345"/>
      <c r="CU33" s="345"/>
      <c r="CV33" s="345"/>
      <c r="CX33" s="347"/>
      <c r="CY33" s="347"/>
      <c r="DA33" s="348"/>
      <c r="DC33" s="348"/>
      <c r="DE33" s="1792"/>
      <c r="DF33" s="345"/>
      <c r="DH33" s="237"/>
      <c r="DI33" s="237"/>
      <c r="DK33" s="345"/>
      <c r="DL33" s="345"/>
      <c r="DN33" s="347"/>
      <c r="DO33" s="347"/>
      <c r="DP33" s="2505"/>
      <c r="DT33" s="596" t="s">
        <v>340</v>
      </c>
      <c r="DU33" s="596" t="s">
        <v>698</v>
      </c>
      <c r="DV33" s="591" t="s">
        <v>699</v>
      </c>
      <c r="DW33" s="591">
        <v>30.709993999999998</v>
      </c>
      <c r="DX33" s="591">
        <v>-85.190460999999999</v>
      </c>
      <c r="DY33" s="595" t="s">
        <v>686</v>
      </c>
      <c r="DZ33" s="597" t="s">
        <v>685</v>
      </c>
      <c r="EA33" s="592" t="str">
        <f t="shared" si="0"/>
        <v>Jackson - Tranquility at Hope School Phase II</v>
      </c>
      <c r="EB33" s="592" t="str">
        <f t="shared" si="1"/>
        <v>Family</v>
      </c>
      <c r="EC33" s="592" t="str">
        <f t="shared" si="2"/>
        <v>(30.709994, -85.190461)</v>
      </c>
      <c r="ED33" s="594" t="str">
        <f t="shared" si="3"/>
        <v>&gt;30</v>
      </c>
    </row>
    <row r="34" spans="1:134" ht="14.45" customHeight="1">
      <c r="A34" s="346">
        <v>33063</v>
      </c>
      <c r="B34" s="345" t="s">
        <v>310</v>
      </c>
      <c r="D34" s="345" t="s">
        <v>375</v>
      </c>
      <c r="E34" s="934"/>
      <c r="F34" s="345">
        <v>24</v>
      </c>
      <c r="G34" s="345" t="s">
        <v>306</v>
      </c>
      <c r="I34" s="345">
        <v>9507</v>
      </c>
      <c r="J34" s="345" t="s">
        <v>366</v>
      </c>
      <c r="L34" s="347">
        <v>22.02</v>
      </c>
      <c r="M34" s="347" t="s">
        <v>297</v>
      </c>
      <c r="O34" s="348" t="str">
        <f t="array" ref="O34">IFERROR(IF($O$11="Metro",INDEX($F$13:$F$738,SMALL(IF((County=$G$13:$G$738),MATCH(ROW($G$13:$G$738),ROW($G$13:$G$738)),""),ROWS($A$13:A34))),INDEX($I$13:$I$42,SMALL(IF((County=$J$13:$J$42),MATCH(ROW($J$13:$J$42),ROW($J$13:$J$42)),""),ROWS($A$13:A34)))),"")</f>
        <v/>
      </c>
      <c r="Q34" s="348" t="str">
        <f t="array" ref="Q34">IFERROR(IF($Q$11="Yes",INDEX($L$13:$L$2313,SMALL(IF((County=$M$13:$M$2313),MATCH(ROW($M$13:$M$2313),ROW($M$13:$M$2313)),""),ROWS($A$13:A34))),""),"")</f>
        <v/>
      </c>
      <c r="S34" s="346">
        <v>32266</v>
      </c>
      <c r="T34" s="345" t="s">
        <v>323</v>
      </c>
      <c r="V34" s="345">
        <v>2.19</v>
      </c>
      <c r="W34" s="345" t="s">
        <v>352</v>
      </c>
      <c r="Y34" s="345">
        <v>9604</v>
      </c>
      <c r="Z34" s="345" t="s">
        <v>338</v>
      </c>
      <c r="AB34" s="347">
        <v>1.27</v>
      </c>
      <c r="AC34" s="347" t="s">
        <v>352</v>
      </c>
      <c r="AD34" s="1138"/>
      <c r="AE34" s="346">
        <v>33067</v>
      </c>
      <c r="AF34" s="345" t="s">
        <v>310</v>
      </c>
      <c r="AH34" s="345" t="s">
        <v>375</v>
      </c>
      <c r="AI34" s="934"/>
      <c r="AJ34" s="345">
        <v>20</v>
      </c>
      <c r="AK34" s="345" t="s">
        <v>306</v>
      </c>
      <c r="AM34" s="345">
        <v>302</v>
      </c>
      <c r="AN34" s="345" t="s">
        <v>348</v>
      </c>
      <c r="AP34" s="347">
        <v>22.02</v>
      </c>
      <c r="AQ34" s="347" t="s">
        <v>297</v>
      </c>
      <c r="AS34" s="348" t="str">
        <f t="array" ref="AS34">IFERROR(IF($AS$11="Metro",INDEX($AJ$13:$AJ$814,SMALL(IF((County=$AK$13:$AK$814),MATCH(ROW($AK$13:$AK$814),ROW($AK$13:$AK$814)),""),ROWS($A$13:$A34))),INDEX($AM$13:$AM$48,SMALL(IF((County=$AN$13:$AN$48),MATCH(ROW($AN$13:$AN$48),ROW($AN$13:$AN$48)),""),ROWS($A$13:$A34)))),"")</f>
        <v/>
      </c>
      <c r="AU34" s="348" t="str">
        <f t="array" ref="AU34">IFERROR(IF($AU$11="Yes",INDEX($AP$13:$AP$2950,SMALL(IF((County=$AQ$13:$AQ$2950),MATCH(ROW($AQ$13:$AQ$2950),ROW($AQ$13:$AQ$2950)),""),ROWS($A$13:$A34))),""),"")</f>
        <v/>
      </c>
      <c r="AW34" s="346">
        <v>32256</v>
      </c>
      <c r="AX34" s="345" t="s">
        <v>323</v>
      </c>
      <c r="AZ34" s="345">
        <v>2.0299999999999998</v>
      </c>
      <c r="BA34" s="345" t="s">
        <v>362</v>
      </c>
      <c r="BC34" s="345">
        <v>302</v>
      </c>
      <c r="BD34" s="345" t="s">
        <v>379</v>
      </c>
      <c r="BF34" s="347">
        <v>1.25</v>
      </c>
      <c r="BG34" s="347" t="s">
        <v>352</v>
      </c>
      <c r="BH34" s="1790"/>
      <c r="BI34" s="1791">
        <v>33028</v>
      </c>
      <c r="BJ34" s="345" t="s">
        <v>310</v>
      </c>
      <c r="BL34" s="345" t="s">
        <v>375</v>
      </c>
      <c r="BM34" s="1784"/>
      <c r="BN34" s="345">
        <v>15.16</v>
      </c>
      <c r="BO34" s="345" t="s">
        <v>297</v>
      </c>
      <c r="BQ34" s="345">
        <v>1109.03</v>
      </c>
      <c r="BR34" s="345" t="s">
        <v>319</v>
      </c>
      <c r="BT34" s="347">
        <v>22.02</v>
      </c>
      <c r="BU34" s="347" t="s">
        <v>297</v>
      </c>
      <c r="BW34" s="348" t="str">
        <f t="array" ref="BW34">IFERROR(IF($BW$11="Metro",INDEX($BN$13:$BN$4972,SMALL(IF((County=$BO$13:$BO$4972),MATCH(ROW($BO$13:$BO$4972),ROW($BO$13:$BO$4972)),""),ROWS($A$13:$A34))),INDEX($BQ$13:$BQ$212,SMALL(IF((County=$BR$13:$BR$212),MATCH(ROW($BR$13:$BR$212),ROW($BR$13:$BR$212)),""),ROWS($A$13:$A34)))),"")</f>
        <v/>
      </c>
      <c r="BY34" s="348" t="str">
        <f t="array" ref="BY34">IFERROR(IF($BY$11="Yes",INDEX($BT$13:$BT$2950,SMALL(IF((County=$BU$13:$BU$2950),MATCH(ROW($BU$13:$BU$2950),ROW($BU$13:$BU$2950)),""),ROWS($A$13:$A34))),""),"")</f>
        <v/>
      </c>
      <c r="CA34" s="1792">
        <v>32258</v>
      </c>
      <c r="CB34" s="345" t="s">
        <v>323</v>
      </c>
      <c r="CD34" s="237">
        <v>1.0900000000000001</v>
      </c>
      <c r="CE34" s="237" t="s">
        <v>352</v>
      </c>
      <c r="CG34" s="345">
        <v>101.02</v>
      </c>
      <c r="CH34" s="345" t="s">
        <v>321</v>
      </c>
      <c r="CJ34" s="347">
        <v>1.27</v>
      </c>
      <c r="CK34" s="347" t="s">
        <v>352</v>
      </c>
      <c r="CL34" s="1789"/>
      <c r="CM34" s="2299"/>
      <c r="CN34" s="345"/>
      <c r="CP34" s="345"/>
      <c r="CR34" s="345"/>
      <c r="CS34" s="345"/>
      <c r="CU34" s="345"/>
      <c r="CV34" s="345"/>
      <c r="CX34" s="347"/>
      <c r="CY34" s="347"/>
      <c r="DA34" s="348"/>
      <c r="DC34" s="348"/>
      <c r="DE34" s="1792"/>
      <c r="DF34" s="345"/>
      <c r="DH34" s="237"/>
      <c r="DI34" s="237"/>
      <c r="DK34" s="345"/>
      <c r="DL34" s="345"/>
      <c r="DN34" s="347"/>
      <c r="DO34" s="347"/>
      <c r="DP34" s="2505"/>
      <c r="DT34" s="591" t="s">
        <v>343</v>
      </c>
      <c r="DU34" s="591" t="s">
        <v>2616</v>
      </c>
      <c r="DV34" s="591" t="s">
        <v>2617</v>
      </c>
      <c r="DW34" s="592">
        <v>28.844743999999999</v>
      </c>
      <c r="DX34" s="592">
        <v>-81.906739999999999</v>
      </c>
      <c r="DY34" s="593" t="s">
        <v>686</v>
      </c>
      <c r="DZ34" s="594" t="s">
        <v>685</v>
      </c>
      <c r="EA34" s="592" t="str">
        <f t="shared" si="0"/>
        <v>Lake - Urick Street Apartments</v>
      </c>
      <c r="EB34" s="592" t="str">
        <f t="shared" si="1"/>
        <v>Family</v>
      </c>
      <c r="EC34" s="592" t="str">
        <f t="shared" si="2"/>
        <v>(28.844744, -81.90674)</v>
      </c>
      <c r="ED34" s="594" t="str">
        <f t="shared" si="3"/>
        <v>&gt;30</v>
      </c>
    </row>
    <row r="35" spans="1:134" ht="14.45" customHeight="1">
      <c r="A35" s="346">
        <v>33067</v>
      </c>
      <c r="B35" s="345" t="s">
        <v>310</v>
      </c>
      <c r="D35" s="345" t="s">
        <v>379</v>
      </c>
      <c r="E35" s="934"/>
      <c r="F35" s="345">
        <v>604</v>
      </c>
      <c r="G35" s="345" t="s">
        <v>309</v>
      </c>
      <c r="I35" s="345">
        <v>9508</v>
      </c>
      <c r="J35" s="345" t="s">
        <v>366</v>
      </c>
      <c r="L35" s="347">
        <v>22.04</v>
      </c>
      <c r="M35" s="347" t="s">
        <v>297</v>
      </c>
      <c r="O35" s="348" t="str">
        <f t="array" ref="O35">IFERROR(IF($O$11="Metro",INDEX($F$13:$F$738,SMALL(IF((County=$G$13:$G$738),MATCH(ROW($G$13:$G$738),ROW($G$13:$G$738)),""),ROWS($A$13:A35))),INDEX($I$13:$I$42,SMALL(IF((County=$J$13:$J$42),MATCH(ROW($J$13:$J$42),ROW($J$13:$J$42)),""),ROWS($A$13:A35)))),"")</f>
        <v/>
      </c>
      <c r="Q35" s="348" t="str">
        <f t="array" ref="Q35">IFERROR(IF($Q$11="Yes",INDEX($L$13:$L$2313,SMALL(IF((County=$M$13:$M$2313),MATCH(ROW($M$13:$M$2313),ROW($M$13:$M$2313)),""),ROWS($A$13:A35))),""),"")</f>
        <v/>
      </c>
      <c r="S35" s="346">
        <v>32317</v>
      </c>
      <c r="T35" s="345" t="s">
        <v>345</v>
      </c>
      <c r="V35" s="345">
        <v>2.2000000000000002</v>
      </c>
      <c r="W35" s="345" t="s">
        <v>352</v>
      </c>
      <c r="Y35" s="345">
        <v>9701.02</v>
      </c>
      <c r="Z35" s="345" t="s">
        <v>333</v>
      </c>
      <c r="AB35" s="347">
        <v>1.28</v>
      </c>
      <c r="AC35" s="347" t="s">
        <v>352</v>
      </c>
      <c r="AD35" s="1138"/>
      <c r="AE35" s="346">
        <v>33068</v>
      </c>
      <c r="AF35" s="345" t="s">
        <v>310</v>
      </c>
      <c r="AH35" s="345" t="s">
        <v>379</v>
      </c>
      <c r="AI35" s="934"/>
      <c r="AJ35" s="345">
        <v>22</v>
      </c>
      <c r="AK35" s="345" t="s">
        <v>306</v>
      </c>
      <c r="AM35" s="345">
        <v>402</v>
      </c>
      <c r="AN35" s="345" t="s">
        <v>358</v>
      </c>
      <c r="AP35" s="347">
        <v>22.04</v>
      </c>
      <c r="AQ35" s="347" t="s">
        <v>297</v>
      </c>
      <c r="AS35" s="348" t="str">
        <f t="array" ref="AS35">IFERROR(IF($AS$11="Metro",INDEX($AJ$13:$AJ$814,SMALL(IF((County=$AK$13:$AK$814),MATCH(ROW($AK$13:$AK$814),ROW($AK$13:$AK$814)),""),ROWS($A$13:$A35))),INDEX($AM$13:$AM$48,SMALL(IF((County=$AN$13:$AN$48),MATCH(ROW($AN$13:$AN$48),ROW($AN$13:$AN$48)),""),ROWS($A$13:$A35)))),"")</f>
        <v/>
      </c>
      <c r="AU35" s="348" t="str">
        <f t="array" ref="AU35">IFERROR(IF($AU$11="Yes",INDEX($AP$13:$AP$2950,SMALL(IF((County=$AQ$13:$AQ$2950),MATCH(ROW($AQ$13:$AQ$2950),ROW($AQ$13:$AQ$2950)),""),ROWS($A$13:$A35))),""),"")</f>
        <v/>
      </c>
      <c r="AW35" s="346">
        <v>32258</v>
      </c>
      <c r="AX35" s="345" t="s">
        <v>323</v>
      </c>
      <c r="AZ35" s="345">
        <v>2.04</v>
      </c>
      <c r="BA35" s="345" t="s">
        <v>349</v>
      </c>
      <c r="BC35" s="345">
        <v>400</v>
      </c>
      <c r="BD35" s="345" t="s">
        <v>319</v>
      </c>
      <c r="BF35" s="347">
        <v>1.26</v>
      </c>
      <c r="BG35" s="347" t="s">
        <v>352</v>
      </c>
      <c r="BH35" s="1790"/>
      <c r="BI35" s="1791">
        <v>33029</v>
      </c>
      <c r="BJ35" s="345" t="s">
        <v>310</v>
      </c>
      <c r="BL35" s="345" t="s">
        <v>379</v>
      </c>
      <c r="BM35" s="1784"/>
      <c r="BN35" s="345">
        <v>15.17</v>
      </c>
      <c r="BO35" s="345" t="s">
        <v>297</v>
      </c>
      <c r="BQ35" s="345">
        <v>1109.04</v>
      </c>
      <c r="BR35" s="345" t="s">
        <v>319</v>
      </c>
      <c r="BT35" s="347">
        <v>22.04</v>
      </c>
      <c r="BU35" s="347" t="s">
        <v>297</v>
      </c>
      <c r="BW35" s="348" t="str">
        <f t="array" ref="BW35">IFERROR(IF($BW$11="Metro",INDEX($BN$13:$BN$4972,SMALL(IF((County=$BO$13:$BO$4972),MATCH(ROW($BO$13:$BO$4972),ROW($BO$13:$BO$4972)),""),ROWS($A$13:$A35))),INDEX($BQ$13:$BQ$212,SMALL(IF((County=$BR$13:$BR$212),MATCH(ROW($BR$13:$BR$212),ROW($BR$13:$BR$212)),""),ROWS($A$13:$A35)))),"")</f>
        <v/>
      </c>
      <c r="BY35" s="348" t="str">
        <f t="array" ref="BY35">IFERROR(IF($BY$11="Yes",INDEX($BT$13:$BT$2950,SMALL(IF((County=$BU$13:$BU$2950),MATCH(ROW($BU$13:$BU$2950),ROW($BU$13:$BU$2950)),""),ROWS($A$13:$A35))),""),"")</f>
        <v/>
      </c>
      <c r="CA35" s="1792">
        <v>32259</v>
      </c>
      <c r="CB35" s="237" t="s">
        <v>370</v>
      </c>
      <c r="CD35" s="237">
        <v>1.1499999999999999</v>
      </c>
      <c r="CE35" s="237" t="s">
        <v>352</v>
      </c>
      <c r="CG35" s="345">
        <v>102</v>
      </c>
      <c r="CH35" s="345" t="s">
        <v>313</v>
      </c>
      <c r="CJ35" s="347">
        <v>1.28</v>
      </c>
      <c r="CK35" s="347" t="s">
        <v>352</v>
      </c>
      <c r="CL35" s="1789"/>
      <c r="CM35" s="2299"/>
      <c r="CN35" s="345"/>
      <c r="CP35" s="345"/>
      <c r="CR35" s="345"/>
      <c r="CS35" s="345"/>
      <c r="CU35" s="345"/>
      <c r="CV35" s="345"/>
      <c r="CX35" s="347"/>
      <c r="CY35" s="347"/>
      <c r="DA35" s="348"/>
      <c r="DC35" s="348"/>
      <c r="DE35" s="1792"/>
      <c r="DF35" s="345"/>
      <c r="DH35" s="237"/>
      <c r="DI35" s="237"/>
      <c r="DK35" s="345"/>
      <c r="DL35" s="345"/>
      <c r="DN35" s="347"/>
      <c r="DO35" s="347"/>
      <c r="DP35" s="2505"/>
      <c r="DT35" s="591" t="s">
        <v>344</v>
      </c>
      <c r="DU35" s="591" t="s">
        <v>2618</v>
      </c>
      <c r="DV35" s="591" t="s">
        <v>2619</v>
      </c>
      <c r="DW35" s="592">
        <v>26.610181000000001</v>
      </c>
      <c r="DX35" s="592">
        <v>-81.871010999999996</v>
      </c>
      <c r="DY35" s="595" t="s">
        <v>686</v>
      </c>
      <c r="DZ35" s="595" t="s">
        <v>685</v>
      </c>
      <c r="EA35" s="592" t="str">
        <f t="shared" si="0"/>
        <v>Lee - 3611/3621 Cleveland Avenue</v>
      </c>
      <c r="EB35" s="592" t="str">
        <f t="shared" si="1"/>
        <v>Family</v>
      </c>
      <c r="EC35" s="592" t="str">
        <f t="shared" si="2"/>
        <v>(26.610181, -81.871011)</v>
      </c>
      <c r="ED35" s="594" t="str">
        <f t="shared" si="3"/>
        <v>&gt;30</v>
      </c>
    </row>
    <row r="36" spans="1:134" ht="14.45" customHeight="1">
      <c r="A36" s="346">
        <v>33071</v>
      </c>
      <c r="B36" s="345" t="s">
        <v>310</v>
      </c>
      <c r="D36" s="1788" t="s">
        <v>2357</v>
      </c>
      <c r="E36" s="934"/>
      <c r="F36" s="345">
        <v>607</v>
      </c>
      <c r="G36" s="345" t="s">
        <v>309</v>
      </c>
      <c r="I36" s="345">
        <v>9509</v>
      </c>
      <c r="J36" s="345" t="s">
        <v>366</v>
      </c>
      <c r="L36" s="347">
        <v>22.05</v>
      </c>
      <c r="M36" s="347" t="s">
        <v>297</v>
      </c>
      <c r="O36" s="348" t="str">
        <f t="array" ref="O36">IFERROR(IF($O$11="Metro",INDEX($F$13:$F$738,SMALL(IF((County=$G$13:$G$738),MATCH(ROW($G$13:$G$738),ROW($G$13:$G$738)),""),ROWS($A$13:A36))),INDEX($I$13:$I$42,SMALL(IF((County=$J$13:$J$42),MATCH(ROW($J$13:$J$42),ROW($J$13:$J$42)),""),ROWS($A$13:A36)))),"")</f>
        <v/>
      </c>
      <c r="Q36" s="348" t="str">
        <f t="array" ref="Q36">IFERROR(IF($Q$11="Yes",INDEX($L$13:$L$2313,SMALL(IF((County=$M$13:$M$2313),MATCH(ROW($M$13:$M$2313),ROW($M$13:$M$2313)),""),ROWS($A$13:A36))),""),"")</f>
        <v/>
      </c>
      <c r="S36" s="346">
        <v>32403</v>
      </c>
      <c r="T36" s="345" t="s">
        <v>306</v>
      </c>
      <c r="V36" s="345">
        <v>3</v>
      </c>
      <c r="W36" s="345" t="s">
        <v>323</v>
      </c>
      <c r="Y36" s="345">
        <v>9701.0300000000007</v>
      </c>
      <c r="Z36" s="345" t="s">
        <v>379</v>
      </c>
      <c r="AB36" s="347">
        <v>1.29</v>
      </c>
      <c r="AC36" s="347" t="s">
        <v>352</v>
      </c>
      <c r="AD36" s="1138"/>
      <c r="AE36" s="346">
        <v>33071</v>
      </c>
      <c r="AF36" s="345" t="s">
        <v>310</v>
      </c>
      <c r="AH36" s="1788" t="s">
        <v>2357</v>
      </c>
      <c r="AI36" s="934"/>
      <c r="AJ36" s="345">
        <v>24</v>
      </c>
      <c r="AK36" s="345" t="s">
        <v>306</v>
      </c>
      <c r="AM36" s="345">
        <v>201</v>
      </c>
      <c r="AN36" s="345" t="s">
        <v>366</v>
      </c>
      <c r="AP36" s="347">
        <v>22.07</v>
      </c>
      <c r="AQ36" s="347" t="s">
        <v>297</v>
      </c>
      <c r="AS36" s="348" t="str">
        <f t="array" ref="AS36">IFERROR(IF($AS$11="Metro",INDEX($AJ$13:$AJ$814,SMALL(IF((County=$AK$13:$AK$814),MATCH(ROW($AK$13:$AK$814),ROW($AK$13:$AK$814)),""),ROWS($A$13:$A36))),INDEX($AM$13:$AM$48,SMALL(IF((County=$AN$13:$AN$48),MATCH(ROW($AN$13:$AN$48),ROW($AN$13:$AN$48)),""),ROWS($A$13:$A36)))),"")</f>
        <v/>
      </c>
      <c r="AU36" s="348" t="str">
        <f t="array" ref="AU36">IFERROR(IF($AU$11="Yes",INDEX($AP$13:$AP$2950,SMALL(IF((County=$AQ$13:$AQ$2950),MATCH(ROW($AQ$13:$AQ$2950),ROW($AQ$13:$AQ$2950)),""),ROWS($A$13:$A36))),""),"")</f>
        <v/>
      </c>
      <c r="AW36" s="346">
        <v>32259</v>
      </c>
      <c r="AX36" s="345" t="s">
        <v>370</v>
      </c>
      <c r="AZ36" s="345">
        <v>2.06</v>
      </c>
      <c r="BA36" s="345" t="s">
        <v>352</v>
      </c>
      <c r="BC36" s="345">
        <v>401</v>
      </c>
      <c r="BD36" s="345" t="s">
        <v>333</v>
      </c>
      <c r="BF36" s="347">
        <v>1.28</v>
      </c>
      <c r="BG36" s="347" t="s">
        <v>352</v>
      </c>
      <c r="BH36" s="1790"/>
      <c r="BI36" s="1791">
        <v>33062</v>
      </c>
      <c r="BJ36" s="345" t="s">
        <v>310</v>
      </c>
      <c r="BL36" s="1788" t="s">
        <v>2357</v>
      </c>
      <c r="BM36" s="1784"/>
      <c r="BN36" s="345">
        <v>15.19</v>
      </c>
      <c r="BO36" s="345" t="s">
        <v>297</v>
      </c>
      <c r="BQ36" s="345">
        <v>101.01</v>
      </c>
      <c r="BR36" s="345" t="s">
        <v>321</v>
      </c>
      <c r="BT36" s="347">
        <v>22.07</v>
      </c>
      <c r="BU36" s="347" t="s">
        <v>297</v>
      </c>
      <c r="BW36" s="348" t="str">
        <f t="array" ref="BW36">IFERROR(IF($BW$11="Metro",INDEX($BN$13:$BN$4972,SMALL(IF((County=$BO$13:$BO$4972),MATCH(ROW($BO$13:$BO$4972),ROW($BO$13:$BO$4972)),""),ROWS($A$13:$A36))),INDEX($BQ$13:$BQ$212,SMALL(IF((County=$BR$13:$BR$212),MATCH(ROW($BR$13:$BR$212),ROW($BR$13:$BR$212)),""),ROWS($A$13:$A36)))),"")</f>
        <v/>
      </c>
      <c r="BY36" s="348" t="str">
        <f t="array" ref="BY36">IFERROR(IF($BY$11="Yes",INDEX($BT$13:$BT$2950,SMALL(IF((County=$BU$13:$BU$2950),MATCH(ROW($BU$13:$BU$2950),ROW($BU$13:$BU$2950)),""),ROWS($A$13:$A36))),""),"")</f>
        <v/>
      </c>
      <c r="CA36" s="1792">
        <v>32346</v>
      </c>
      <c r="CB36" s="237" t="s">
        <v>377</v>
      </c>
      <c r="CD36" s="237">
        <v>1.18</v>
      </c>
      <c r="CE36" s="237" t="s">
        <v>352</v>
      </c>
      <c r="CG36" s="345">
        <v>102</v>
      </c>
      <c r="CH36" s="345" t="s">
        <v>321</v>
      </c>
      <c r="CJ36" s="347">
        <v>1.29</v>
      </c>
      <c r="CK36" s="347" t="s">
        <v>352</v>
      </c>
      <c r="CL36" s="1789"/>
      <c r="CM36" s="2299"/>
      <c r="CN36" s="345"/>
      <c r="CP36" s="1788" t="s">
        <v>2357</v>
      </c>
      <c r="CR36" s="345"/>
      <c r="CS36" s="345"/>
      <c r="CU36" s="345"/>
      <c r="CV36" s="345"/>
      <c r="CX36" s="347"/>
      <c r="CY36" s="347"/>
      <c r="DA36" s="348"/>
      <c r="DC36" s="348"/>
      <c r="DE36" s="1792"/>
      <c r="DF36" s="345"/>
      <c r="DH36" s="237"/>
      <c r="DI36" s="237"/>
      <c r="DK36" s="345"/>
      <c r="DL36" s="345"/>
      <c r="DN36" s="347"/>
      <c r="DO36" s="347"/>
      <c r="DP36" s="2505"/>
      <c r="DT36" s="596" t="s">
        <v>344</v>
      </c>
      <c r="DU36" s="596" t="s">
        <v>2120</v>
      </c>
      <c r="DV36" s="591" t="s">
        <v>2121</v>
      </c>
      <c r="DW36" s="591">
        <v>26.700043999999998</v>
      </c>
      <c r="DX36" s="591">
        <v>-81.901083</v>
      </c>
      <c r="DY36" s="595" t="s">
        <v>684</v>
      </c>
      <c r="DZ36" s="597" t="s">
        <v>685</v>
      </c>
      <c r="EA36" s="592" t="str">
        <f t="shared" si="0"/>
        <v>Lee - Hermosa North Fort Myers</v>
      </c>
      <c r="EB36" s="592" t="str">
        <f t="shared" si="1"/>
        <v>Elderly, Non-ALF</v>
      </c>
      <c r="EC36" s="592" t="str">
        <f t="shared" si="2"/>
        <v>(26.700044, -81.901083)</v>
      </c>
      <c r="ED36" s="594" t="str">
        <f t="shared" si="3"/>
        <v>&gt;30</v>
      </c>
    </row>
    <row r="37" spans="1:134" ht="14.45" customHeight="1">
      <c r="A37" s="346">
        <v>33073</v>
      </c>
      <c r="B37" s="345" t="s">
        <v>310</v>
      </c>
      <c r="E37" s="934"/>
      <c r="F37" s="345">
        <v>610.02</v>
      </c>
      <c r="G37" s="345" t="s">
        <v>309</v>
      </c>
      <c r="I37" s="345">
        <v>9512</v>
      </c>
      <c r="J37" s="345" t="s">
        <v>366</v>
      </c>
      <c r="L37" s="347">
        <v>22.07</v>
      </c>
      <c r="M37" s="347" t="s">
        <v>297</v>
      </c>
      <c r="O37" s="348" t="str">
        <f t="array" ref="O37">IFERROR(IF($O$11="Metro",INDEX($F$13:$F$738,SMALL(IF((County=$G$13:$G$738),MATCH(ROW($G$13:$G$738),ROW($G$13:$G$738)),""),ROWS($A$13:A37))),INDEX($I$13:$I$42,SMALL(IF((County=$J$13:$J$42),MATCH(ROW($J$13:$J$42),ROW($J$13:$J$42)),""),ROWS($A$13:A37)))),"")</f>
        <v/>
      </c>
      <c r="Q37" s="348" t="str">
        <f t="array" ref="Q37">IFERROR(IF($Q$11="Yes",INDEX($L$13:$L$2313,SMALL(IF((County=$M$13:$M$2313),MATCH(ROW($M$13:$M$2313),ROW($M$13:$M$2313)),""),ROWS($A$13:A37))),""),"")</f>
        <v/>
      </c>
      <c r="S37" s="346">
        <v>32407</v>
      </c>
      <c r="T37" s="345" t="s">
        <v>306</v>
      </c>
      <c r="V37" s="345">
        <v>3</v>
      </c>
      <c r="W37" s="345" t="s">
        <v>325</v>
      </c>
      <c r="Y37" s="345">
        <v>9702</v>
      </c>
      <c r="Z37" s="345" t="s">
        <v>346</v>
      </c>
      <c r="AB37" s="347">
        <v>1.3</v>
      </c>
      <c r="AC37" s="347" t="s">
        <v>352</v>
      </c>
      <c r="AD37" s="1138"/>
      <c r="AE37" s="346">
        <v>33073</v>
      </c>
      <c r="AF37" s="345" t="s">
        <v>310</v>
      </c>
      <c r="AI37" s="934"/>
      <c r="AJ37" s="345">
        <v>607</v>
      </c>
      <c r="AK37" s="345" t="s">
        <v>309</v>
      </c>
      <c r="AM37" s="345">
        <v>202</v>
      </c>
      <c r="AN37" s="345" t="s">
        <v>366</v>
      </c>
      <c r="AP37" s="347">
        <v>22.08</v>
      </c>
      <c r="AQ37" s="347" t="s">
        <v>297</v>
      </c>
      <c r="AS37" s="348" t="str">
        <f t="array" ref="AS37">IFERROR(IF($AS$11="Metro",INDEX($AJ$13:$AJ$814,SMALL(IF((County=$AK$13:$AK$814),MATCH(ROW($AK$13:$AK$814),ROW($AK$13:$AK$814)),""),ROWS($A$13:$A37))),INDEX($AM$13:$AM$48,SMALL(IF((County=$AN$13:$AN$48),MATCH(ROW($AN$13:$AN$48),ROW($AN$13:$AN$48)),""),ROWS($A$13:$A37)))),"")</f>
        <v/>
      </c>
      <c r="AU37" s="348" t="str">
        <f t="array" ref="AU37">IFERROR(IF($AU$11="Yes",INDEX($AP$13:$AP$2950,SMALL(IF((County=$AQ$13:$AQ$2950),MATCH(ROW($AQ$13:$AQ$2950),ROW($AQ$13:$AQ$2950)),""),ROWS($A$13:$A37))),""),"")</f>
        <v/>
      </c>
      <c r="AW37" s="346">
        <v>32266</v>
      </c>
      <c r="AX37" s="345" t="s">
        <v>323</v>
      </c>
      <c r="AZ37" s="345">
        <v>2.12</v>
      </c>
      <c r="BA37" s="345" t="s">
        <v>352</v>
      </c>
      <c r="BC37" s="345">
        <v>401</v>
      </c>
      <c r="BD37" s="345" t="s">
        <v>338</v>
      </c>
      <c r="BF37" s="347">
        <v>1.29</v>
      </c>
      <c r="BG37" s="347" t="s">
        <v>352</v>
      </c>
      <c r="BH37" s="1790"/>
      <c r="BI37" s="1791">
        <v>33063</v>
      </c>
      <c r="BJ37" s="345" t="s">
        <v>310</v>
      </c>
      <c r="BM37" s="1784"/>
      <c r="BN37" s="345">
        <v>15.22</v>
      </c>
      <c r="BO37" s="345" t="s">
        <v>297</v>
      </c>
      <c r="BQ37" s="345">
        <v>101.02</v>
      </c>
      <c r="BR37" s="345" t="s">
        <v>321</v>
      </c>
      <c r="BT37" s="347">
        <v>22.08</v>
      </c>
      <c r="BU37" s="347" t="s">
        <v>297</v>
      </c>
      <c r="BW37" s="348" t="str">
        <f t="array" ref="BW37">IFERROR(IF($BW$11="Metro",INDEX($BN$13:$BN$4972,SMALL(IF((County=$BO$13:$BO$4972),MATCH(ROW($BO$13:$BO$4972),ROW($BO$13:$BO$4972)),""),ROWS($A$13:$A37))),INDEX($BQ$13:$BQ$212,SMALL(IF((County=$BR$13:$BR$212),MATCH(ROW($BR$13:$BR$212),ROW($BR$13:$BR$212)),""),ROWS($A$13:$A37)))),"")</f>
        <v/>
      </c>
      <c r="BY37" s="348" t="str">
        <f t="array" ref="BY37">IFERROR(IF($BY$11="Yes",INDEX($BT$13:$BT$2950,SMALL(IF((County=$BU$13:$BU$2950),MATCH(ROW($BU$13:$BU$2950),ROW($BU$13:$BU$2950)),""),ROWS($A$13:$A37))),""),"")</f>
        <v/>
      </c>
      <c r="CA37" s="2298">
        <v>32403</v>
      </c>
      <c r="CB37" s="345" t="s">
        <v>306</v>
      </c>
      <c r="CD37" s="237">
        <v>1.2</v>
      </c>
      <c r="CE37" s="237" t="s">
        <v>352</v>
      </c>
      <c r="CG37" s="345">
        <v>103.01</v>
      </c>
      <c r="CH37" s="345" t="s">
        <v>313</v>
      </c>
      <c r="CJ37" s="347">
        <v>1.3</v>
      </c>
      <c r="CK37" s="347" t="s">
        <v>352</v>
      </c>
      <c r="CL37" s="1789"/>
      <c r="CM37" s="2299"/>
      <c r="CN37" s="345"/>
      <c r="CR37" s="345"/>
      <c r="CS37" s="345"/>
      <c r="CU37" s="345"/>
      <c r="CV37" s="345"/>
      <c r="CX37" s="347"/>
      <c r="CY37" s="347"/>
      <c r="DA37" s="348"/>
      <c r="DC37" s="348"/>
      <c r="DE37" s="1792"/>
      <c r="DF37" s="345"/>
      <c r="DH37" s="237"/>
      <c r="DI37" s="237"/>
      <c r="DK37" s="345"/>
      <c r="DL37" s="345"/>
      <c r="DN37" s="347"/>
      <c r="DO37" s="347"/>
      <c r="DP37" s="2505"/>
      <c r="DT37" s="591" t="s">
        <v>344</v>
      </c>
      <c r="DU37" s="591" t="s">
        <v>2620</v>
      </c>
      <c r="DV37" s="591" t="s">
        <v>2621</v>
      </c>
      <c r="DW37" s="592">
        <v>26.700966999999999</v>
      </c>
      <c r="DX37" s="592">
        <v>-81.901183000000003</v>
      </c>
      <c r="DY37" s="593" t="s">
        <v>684</v>
      </c>
      <c r="DZ37" s="594" t="s">
        <v>685</v>
      </c>
      <c r="EA37" s="592" t="str">
        <f t="shared" si="0"/>
        <v>Lee - Hermosa North Fort Myers II</v>
      </c>
      <c r="EB37" s="592" t="str">
        <f t="shared" si="1"/>
        <v>Elderly, Non-ALF</v>
      </c>
      <c r="EC37" s="592" t="str">
        <f t="shared" si="2"/>
        <v>(26.700967, -81.901183)</v>
      </c>
      <c r="ED37" s="594" t="str">
        <f t="shared" si="3"/>
        <v>&gt;30</v>
      </c>
    </row>
    <row r="38" spans="1:134" ht="14.45" customHeight="1">
      <c r="A38" s="346">
        <v>33076</v>
      </c>
      <c r="B38" s="345" t="s">
        <v>310</v>
      </c>
      <c r="E38" s="934"/>
      <c r="F38" s="345">
        <v>623.01</v>
      </c>
      <c r="G38" s="345" t="s">
        <v>309</v>
      </c>
      <c r="I38" s="345">
        <v>9514.01</v>
      </c>
      <c r="J38" s="345" t="s">
        <v>366</v>
      </c>
      <c r="L38" s="347">
        <v>22.08</v>
      </c>
      <c r="M38" s="347" t="s">
        <v>297</v>
      </c>
      <c r="O38" s="348" t="str">
        <f t="array" ref="O38">IFERROR(IF($O$11="Metro",INDEX($F$13:$F$738,SMALL(IF((County=$G$13:$G$738),MATCH(ROW($G$13:$G$738),ROW($G$13:$G$738)),""),ROWS($A$13:A38))),INDEX($I$13:$I$42,SMALL(IF((County=$J$13:$J$42),MATCH(ROW($J$13:$J$42),ROW($J$13:$J$42)),""),ROWS($A$13:A38)))),"")</f>
        <v/>
      </c>
      <c r="Q38" s="348" t="str">
        <f t="array" ref="Q38">IFERROR(IF($Q$11="Yes",INDEX($L$13:$L$2313,SMALL(IF((County=$M$13:$M$2313),MATCH(ROW($M$13:$M$2313),ROW($M$13:$M$2313)),""),ROWS($A$13:A38))),""),"")</f>
        <v/>
      </c>
      <c r="S38" s="346">
        <v>32410</v>
      </c>
      <c r="T38" s="345" t="s">
        <v>306</v>
      </c>
      <c r="V38" s="345">
        <v>3</v>
      </c>
      <c r="W38" s="345" t="s">
        <v>337</v>
      </c>
      <c r="Y38" s="345">
        <v>9702</v>
      </c>
      <c r="Z38" s="345" t="s">
        <v>379</v>
      </c>
      <c r="AB38" s="347">
        <v>1.31</v>
      </c>
      <c r="AC38" s="347" t="s">
        <v>352</v>
      </c>
      <c r="AD38" s="1138"/>
      <c r="AE38" s="346">
        <v>33076</v>
      </c>
      <c r="AF38" s="345" t="s">
        <v>310</v>
      </c>
      <c r="AI38" s="934"/>
      <c r="AJ38" s="345">
        <v>623.02</v>
      </c>
      <c r="AK38" s="345" t="s">
        <v>309</v>
      </c>
      <c r="AM38" s="345">
        <v>700</v>
      </c>
      <c r="AN38" s="345" t="s">
        <v>366</v>
      </c>
      <c r="AP38" s="347">
        <v>22.09</v>
      </c>
      <c r="AQ38" s="347" t="s">
        <v>297</v>
      </c>
      <c r="AS38" s="348" t="str">
        <f t="array" ref="AS38">IFERROR(IF($AS$11="Metro",INDEX($AJ$13:$AJ$814,SMALL(IF((County=$AK$13:$AK$814),MATCH(ROW($AK$13:$AK$814),ROW($AK$13:$AK$814)),""),ROWS($A$13:$A38))),INDEX($AM$13:$AM$48,SMALL(IF((County=$AN$13:$AN$48),MATCH(ROW($AN$13:$AN$48),ROW($AN$13:$AN$48)),""),ROWS($A$13:$A38)))),"")</f>
        <v/>
      </c>
      <c r="AU38" s="348" t="str">
        <f t="array" ref="AU38">IFERROR(IF($AU$11="Yes",INDEX($AP$13:$AP$2950,SMALL(IF((County=$AQ$13:$AQ$2950),MATCH(ROW($AQ$13:$AQ$2950),ROW($AQ$13:$AQ$2950)),""),ROWS($A$13:$A38))),""),"")</f>
        <v/>
      </c>
      <c r="AW38" s="346">
        <v>32312</v>
      </c>
      <c r="AX38" s="345" t="s">
        <v>345</v>
      </c>
      <c r="AZ38" s="345">
        <v>2.1800000000000002</v>
      </c>
      <c r="BA38" s="345" t="s">
        <v>352</v>
      </c>
      <c r="BC38" s="345">
        <v>402</v>
      </c>
      <c r="BD38" s="345" t="s">
        <v>338</v>
      </c>
      <c r="BF38" s="347">
        <v>1.3</v>
      </c>
      <c r="BG38" s="347" t="s">
        <v>352</v>
      </c>
      <c r="BH38" s="1790"/>
      <c r="BI38" s="1791">
        <v>33064</v>
      </c>
      <c r="BJ38" s="345" t="s">
        <v>310</v>
      </c>
      <c r="BM38" s="1784"/>
      <c r="BN38" s="345">
        <v>16.05</v>
      </c>
      <c r="BO38" s="345" t="s">
        <v>297</v>
      </c>
      <c r="BQ38" s="345">
        <v>102</v>
      </c>
      <c r="BR38" s="345" t="s">
        <v>321</v>
      </c>
      <c r="BT38" s="347">
        <v>22.09</v>
      </c>
      <c r="BU38" s="347" t="s">
        <v>297</v>
      </c>
      <c r="BW38" s="348" t="str">
        <f t="array" ref="BW38">IFERROR(IF($BW$11="Metro",INDEX($BN$13:$BN$4972,SMALL(IF((County=$BO$13:$BO$4972),MATCH(ROW($BO$13:$BO$4972),ROW($BO$13:$BO$4972)),""),ROWS($A$13:$A38))),INDEX($BQ$13:$BQ$212,SMALL(IF((County=$BR$13:$BR$212),MATCH(ROW($BR$13:$BR$212),ROW($BR$13:$BR$212)),""),ROWS($A$13:$A38)))),"")</f>
        <v/>
      </c>
      <c r="BY38" s="348" t="str">
        <f t="array" ref="BY38">IFERROR(IF($BY$11="Yes",INDEX($BT$13:$BT$2950,SMALL(IF((County=$BU$13:$BU$2950),MATCH(ROW($BU$13:$BU$2950),ROW($BU$13:$BU$2950)),""),ROWS($A$13:$A38))),""),"")</f>
        <v/>
      </c>
      <c r="CA38" s="2298">
        <v>32407</v>
      </c>
      <c r="CB38" s="345" t="s">
        <v>306</v>
      </c>
      <c r="CD38" s="237">
        <v>1.21</v>
      </c>
      <c r="CE38" s="237" t="s">
        <v>352</v>
      </c>
      <c r="CG38" s="345">
        <v>103.01</v>
      </c>
      <c r="CH38" s="345" t="s">
        <v>321</v>
      </c>
      <c r="CJ38" s="347">
        <v>1.31</v>
      </c>
      <c r="CK38" s="347" t="s">
        <v>352</v>
      </c>
      <c r="CL38" s="1789"/>
      <c r="CM38" s="2299"/>
      <c r="CN38" s="345"/>
      <c r="CR38" s="345"/>
      <c r="CS38" s="345"/>
      <c r="CU38" s="345"/>
      <c r="CV38" s="345"/>
      <c r="CX38" s="347"/>
      <c r="CY38" s="347"/>
      <c r="DA38" s="348"/>
      <c r="DC38" s="348"/>
      <c r="DE38" s="1792"/>
      <c r="DF38" s="345"/>
      <c r="DH38" s="237"/>
      <c r="DI38" s="237"/>
      <c r="DK38" s="345"/>
      <c r="DL38" s="345"/>
      <c r="DN38" s="347"/>
      <c r="DO38" s="347"/>
      <c r="DP38" s="2505"/>
      <c r="DT38" s="591" t="s">
        <v>344</v>
      </c>
      <c r="DU38" s="591" t="s">
        <v>700</v>
      </c>
      <c r="DV38" s="591" t="s">
        <v>701</v>
      </c>
      <c r="DW38" s="599">
        <v>26.649678000000002</v>
      </c>
      <c r="DX38" s="602">
        <v>-81.813449000000006</v>
      </c>
      <c r="DY38" s="595" t="s">
        <v>686</v>
      </c>
      <c r="DZ38" s="594" t="s">
        <v>685</v>
      </c>
      <c r="EA38" s="592" t="str">
        <f t="shared" si="0"/>
        <v>Lee - Hibiscus Apartments Phase Two</v>
      </c>
      <c r="EB38" s="592" t="str">
        <f t="shared" si="1"/>
        <v>Family</v>
      </c>
      <c r="EC38" s="592" t="str">
        <f t="shared" si="2"/>
        <v>(26.649678, -81.813449)</v>
      </c>
      <c r="ED38" s="594" t="str">
        <f t="shared" si="3"/>
        <v>&gt;30</v>
      </c>
    </row>
    <row r="39" spans="1:134" ht="14.45" customHeight="1">
      <c r="A39" s="346">
        <v>33301</v>
      </c>
      <c r="B39" s="345" t="s">
        <v>310</v>
      </c>
      <c r="E39" s="934"/>
      <c r="F39" s="345">
        <v>623.02</v>
      </c>
      <c r="G39" s="345" t="s">
        <v>309</v>
      </c>
      <c r="I39" s="345">
        <v>9503</v>
      </c>
      <c r="J39" s="345" t="s">
        <v>374</v>
      </c>
      <c r="L39" s="347">
        <v>22.09</v>
      </c>
      <c r="M39" s="347" t="s">
        <v>297</v>
      </c>
      <c r="O39" s="348" t="str">
        <f t="array" ref="O39">IFERROR(IF($O$11="Metro",INDEX($F$13:$F$738,SMALL(IF((County=$G$13:$G$738),MATCH(ROW($G$13:$G$738),ROW($G$13:$G$738)),""),ROWS($A$13:A39))),INDEX($I$13:$I$42,SMALL(IF((County=$J$13:$J$42),MATCH(ROW($J$13:$J$42),ROW($J$13:$J$42)),""),ROWS($A$13:A39)))),"")</f>
        <v/>
      </c>
      <c r="Q39" s="348" t="str">
        <f t="array" ref="Q39">IFERROR(IF($Q$11="Yes",INDEX($L$13:$L$2313,SMALL(IF((County=$M$13:$M$2313),MATCH(ROW($M$13:$M$2313),ROW($M$13:$M$2313)),""),ROWS($A$13:A39))),""),"")</f>
        <v/>
      </c>
      <c r="S39" s="346">
        <v>32456</v>
      </c>
      <c r="T39" s="345" t="s">
        <v>331</v>
      </c>
      <c r="V39" s="345">
        <v>3</v>
      </c>
      <c r="W39" s="345" t="s">
        <v>368</v>
      </c>
      <c r="Y39" s="345">
        <v>9702.01</v>
      </c>
      <c r="Z39" s="345" t="s">
        <v>333</v>
      </c>
      <c r="AB39" s="347">
        <v>1.33</v>
      </c>
      <c r="AC39" s="347" t="s">
        <v>352</v>
      </c>
      <c r="AD39" s="1138"/>
      <c r="AE39" s="346">
        <v>33301</v>
      </c>
      <c r="AF39" s="345" t="s">
        <v>310</v>
      </c>
      <c r="AI39" s="934"/>
      <c r="AJ39" s="345">
        <v>624.01</v>
      </c>
      <c r="AK39" s="345" t="s">
        <v>309</v>
      </c>
      <c r="AM39" s="345">
        <v>800</v>
      </c>
      <c r="AN39" s="345" t="s">
        <v>366</v>
      </c>
      <c r="AP39" s="347">
        <v>22.1</v>
      </c>
      <c r="AQ39" s="347" t="s">
        <v>297</v>
      </c>
      <c r="AS39" s="348" t="str">
        <f t="array" ref="AS39">IFERROR(IF($AS$11="Metro",INDEX($AJ$13:$AJ$814,SMALL(IF((County=$AK$13:$AK$814),MATCH(ROW($AK$13:$AK$814),ROW($AK$13:$AK$814)),""),ROWS($A$13:$A39))),INDEX($AM$13:$AM$48,SMALL(IF((County=$AN$13:$AN$48),MATCH(ROW($AN$13:$AN$48),ROW($AN$13:$AN$48)),""),ROWS($A$13:$A39)))),"")</f>
        <v/>
      </c>
      <c r="AU39" s="348" t="str">
        <f t="array" ref="AU39">IFERROR(IF($AU$11="Yes",INDEX($AP$13:$AP$2950,SMALL(IF((County=$AQ$13:$AQ$2950),MATCH(ROW($AQ$13:$AQ$2950),ROW($AQ$13:$AQ$2950)),""),ROWS($A$13:$A39))),""),"")</f>
        <v/>
      </c>
      <c r="AW39" s="346">
        <v>32317</v>
      </c>
      <c r="AX39" s="345" t="s">
        <v>345</v>
      </c>
      <c r="AZ39" s="345">
        <v>2.19</v>
      </c>
      <c r="BA39" s="345" t="s">
        <v>352</v>
      </c>
      <c r="BC39" s="345">
        <v>402</v>
      </c>
      <c r="BD39" s="345" t="s">
        <v>358</v>
      </c>
      <c r="BF39" s="347">
        <v>1.31</v>
      </c>
      <c r="BG39" s="347" t="s">
        <v>352</v>
      </c>
      <c r="BH39" s="1790"/>
      <c r="BI39" s="1791">
        <v>33065</v>
      </c>
      <c r="BJ39" s="345" t="s">
        <v>310</v>
      </c>
      <c r="BM39" s="1784"/>
      <c r="BN39" s="345">
        <v>17.010000000000002</v>
      </c>
      <c r="BO39" s="345" t="s">
        <v>297</v>
      </c>
      <c r="BQ39" s="345">
        <v>103.01</v>
      </c>
      <c r="BR39" s="345" t="s">
        <v>321</v>
      </c>
      <c r="BT39" s="347">
        <v>22.19</v>
      </c>
      <c r="BU39" s="347" t="s">
        <v>297</v>
      </c>
      <c r="BW39" s="348" t="str">
        <f t="array" ref="BW39">IFERROR(IF($BW$11="Metro",INDEX($BN$13:$BN$4972,SMALL(IF((County=$BO$13:$BO$4972),MATCH(ROW($BO$13:$BO$4972),ROW($BO$13:$BO$4972)),""),ROWS($A$13:$A39))),INDEX($BQ$13:$BQ$212,SMALL(IF((County=$BR$13:$BR$212),MATCH(ROW($BR$13:$BR$212),ROW($BR$13:$BR$212)),""),ROWS($A$13:$A39)))),"")</f>
        <v/>
      </c>
      <c r="BY39" s="348" t="str">
        <f t="array" ref="BY39">IFERROR(IF($BY$11="Yes",INDEX($BT$13:$BT$2950,SMALL(IF((County=$BU$13:$BU$2950),MATCH(ROW($BU$13:$BU$2950),ROW($BU$13:$BU$2950)),""),ROWS($A$13:$A39))),""),"")</f>
        <v/>
      </c>
      <c r="CA39" s="2298">
        <v>32410</v>
      </c>
      <c r="CB39" s="345" t="s">
        <v>306</v>
      </c>
      <c r="CD39" s="237">
        <v>1.22</v>
      </c>
      <c r="CE39" s="237" t="s">
        <v>352</v>
      </c>
      <c r="CG39" s="345">
        <v>103.02</v>
      </c>
      <c r="CH39" s="345" t="s">
        <v>313</v>
      </c>
      <c r="CJ39" s="347">
        <v>1.34</v>
      </c>
      <c r="CK39" s="347" t="s">
        <v>352</v>
      </c>
      <c r="CL39" s="1789"/>
      <c r="CM39" s="2299"/>
      <c r="CN39" s="345"/>
      <c r="CR39" s="345"/>
      <c r="CS39" s="345"/>
      <c r="CU39" s="345"/>
      <c r="CV39" s="345"/>
      <c r="CX39" s="347"/>
      <c r="CY39" s="347"/>
      <c r="DA39" s="348"/>
      <c r="DC39" s="348"/>
      <c r="DE39" s="1792"/>
      <c r="DF39" s="345"/>
      <c r="DH39" s="237"/>
      <c r="DI39" s="237"/>
      <c r="DK39" s="345"/>
      <c r="DL39" s="345"/>
      <c r="DN39" s="347"/>
      <c r="DO39" s="347"/>
      <c r="DP39" s="2505"/>
      <c r="DT39" s="591" t="s">
        <v>344</v>
      </c>
      <c r="DU39" s="591" t="s">
        <v>2622</v>
      </c>
      <c r="DV39" s="591" t="s">
        <v>2623</v>
      </c>
      <c r="DW39" s="602">
        <v>26.633524000000001</v>
      </c>
      <c r="DX39" s="602">
        <v>-81.849917000000005</v>
      </c>
      <c r="DY39" s="595" t="s">
        <v>686</v>
      </c>
      <c r="DZ39" s="595" t="s">
        <v>685</v>
      </c>
      <c r="EA39" s="592" t="str">
        <f t="shared" si="0"/>
        <v>Lee - Southward Village CNI Phase 2 - site 1</v>
      </c>
      <c r="EB39" s="592" t="str">
        <f t="shared" si="1"/>
        <v>Family</v>
      </c>
      <c r="EC39" s="592" t="str">
        <f t="shared" si="2"/>
        <v>(26.633524, -81.849917)</v>
      </c>
      <c r="ED39" s="594" t="str">
        <f t="shared" si="3"/>
        <v>&gt;30</v>
      </c>
    </row>
    <row r="40" spans="1:134" ht="14.45" customHeight="1">
      <c r="A40" s="346">
        <v>33308</v>
      </c>
      <c r="B40" s="345" t="s">
        <v>310</v>
      </c>
      <c r="E40" s="934"/>
      <c r="F40" s="345">
        <v>624</v>
      </c>
      <c r="G40" s="345" t="s">
        <v>309</v>
      </c>
      <c r="I40" s="345">
        <v>9701.0300000000007</v>
      </c>
      <c r="J40" s="345" t="s">
        <v>379</v>
      </c>
      <c r="L40" s="347">
        <v>22.1</v>
      </c>
      <c r="M40" s="347" t="s">
        <v>297</v>
      </c>
      <c r="O40" s="348" t="str">
        <f t="array" ref="O40">IFERROR(IF($O$11="Metro",INDEX($F$13:$F$738,SMALL(IF((County=$G$13:$G$738),MATCH(ROW($G$13:$G$738),ROW($G$13:$G$738)),""),ROWS($A$13:A40))),INDEX($I$13:$I$42,SMALL(IF((County=$J$13:$J$42),MATCH(ROW($J$13:$J$42),ROW($J$13:$J$42)),""),ROWS($A$13:A40)))),"")</f>
        <v/>
      </c>
      <c r="Q40" s="348" t="str">
        <f t="array" ref="Q40">IFERROR(IF($Q$11="Yes",INDEX($L$13:$L$2313,SMALL(IF((County=$M$13:$M$2313),MATCH(ROW($M$13:$M$2313),ROW($M$13:$M$2313)),""),ROWS($A$13:A40))),""),"")</f>
        <v/>
      </c>
      <c r="S40" s="346">
        <v>32459</v>
      </c>
      <c r="T40" s="345" t="s">
        <v>378</v>
      </c>
      <c r="V40" s="345">
        <v>3.01</v>
      </c>
      <c r="W40" s="345" t="s">
        <v>344</v>
      </c>
      <c r="Y40" s="345">
        <v>9703.01</v>
      </c>
      <c r="Z40" s="345" t="s">
        <v>346</v>
      </c>
      <c r="AB40" s="347">
        <v>1.34</v>
      </c>
      <c r="AC40" s="347" t="s">
        <v>352</v>
      </c>
      <c r="AD40" s="1138"/>
      <c r="AE40" s="346">
        <v>33304</v>
      </c>
      <c r="AF40" s="345" t="s">
        <v>310</v>
      </c>
      <c r="AI40" s="934"/>
      <c r="AJ40" s="345">
        <v>624.02</v>
      </c>
      <c r="AK40" s="345" t="s">
        <v>309</v>
      </c>
      <c r="AM40" s="345">
        <v>900</v>
      </c>
      <c r="AN40" s="345" t="s">
        <v>366</v>
      </c>
      <c r="AP40" s="347">
        <v>22.19</v>
      </c>
      <c r="AQ40" s="347" t="s">
        <v>297</v>
      </c>
      <c r="AS40" s="348" t="str">
        <f t="array" ref="AS40">IFERROR(IF($AS$11="Metro",INDEX($AJ$13:$AJ$814,SMALL(IF((County=$AK$13:$AK$814),MATCH(ROW($AK$13:$AK$814),ROW($AK$13:$AK$814)),""),ROWS($A$13:$A40))),INDEX($AM$13:$AM$48,SMALL(IF((County=$AN$13:$AN$48),MATCH(ROW($AN$13:$AN$48),ROW($AN$13:$AN$48)),""),ROWS($A$13:$A40)))),"")</f>
        <v/>
      </c>
      <c r="AU40" s="348" t="str">
        <f t="array" ref="AU40">IFERROR(IF($AU$11="Yes",INDEX($AP$13:$AP$2950,SMALL(IF((County=$AQ$13:$AQ$2950),MATCH(ROW($AQ$13:$AQ$2950),ROW($AQ$13:$AQ$2950)),""),ROWS($A$13:$A40))),""),"")</f>
        <v/>
      </c>
      <c r="AW40" s="346">
        <v>32346</v>
      </c>
      <c r="AX40" s="345" t="s">
        <v>377</v>
      </c>
      <c r="AZ40" s="345">
        <v>2.2000000000000002</v>
      </c>
      <c r="BA40" s="345" t="s">
        <v>352</v>
      </c>
      <c r="BC40" s="345">
        <v>403</v>
      </c>
      <c r="BD40" s="345" t="s">
        <v>338</v>
      </c>
      <c r="BF40" s="347">
        <v>1.34</v>
      </c>
      <c r="BG40" s="347" t="s">
        <v>352</v>
      </c>
      <c r="BH40" s="1790"/>
      <c r="BI40" s="1791">
        <v>33067</v>
      </c>
      <c r="BJ40" s="345" t="s">
        <v>310</v>
      </c>
      <c r="BM40" s="1784"/>
      <c r="BN40" s="345">
        <v>17.02</v>
      </c>
      <c r="BO40" s="345" t="s">
        <v>297</v>
      </c>
      <c r="BQ40" s="345">
        <v>103.02</v>
      </c>
      <c r="BR40" s="345" t="s">
        <v>321</v>
      </c>
      <c r="BT40" s="347">
        <v>22.21</v>
      </c>
      <c r="BU40" s="347" t="s">
        <v>297</v>
      </c>
      <c r="BW40" s="348" t="str">
        <f t="array" ref="BW40">IFERROR(IF($BW$11="Metro",INDEX($BN$13:$BN$4972,SMALL(IF((County=$BO$13:$BO$4972),MATCH(ROW($BO$13:$BO$4972),ROW($BO$13:$BO$4972)),""),ROWS($A$13:$A40))),INDEX($BQ$13:$BQ$212,SMALL(IF((County=$BR$13:$BR$212),MATCH(ROW($BR$13:$BR$212),ROW($BR$13:$BR$212)),""),ROWS($A$13:$A40)))),"")</f>
        <v/>
      </c>
      <c r="BY40" s="348" t="str">
        <f t="array" ref="BY40">IFERROR(IF($BY$11="Yes",INDEX($BT$13:$BT$2950,SMALL(IF((County=$BU$13:$BU$2950),MATCH(ROW($BU$13:$BU$2950),ROW($BU$13:$BU$2950)),""),ROWS($A$13:$A40))),""),"")</f>
        <v/>
      </c>
      <c r="CA40" s="2298">
        <v>32444</v>
      </c>
      <c r="CB40" s="345" t="s">
        <v>306</v>
      </c>
      <c r="CD40" s="237">
        <v>1.23</v>
      </c>
      <c r="CE40" s="237" t="s">
        <v>352</v>
      </c>
      <c r="CG40" s="345">
        <v>103.02</v>
      </c>
      <c r="CH40" s="345" t="s">
        <v>321</v>
      </c>
      <c r="CJ40" s="347">
        <v>1.4</v>
      </c>
      <c r="CK40" s="347" t="s">
        <v>352</v>
      </c>
      <c r="CL40" s="1789"/>
      <c r="CM40" s="2299"/>
      <c r="CN40" s="345"/>
      <c r="CR40" s="345"/>
      <c r="CS40" s="345"/>
      <c r="CU40" s="345"/>
      <c r="CV40" s="345"/>
      <c r="CX40" s="347"/>
      <c r="CY40" s="347"/>
      <c r="DA40" s="348"/>
      <c r="DC40" s="348"/>
      <c r="DE40" s="1792"/>
      <c r="DF40" s="345"/>
      <c r="DH40" s="237"/>
      <c r="DI40" s="237"/>
      <c r="DK40" s="345"/>
      <c r="DL40" s="345"/>
      <c r="DN40" s="347"/>
      <c r="DO40" s="347"/>
      <c r="DP40" s="2505"/>
      <c r="DT40" s="591" t="s">
        <v>344</v>
      </c>
      <c r="DU40" s="591" t="s">
        <v>2622</v>
      </c>
      <c r="DV40" s="591" t="s">
        <v>2624</v>
      </c>
      <c r="DW40" s="598">
        <v>26.633393999999999</v>
      </c>
      <c r="DX40" s="599">
        <v>-81.849449000000007</v>
      </c>
      <c r="DY40" s="595" t="s">
        <v>686</v>
      </c>
      <c r="DZ40" s="594" t="s">
        <v>685</v>
      </c>
      <c r="EA40" s="592" t="str">
        <f t="shared" si="0"/>
        <v>Lee - Southward Village CNI Phase 2 - site 2</v>
      </c>
      <c r="EB40" s="592" t="str">
        <f t="shared" si="1"/>
        <v>Family</v>
      </c>
      <c r="EC40" s="592" t="str">
        <f t="shared" si="2"/>
        <v>(26.633394, -81.849449)</v>
      </c>
      <c r="ED40" s="594" t="str">
        <f t="shared" si="3"/>
        <v>&gt;30</v>
      </c>
    </row>
    <row r="41" spans="1:134" ht="14.45" customHeight="1">
      <c r="A41" s="346">
        <v>33321</v>
      </c>
      <c r="B41" s="345" t="s">
        <v>310</v>
      </c>
      <c r="E41" s="934"/>
      <c r="F41" s="345">
        <v>625</v>
      </c>
      <c r="G41" s="345" t="s">
        <v>309</v>
      </c>
      <c r="I41" s="345">
        <v>9702</v>
      </c>
      <c r="J41" s="345" t="s">
        <v>379</v>
      </c>
      <c r="L41" s="347">
        <v>22.19</v>
      </c>
      <c r="M41" s="347" t="s">
        <v>297</v>
      </c>
      <c r="O41" s="348" t="str">
        <f t="array" ref="O41">IFERROR(IF($O$11="Metro",INDEX($F$13:$F$738,SMALL(IF((County=$G$13:$G$738),MATCH(ROW($G$13:$G$738),ROW($G$13:$G$738)),""),ROWS($A$13:A41))),INDEX($I$13:$I$42,SMALL(IF((County=$J$13:$J$42),MATCH(ROW($J$13:$J$42),ROW($J$13:$J$42)),""),ROWS($A$13:A41)))),"")</f>
        <v/>
      </c>
      <c r="Q41" s="348" t="str">
        <f t="array" ref="Q41">IFERROR(IF($Q$11="Yes",INDEX($L$13:$L$2313,SMALL(IF((County=$M$13:$M$2313),MATCH(ROW($M$13:$M$2313),ROW($M$13:$M$2313)),""),ROWS($A$13:A41))),""),"")</f>
        <v/>
      </c>
      <c r="S41" s="346">
        <v>32508</v>
      </c>
      <c r="T41" s="345" t="s">
        <v>325</v>
      </c>
      <c r="V41" s="345">
        <v>3.02</v>
      </c>
      <c r="W41" s="345" t="s">
        <v>344</v>
      </c>
      <c r="Y41" s="345">
        <v>9703.02</v>
      </c>
      <c r="Z41" s="345" t="s">
        <v>379</v>
      </c>
      <c r="AB41" s="347">
        <v>1.4</v>
      </c>
      <c r="AC41" s="347" t="s">
        <v>352</v>
      </c>
      <c r="AD41" s="1138"/>
      <c r="AE41" s="346">
        <v>33308</v>
      </c>
      <c r="AF41" s="345" t="s">
        <v>310</v>
      </c>
      <c r="AI41" s="934"/>
      <c r="AJ41" s="345">
        <v>625</v>
      </c>
      <c r="AK41" s="345" t="s">
        <v>309</v>
      </c>
      <c r="AM41" s="345">
        <v>1200</v>
      </c>
      <c r="AN41" s="345" t="s">
        <v>366</v>
      </c>
      <c r="AP41" s="347">
        <v>22.21</v>
      </c>
      <c r="AQ41" s="347" t="s">
        <v>297</v>
      </c>
      <c r="AS41" s="348" t="str">
        <f t="array" ref="AS41">IFERROR(IF($AS$11="Metro",INDEX($AJ$13:$AJ$814,SMALL(IF((County=$AK$13:$AK$814),MATCH(ROW($AK$13:$AK$814),ROW($AK$13:$AK$814)),""),ROWS($A$13:$A41))),INDEX($AM$13:$AM$48,SMALL(IF((County=$AN$13:$AN$48),MATCH(ROW($AN$13:$AN$48),ROW($AN$13:$AN$48)),""),ROWS($A$13:$A41)))),"")</f>
        <v/>
      </c>
      <c r="AU41" s="348" t="str">
        <f t="array" ref="AU41">IFERROR(IF($AU$11="Yes",INDEX($AP$13:$AP$2950,SMALL(IF((County=$AQ$13:$AQ$2950),MATCH(ROW($AQ$13:$AQ$2950),ROW($AQ$13:$AQ$2950)),""),ROWS($A$13:$A41))),""),"")</f>
        <v/>
      </c>
      <c r="AW41" s="346">
        <v>32403</v>
      </c>
      <c r="AX41" s="345" t="s">
        <v>306</v>
      </c>
      <c r="AZ41" s="345">
        <v>2.2200000000000002</v>
      </c>
      <c r="BA41" s="345" t="s">
        <v>352</v>
      </c>
      <c r="BC41" s="345">
        <v>600</v>
      </c>
      <c r="BD41" s="345" t="s">
        <v>340</v>
      </c>
      <c r="BF41" s="347">
        <v>1.4</v>
      </c>
      <c r="BG41" s="347" t="s">
        <v>352</v>
      </c>
      <c r="BH41" s="1790"/>
      <c r="BI41" s="1791">
        <v>33068</v>
      </c>
      <c r="BJ41" s="345" t="s">
        <v>310</v>
      </c>
      <c r="BM41" s="1784"/>
      <c r="BN41" s="345">
        <v>18.02</v>
      </c>
      <c r="BO41" s="345" t="s">
        <v>297</v>
      </c>
      <c r="BQ41" s="345">
        <v>104.03</v>
      </c>
      <c r="BR41" s="345" t="s">
        <v>321</v>
      </c>
      <c r="BT41" s="347">
        <v>22.22</v>
      </c>
      <c r="BU41" s="347" t="s">
        <v>297</v>
      </c>
      <c r="BW41" s="348" t="str">
        <f t="array" ref="BW41">IFERROR(IF($BW$11="Metro",INDEX($BN$13:$BN$4972,SMALL(IF((County=$BO$13:$BO$4972),MATCH(ROW($BO$13:$BO$4972),ROW($BO$13:$BO$4972)),""),ROWS($A$13:$A41))),INDEX($BQ$13:$BQ$212,SMALL(IF((County=$BR$13:$BR$212),MATCH(ROW($BR$13:$BR$212),ROW($BR$13:$BR$212)),""),ROWS($A$13:$A41)))),"")</f>
        <v/>
      </c>
      <c r="BY41" s="348" t="str">
        <f t="array" ref="BY41">IFERROR(IF($BY$11="Yes",INDEX($BT$13:$BT$2950,SMALL(IF((County=$BU$13:$BU$2950),MATCH(ROW($BU$13:$BU$2950),ROW($BU$13:$BU$2950)),""),ROWS($A$13:$A41))),""),"")</f>
        <v/>
      </c>
      <c r="CA41" s="2298">
        <v>32456</v>
      </c>
      <c r="CB41" s="345" t="s">
        <v>331</v>
      </c>
      <c r="CD41" s="237">
        <v>1.24</v>
      </c>
      <c r="CE41" s="237" t="s">
        <v>352</v>
      </c>
      <c r="CG41" s="345">
        <v>104.03</v>
      </c>
      <c r="CH41" s="345" t="s">
        <v>321</v>
      </c>
      <c r="CJ41" s="347">
        <v>1.41</v>
      </c>
      <c r="CK41" s="347" t="s">
        <v>352</v>
      </c>
      <c r="CL41" s="1789"/>
      <c r="CM41" s="2299"/>
      <c r="CN41" s="345"/>
      <c r="CR41" s="345"/>
      <c r="CS41" s="345"/>
      <c r="CU41" s="345"/>
      <c r="CV41" s="345"/>
      <c r="CX41" s="347"/>
      <c r="CY41" s="347"/>
      <c r="DA41" s="348"/>
      <c r="DC41" s="348"/>
      <c r="DE41" s="1792"/>
      <c r="DF41" s="345"/>
      <c r="DH41" s="237"/>
      <c r="DI41" s="237"/>
      <c r="DK41" s="345"/>
      <c r="DL41" s="345"/>
      <c r="DN41" s="347"/>
      <c r="DO41" s="347"/>
      <c r="DP41" s="2505"/>
      <c r="DT41" s="596" t="s">
        <v>344</v>
      </c>
      <c r="DU41" s="596" t="s">
        <v>2622</v>
      </c>
      <c r="DV41" s="591" t="s">
        <v>2625</v>
      </c>
      <c r="DW41" s="591">
        <v>26.632618000000001</v>
      </c>
      <c r="DX41" s="591">
        <v>-81.849191000000005</v>
      </c>
      <c r="DY41" s="595" t="s">
        <v>686</v>
      </c>
      <c r="DZ41" s="597" t="s">
        <v>685</v>
      </c>
      <c r="EA41" s="592" t="str">
        <f t="shared" si="0"/>
        <v>Lee - Southward Village CNI Phase 2 - site 3</v>
      </c>
      <c r="EB41" s="592" t="str">
        <f t="shared" si="1"/>
        <v>Family</v>
      </c>
      <c r="EC41" s="592" t="str">
        <f t="shared" si="2"/>
        <v>(26.632618, -81.849191)</v>
      </c>
      <c r="ED41" s="594" t="str">
        <f t="shared" si="3"/>
        <v>&gt;30</v>
      </c>
    </row>
    <row r="42" spans="1:134" ht="14.45" customHeight="1">
      <c r="A42" s="346">
        <v>33322</v>
      </c>
      <c r="B42" s="345" t="s">
        <v>310</v>
      </c>
      <c r="E42" s="934"/>
      <c r="F42" s="345">
        <v>626</v>
      </c>
      <c r="G42" s="345" t="s">
        <v>309</v>
      </c>
      <c r="I42" s="345">
        <v>9703.02</v>
      </c>
      <c r="J42" s="345" t="s">
        <v>379</v>
      </c>
      <c r="L42" s="347">
        <v>401.01</v>
      </c>
      <c r="M42" s="347" t="s">
        <v>302</v>
      </c>
      <c r="O42" s="348" t="str">
        <f t="array" ref="O42">IFERROR(IF($O$11="Metro",INDEX($F$13:$F$738,SMALL(IF((County=$G$13:$G$738),MATCH(ROW($G$13:$G$738),ROW($G$13:$G$738)),""),ROWS($A$13:A42))),INDEX($I$13:$I$42,SMALL(IF((County=$J$13:$J$42),MATCH(ROW($J$13:$J$42),ROW($J$13:$J$42)),""),ROWS($A$13:A42)))),"")</f>
        <v/>
      </c>
      <c r="Q42" s="348" t="str">
        <f t="array" ref="Q42">IFERROR(IF($Q$11="Yes",INDEX($L$13:$L$2313,SMALL(IF((County=$M$13:$M$2313),MATCH(ROW($M$13:$M$2313),ROW($M$13:$M$2313)),""),ROWS($A$13:A42))),""),"")</f>
        <v/>
      </c>
      <c r="S42" s="346">
        <v>32541</v>
      </c>
      <c r="T42" s="345" t="s">
        <v>357</v>
      </c>
      <c r="V42" s="345">
        <v>3.02</v>
      </c>
      <c r="W42" s="345" t="s">
        <v>350</v>
      </c>
      <c r="Y42" s="345">
        <v>9704</v>
      </c>
      <c r="Z42" s="345" t="s">
        <v>354</v>
      </c>
      <c r="AB42" s="347">
        <v>2</v>
      </c>
      <c r="AC42" s="347" t="s">
        <v>308</v>
      </c>
      <c r="AD42" s="1138"/>
      <c r="AE42" s="346">
        <v>33315</v>
      </c>
      <c r="AF42" s="345" t="s">
        <v>310</v>
      </c>
      <c r="AI42" s="934"/>
      <c r="AJ42" s="345">
        <v>626</v>
      </c>
      <c r="AK42" s="345" t="s">
        <v>309</v>
      </c>
      <c r="AM42" s="345">
        <v>1401</v>
      </c>
      <c r="AN42" s="345" t="s">
        <v>366</v>
      </c>
      <c r="AP42" s="347">
        <v>22.22</v>
      </c>
      <c r="AQ42" s="347" t="s">
        <v>297</v>
      </c>
      <c r="AS42" s="348" t="str">
        <f t="array" ref="AS42">IFERROR(IF($AS$11="Metro",INDEX($AJ$13:$AJ$814,SMALL(IF((County=$AK$13:$AK$814),MATCH(ROW($AK$13:$AK$814),ROW($AK$13:$AK$814)),""),ROWS($A$13:$A48))),INDEX($AM$13:$AM$48,SMALL(IF((County=$AN$13:$AN$48),MATCH(ROW($AN$13:$AN$48),ROW($AN$13:$AN$48)),""),ROWS($A$13:$A48)))),"")</f>
        <v/>
      </c>
      <c r="AU42" s="348" t="str">
        <f t="array" ref="AU42">IFERROR(IF($AU$11="Yes",INDEX($AP$13:$AP$2950,SMALL(IF((County=$AQ$13:$AQ$2950),MATCH(ROW($AQ$13:$AQ$2950),ROW($AQ$13:$AQ$2950)),""),ROWS($A$13:$A42))),""),"")</f>
        <v/>
      </c>
      <c r="AW42" s="346">
        <v>32407</v>
      </c>
      <c r="AX42" s="345" t="s">
        <v>306</v>
      </c>
      <c r="AZ42" s="345">
        <v>2.23</v>
      </c>
      <c r="BA42" s="345" t="s">
        <v>352</v>
      </c>
      <c r="BC42" s="345">
        <v>601</v>
      </c>
      <c r="BD42" s="345" t="s">
        <v>334</v>
      </c>
      <c r="BF42" s="347">
        <v>1.41</v>
      </c>
      <c r="BG42" s="347" t="s">
        <v>352</v>
      </c>
      <c r="BH42" s="1790"/>
      <c r="BI42" s="1791">
        <v>33069</v>
      </c>
      <c r="BJ42" s="345" t="s">
        <v>310</v>
      </c>
      <c r="BM42" s="1784"/>
      <c r="BN42" s="345">
        <v>18.03</v>
      </c>
      <c r="BO42" s="345" t="s">
        <v>297</v>
      </c>
      <c r="BQ42" s="345">
        <v>104.04</v>
      </c>
      <c r="BR42" s="345" t="s">
        <v>321</v>
      </c>
      <c r="BT42" s="347">
        <v>1108</v>
      </c>
      <c r="BU42" s="347" t="s">
        <v>297</v>
      </c>
      <c r="BW42" s="348" t="str">
        <f t="array" ref="BW42">IFERROR(IF($BW$11="Metro",INDEX($BN$13:$BN$4972,SMALL(IF((County=$BO$13:$BO$4972),MATCH(ROW($BO$13:$BO$4972),ROW($BO$13:$BO$4972)),""),ROWS($A$13:$A42))),INDEX($BQ$13:$BQ$212,SMALL(IF((County=$BR$13:$BR$212),MATCH(ROW($BR$13:$BR$212),ROW($BR$13:$BR$212)),""),ROWS($A$13:$A42)))),"")</f>
        <v/>
      </c>
      <c r="BY42" s="348" t="str">
        <f t="array" ref="BY42">IFERROR(IF($BY$11="Yes",INDEX($BT$13:$BT$2950,SMALL(IF((County=$BU$13:$BU$2950),MATCH(ROW($BU$13:$BU$2950),ROW($BU$13:$BU$2950)),""),ROWS($A$13:$A42))),""),"")</f>
        <v/>
      </c>
      <c r="CA42" s="1792">
        <v>32459</v>
      </c>
      <c r="CB42" s="237" t="s">
        <v>378</v>
      </c>
      <c r="CD42" s="237">
        <v>1.25</v>
      </c>
      <c r="CE42" s="237" t="s">
        <v>352</v>
      </c>
      <c r="CG42" s="345">
        <v>104.04</v>
      </c>
      <c r="CH42" s="345" t="s">
        <v>321</v>
      </c>
      <c r="CJ42" s="347">
        <v>1.42</v>
      </c>
      <c r="CK42" s="347" t="s">
        <v>352</v>
      </c>
      <c r="CL42" s="1789"/>
      <c r="CM42" s="2299"/>
      <c r="CN42" s="345"/>
      <c r="CR42" s="345"/>
      <c r="CS42" s="345"/>
      <c r="CU42" s="345"/>
      <c r="CV42" s="345"/>
      <c r="CX42" s="347"/>
      <c r="CY42" s="347"/>
      <c r="DA42" s="348"/>
      <c r="DC42" s="348"/>
      <c r="DE42" s="1792"/>
      <c r="DF42" s="345"/>
      <c r="DH42" s="237"/>
      <c r="DI42" s="237"/>
      <c r="DK42" s="345"/>
      <c r="DL42" s="345"/>
      <c r="DN42" s="347"/>
      <c r="DO42" s="347"/>
      <c r="DP42" s="2505"/>
      <c r="DT42" s="591" t="s">
        <v>344</v>
      </c>
      <c r="DU42" s="591" t="s">
        <v>2622</v>
      </c>
      <c r="DV42" s="591" t="s">
        <v>2626</v>
      </c>
      <c r="DW42" s="591">
        <v>26.632615000000001</v>
      </c>
      <c r="DX42" s="591">
        <v>-81.849677999999997</v>
      </c>
      <c r="DY42" s="595" t="s">
        <v>686</v>
      </c>
      <c r="DZ42" s="595" t="s">
        <v>685</v>
      </c>
      <c r="EA42" s="592" t="str">
        <f t="shared" si="0"/>
        <v>Lee - Southward Village CNI Phase 2 - site 4</v>
      </c>
      <c r="EB42" s="592" t="str">
        <f t="shared" si="1"/>
        <v>Family</v>
      </c>
      <c r="EC42" s="592" t="str">
        <f t="shared" si="2"/>
        <v>(26.632615, -81.849678)</v>
      </c>
      <c r="ED42" s="594" t="str">
        <f t="shared" si="3"/>
        <v>&gt;30</v>
      </c>
    </row>
    <row r="43" spans="1:134" ht="14.45" customHeight="1">
      <c r="A43" s="346">
        <v>33323</v>
      </c>
      <c r="B43" s="345" t="s">
        <v>310</v>
      </c>
      <c r="E43" s="934"/>
      <c r="F43" s="345">
        <v>645</v>
      </c>
      <c r="G43" s="345" t="s">
        <v>309</v>
      </c>
      <c r="I43" s="2831" t="s">
        <v>2309</v>
      </c>
      <c r="J43" s="2832"/>
      <c r="L43" s="347">
        <v>401.02</v>
      </c>
      <c r="M43" s="347" t="s">
        <v>302</v>
      </c>
      <c r="O43" s="348" t="str">
        <f t="array" ref="O43">IFERROR(IF($O$11="Metro",INDEX($F$13:$F$738,SMALL(IF((County=$G$13:$G$738),MATCH(ROW($G$13:$G$738),ROW($G$13:$G$738)),""),ROWS($A$13:A43))),INDEX($I$13:$I$42,SMALL(IF((County=$J$13:$J$42),MATCH(ROW($J$13:$J$42),ROW($J$13:$J$42)),""),ROWS($A$13:A43)))),"")</f>
        <v/>
      </c>
      <c r="Q43" s="348" t="str">
        <f t="array" ref="Q43">IFERROR(IF($Q$11="Yes",INDEX($L$13:$L$2313,SMALL(IF((County=$M$13:$M$2313),MATCH(ROW($M$13:$M$2313),ROW($M$13:$M$2313)),""),ROWS($A$13:A43))),""),"")</f>
        <v/>
      </c>
      <c r="S43" s="346">
        <v>32542</v>
      </c>
      <c r="T43" s="345" t="s">
        <v>357</v>
      </c>
      <c r="V43" s="345">
        <v>3.05</v>
      </c>
      <c r="W43" s="345" t="s">
        <v>349</v>
      </c>
      <c r="Y43" s="2831" t="s">
        <v>2309</v>
      </c>
      <c r="Z43" s="2832"/>
      <c r="AB43" s="347">
        <v>2</v>
      </c>
      <c r="AC43" s="347" t="s">
        <v>318</v>
      </c>
      <c r="AD43" s="1138"/>
      <c r="AE43" s="346">
        <v>33321</v>
      </c>
      <c r="AF43" s="345" t="s">
        <v>310</v>
      </c>
      <c r="AI43" s="934"/>
      <c r="AJ43" s="345">
        <v>642.02</v>
      </c>
      <c r="AK43" s="345" t="s">
        <v>309</v>
      </c>
      <c r="AM43" s="345">
        <v>301</v>
      </c>
      <c r="AN43" s="345" t="s">
        <v>374</v>
      </c>
      <c r="AP43" s="347">
        <v>1108</v>
      </c>
      <c r="AQ43" s="347" t="s">
        <v>297</v>
      </c>
      <c r="AS43" s="348" t="str">
        <f t="array" ref="AS43">IFERROR(IF($AS$11="Metro",INDEX($AJ$13:$AJ$814,SMALL(IF((County=$AK$13:$AK$814),MATCH(ROW($AK$13:$AK$814),ROW($AK$13:$AK$814)),""),ROWS($A$13:$A43))),INDEX($AM$13:$AM$48,SMALL(IF((County=$AN$13:$AN$48),MATCH(ROW($AN$13:$AN$48),ROW($AN$13:$AN$48)),""),ROWS($A$13:$A43)))),"")</f>
        <v/>
      </c>
      <c r="AU43" s="348" t="str">
        <f t="array" ref="AU43">IFERROR(IF($AU$11="Yes",INDEX($AP$13:$AP$2950,SMALL(IF((County=$AQ$13:$AQ$2950),MATCH(ROW($AQ$13:$AQ$2950),ROW($AQ$13:$AQ$2950)),""),ROWS($A$13:$A43))),""),"")</f>
        <v/>
      </c>
      <c r="AW43" s="346">
        <v>32410</v>
      </c>
      <c r="AX43" s="345" t="s">
        <v>306</v>
      </c>
      <c r="AZ43" s="345">
        <v>2.2400000000000002</v>
      </c>
      <c r="BA43" s="345" t="s">
        <v>352</v>
      </c>
      <c r="BC43" s="345">
        <v>602</v>
      </c>
      <c r="BD43" s="345" t="s">
        <v>334</v>
      </c>
      <c r="BF43" s="347">
        <v>1.43</v>
      </c>
      <c r="BG43" s="347" t="s">
        <v>352</v>
      </c>
      <c r="BH43" s="1790"/>
      <c r="BI43" s="1791">
        <v>33071</v>
      </c>
      <c r="BJ43" s="345" t="s">
        <v>310</v>
      </c>
      <c r="BM43" s="1784"/>
      <c r="BN43" s="345">
        <v>18.11</v>
      </c>
      <c r="BO43" s="345" t="s">
        <v>297</v>
      </c>
      <c r="BQ43" s="345">
        <v>104.05</v>
      </c>
      <c r="BR43" s="345" t="s">
        <v>321</v>
      </c>
      <c r="BT43" s="347">
        <v>401.01</v>
      </c>
      <c r="BU43" s="347" t="s">
        <v>302</v>
      </c>
      <c r="BW43" s="348" t="str">
        <f t="array" ref="BW43">IFERROR(IF($BW$11="Metro",INDEX($BN$13:$BN$4972,SMALL(IF((County=$BO$13:$BO$4972),MATCH(ROW($BO$13:$BO$4972),ROW($BO$13:$BO$4972)),""),ROWS($A$13:$A43))),INDEX($BQ$13:$BQ$212,SMALL(IF((County=$BR$13:$BR$212),MATCH(ROW($BR$13:$BR$212),ROW($BR$13:$BR$212)),""),ROWS($A$13:$A43)))),"")</f>
        <v/>
      </c>
      <c r="BY43" s="348" t="str">
        <f t="array" ref="BY43">IFERROR(IF($BY$11="Yes",INDEX($BT$13:$BT$2950,SMALL(IF((County=$BU$13:$BU$2950),MATCH(ROW($BU$13:$BU$2950),ROW($BU$13:$BU$2950)),""),ROWS($A$13:$A43))),""),"")</f>
        <v/>
      </c>
      <c r="CA43" s="2298">
        <v>32508</v>
      </c>
      <c r="CB43" s="345" t="s">
        <v>325</v>
      </c>
      <c r="CD43" s="237">
        <v>1.26</v>
      </c>
      <c r="CE43" s="237" t="s">
        <v>352</v>
      </c>
      <c r="CG43" s="345">
        <v>104.05</v>
      </c>
      <c r="CH43" s="345" t="s">
        <v>321</v>
      </c>
      <c r="CJ43" s="347">
        <v>1.43</v>
      </c>
      <c r="CK43" s="347" t="s">
        <v>352</v>
      </c>
      <c r="CL43" s="1789"/>
      <c r="CM43" s="2299"/>
      <c r="CN43" s="345"/>
      <c r="CR43" s="345"/>
      <c r="CS43" s="345"/>
      <c r="CU43" s="345"/>
      <c r="CV43" s="345"/>
      <c r="CX43" s="347"/>
      <c r="CY43" s="347"/>
      <c r="DA43" s="348"/>
      <c r="DC43" s="348"/>
      <c r="DE43" s="1792"/>
      <c r="DF43" s="345"/>
      <c r="DH43" s="237"/>
      <c r="DI43" s="237"/>
      <c r="DK43" s="345"/>
      <c r="DL43" s="345"/>
      <c r="DN43" s="347"/>
      <c r="DO43" s="347"/>
      <c r="DP43" s="2505"/>
      <c r="DT43" s="591" t="s">
        <v>344</v>
      </c>
      <c r="DU43" s="591" t="s">
        <v>2622</v>
      </c>
      <c r="DV43" s="591" t="s">
        <v>2627</v>
      </c>
      <c r="DW43" s="598">
        <v>26.631995</v>
      </c>
      <c r="DX43" s="599">
        <v>-81.849007</v>
      </c>
      <c r="DY43" s="595" t="s">
        <v>686</v>
      </c>
      <c r="DZ43" s="594" t="s">
        <v>685</v>
      </c>
      <c r="EA43" s="592" t="str">
        <f t="shared" si="0"/>
        <v>Lee - Southward Village CNI Phase 2 - site 5</v>
      </c>
      <c r="EB43" s="592" t="str">
        <f t="shared" si="1"/>
        <v>Family</v>
      </c>
      <c r="EC43" s="592" t="str">
        <f t="shared" si="2"/>
        <v>(26.631995, -81.849007)</v>
      </c>
      <c r="ED43" s="594" t="str">
        <f t="shared" si="3"/>
        <v>&gt;30</v>
      </c>
    </row>
    <row r="44" spans="1:134" ht="14.45" customHeight="1">
      <c r="A44" s="346">
        <v>33324</v>
      </c>
      <c r="B44" s="345" t="s">
        <v>310</v>
      </c>
      <c r="E44" s="934"/>
      <c r="F44" s="345">
        <v>647</v>
      </c>
      <c r="G44" s="345" t="s">
        <v>309</v>
      </c>
      <c r="L44" s="347">
        <v>2.0099999999999998</v>
      </c>
      <c r="M44" s="347" t="s">
        <v>306</v>
      </c>
      <c r="O44" s="348" t="str">
        <f t="array" ref="O44">IFERROR(IF($O$11="Metro",INDEX($F$13:$F$738,SMALL(IF((County=$G$13:$G$738),MATCH(ROW($G$13:$G$738),ROW($G$13:$G$738)),""),ROWS($A$13:A44))),INDEX($I$13:$I$42,SMALL(IF((County=$J$13:$J$42),MATCH(ROW($J$13:$J$42),ROW($J$13:$J$42)),""),ROWS($A$13:A44)))),"")</f>
        <v/>
      </c>
      <c r="Q44" s="348" t="str">
        <f t="array" ref="Q44">IFERROR(IF($Q$11="Yes",INDEX($L$13:$L$2313,SMALL(IF((County=$M$13:$M$2313),MATCH(ROW($M$13:$M$2313),ROW($M$13:$M$2313)),""),ROWS($A$13:A44))),""),"")</f>
        <v/>
      </c>
      <c r="S44" s="346">
        <v>32544</v>
      </c>
      <c r="T44" s="345" t="s">
        <v>357</v>
      </c>
      <c r="V44" s="345">
        <v>3.05</v>
      </c>
      <c r="W44" s="345" t="s">
        <v>352</v>
      </c>
      <c r="AB44" s="347">
        <v>2</v>
      </c>
      <c r="AC44" s="347" t="s">
        <v>345</v>
      </c>
      <c r="AD44" s="1138"/>
      <c r="AE44" s="346">
        <v>33322</v>
      </c>
      <c r="AF44" s="345" t="s">
        <v>310</v>
      </c>
      <c r="AI44" s="934"/>
      <c r="AJ44" s="345">
        <v>645</v>
      </c>
      <c r="AK44" s="345" t="s">
        <v>309</v>
      </c>
      <c r="AM44" s="345">
        <v>302</v>
      </c>
      <c r="AN44" s="345" t="s">
        <v>374</v>
      </c>
      <c r="AP44" s="347">
        <v>401.01</v>
      </c>
      <c r="AQ44" s="347" t="s">
        <v>302</v>
      </c>
      <c r="AS44" s="348" t="str">
        <f t="array" ref="AS44">IFERROR(IF($AS$11="Metro",INDEX($AJ$13:$AJ$814,SMALL(IF((County=$AK$13:$AK$814),MATCH(ROW($AK$13:$AK$814),ROW($AK$13:$AK$814)),""),ROWS($A$13:$A44))),INDEX($AM$13:$AM$48,SMALL(IF((County=$AN$13:$AN$48),MATCH(ROW($AN$13:$AN$48),ROW($AN$13:$AN$48)),""),ROWS($A$13:$A44)))),"")</f>
        <v/>
      </c>
      <c r="AU44" s="348" t="str">
        <f t="array" ref="AU44">IFERROR(IF($AU$11="Yes",INDEX($AP$13:$AP$2950,SMALL(IF((County=$AQ$13:$AQ$2950),MATCH(ROW($AQ$13:$AQ$2950),ROW($AQ$13:$AQ$2950)),""),ROWS($A$13:$A44))),""),"")</f>
        <v/>
      </c>
      <c r="AW44" s="346">
        <v>32456</v>
      </c>
      <c r="AX44" s="345" t="s">
        <v>331</v>
      </c>
      <c r="AZ44" s="345">
        <v>2.27</v>
      </c>
      <c r="BA44" s="345" t="s">
        <v>352</v>
      </c>
      <c r="BC44" s="345">
        <v>700</v>
      </c>
      <c r="BD44" s="345" t="s">
        <v>366</v>
      </c>
      <c r="BF44" s="347">
        <v>1.44</v>
      </c>
      <c r="BG44" s="347" t="s">
        <v>352</v>
      </c>
      <c r="BH44" s="1790"/>
      <c r="BI44" s="1791">
        <v>33073</v>
      </c>
      <c r="BJ44" s="345" t="s">
        <v>310</v>
      </c>
      <c r="BM44" s="1784"/>
      <c r="BN44" s="345">
        <v>18.13</v>
      </c>
      <c r="BO44" s="345" t="s">
        <v>297</v>
      </c>
      <c r="BQ44" s="345">
        <v>104.06</v>
      </c>
      <c r="BR44" s="345" t="s">
        <v>321</v>
      </c>
      <c r="BT44" s="347">
        <v>401.02</v>
      </c>
      <c r="BU44" s="347" t="s">
        <v>302</v>
      </c>
      <c r="BW44" s="348" t="str">
        <f t="array" ref="BW44">IFERROR(IF($BW$11="Metro",INDEX($BN$13:$BN$4972,SMALL(IF((County=$BO$13:$BO$4972),MATCH(ROW($BO$13:$BO$4972),ROW($BO$13:$BO$4972)),""),ROWS($A$13:$A44))),INDEX($BQ$13:$BQ$212,SMALL(IF((County=$BR$13:$BR$212),MATCH(ROW($BR$13:$BR$212),ROW($BR$13:$BR$212)),""),ROWS($A$13:$A44)))),"")</f>
        <v/>
      </c>
      <c r="BY44" s="348" t="str">
        <f t="array" ref="BY44">IFERROR(IF($BY$11="Yes",INDEX($BT$13:$BT$2950,SMALL(IF((County=$BU$13:$BU$2950),MATCH(ROW($BU$13:$BU$2950),ROW($BU$13:$BU$2950)),""),ROWS($A$13:$A44))),""),"")</f>
        <v/>
      </c>
      <c r="CA44" s="1792">
        <v>32541</v>
      </c>
      <c r="CB44" s="345" t="s">
        <v>357</v>
      </c>
      <c r="CD44" s="237">
        <v>1.27</v>
      </c>
      <c r="CE44" s="237" t="s">
        <v>352</v>
      </c>
      <c r="CG44" s="345">
        <v>104.06</v>
      </c>
      <c r="CH44" s="345" t="s">
        <v>321</v>
      </c>
      <c r="CJ44" s="347">
        <v>1.44</v>
      </c>
      <c r="CK44" s="347" t="s">
        <v>352</v>
      </c>
      <c r="CL44" s="1789"/>
      <c r="CM44" s="2299"/>
      <c r="CN44" s="345"/>
      <c r="CR44" s="345"/>
      <c r="CS44" s="345"/>
      <c r="CU44" s="345"/>
      <c r="CV44" s="345"/>
      <c r="CX44" s="347"/>
      <c r="CY44" s="347"/>
      <c r="DA44" s="348"/>
      <c r="DC44" s="348"/>
      <c r="DE44" s="1792"/>
      <c r="DF44" s="345"/>
      <c r="DH44" s="237"/>
      <c r="DI44" s="237"/>
      <c r="DK44" s="345"/>
      <c r="DL44" s="345"/>
      <c r="DN44" s="347"/>
      <c r="DO44" s="347"/>
      <c r="DP44" s="2505"/>
      <c r="DT44" s="605" t="s">
        <v>344</v>
      </c>
      <c r="DU44" s="605" t="s">
        <v>2622</v>
      </c>
      <c r="DV44" s="606" t="s">
        <v>2628</v>
      </c>
      <c r="DW44" s="606">
        <v>26.631851000000001</v>
      </c>
      <c r="DX44" s="606">
        <v>-81.849429999999998</v>
      </c>
      <c r="DY44" s="607" t="s">
        <v>686</v>
      </c>
      <c r="DZ44" s="608" t="s">
        <v>685</v>
      </c>
      <c r="EA44" s="592" t="str">
        <f t="shared" si="0"/>
        <v>Lee - Southward Village CNI Phase 2 - site 6</v>
      </c>
      <c r="EB44" s="592" t="str">
        <f t="shared" si="1"/>
        <v>Family</v>
      </c>
      <c r="EC44" s="592" t="str">
        <f t="shared" si="2"/>
        <v>(26.631851, -81.84943)</v>
      </c>
      <c r="ED44" s="594" t="str">
        <f t="shared" si="3"/>
        <v>&gt;30</v>
      </c>
    </row>
    <row r="45" spans="1:134" ht="14.45" customHeight="1">
      <c r="A45" s="346">
        <v>33325</v>
      </c>
      <c r="B45" s="345" t="s">
        <v>310</v>
      </c>
      <c r="E45" s="934"/>
      <c r="F45" s="345">
        <v>649.02</v>
      </c>
      <c r="G45" s="345" t="s">
        <v>309</v>
      </c>
      <c r="L45" s="347">
        <v>5</v>
      </c>
      <c r="M45" s="347" t="s">
        <v>306</v>
      </c>
      <c r="O45" s="348" t="str">
        <f t="array" ref="O45">IFERROR(IF($O$11="Metro",INDEX($F$13:$F$738,SMALL(IF((County=$G$13:$G$738),MATCH(ROW($G$13:$G$738),ROW($G$13:$G$738)),""),ROWS($A$13:A45))),INDEX($I$13:$I$42,SMALL(IF((County=$J$13:$J$42),MATCH(ROW($J$13:$J$42),ROW($J$13:$J$42)),""),ROWS($A$13:A45)))),"")</f>
        <v/>
      </c>
      <c r="Q45" s="348" t="str">
        <f t="array" ref="Q45">IFERROR(IF($Q$11="Yes",INDEX($L$13:$L$2313,SMALL(IF((County=$M$13:$M$2313),MATCH(ROW($M$13:$M$2313),ROW($M$13:$M$2313)),""),ROWS($A$13:A45))),""),"")</f>
        <v/>
      </c>
      <c r="S45" s="346">
        <v>32550</v>
      </c>
      <c r="T45" s="345" t="s">
        <v>378</v>
      </c>
      <c r="V45" s="345">
        <v>3.06</v>
      </c>
      <c r="W45" s="345" t="s">
        <v>349</v>
      </c>
      <c r="AB45" s="347">
        <v>2</v>
      </c>
      <c r="AC45" s="347" t="s">
        <v>351</v>
      </c>
      <c r="AD45" s="1138"/>
      <c r="AE45" s="346">
        <v>33323</v>
      </c>
      <c r="AF45" s="345" t="s">
        <v>310</v>
      </c>
      <c r="AI45" s="934"/>
      <c r="AJ45" s="345">
        <v>648</v>
      </c>
      <c r="AK45" s="345" t="s">
        <v>309</v>
      </c>
      <c r="AM45" s="345">
        <v>103</v>
      </c>
      <c r="AN45" s="345" t="s">
        <v>379</v>
      </c>
      <c r="AP45" s="347">
        <v>401.02</v>
      </c>
      <c r="AQ45" s="347" t="s">
        <v>302</v>
      </c>
      <c r="AS45" s="348" t="str">
        <f t="array" ref="AS45">IFERROR(IF($AS$11="Metro",INDEX($AJ$13:$AJ$814,SMALL(IF((County=$AK$13:$AK$814),MATCH(ROW($AK$13:$AK$814),ROW($AK$13:$AK$814)),""),ROWS($A$13:$A45))),INDEX($AM$13:$AM$48,SMALL(IF((County=$AN$13:$AN$48),MATCH(ROW($AN$13:$AN$48),ROW($AN$13:$AN$48)),""),ROWS($A$13:$A45)))),"")</f>
        <v/>
      </c>
      <c r="AU45" s="348" t="str">
        <f t="array" ref="AU45">IFERROR(IF($AU$11="Yes",INDEX($AP$13:$AP$2950,SMALL(IF((County=$AQ$13:$AQ$2950),MATCH(ROW($AQ$13:$AQ$2950),ROW($AQ$13:$AQ$2950)),""),ROWS($A$13:$A45))),""),"")</f>
        <v/>
      </c>
      <c r="AW45" s="346">
        <v>32459</v>
      </c>
      <c r="AX45" s="345" t="s">
        <v>378</v>
      </c>
      <c r="AZ45" s="345">
        <v>2.2799999999999998</v>
      </c>
      <c r="BA45" s="345" t="s">
        <v>352</v>
      </c>
      <c r="BC45" s="345">
        <v>800</v>
      </c>
      <c r="BD45" s="345" t="s">
        <v>366</v>
      </c>
      <c r="BF45" s="347">
        <v>1.45</v>
      </c>
      <c r="BG45" s="347" t="s">
        <v>352</v>
      </c>
      <c r="BH45" s="1790"/>
      <c r="BI45" s="1791">
        <v>33076</v>
      </c>
      <c r="BJ45" s="345" t="s">
        <v>310</v>
      </c>
      <c r="BM45" s="1784"/>
      <c r="BN45" s="345">
        <v>18.149999999999999</v>
      </c>
      <c r="BO45" s="345" t="s">
        <v>297</v>
      </c>
      <c r="BQ45" s="345">
        <v>9701.01</v>
      </c>
      <c r="BR45" s="345" t="s">
        <v>322</v>
      </c>
      <c r="BT45" s="347">
        <v>402.02</v>
      </c>
      <c r="BU45" s="347" t="s">
        <v>302</v>
      </c>
      <c r="BW45" s="348" t="str">
        <f t="array" ref="BW45">IFERROR(IF($BW$11="Metro",INDEX($BN$13:$BN$4972,SMALL(IF((County=$BO$13:$BO$4972),MATCH(ROW($BO$13:$BO$4972),ROW($BO$13:$BO$4972)),""),ROWS($A$13:$A45))),INDEX($BQ$13:$BQ$212,SMALL(IF((County=$BR$13:$BR$212),MATCH(ROW($BR$13:$BR$212),ROW($BR$13:$BR$212)),""),ROWS($A$13:$A45)))),"")</f>
        <v/>
      </c>
      <c r="BY45" s="348" t="str">
        <f t="array" ref="BY45">IFERROR(IF($BY$11="Yes",INDEX($BT$13:$BT$2950,SMALL(IF((County=$BU$13:$BU$2950),MATCH(ROW($BU$13:$BU$2950),ROW($BU$13:$BU$2950)),""),ROWS($A$13:$A45))),""),"")</f>
        <v/>
      </c>
      <c r="CA45" s="1792">
        <v>32542</v>
      </c>
      <c r="CB45" s="345" t="s">
        <v>357</v>
      </c>
      <c r="CD45" s="237">
        <v>1.28</v>
      </c>
      <c r="CE45" s="237" t="s">
        <v>352</v>
      </c>
      <c r="CG45" s="237">
        <v>1101</v>
      </c>
      <c r="CH45" s="237" t="s">
        <v>348</v>
      </c>
      <c r="CJ45" s="347">
        <v>1.45</v>
      </c>
      <c r="CK45" s="347" t="s">
        <v>352</v>
      </c>
      <c r="CL45" s="1789"/>
      <c r="CM45" s="2299"/>
      <c r="CN45" s="345"/>
      <c r="CR45" s="345"/>
      <c r="CS45" s="345"/>
      <c r="CU45" s="345"/>
      <c r="CV45" s="345"/>
      <c r="CX45" s="347"/>
      <c r="CY45" s="347"/>
      <c r="DA45" s="348"/>
      <c r="DC45" s="348"/>
      <c r="DE45" s="1792"/>
      <c r="DF45" s="345"/>
      <c r="DH45" s="237"/>
      <c r="DI45" s="237"/>
      <c r="DK45" s="345"/>
      <c r="DL45" s="345"/>
      <c r="DN45" s="347"/>
      <c r="DO45" s="347"/>
      <c r="DP45" s="2505"/>
      <c r="DT45" s="603" t="s">
        <v>344</v>
      </c>
      <c r="DU45" s="603" t="s">
        <v>2622</v>
      </c>
      <c r="DV45" s="591" t="s">
        <v>2629</v>
      </c>
      <c r="DW45" s="591">
        <v>26.631326000000001</v>
      </c>
      <c r="DX45" s="602">
        <v>-81.850038999999995</v>
      </c>
      <c r="DY45" s="595" t="s">
        <v>686</v>
      </c>
      <c r="DZ45" s="594" t="s">
        <v>685</v>
      </c>
      <c r="EA45" s="592" t="str">
        <f t="shared" ref="EA45:EA60" si="4">DT45&amp;" - "&amp;DV45</f>
        <v>Lee - Southward Village CNI Phase 2 - site 7</v>
      </c>
      <c r="EB45" s="592" t="str">
        <f t="shared" ref="EB45:EB60" si="5">IF(DY45="F","Family",IF(DY45="E","Elderly, Non-ALF",IF(DY45="ALF","Elderly, Assisted Living Facility",IF(DY45="W","Workforce",""))))</f>
        <v>Family</v>
      </c>
      <c r="EC45" s="592" t="str">
        <f t="shared" ref="EC45:EC60" si="6">"("&amp;DW45&amp;", "&amp;DX45&amp;")"</f>
        <v>(26.631326, -81.850039)</v>
      </c>
      <c r="ED45" s="594" t="str">
        <f t="shared" ref="ED45:ED60" si="7">IF(DZ45="N","&gt;30",IF(DZ45="Y","&lt;31",""))</f>
        <v>&gt;30</v>
      </c>
    </row>
    <row r="46" spans="1:134" ht="14.45" customHeight="1">
      <c r="A46" s="346">
        <v>33326</v>
      </c>
      <c r="B46" s="345" t="s">
        <v>310</v>
      </c>
      <c r="E46" s="934"/>
      <c r="F46" s="345">
        <v>651.24</v>
      </c>
      <c r="G46" s="345" t="s">
        <v>309</v>
      </c>
      <c r="L46" s="347">
        <v>6</v>
      </c>
      <c r="M46" s="347" t="s">
        <v>306</v>
      </c>
      <c r="O46" s="348" t="str">
        <f t="array" ref="O46">IFERROR(IF($O$11="Metro",INDEX($F$13:$F$738,SMALL(IF((County=$G$13:$G$738),MATCH(ROW($G$13:$G$738),ROW($G$13:$G$738)),""),ROWS($A$13:A46))),INDEX($I$13:$I$42,SMALL(IF((County=$J$13:$J$42),MATCH(ROW($J$13:$J$42),ROW($J$13:$J$42)),""),ROWS($A$13:A46)))),"")</f>
        <v/>
      </c>
      <c r="Q46" s="348" t="str">
        <f t="array" ref="Q46">IFERROR(IF($Q$11="Yes",INDEX($L$13:$L$2313,SMALL(IF((County=$M$13:$M$2313),MATCH(ROW($M$13:$M$2313),ROW($M$13:$M$2313)),""),ROWS($A$13:A46))),""),"")</f>
        <v/>
      </c>
      <c r="S46" s="346">
        <v>32561</v>
      </c>
      <c r="T46" s="345" t="s">
        <v>367</v>
      </c>
      <c r="V46" s="345">
        <v>3.06</v>
      </c>
      <c r="W46" s="345" t="s">
        <v>352</v>
      </c>
      <c r="AB46" s="347">
        <v>2.0099999999999998</v>
      </c>
      <c r="AC46" s="347" t="s">
        <v>306</v>
      </c>
      <c r="AD46" s="1138"/>
      <c r="AE46" s="346">
        <v>33324</v>
      </c>
      <c r="AF46" s="345" t="s">
        <v>310</v>
      </c>
      <c r="AI46" s="934"/>
      <c r="AJ46" s="345">
        <v>649.02</v>
      </c>
      <c r="AK46" s="345" t="s">
        <v>309</v>
      </c>
      <c r="AM46" s="345">
        <v>104</v>
      </c>
      <c r="AN46" s="345" t="s">
        <v>379</v>
      </c>
      <c r="AP46" s="347">
        <v>402.02</v>
      </c>
      <c r="AQ46" s="347" t="s">
        <v>302</v>
      </c>
      <c r="AS46" s="348" t="str">
        <f t="array" ref="AS46">IFERROR(IF($AS$11="Metro",INDEX($AJ$13:$AJ$814,SMALL(IF((County=$AK$13:$AK$814),MATCH(ROW($AK$13:$AK$814),ROW($AK$13:$AK$814)),""),ROWS($A$13:$A46))),INDEX($AM$13:$AM$48,SMALL(IF((County=$AN$13:$AN$48),MATCH(ROW($AN$13:$AN$48),ROW($AN$13:$AN$48)),""),ROWS($A$13:$A46)))),"")</f>
        <v/>
      </c>
      <c r="AU46" s="348" t="str">
        <f t="array" ref="AU46">IFERROR(IF($AU$11="Yes",INDEX($AP$13:$AP$2950,SMALL(IF((County=$AQ$13:$AQ$2950),MATCH(ROW($AQ$13:$AQ$2950),ROW($AQ$13:$AQ$2950)),""),ROWS($A$13:$A46))),""),"")</f>
        <v/>
      </c>
      <c r="AW46" s="346">
        <v>32541</v>
      </c>
      <c r="AX46" s="345" t="s">
        <v>357</v>
      </c>
      <c r="AZ46" s="345">
        <v>3</v>
      </c>
      <c r="BA46" s="345" t="s">
        <v>323</v>
      </c>
      <c r="BC46" s="345">
        <v>900</v>
      </c>
      <c r="BD46" s="345" t="s">
        <v>366</v>
      </c>
      <c r="BF46" s="347">
        <v>1.46</v>
      </c>
      <c r="BG46" s="347" t="s">
        <v>352</v>
      </c>
      <c r="BH46" s="1790"/>
      <c r="BI46" s="1791">
        <v>33301</v>
      </c>
      <c r="BJ46" s="345" t="s">
        <v>310</v>
      </c>
      <c r="BM46" s="1784"/>
      <c r="BN46" s="345">
        <v>18.16</v>
      </c>
      <c r="BO46" s="345" t="s">
        <v>297</v>
      </c>
      <c r="BQ46" s="345">
        <v>9701.0300000000007</v>
      </c>
      <c r="BR46" s="345" t="s">
        <v>322</v>
      </c>
      <c r="BT46" s="347">
        <v>2.04</v>
      </c>
      <c r="BU46" s="347" t="s">
        <v>306</v>
      </c>
      <c r="BW46" s="348" t="str">
        <f t="array" ref="BW46">IFERROR(IF($BW$11="Metro",INDEX($BN$13:$BN$4972,SMALL(IF((County=$BO$13:$BO$4972),MATCH(ROW($BO$13:$BO$4972),ROW($BO$13:$BO$4972)),""),ROWS($A$13:$A46))),INDEX($BQ$13:$BQ$212,SMALL(IF((County=$BR$13:$BR$212),MATCH(ROW($BR$13:$BR$212),ROW($BR$13:$BR$212)),""),ROWS($A$13:$A46)))),"")</f>
        <v/>
      </c>
      <c r="BY46" s="348" t="str">
        <f t="array" ref="BY46">IFERROR(IF($BY$11="Yes",INDEX($BT$13:$BT$2950,SMALL(IF((County=$BU$13:$BU$2950),MATCH(ROW($BU$13:$BU$2950),ROW($BU$13:$BU$2950)),""),ROWS($A$13:$A46))),""),"")</f>
        <v/>
      </c>
      <c r="CA46" s="1792">
        <v>32544</v>
      </c>
      <c r="CB46" s="345" t="s">
        <v>357</v>
      </c>
      <c r="CD46" s="237">
        <v>1.29</v>
      </c>
      <c r="CE46" s="237" t="s">
        <v>352</v>
      </c>
      <c r="CG46" s="237">
        <v>1102</v>
      </c>
      <c r="CH46" s="237" t="s">
        <v>348</v>
      </c>
      <c r="CJ46" s="347">
        <v>1.46</v>
      </c>
      <c r="CK46" s="347" t="s">
        <v>352</v>
      </c>
      <c r="CL46" s="1789"/>
      <c r="CM46" s="2299"/>
      <c r="CN46" s="345"/>
      <c r="CR46" s="345"/>
      <c r="CS46" s="345"/>
      <c r="CU46" s="345"/>
      <c r="CV46" s="345"/>
      <c r="CX46" s="347"/>
      <c r="CY46" s="347"/>
      <c r="DA46" s="348"/>
      <c r="DC46" s="348"/>
      <c r="DE46" s="1792"/>
      <c r="DF46" s="345"/>
      <c r="DH46" s="237"/>
      <c r="DI46" s="237"/>
      <c r="DK46" s="345"/>
      <c r="DL46" s="345"/>
      <c r="DN46" s="347"/>
      <c r="DO46" s="347"/>
      <c r="DP46" s="2505"/>
      <c r="DT46" s="591" t="s">
        <v>344</v>
      </c>
      <c r="DU46" s="591" t="s">
        <v>2622</v>
      </c>
      <c r="DV46" s="591" t="s">
        <v>2630</v>
      </c>
      <c r="DW46" s="602">
        <v>26.633621000000002</v>
      </c>
      <c r="DX46" s="602">
        <v>-81.851363000000006</v>
      </c>
      <c r="DY46" s="595" t="s">
        <v>686</v>
      </c>
      <c r="DZ46" s="595" t="s">
        <v>685</v>
      </c>
      <c r="EA46" s="592" t="str">
        <f t="shared" si="4"/>
        <v>Lee - Southward Village CNI Phase 2 - site 8</v>
      </c>
      <c r="EB46" s="592" t="str">
        <f t="shared" si="5"/>
        <v>Family</v>
      </c>
      <c r="EC46" s="592" t="str">
        <f t="shared" si="6"/>
        <v>(26.633621, -81.851363)</v>
      </c>
      <c r="ED46" s="594" t="str">
        <f t="shared" si="7"/>
        <v>&gt;30</v>
      </c>
    </row>
    <row r="47" spans="1:134" ht="14.45" customHeight="1">
      <c r="A47" s="346">
        <v>33327</v>
      </c>
      <c r="B47" s="345" t="s">
        <v>310</v>
      </c>
      <c r="E47" s="934"/>
      <c r="F47" s="345">
        <v>699.02</v>
      </c>
      <c r="G47" s="345" t="s">
        <v>309</v>
      </c>
      <c r="L47" s="347">
        <v>7</v>
      </c>
      <c r="M47" s="347" t="s">
        <v>306</v>
      </c>
      <c r="O47" s="348" t="str">
        <f t="array" ref="O47">IFERROR(IF($O$11="Metro",INDEX($F$13:$F$738,SMALL(IF((County=$G$13:$G$738),MATCH(ROW($G$13:$G$738),ROW($G$13:$G$738)),""),ROWS($A$13:A47))),INDEX($I$13:$I$42,SMALL(IF((County=$J$13:$J$42),MATCH(ROW($J$13:$J$42),ROW($J$13:$J$42)),""),ROWS($A$13:A47)))),"")</f>
        <v/>
      </c>
      <c r="Q47" s="348" t="str">
        <f t="array" ref="Q47">IFERROR(IF($Q$11="Yes",INDEX($L$13:$L$2313,SMALL(IF((County=$M$13:$M$2313),MATCH(ROW($M$13:$M$2313),ROW($M$13:$M$2313)),""),ROWS($A$13:A47))),""),"")</f>
        <v/>
      </c>
      <c r="S47" s="346">
        <v>32566</v>
      </c>
      <c r="T47" s="345" t="s">
        <v>367</v>
      </c>
      <c r="V47" s="345">
        <v>3.09</v>
      </c>
      <c r="W47" s="345" t="s">
        <v>349</v>
      </c>
      <c r="AB47" s="347">
        <v>2.02</v>
      </c>
      <c r="AC47" s="347" t="s">
        <v>361</v>
      </c>
      <c r="AD47" s="1138"/>
      <c r="AE47" s="346">
        <v>33325</v>
      </c>
      <c r="AF47" s="345" t="s">
        <v>310</v>
      </c>
      <c r="AI47" s="934"/>
      <c r="AJ47" s="345">
        <v>651.24</v>
      </c>
      <c r="AK47" s="345" t="s">
        <v>309</v>
      </c>
      <c r="AM47" s="345">
        <v>200</v>
      </c>
      <c r="AN47" s="345" t="s">
        <v>379</v>
      </c>
      <c r="AP47" s="347">
        <v>4.01</v>
      </c>
      <c r="AQ47" s="347" t="s">
        <v>306</v>
      </c>
      <c r="AS47" s="348" t="str">
        <f t="array" ref="AS47">IFERROR(IF($AS$11="Metro",INDEX($AJ$13:$AJ$814,SMALL(IF((County=$AK$13:$AK$814),MATCH(ROW($AK$13:$AK$814),ROW($AK$13:$AK$814)),""),ROWS($A$13:$A47))),INDEX($AM$13:$AM$48,SMALL(IF((County=$AN$13:$AN$48),MATCH(ROW($AN$13:$AN$48),ROW($AN$13:$AN$48)),""),ROWS($A$13:$A47)))),"")</f>
        <v/>
      </c>
      <c r="AU47" s="348" t="str">
        <f t="array" ref="AU47">IFERROR(IF($AU$11="Yes",INDEX($AP$13:$AP$2950,SMALL(IF((County=$AQ$13:$AQ$2950),MATCH(ROW($AQ$13:$AQ$2950),ROW($AQ$13:$AQ$2950)),""),ROWS($A$13:$A47))),""),"")</f>
        <v/>
      </c>
      <c r="AW47" s="346">
        <v>32542</v>
      </c>
      <c r="AX47" s="345" t="s">
        <v>357</v>
      </c>
      <c r="AZ47" s="345">
        <v>3</v>
      </c>
      <c r="BA47" s="345" t="s">
        <v>325</v>
      </c>
      <c r="BC47" s="345">
        <v>1200</v>
      </c>
      <c r="BD47" s="345" t="s">
        <v>366</v>
      </c>
      <c r="BF47" s="347">
        <v>2</v>
      </c>
      <c r="BG47" s="347" t="s">
        <v>318</v>
      </c>
      <c r="BH47" s="1790"/>
      <c r="BI47" s="1791">
        <v>33304</v>
      </c>
      <c r="BJ47" s="345" t="s">
        <v>310</v>
      </c>
      <c r="BM47" s="1784"/>
      <c r="BN47" s="345">
        <v>18.170000000000002</v>
      </c>
      <c r="BO47" s="345" t="s">
        <v>297</v>
      </c>
      <c r="BQ47" s="345">
        <v>9701.0400000000009</v>
      </c>
      <c r="BR47" s="345" t="s">
        <v>322</v>
      </c>
      <c r="BT47" s="347">
        <v>3.02</v>
      </c>
      <c r="BU47" s="347" t="s">
        <v>306</v>
      </c>
      <c r="BW47" s="348" t="str">
        <f t="array" ref="BW47">IFERROR(IF($BW$11="Metro",INDEX($BN$13:$BN$4972,SMALL(IF((County=$BO$13:$BO$4972),MATCH(ROW($BO$13:$BO$4972),ROW($BO$13:$BO$4972)),""),ROWS($A$13:$A47))),INDEX($BQ$13:$BQ$212,SMALL(IF((County=$BR$13:$BR$212),MATCH(ROW($BR$13:$BR$212),ROW($BR$13:$BR$212)),""),ROWS($A$13:$A47)))),"")</f>
        <v/>
      </c>
      <c r="BY47" s="348" t="str">
        <f t="array" ref="BY47">IFERROR(IF($BY$11="Yes",INDEX($BT$13:$BT$2950,SMALL(IF((County=$BU$13:$BU$2950),MATCH(ROW($BU$13:$BU$2950),ROW($BU$13:$BU$2950)),""),ROWS($A$13:$A47))),""),"")</f>
        <v/>
      </c>
      <c r="CA47" s="1792">
        <v>32550</v>
      </c>
      <c r="CB47" s="237" t="s">
        <v>378</v>
      </c>
      <c r="CD47" s="237">
        <v>1.3</v>
      </c>
      <c r="CE47" s="237" t="s">
        <v>352</v>
      </c>
      <c r="CG47" s="345">
        <v>1102.01</v>
      </c>
      <c r="CH47" s="345" t="s">
        <v>319</v>
      </c>
      <c r="CJ47" s="347">
        <v>2</v>
      </c>
      <c r="CK47" s="347" t="s">
        <v>318</v>
      </c>
      <c r="CL47" s="1789"/>
      <c r="CM47" s="2299"/>
      <c r="CN47" s="345"/>
      <c r="CR47" s="345"/>
      <c r="CS47" s="345"/>
      <c r="CU47" s="345"/>
      <c r="CV47" s="345"/>
      <c r="CX47" s="347"/>
      <c r="CY47" s="347"/>
      <c r="DA47" s="348"/>
      <c r="DC47" s="348"/>
      <c r="DE47" s="1792"/>
      <c r="DF47" s="345"/>
      <c r="DH47" s="237"/>
      <c r="DI47" s="237"/>
      <c r="DK47" s="345"/>
      <c r="DL47" s="345"/>
      <c r="DN47" s="347"/>
      <c r="DO47" s="347"/>
      <c r="DP47" s="2505"/>
      <c r="DT47" s="591" t="s">
        <v>345</v>
      </c>
      <c r="DU47" s="591" t="s">
        <v>703</v>
      </c>
      <c r="DV47" s="591" t="s">
        <v>704</v>
      </c>
      <c r="DW47" s="592">
        <v>30.422654999999999</v>
      </c>
      <c r="DX47" s="592">
        <v>-84.229337999999998</v>
      </c>
      <c r="DY47" s="594" t="s">
        <v>686</v>
      </c>
      <c r="DZ47" s="594" t="s">
        <v>685</v>
      </c>
      <c r="EA47" s="592" t="str">
        <f t="shared" si="4"/>
        <v>Leon - Emery Cove</v>
      </c>
      <c r="EB47" s="592" t="str">
        <f t="shared" si="5"/>
        <v>Family</v>
      </c>
      <c r="EC47" s="592" t="str">
        <f t="shared" si="6"/>
        <v>(30.422655, -84.229338)</v>
      </c>
      <c r="ED47" s="594" t="str">
        <f t="shared" si="7"/>
        <v>&gt;30</v>
      </c>
    </row>
    <row r="48" spans="1:134" ht="14.45" customHeight="1">
      <c r="A48" s="346">
        <v>33328</v>
      </c>
      <c r="B48" s="345" t="s">
        <v>310</v>
      </c>
      <c r="E48" s="934"/>
      <c r="F48" s="345">
        <v>103.07</v>
      </c>
      <c r="G48" s="345" t="s">
        <v>310</v>
      </c>
      <c r="L48" s="347">
        <v>8.0399999999999991</v>
      </c>
      <c r="M48" s="347" t="s">
        <v>306</v>
      </c>
      <c r="O48" s="348" t="str">
        <f t="array" ref="O48">IFERROR(IF($O$11="Metro",INDEX($F$13:$F$738,SMALL(IF((County=$G$13:$G$738),MATCH(ROW($G$13:$G$738),ROW($G$13:$G$738)),""),ROWS($A$13:A48))),INDEX($I$13:$I$42,SMALL(IF((County=$J$13:$J$42),MATCH(ROW($J$13:$J$42),ROW($J$13:$J$42)),""),ROWS($A$13:A48)))),"")</f>
        <v/>
      </c>
      <c r="Q48" s="348" t="str">
        <f t="array" ref="Q48">IFERROR(IF($Q$11="Yes",INDEX($L$13:$L$2313,SMALL(IF((County=$M$13:$M$2313),MATCH(ROW($M$13:$M$2313),ROW($M$13:$M$2313)),""),ROWS($A$13:A48))),""),"")</f>
        <v/>
      </c>
      <c r="S48" s="346">
        <v>32605</v>
      </c>
      <c r="T48" s="345" t="s">
        <v>297</v>
      </c>
      <c r="V48" s="345">
        <v>3.1</v>
      </c>
      <c r="W48" s="345" t="s">
        <v>349</v>
      </c>
      <c r="AB48" s="347">
        <v>2.04</v>
      </c>
      <c r="AC48" s="347" t="s">
        <v>361</v>
      </c>
      <c r="AD48" s="1138"/>
      <c r="AE48" s="346">
        <v>33326</v>
      </c>
      <c r="AF48" s="345" t="s">
        <v>310</v>
      </c>
      <c r="AI48" s="934"/>
      <c r="AJ48" s="345">
        <v>699.06</v>
      </c>
      <c r="AK48" s="345" t="s">
        <v>309</v>
      </c>
      <c r="AM48" s="345">
        <v>302</v>
      </c>
      <c r="AN48" s="345" t="s">
        <v>379</v>
      </c>
      <c r="AP48" s="347">
        <v>4.0199999999999996</v>
      </c>
      <c r="AQ48" s="347" t="s">
        <v>306</v>
      </c>
      <c r="AS48" s="348" t="str">
        <f t="array" ref="AS48">IFERROR(IF($AS$11="Metro",INDEX($AJ$13:$AJ$814,SMALL(IF((County=$AK$13:$AK$814),MATCH(ROW($AK$13:$AK$814),ROW($AK$13:$AK$814)),""),ROWS($A$13:$A48))),INDEX($AM$13:$AM$48,SMALL(IF((County=$AN$13:$AN$48),MATCH(ROW($AN$13:$AN$48),ROW($AN$13:$AN$48)),""),ROWS($A$13:$A48)))),"")</f>
        <v/>
      </c>
      <c r="AU48" s="348" t="str">
        <f t="array" ref="AU48">IFERROR(IF($AU$11="Yes",INDEX($AP$13:$AP$2950,SMALL(IF((County=$AQ$13:$AQ$2950),MATCH(ROW($AQ$13:$AQ$2950),ROW($AQ$13:$AQ$2950)),""),ROWS($A$13:$A48))),""),"")</f>
        <v/>
      </c>
      <c r="AW48" s="346">
        <v>32544</v>
      </c>
      <c r="AX48" s="345" t="s">
        <v>357</v>
      </c>
      <c r="AZ48" s="345">
        <v>3</v>
      </c>
      <c r="BA48" s="345" t="s">
        <v>368</v>
      </c>
      <c r="BC48" s="345">
        <v>1401</v>
      </c>
      <c r="BD48" s="345" t="s">
        <v>366</v>
      </c>
      <c r="BF48" s="347">
        <v>2</v>
      </c>
      <c r="BG48" s="347" t="s">
        <v>334</v>
      </c>
      <c r="BH48" s="1790"/>
      <c r="BI48" s="1791">
        <v>33305</v>
      </c>
      <c r="BJ48" s="345" t="s">
        <v>310</v>
      </c>
      <c r="BM48" s="1784"/>
      <c r="BN48" s="345">
        <v>18.18</v>
      </c>
      <c r="BO48" s="345" t="s">
        <v>297</v>
      </c>
      <c r="BQ48" s="345">
        <v>9702.01</v>
      </c>
      <c r="BR48" s="345" t="s">
        <v>322</v>
      </c>
      <c r="BT48" s="347">
        <v>5</v>
      </c>
      <c r="BU48" s="347" t="s">
        <v>306</v>
      </c>
      <c r="BW48" s="348" t="str">
        <f t="array" ref="BW48">IFERROR(IF($BW$11="Metro",INDEX($BN$13:$BN$4972,SMALL(IF((County=$BO$13:$BO$4972),MATCH(ROW($BO$13:$BO$4972),ROW($BO$13:$BO$4972)),""),ROWS($A$13:$A48))),INDEX($BQ$13:$BQ$212,SMALL(IF((County=$BR$13:$BR$212),MATCH(ROW($BR$13:$BR$212),ROW($BR$13:$BR$212)),""),ROWS($A$13:$A48)))),"")</f>
        <v/>
      </c>
      <c r="BY48" s="348" t="str">
        <f t="array" ref="BY48">IFERROR(IF($BY$11="Yes",INDEX($BT$13:$BT$2950,SMALL(IF((County=$BU$13:$BU$2950),MATCH(ROW($BU$13:$BU$2950),ROW($BU$13:$BU$2950)),""),ROWS($A$13:$A48))),""),"")</f>
        <v/>
      </c>
      <c r="CA48" s="2298">
        <v>32561</v>
      </c>
      <c r="CB48" s="345" t="s">
        <v>367</v>
      </c>
      <c r="CD48" s="237">
        <v>1.31</v>
      </c>
      <c r="CE48" s="237" t="s">
        <v>352</v>
      </c>
      <c r="CG48" s="345">
        <v>1102.02</v>
      </c>
      <c r="CH48" s="345" t="s">
        <v>319</v>
      </c>
      <c r="CJ48" s="347">
        <v>2</v>
      </c>
      <c r="CK48" s="347" t="s">
        <v>334</v>
      </c>
      <c r="CL48" s="1789"/>
      <c r="CM48" s="2299"/>
      <c r="CN48" s="345"/>
      <c r="CR48" s="345"/>
      <c r="CS48" s="345"/>
      <c r="CU48" s="345"/>
      <c r="CV48" s="345"/>
      <c r="CX48" s="347"/>
      <c r="CY48" s="347"/>
      <c r="DA48" s="348"/>
      <c r="DC48" s="348"/>
      <c r="DE48" s="1792"/>
      <c r="DF48" s="345"/>
      <c r="DH48" s="237"/>
      <c r="DI48" s="237"/>
      <c r="DK48" s="345"/>
      <c r="DL48" s="345"/>
      <c r="DN48" s="347"/>
      <c r="DO48" s="347"/>
      <c r="DP48" s="2505"/>
      <c r="DT48" s="596" t="s">
        <v>345</v>
      </c>
      <c r="DU48" s="596" t="s">
        <v>2631</v>
      </c>
      <c r="DV48" s="591" t="s">
        <v>2632</v>
      </c>
      <c r="DW48" s="591">
        <v>30.422141</v>
      </c>
      <c r="DX48" s="591">
        <v>-84.301309000000003</v>
      </c>
      <c r="DY48" s="595" t="s">
        <v>686</v>
      </c>
      <c r="DZ48" s="597" t="s">
        <v>685</v>
      </c>
      <c r="EA48" s="592" t="str">
        <f t="shared" si="4"/>
        <v>Leon - Lake Bradford Apartments</v>
      </c>
      <c r="EB48" s="592" t="str">
        <f t="shared" si="5"/>
        <v>Family</v>
      </c>
      <c r="EC48" s="592" t="str">
        <f t="shared" si="6"/>
        <v>(30.422141, -84.301309)</v>
      </c>
      <c r="ED48" s="594" t="str">
        <f t="shared" si="7"/>
        <v>&gt;30</v>
      </c>
    </row>
    <row r="49" spans="1:134" ht="14.45" customHeight="1">
      <c r="A49" s="346">
        <v>33330</v>
      </c>
      <c r="B49" s="345" t="s">
        <v>310</v>
      </c>
      <c r="E49" s="934"/>
      <c r="F49" s="345">
        <v>204.05</v>
      </c>
      <c r="G49" s="345" t="s">
        <v>310</v>
      </c>
      <c r="L49" s="347">
        <v>13.01</v>
      </c>
      <c r="M49" s="347" t="s">
        <v>306</v>
      </c>
      <c r="O49" s="348" t="str">
        <f t="array" ref="O49">IFERROR(IF($O$11="Metro",INDEX($F$13:$F$738,SMALL(IF((County=$G$13:$G$738),MATCH(ROW($G$13:$G$738),ROW($G$13:$G$738)),""),ROWS($A$13:A49))),INDEX($I$13:$I$42,SMALL(IF((County=$J$13:$J$42),MATCH(ROW($J$13:$J$42),ROW($J$13:$J$42)),""),ROWS($A$13:A49)))),"")</f>
        <v/>
      </c>
      <c r="Q49" s="348" t="str">
        <f t="array" ref="Q49">IFERROR(IF($Q$11="Yes",INDEX($L$13:$L$2313,SMALL(IF((County=$M$13:$M$2313),MATCH(ROW($M$13:$M$2313),ROW($M$13:$M$2313)),""),ROWS($A$13:A49))),""),"")</f>
        <v/>
      </c>
      <c r="S49" s="346">
        <v>32606</v>
      </c>
      <c r="T49" s="345" t="s">
        <v>297</v>
      </c>
      <c r="V49" s="345">
        <v>4</v>
      </c>
      <c r="W49" s="345" t="s">
        <v>325</v>
      </c>
      <c r="AB49" s="347">
        <v>2.0499999999999998</v>
      </c>
      <c r="AC49" s="347" t="s">
        <v>361</v>
      </c>
      <c r="AD49" s="1138"/>
      <c r="AE49" s="346">
        <v>33327</v>
      </c>
      <c r="AF49" s="345" t="s">
        <v>310</v>
      </c>
      <c r="AI49" s="934"/>
      <c r="AJ49" s="345">
        <v>699.07</v>
      </c>
      <c r="AK49" s="345" t="s">
        <v>309</v>
      </c>
      <c r="AM49" s="2831" t="s">
        <v>2309</v>
      </c>
      <c r="AN49" s="2832"/>
      <c r="AP49" s="347">
        <v>6</v>
      </c>
      <c r="AQ49" s="347" t="s">
        <v>306</v>
      </c>
      <c r="AS49" s="348" t="str">
        <f t="array" ref="AS49">IFERROR(IF($AS$11="Metro",INDEX($AJ$13:$AJ$814,SMALL(IF((County=$AK$13:$AK$814),MATCH(ROW($AK$13:$AK$814),ROW($AK$13:$AK$814)),""),ROWS($A$13:$A49))),INDEX($AM$13:$AM$48,SMALL(IF((County=$AN$13:$AN$48),MATCH(ROW($AN$13:$AN$48),ROW($AN$13:$AN$48)),""),ROWS($A$13:$A49)))),"")</f>
        <v/>
      </c>
      <c r="AU49" s="348" t="str">
        <f t="array" ref="AU49">IFERROR(IF($AU$11="Yes",INDEX($AP$13:$AP$2950,SMALL(IF((County=$AQ$13:$AQ$2950),MATCH(ROW($AQ$13:$AQ$2950),ROW($AQ$13:$AQ$2950)),""),ROWS($A$13:$A49))),""),"")</f>
        <v/>
      </c>
      <c r="AW49" s="346">
        <v>32561</v>
      </c>
      <c r="AX49" s="345" t="s">
        <v>367</v>
      </c>
      <c r="AZ49" s="345">
        <v>3.01</v>
      </c>
      <c r="BA49" s="345" t="s">
        <v>297</v>
      </c>
      <c r="BC49" s="2831" t="s">
        <v>2309</v>
      </c>
      <c r="BD49" s="2832"/>
      <c r="BF49" s="347">
        <v>2</v>
      </c>
      <c r="BG49" s="347" t="s">
        <v>345</v>
      </c>
      <c r="BH49" s="1790"/>
      <c r="BI49" s="1791">
        <v>33308</v>
      </c>
      <c r="BJ49" s="345" t="s">
        <v>310</v>
      </c>
      <c r="BM49" s="1784"/>
      <c r="BN49" s="345">
        <v>18.190000000000001</v>
      </c>
      <c r="BO49" s="345" t="s">
        <v>297</v>
      </c>
      <c r="BQ49" s="237">
        <v>9702.02</v>
      </c>
      <c r="BR49" s="237" t="s">
        <v>322</v>
      </c>
      <c r="BT49" s="347">
        <v>7</v>
      </c>
      <c r="BU49" s="347" t="s">
        <v>306</v>
      </c>
      <c r="BW49" s="348" t="str">
        <f t="array" ref="BW49">IFERROR(IF($BW$11="Metro",INDEX($BN$13:$BN$4972,SMALL(IF((County=$BO$13:$BO$4972),MATCH(ROW($BO$13:$BO$4972),ROW($BO$13:$BO$4972)),""),ROWS($A$13:$A49))),INDEX($BQ$13:$BQ$212,SMALL(IF((County=$BR$13:$BR$212),MATCH(ROW($BR$13:$BR$212),ROW($BR$13:$BR$212)),""),ROWS($A$13:$A49)))),"")</f>
        <v/>
      </c>
      <c r="BY49" s="348" t="str">
        <f t="array" ref="BY49">IFERROR(IF($BY$11="Yes",INDEX($BT$13:$BT$2950,SMALL(IF((County=$BU$13:$BU$2950),MATCH(ROW($BU$13:$BU$2950),ROW($BU$13:$BU$2950)),""),ROWS($A$13:$A49))),""),"")</f>
        <v/>
      </c>
      <c r="CA49" s="2298">
        <v>32566</v>
      </c>
      <c r="CB49" s="345" t="s">
        <v>367</v>
      </c>
      <c r="CD49" s="237">
        <v>1.32</v>
      </c>
      <c r="CE49" s="237" t="s">
        <v>352</v>
      </c>
      <c r="CG49" s="345">
        <v>1103</v>
      </c>
      <c r="CH49" s="345" t="s">
        <v>319</v>
      </c>
      <c r="CJ49" s="347">
        <v>2</v>
      </c>
      <c r="CK49" s="347" t="s">
        <v>345</v>
      </c>
      <c r="CL49" s="1789"/>
      <c r="CM49" s="2299"/>
      <c r="CN49" s="345"/>
      <c r="CR49" s="345"/>
      <c r="CS49" s="345"/>
      <c r="CU49" s="345"/>
      <c r="CV49" s="345"/>
      <c r="CX49" s="347"/>
      <c r="CY49" s="347"/>
      <c r="DA49" s="348"/>
      <c r="DC49" s="348"/>
      <c r="DE49" s="1792"/>
      <c r="DF49" s="345"/>
      <c r="DH49" s="237"/>
      <c r="DI49" s="237"/>
      <c r="DK49" s="345"/>
      <c r="DL49" s="345"/>
      <c r="DN49" s="347"/>
      <c r="DO49" s="347"/>
      <c r="DP49" s="2505"/>
      <c r="DT49" s="591" t="s">
        <v>345</v>
      </c>
      <c r="DU49" s="591" t="s">
        <v>706</v>
      </c>
      <c r="DV49" s="591" t="s">
        <v>707</v>
      </c>
      <c r="DW49" s="592">
        <v>30.396963</v>
      </c>
      <c r="DX49" s="592">
        <v>-84.292726999999999</v>
      </c>
      <c r="DY49" s="595" t="s">
        <v>686</v>
      </c>
      <c r="DZ49" s="595" t="s">
        <v>685</v>
      </c>
      <c r="EA49" s="592" t="str">
        <f t="shared" si="4"/>
        <v>Leon - Ridge Road</v>
      </c>
      <c r="EB49" s="592" t="str">
        <f t="shared" si="5"/>
        <v>Family</v>
      </c>
      <c r="EC49" s="592" t="str">
        <f t="shared" si="6"/>
        <v>(30.396963, -84.292727)</v>
      </c>
      <c r="ED49" s="594" t="str">
        <f t="shared" si="7"/>
        <v>&gt;30</v>
      </c>
    </row>
    <row r="50" spans="1:134" ht="14.45" customHeight="1">
      <c r="A50" s="346">
        <v>33331</v>
      </c>
      <c r="B50" s="345" t="s">
        <v>310</v>
      </c>
      <c r="E50" s="934"/>
      <c r="F50" s="345">
        <v>204.12</v>
      </c>
      <c r="G50" s="345" t="s">
        <v>310</v>
      </c>
      <c r="L50" s="347">
        <v>14.02</v>
      </c>
      <c r="M50" s="347" t="s">
        <v>306</v>
      </c>
      <c r="O50" s="348" t="str">
        <f t="array" ref="O50">IFERROR(IF($O$11="Metro",INDEX($F$13:$F$738,SMALL(IF((County=$G$13:$G$738),MATCH(ROW($G$13:$G$738),ROW($G$13:$G$738)),""),ROWS($A$13:A50))),INDEX($I$13:$I$42,SMALL(IF((County=$J$13:$J$42),MATCH(ROW($J$13:$J$42),ROW($J$13:$J$42)),""),ROWS($A$13:A50)))),"")</f>
        <v/>
      </c>
      <c r="Q50" s="348" t="str">
        <f t="array" ref="Q50">IFERROR(IF($Q$11="Yes",INDEX($L$13:$L$2313,SMALL(IF((County=$M$13:$M$2313),MATCH(ROW($M$13:$M$2313),ROW($M$13:$M$2313)),""),ROWS($A$13:A50))),""),"")</f>
        <v/>
      </c>
      <c r="S50" s="346">
        <v>32701</v>
      </c>
      <c r="T50" s="345" t="s">
        <v>369</v>
      </c>
      <c r="V50" s="345">
        <v>4</v>
      </c>
      <c r="W50" s="345" t="s">
        <v>345</v>
      </c>
      <c r="AB50" s="347">
        <v>2.06</v>
      </c>
      <c r="AC50" s="347" t="s">
        <v>361</v>
      </c>
      <c r="AD50" s="1138"/>
      <c r="AE50" s="346">
        <v>33328</v>
      </c>
      <c r="AF50" s="345" t="s">
        <v>310</v>
      </c>
      <c r="AI50" s="934"/>
      <c r="AJ50" s="345">
        <v>103.07</v>
      </c>
      <c r="AK50" s="345" t="s">
        <v>310</v>
      </c>
      <c r="AP50" s="347">
        <v>7</v>
      </c>
      <c r="AQ50" s="347" t="s">
        <v>306</v>
      </c>
      <c r="AS50" s="348" t="str">
        <f t="array" ref="AS50">IFERROR(IF($AS$11="Metro",INDEX($AJ$13:$AJ$814,SMALL(IF((County=$AK$13:$AK$814),MATCH(ROW($AK$13:$AK$814),ROW($AK$13:$AK$814)),""),ROWS($A$13:$A50))),INDEX($AM$13:$AM$48,SMALL(IF((County=$AN$13:$AN$48),MATCH(ROW($AN$13:$AN$48),ROW($AN$13:$AN$48)),""),ROWS($A$13:$A50)))),"")</f>
        <v/>
      </c>
      <c r="AU50" s="348" t="str">
        <f t="array" ref="AU50">IFERROR(IF($AU$11="Yes",INDEX($AP$13:$AP$2950,SMALL(IF((County=$AQ$13:$AQ$2950),MATCH(ROW($AQ$13:$AQ$2950),ROW($AQ$13:$AQ$2950)),""),ROWS($A$13:$A50))),""),"")</f>
        <v/>
      </c>
      <c r="AW50" s="346">
        <v>32566</v>
      </c>
      <c r="AX50" s="345" t="s">
        <v>367</v>
      </c>
      <c r="AZ50" s="345">
        <v>3.01</v>
      </c>
      <c r="BA50" s="345" t="s">
        <v>337</v>
      </c>
      <c r="BF50" s="347">
        <v>2</v>
      </c>
      <c r="BG50" s="347" t="s">
        <v>351</v>
      </c>
      <c r="BH50" s="1790"/>
      <c r="BI50" s="1791">
        <v>33309</v>
      </c>
      <c r="BJ50" s="345" t="s">
        <v>310</v>
      </c>
      <c r="BM50" s="1784"/>
      <c r="BN50" s="345">
        <v>19.02</v>
      </c>
      <c r="BO50" s="345" t="s">
        <v>297</v>
      </c>
      <c r="BQ50" s="237">
        <v>9900</v>
      </c>
      <c r="BR50" s="237" t="s">
        <v>322</v>
      </c>
      <c r="BT50" s="347">
        <v>8.06</v>
      </c>
      <c r="BU50" s="347" t="s">
        <v>306</v>
      </c>
      <c r="BW50" s="348" t="str">
        <f t="array" ref="BW50">IFERROR(IF($BW$11="Metro",INDEX($BN$13:$BN$4972,SMALL(IF((County=$BO$13:$BO$4972),MATCH(ROW($BO$13:$BO$4972),ROW($BO$13:$BO$4972)),""),ROWS($A$13:$A50))),INDEX($BQ$13:$BQ$212,SMALL(IF((County=$BR$13:$BR$212),MATCH(ROW($BR$13:$BR$212),ROW($BR$13:$BR$212)),""),ROWS($A$13:$A50)))),"")</f>
        <v/>
      </c>
      <c r="BY50" s="348" t="str">
        <f t="array" ref="BY50">IFERROR(IF($BY$11="Yes",INDEX($BT$13:$BT$2950,SMALL(IF((County=$BU$13:$BU$2950),MATCH(ROW($BU$13:$BU$2950),ROW($BU$13:$BU$2950)),""),ROWS($A$13:$A50))),""),"")</f>
        <v/>
      </c>
      <c r="CA50" s="2298">
        <v>32701</v>
      </c>
      <c r="CB50" s="237" t="s">
        <v>369</v>
      </c>
      <c r="CD50" s="237">
        <v>1.34</v>
      </c>
      <c r="CE50" s="237" t="s">
        <v>352</v>
      </c>
      <c r="CG50" s="237">
        <v>1103.01</v>
      </c>
      <c r="CH50" s="237" t="s">
        <v>348</v>
      </c>
      <c r="CJ50" s="347">
        <v>2</v>
      </c>
      <c r="CK50" s="347" t="s">
        <v>351</v>
      </c>
      <c r="CL50" s="1789"/>
      <c r="CM50" s="2299"/>
      <c r="CN50" s="345"/>
      <c r="CR50" s="345"/>
      <c r="CS50" s="345"/>
      <c r="CU50" s="345"/>
      <c r="CV50" s="345"/>
      <c r="CX50" s="347"/>
      <c r="CY50" s="347"/>
      <c r="DA50" s="348"/>
      <c r="DC50" s="348"/>
      <c r="DE50" s="1792"/>
      <c r="DF50" s="345"/>
      <c r="DH50" s="237"/>
      <c r="DI50" s="237"/>
      <c r="DK50" s="345"/>
      <c r="DL50" s="345"/>
      <c r="DN50" s="347"/>
      <c r="DO50" s="347"/>
      <c r="DP50" s="2505"/>
      <c r="DT50" s="591" t="s">
        <v>345</v>
      </c>
      <c r="DU50" s="591" t="s">
        <v>2122</v>
      </c>
      <c r="DV50" s="591" t="s">
        <v>2123</v>
      </c>
      <c r="DW50" s="600">
        <v>30.429983</v>
      </c>
      <c r="DX50" s="600">
        <v>-84.207262999999998</v>
      </c>
      <c r="DY50" s="593" t="s">
        <v>686</v>
      </c>
      <c r="DZ50" s="594" t="s">
        <v>685</v>
      </c>
      <c r="EA50" s="592" t="str">
        <f t="shared" si="4"/>
        <v>Leon - The Pointe at Piney-Z</v>
      </c>
      <c r="EB50" s="592" t="str">
        <f t="shared" si="5"/>
        <v>Family</v>
      </c>
      <c r="EC50" s="592" t="str">
        <f t="shared" si="6"/>
        <v>(30.429983, -84.207263)</v>
      </c>
      <c r="ED50" s="594" t="str">
        <f t="shared" si="7"/>
        <v>&gt;30</v>
      </c>
    </row>
    <row r="51" spans="1:134" ht="14.45" customHeight="1">
      <c r="A51" s="346">
        <v>33332</v>
      </c>
      <c r="B51" s="345" t="s">
        <v>310</v>
      </c>
      <c r="E51" s="934"/>
      <c r="F51" s="345">
        <v>302.02</v>
      </c>
      <c r="G51" s="345" t="s">
        <v>310</v>
      </c>
      <c r="L51" s="347">
        <v>14.04</v>
      </c>
      <c r="M51" s="347" t="s">
        <v>306</v>
      </c>
      <c r="O51" s="348" t="str">
        <f t="array" ref="O51">IFERROR(IF($O$11="Metro",INDEX($F$13:$F$738,SMALL(IF((County=$G$13:$G$738),MATCH(ROW($G$13:$G$738),ROW($G$13:$G$738)),""),ROWS($A$13:A51))),INDEX($I$13:$I$42,SMALL(IF((County=$J$13:$J$42),MATCH(ROW($J$13:$J$42),ROW($J$13:$J$42)),""),ROWS($A$13:A51)))),"")</f>
        <v/>
      </c>
      <c r="Q51" s="348" t="str">
        <f t="array" ref="Q51">IFERROR(IF($Q$11="Yes",INDEX($L$13:$L$2313,SMALL(IF((County=$M$13:$M$2313),MATCH(ROW($M$13:$M$2313),ROW($M$13:$M$2313)),""),ROWS($A$13:A51))),""),"")</f>
        <v/>
      </c>
      <c r="S51" s="346">
        <v>32707</v>
      </c>
      <c r="T51" s="345" t="s">
        <v>369</v>
      </c>
      <c r="V51" s="345">
        <v>4.01</v>
      </c>
      <c r="W51" s="345" t="s">
        <v>344</v>
      </c>
      <c r="AB51" s="347">
        <v>2.08</v>
      </c>
      <c r="AC51" s="347" t="s">
        <v>361</v>
      </c>
      <c r="AD51" s="1138"/>
      <c r="AE51" s="346">
        <v>33330</v>
      </c>
      <c r="AF51" s="345" t="s">
        <v>310</v>
      </c>
      <c r="AI51" s="934"/>
      <c r="AJ51" s="345">
        <v>204.05</v>
      </c>
      <c r="AK51" s="345" t="s">
        <v>310</v>
      </c>
      <c r="AP51" s="347">
        <v>13.01</v>
      </c>
      <c r="AQ51" s="347" t="s">
        <v>306</v>
      </c>
      <c r="AS51" s="348" t="str">
        <f t="array" ref="AS51">IFERROR(IF($AS$11="Metro",INDEX($AJ$13:$AJ$814,SMALL(IF((County=$AK$13:$AK$814),MATCH(ROW($AK$13:$AK$814),ROW($AK$13:$AK$814)),""),ROWS($A$13:$A51))),INDEX($AM$13:$AM$48,SMALL(IF((County=$AN$13:$AN$48),MATCH(ROW($AN$13:$AN$48),ROW($AN$13:$AN$48)),""),ROWS($A$13:$A51)))),"")</f>
        <v/>
      </c>
      <c r="AU51" s="348" t="str">
        <f t="array" ref="AU51">IFERROR(IF($AU$11="Yes",INDEX($AP$13:$AP$2950,SMALL(IF((County=$AQ$13:$AQ$2950),MATCH(ROW($AQ$13:$AQ$2950),ROW($AQ$13:$AQ$2950)),""),ROWS($A$13:$A51))),""),"")</f>
        <v/>
      </c>
      <c r="AW51" s="346">
        <v>32701</v>
      </c>
      <c r="AX51" s="345" t="s">
        <v>369</v>
      </c>
      <c r="AZ51" s="345">
        <v>3.02</v>
      </c>
      <c r="BA51" s="345" t="s">
        <v>337</v>
      </c>
      <c r="BF51" s="347">
        <v>2.0099999999999998</v>
      </c>
      <c r="BG51" s="347" t="s">
        <v>297</v>
      </c>
      <c r="BH51" s="1790"/>
      <c r="BI51" s="1791">
        <v>33314</v>
      </c>
      <c r="BJ51" s="345" t="s">
        <v>310</v>
      </c>
      <c r="BM51" s="1784"/>
      <c r="BN51" s="345">
        <v>19.07</v>
      </c>
      <c r="BO51" s="345" t="s">
        <v>297</v>
      </c>
      <c r="BQ51" s="237">
        <v>9701.01</v>
      </c>
      <c r="BR51" s="237" t="s">
        <v>327</v>
      </c>
      <c r="BT51" s="347">
        <v>13.01</v>
      </c>
      <c r="BU51" s="347" t="s">
        <v>306</v>
      </c>
      <c r="BW51" s="348" t="str">
        <f t="array" ref="BW51">IFERROR(IF($BW$11="Metro",INDEX($BN$13:$BN$4972,SMALL(IF((County=$BO$13:$BO$4972),MATCH(ROW($BO$13:$BO$4972),ROW($BO$13:$BO$4972)),""),ROWS($A$13:$A51))),INDEX($BQ$13:$BQ$212,SMALL(IF((County=$BR$13:$BR$212),MATCH(ROW($BR$13:$BR$212),ROW($BR$13:$BR$212)),""),ROWS($A$13:$A51)))),"")</f>
        <v/>
      </c>
      <c r="BY51" s="348" t="str">
        <f t="array" ref="BY51">IFERROR(IF($BY$11="Yes",INDEX($BT$13:$BT$2950,SMALL(IF((County=$BU$13:$BU$2950),MATCH(ROW($BU$13:$BU$2950),ROW($BU$13:$BU$2950)),""),ROWS($A$13:$A51))),""),"")</f>
        <v/>
      </c>
      <c r="CA51" s="2298">
        <v>32707</v>
      </c>
      <c r="CB51" s="237" t="s">
        <v>369</v>
      </c>
      <c r="CD51" s="237">
        <v>1.4</v>
      </c>
      <c r="CE51" s="237" t="s">
        <v>352</v>
      </c>
      <c r="CG51" s="237">
        <v>1103.02</v>
      </c>
      <c r="CH51" s="237" t="s">
        <v>348</v>
      </c>
      <c r="CJ51" s="347">
        <v>2.0099999999999998</v>
      </c>
      <c r="CK51" s="347" t="s">
        <v>297</v>
      </c>
      <c r="CL51" s="1789"/>
      <c r="CM51" s="2299"/>
      <c r="CN51" s="345"/>
      <c r="CR51" s="345"/>
      <c r="CS51" s="345"/>
      <c r="CU51" s="345"/>
      <c r="CV51" s="345"/>
      <c r="CX51" s="347"/>
      <c r="CY51" s="347"/>
      <c r="DA51" s="348"/>
      <c r="DC51" s="348"/>
      <c r="DE51" s="1792"/>
      <c r="DF51" s="345"/>
      <c r="DH51" s="237"/>
      <c r="DI51" s="237"/>
      <c r="DK51" s="345"/>
      <c r="DL51" s="345"/>
      <c r="DN51" s="347"/>
      <c r="DO51" s="347"/>
      <c r="DP51" s="2505"/>
      <c r="DT51" s="591" t="s">
        <v>349</v>
      </c>
      <c r="DU51" s="591" t="s">
        <v>709</v>
      </c>
      <c r="DV51" s="591" t="s">
        <v>710</v>
      </c>
      <c r="DW51" s="592">
        <v>27.479706</v>
      </c>
      <c r="DX51" s="591">
        <v>-82.571602999999996</v>
      </c>
      <c r="DY51" s="595" t="s">
        <v>684</v>
      </c>
      <c r="DZ51" s="595" t="s">
        <v>685</v>
      </c>
      <c r="EA51" s="592" t="str">
        <f t="shared" si="4"/>
        <v>Manatee - Astoria on 9th</v>
      </c>
      <c r="EB51" s="592" t="str">
        <f t="shared" si="5"/>
        <v>Elderly, Non-ALF</v>
      </c>
      <c r="EC51" s="592" t="str">
        <f t="shared" si="6"/>
        <v>(27.479706, -82.571603)</v>
      </c>
      <c r="ED51" s="594" t="str">
        <f t="shared" si="7"/>
        <v>&gt;30</v>
      </c>
    </row>
    <row r="52" spans="1:134" ht="14.45" customHeight="1">
      <c r="A52" s="346">
        <v>33351</v>
      </c>
      <c r="B52" s="345" t="s">
        <v>310</v>
      </c>
      <c r="E52" s="934"/>
      <c r="F52" s="345">
        <v>303.01</v>
      </c>
      <c r="G52" s="345" t="s">
        <v>310</v>
      </c>
      <c r="L52" s="347">
        <v>15.01</v>
      </c>
      <c r="M52" s="347" t="s">
        <v>306</v>
      </c>
      <c r="O52" s="348" t="str">
        <f t="array" ref="O52">IFERROR(IF($O$11="Metro",INDEX($F$13:$F$738,SMALL(IF((County=$G$13:$G$738),MATCH(ROW($G$13:$G$738),ROW($G$13:$G$738)),""),ROWS($A$13:A52))),INDEX($I$13:$I$42,SMALL(IF((County=$J$13:$J$42),MATCH(ROW($J$13:$J$42),ROW($J$13:$J$42)),""),ROWS($A$13:A52)))),"")</f>
        <v/>
      </c>
      <c r="Q52" s="348" t="str">
        <f t="array" ref="Q52">IFERROR(IF($Q$11="Yes",INDEX($L$13:$L$2313,SMALL(IF((County=$M$13:$M$2313),MATCH(ROW($M$13:$M$2313),ROW($M$13:$M$2313)),""),ROWS($A$13:A52))),""),"")</f>
        <v/>
      </c>
      <c r="S52" s="346">
        <v>32708</v>
      </c>
      <c r="T52" s="345" t="s">
        <v>369</v>
      </c>
      <c r="V52" s="345">
        <v>4.01</v>
      </c>
      <c r="W52" s="345" t="s">
        <v>350</v>
      </c>
      <c r="AB52" s="347">
        <v>2.09</v>
      </c>
      <c r="AC52" s="347" t="s">
        <v>361</v>
      </c>
      <c r="AD52" s="1138"/>
      <c r="AE52" s="346">
        <v>33331</v>
      </c>
      <c r="AF52" s="345" t="s">
        <v>310</v>
      </c>
      <c r="AI52" s="934"/>
      <c r="AJ52" s="345">
        <v>204.12</v>
      </c>
      <c r="AK52" s="345" t="s">
        <v>310</v>
      </c>
      <c r="AP52" s="347">
        <v>14.02</v>
      </c>
      <c r="AQ52" s="347" t="s">
        <v>306</v>
      </c>
      <c r="AS52" s="348" t="str">
        <f t="array" ref="AS52">IFERROR(IF($AS$11="Metro",INDEX($AJ$13:$AJ$814,SMALL(IF((County=$AK$13:$AK$814),MATCH(ROW($AK$13:$AK$814),ROW($AK$13:$AK$814)),""),ROWS($A$13:$A52))),INDEX($AM$13:$AM$48,SMALL(IF((County=$AN$13:$AN$48),MATCH(ROW($AN$13:$AN$48),ROW($AN$13:$AN$48)),""),ROWS($A$13:$A52)))),"")</f>
        <v/>
      </c>
      <c r="AU52" s="348" t="str">
        <f t="array" ref="AU52">IFERROR(IF($AU$11="Yes",INDEX($AP$13:$AP$2950,SMALL(IF((County=$AQ$13:$AQ$2950),MATCH(ROW($AQ$13:$AQ$2950),ROW($AQ$13:$AQ$2950)),""),ROWS($A$13:$A52))),""),"")</f>
        <v/>
      </c>
      <c r="AW52" s="346">
        <v>32707</v>
      </c>
      <c r="AX52" s="345" t="s">
        <v>369</v>
      </c>
      <c r="AZ52" s="345">
        <v>3.02</v>
      </c>
      <c r="BA52" s="345" t="s">
        <v>350</v>
      </c>
      <c r="BF52" s="347">
        <v>2.0099999999999998</v>
      </c>
      <c r="BG52" s="347" t="s">
        <v>330</v>
      </c>
      <c r="BH52" s="1790"/>
      <c r="BI52" s="1791">
        <v>33315</v>
      </c>
      <c r="BJ52" s="345" t="s">
        <v>310</v>
      </c>
      <c r="BM52" s="1784"/>
      <c r="BN52" s="345">
        <v>19.079999999999998</v>
      </c>
      <c r="BO52" s="345" t="s">
        <v>297</v>
      </c>
      <c r="BQ52" s="237">
        <v>9701.02</v>
      </c>
      <c r="BR52" s="237" t="s">
        <v>327</v>
      </c>
      <c r="BT52" s="347">
        <v>13.02</v>
      </c>
      <c r="BU52" s="347" t="s">
        <v>306</v>
      </c>
      <c r="BW52" s="348" t="str">
        <f t="array" ref="BW52">IFERROR(IF($BW$11="Metro",INDEX($BN$13:$BN$4972,SMALL(IF((County=$BO$13:$BO$4972),MATCH(ROW($BO$13:$BO$4972),ROW($BO$13:$BO$4972)),""),ROWS($A$13:$A52))),INDEX($BQ$13:$BQ$212,SMALL(IF((County=$BR$13:$BR$212),MATCH(ROW($BR$13:$BR$212),ROW($BR$13:$BR$212)),""),ROWS($A$13:$A52)))),"")</f>
        <v/>
      </c>
      <c r="BY52" s="348" t="str">
        <f t="array" ref="BY52">IFERROR(IF($BY$11="Yes",INDEX($BT$13:$BT$2950,SMALL(IF((County=$BU$13:$BU$2950),MATCH(ROW($BU$13:$BU$2950),ROW($BU$13:$BU$2950)),""),ROWS($A$13:$A52))),""),"")</f>
        <v/>
      </c>
      <c r="CA52" s="2298">
        <v>32708</v>
      </c>
      <c r="CB52" s="237" t="s">
        <v>369</v>
      </c>
      <c r="CD52" s="237">
        <v>1.41</v>
      </c>
      <c r="CE52" s="237" t="s">
        <v>352</v>
      </c>
      <c r="CG52" s="345">
        <v>1104</v>
      </c>
      <c r="CH52" s="345" t="s">
        <v>319</v>
      </c>
      <c r="CJ52" s="347">
        <v>2.02</v>
      </c>
      <c r="CK52" s="347" t="s">
        <v>308</v>
      </c>
      <c r="CL52" s="1789"/>
      <c r="CM52" s="2299"/>
      <c r="CN52" s="345"/>
      <c r="CR52" s="345"/>
      <c r="CS52" s="345"/>
      <c r="CU52" s="345"/>
      <c r="CV52" s="345"/>
      <c r="CX52" s="347"/>
      <c r="CY52" s="347"/>
      <c r="DA52" s="348"/>
      <c r="DC52" s="348"/>
      <c r="DE52" s="1792"/>
      <c r="DF52" s="345"/>
      <c r="DH52" s="237"/>
      <c r="DI52" s="237"/>
      <c r="DK52" s="345"/>
      <c r="DL52" s="345"/>
      <c r="DN52" s="347"/>
      <c r="DO52" s="347"/>
      <c r="DP52" s="2505"/>
      <c r="DT52" s="591" t="s">
        <v>349</v>
      </c>
      <c r="DU52" s="591" t="s">
        <v>2633</v>
      </c>
      <c r="DV52" s="591" t="s">
        <v>2634</v>
      </c>
      <c r="DW52" s="591">
        <v>27.444780000000002</v>
      </c>
      <c r="DX52" s="591">
        <v>-82.554224000000005</v>
      </c>
      <c r="DY52" s="595" t="s">
        <v>686</v>
      </c>
      <c r="DZ52" s="595" t="s">
        <v>685</v>
      </c>
      <c r="EA52" s="592" t="str">
        <f t="shared" si="4"/>
        <v>Manatee - Ninth Street Apartments</v>
      </c>
      <c r="EB52" s="592" t="str">
        <f t="shared" si="5"/>
        <v>Family</v>
      </c>
      <c r="EC52" s="592" t="str">
        <f t="shared" si="6"/>
        <v>(27.44478, -82.554224)</v>
      </c>
      <c r="ED52" s="594" t="str">
        <f t="shared" si="7"/>
        <v>&gt;30</v>
      </c>
    </row>
    <row r="53" spans="1:134" ht="14.45" customHeight="1">
      <c r="A53" s="346">
        <v>33442</v>
      </c>
      <c r="B53" s="345" t="s">
        <v>310</v>
      </c>
      <c r="E53" s="934"/>
      <c r="F53" s="345">
        <v>303.02</v>
      </c>
      <c r="G53" s="345" t="s">
        <v>310</v>
      </c>
      <c r="L53" s="347">
        <v>19</v>
      </c>
      <c r="M53" s="347" t="s">
        <v>306</v>
      </c>
      <c r="O53" s="348" t="str">
        <f t="array" ref="O53">IFERROR(IF($O$11="Metro",INDEX($F$13:$F$738,SMALL(IF((County=$G$13:$G$738),MATCH(ROW($G$13:$G$738),ROW($G$13:$G$738)),""),ROWS($A$13:A53))),INDEX($I$13:$I$42,SMALL(IF((County=$J$13:$J$42),MATCH(ROW($J$13:$J$42),ROW($J$13:$J$42)),""),ROWS($A$13:A53)))),"")</f>
        <v/>
      </c>
      <c r="Q53" s="348" t="str">
        <f t="array" ref="Q53">IFERROR(IF($Q$11="Yes",INDEX($L$13:$L$2313,SMALL(IF((County=$M$13:$M$2313),MATCH(ROW($M$13:$M$2313),ROW($M$13:$M$2313)),""),ROWS($A$13:A53))),""),"")</f>
        <v/>
      </c>
      <c r="S53" s="346">
        <v>32712</v>
      </c>
      <c r="T53" s="345" t="s">
        <v>359</v>
      </c>
      <c r="V53" s="345">
        <v>4.0199999999999996</v>
      </c>
      <c r="W53" s="345" t="s">
        <v>337</v>
      </c>
      <c r="AB53" s="347">
        <v>2.1</v>
      </c>
      <c r="AC53" s="347" t="s">
        <v>361</v>
      </c>
      <c r="AD53" s="1138"/>
      <c r="AE53" s="346">
        <v>33332</v>
      </c>
      <c r="AF53" s="345" t="s">
        <v>310</v>
      </c>
      <c r="AI53" s="934"/>
      <c r="AJ53" s="345">
        <v>302.02</v>
      </c>
      <c r="AK53" s="345" t="s">
        <v>310</v>
      </c>
      <c r="AP53" s="347">
        <v>14.03</v>
      </c>
      <c r="AQ53" s="347" t="s">
        <v>306</v>
      </c>
      <c r="AS53" s="348" t="str">
        <f t="array" ref="AS53">IFERROR(IF($AS$11="Metro",INDEX($AJ$13:$AJ$814,SMALL(IF((County=$AK$13:$AK$814),MATCH(ROW($AK$13:$AK$814),ROW($AK$13:$AK$814)),""),ROWS($A$13:$A53))),INDEX($AM$13:$AM$48,SMALL(IF((County=$AN$13:$AN$48),MATCH(ROW($AN$13:$AN$48),ROW($AN$13:$AN$48)),""),ROWS($A$13:$A53)))),"")</f>
        <v/>
      </c>
      <c r="AU53" s="348" t="str">
        <f t="array" ref="AU53">IFERROR(IF($AU$11="Yes",INDEX($AP$13:$AP$2950,SMALL(IF((County=$AQ$13:$AQ$2950),MATCH(ROW($AQ$13:$AQ$2950),ROW($AQ$13:$AQ$2950)),""),ROWS($A$13:$A53))),""),"")</f>
        <v/>
      </c>
      <c r="AW53" s="346">
        <v>32708</v>
      </c>
      <c r="AX53" s="345" t="s">
        <v>369</v>
      </c>
      <c r="AZ53" s="345">
        <v>3.05</v>
      </c>
      <c r="BA53" s="345" t="s">
        <v>344</v>
      </c>
      <c r="BF53" s="347">
        <v>2.02</v>
      </c>
      <c r="BG53" s="347" t="s">
        <v>308</v>
      </c>
      <c r="BH53" s="1790"/>
      <c r="BI53" s="1792">
        <v>33317</v>
      </c>
      <c r="BJ53" s="237" t="s">
        <v>310</v>
      </c>
      <c r="BM53" s="1784"/>
      <c r="BN53" s="345">
        <v>20.010000000000002</v>
      </c>
      <c r="BO53" s="345" t="s">
        <v>297</v>
      </c>
      <c r="BQ53" s="237">
        <v>9702</v>
      </c>
      <c r="BR53" s="237" t="s">
        <v>327</v>
      </c>
      <c r="BT53" s="347">
        <v>14.02</v>
      </c>
      <c r="BU53" s="347" t="s">
        <v>306</v>
      </c>
      <c r="BW53" s="348" t="str">
        <f t="array" ref="BW53">IFERROR(IF($BW$11="Metro",INDEX($BN$13:$BN$4972,SMALL(IF((County=$BO$13:$BO$4972),MATCH(ROW($BO$13:$BO$4972),ROW($BO$13:$BO$4972)),""),ROWS($A$13:$A53))),INDEX($BQ$13:$BQ$212,SMALL(IF((County=$BR$13:$BR$212),MATCH(ROW($BR$13:$BR$212),ROW($BR$13:$BR$212)),""),ROWS($A$13:$A53)))),"")</f>
        <v/>
      </c>
      <c r="BY53" s="348" t="str">
        <f t="array" ref="BY53">IFERROR(IF($BY$11="Yes",INDEX($BT$13:$BT$2950,SMALL(IF((County=$BU$13:$BU$2950),MATCH(ROW($BU$13:$BU$2950),ROW($BU$13:$BU$2950)),""),ROWS($A$13:$A53))),""),"")</f>
        <v/>
      </c>
      <c r="CA53" s="2298">
        <v>32712</v>
      </c>
      <c r="CB53" s="345" t="s">
        <v>359</v>
      </c>
      <c r="CD53" s="237">
        <v>1.42</v>
      </c>
      <c r="CE53" s="237" t="s">
        <v>352</v>
      </c>
      <c r="CG53" s="237">
        <v>1104</v>
      </c>
      <c r="CH53" s="237" t="s">
        <v>348</v>
      </c>
      <c r="CJ53" s="347">
        <v>2.02</v>
      </c>
      <c r="CK53" s="347" t="s">
        <v>330</v>
      </c>
      <c r="CL53" s="1789"/>
      <c r="CM53" s="2299"/>
      <c r="CN53" s="345"/>
      <c r="CR53" s="345"/>
      <c r="CS53" s="345"/>
      <c r="CU53" s="345"/>
      <c r="CV53" s="345"/>
      <c r="CX53" s="347"/>
      <c r="CY53" s="347"/>
      <c r="DA53" s="348"/>
      <c r="DC53" s="348"/>
      <c r="DE53" s="1792"/>
      <c r="DF53" s="345"/>
      <c r="DH53" s="237"/>
      <c r="DI53" s="237"/>
      <c r="DK53" s="345"/>
      <c r="DL53" s="345"/>
      <c r="DN53" s="347"/>
      <c r="DO53" s="347"/>
      <c r="DP53" s="2505"/>
      <c r="DT53" s="591" t="s">
        <v>350</v>
      </c>
      <c r="DU53" s="591" t="s">
        <v>713</v>
      </c>
      <c r="DV53" s="591" t="s">
        <v>714</v>
      </c>
      <c r="DW53" s="591">
        <v>29.221194000000001</v>
      </c>
      <c r="DX53" s="591">
        <v>-82.162833000000006</v>
      </c>
      <c r="DY53" s="593" t="s">
        <v>686</v>
      </c>
      <c r="DZ53" s="595" t="s">
        <v>685</v>
      </c>
      <c r="EA53" s="592" t="str">
        <f t="shared" si="4"/>
        <v>Marion - Madison Oaks West</v>
      </c>
      <c r="EB53" s="592" t="str">
        <f t="shared" si="5"/>
        <v>Family</v>
      </c>
      <c r="EC53" s="592" t="str">
        <f t="shared" si="6"/>
        <v>(29.221194, -82.162833)</v>
      </c>
      <c r="ED53" s="594" t="str">
        <f t="shared" si="7"/>
        <v>&gt;30</v>
      </c>
    </row>
    <row r="54" spans="1:134" ht="14.45" customHeight="1">
      <c r="A54" s="346">
        <v>33946</v>
      </c>
      <c r="B54" s="345" t="s">
        <v>315</v>
      </c>
      <c r="E54" s="934"/>
      <c r="F54" s="345">
        <v>304.02</v>
      </c>
      <c r="G54" s="345" t="s">
        <v>310</v>
      </c>
      <c r="L54" s="347">
        <v>25</v>
      </c>
      <c r="M54" s="347" t="s">
        <v>306</v>
      </c>
      <c r="O54" s="348" t="str">
        <f t="array" ref="O54">IFERROR(IF($O$11="Metro",INDEX($F$13:$F$738,SMALL(IF((County=$G$13:$G$738),MATCH(ROW($G$13:$G$738),ROW($G$13:$G$738)),""),ROWS($A$13:A54))),INDEX($I$13:$I$42,SMALL(IF((County=$J$13:$J$42),MATCH(ROW($J$13:$J$42),ROW($J$13:$J$42)),""),ROWS($A$13:A54)))),"")</f>
        <v/>
      </c>
      <c r="Q54" s="348" t="str">
        <f t="array" ref="Q54">IFERROR(IF($Q$11="Yes",INDEX($L$13:$L$2313,SMALL(IF((County=$M$13:$M$2313),MATCH(ROW($M$13:$M$2313),ROW($M$13:$M$2313)),""),ROWS($A$13:A54))),""),"")</f>
        <v/>
      </c>
      <c r="S54" s="346">
        <v>32714</v>
      </c>
      <c r="T54" s="345" t="s">
        <v>369</v>
      </c>
      <c r="V54" s="345">
        <v>4.0199999999999996</v>
      </c>
      <c r="W54" s="345" t="s">
        <v>350</v>
      </c>
      <c r="AB54" s="347">
        <v>2.11</v>
      </c>
      <c r="AC54" s="347" t="s">
        <v>352</v>
      </c>
      <c r="AD54" s="1138"/>
      <c r="AE54" s="346">
        <v>33351</v>
      </c>
      <c r="AF54" s="345" t="s">
        <v>310</v>
      </c>
      <c r="AI54" s="934"/>
      <c r="AJ54" s="345">
        <v>303.01</v>
      </c>
      <c r="AK54" s="345" t="s">
        <v>310</v>
      </c>
      <c r="AP54" s="347">
        <v>14.04</v>
      </c>
      <c r="AQ54" s="347" t="s">
        <v>306</v>
      </c>
      <c r="AS54" s="348" t="str">
        <f t="array" ref="AS54">IFERROR(IF($AS$11="Metro",INDEX($AJ$13:$AJ$814,SMALL(IF((County=$AK$13:$AK$814),MATCH(ROW($AK$13:$AK$814),ROW($AK$13:$AK$814)),""),ROWS($A$13:$A54))),INDEX($AM$13:$AM$48,SMALL(IF((County=$AN$13:$AN$48),MATCH(ROW($AN$13:$AN$48),ROW($AN$13:$AN$48)),""),ROWS($A$13:$A54)))),"")</f>
        <v/>
      </c>
      <c r="AU54" s="348" t="str">
        <f t="array" ref="AU54">IFERROR(IF($AU$11="Yes",INDEX($AP$13:$AP$2950,SMALL(IF((County=$AQ$13:$AQ$2950),MATCH(ROW($AQ$13:$AQ$2950),ROW($AQ$13:$AQ$2950)),""),ROWS($A$13:$A54))),""),"")</f>
        <v/>
      </c>
      <c r="AW54" s="346">
        <v>32712</v>
      </c>
      <c r="AX54" s="345" t="s">
        <v>359</v>
      </c>
      <c r="AZ54" s="345">
        <v>3.05</v>
      </c>
      <c r="BA54" s="345" t="s">
        <v>349</v>
      </c>
      <c r="BF54" s="347">
        <v>2.02</v>
      </c>
      <c r="BG54" s="347" t="s">
        <v>330</v>
      </c>
      <c r="BH54" s="1790"/>
      <c r="BI54" s="1792">
        <v>33321</v>
      </c>
      <c r="BJ54" s="237" t="s">
        <v>310</v>
      </c>
      <c r="BM54" s="1784"/>
      <c r="BN54" s="345">
        <v>20.02</v>
      </c>
      <c r="BO54" s="345" t="s">
        <v>297</v>
      </c>
      <c r="BQ54" s="237">
        <v>9703.02</v>
      </c>
      <c r="BR54" s="237" t="s">
        <v>327</v>
      </c>
      <c r="BT54" s="347">
        <v>14.03</v>
      </c>
      <c r="BU54" s="347" t="s">
        <v>306</v>
      </c>
      <c r="BW54" s="348" t="str">
        <f t="array" ref="BW54">IFERROR(IF($BW$11="Metro",INDEX($BN$13:$BN$4972,SMALL(IF((County=$BO$13:$BO$4972),MATCH(ROW($BO$13:$BO$4972),ROW($BO$13:$BO$4972)),""),ROWS($A$13:$A54))),INDEX($BQ$13:$BQ$212,SMALL(IF((County=$BR$13:$BR$212),MATCH(ROW($BR$13:$BR$212),ROW($BR$13:$BR$212)),""),ROWS($A$13:$A54)))),"")</f>
        <v/>
      </c>
      <c r="BY54" s="348" t="str">
        <f t="array" ref="BY54">IFERROR(IF($BY$11="Yes",INDEX($BT$13:$BT$2950,SMALL(IF((County=$BU$13:$BU$2950),MATCH(ROW($BU$13:$BU$2950),ROW($BU$13:$BU$2950)),""),ROWS($A$13:$A54))),""),"")</f>
        <v/>
      </c>
      <c r="CA54" s="1792">
        <v>32713</v>
      </c>
      <c r="CB54" s="237" t="s">
        <v>376</v>
      </c>
      <c r="CD54" s="237">
        <v>1.43</v>
      </c>
      <c r="CE54" s="237" t="s">
        <v>352</v>
      </c>
      <c r="CG54" s="345">
        <v>1105</v>
      </c>
      <c r="CH54" s="345" t="s">
        <v>319</v>
      </c>
      <c r="CJ54" s="347">
        <v>2.02</v>
      </c>
      <c r="CK54" s="347" t="s">
        <v>350</v>
      </c>
      <c r="CL54" s="1789"/>
      <c r="CM54" s="2299"/>
      <c r="CN54" s="345"/>
      <c r="CR54" s="345"/>
      <c r="CS54" s="345"/>
      <c r="CU54" s="345"/>
      <c r="CV54" s="345"/>
      <c r="CX54" s="347"/>
      <c r="CY54" s="347"/>
      <c r="DA54" s="348"/>
      <c r="DC54" s="348"/>
      <c r="DE54" s="1792"/>
      <c r="DF54" s="345"/>
      <c r="DH54" s="237"/>
      <c r="DI54" s="237"/>
      <c r="DK54" s="345"/>
      <c r="DL54" s="345"/>
      <c r="DN54" s="347"/>
      <c r="DO54" s="347"/>
      <c r="DP54" s="2505"/>
      <c r="DT54" s="591" t="s">
        <v>354</v>
      </c>
      <c r="DU54" s="591" t="s">
        <v>716</v>
      </c>
      <c r="DV54" s="591" t="s">
        <v>717</v>
      </c>
      <c r="DW54" s="591">
        <v>24.550028999999999</v>
      </c>
      <c r="DX54" s="591">
        <v>-81.805183999999997</v>
      </c>
      <c r="DY54" s="595" t="s">
        <v>715</v>
      </c>
      <c r="DZ54" s="597" t="s">
        <v>685</v>
      </c>
      <c r="EA54" s="592" t="str">
        <f t="shared" si="4"/>
        <v>Monroe - Lofts at Bahama Village</v>
      </c>
      <c r="EB54" s="592" t="str">
        <f t="shared" si="5"/>
        <v>Workforce</v>
      </c>
      <c r="EC54" s="592" t="str">
        <f t="shared" si="6"/>
        <v>(24.550029, -81.805184)</v>
      </c>
      <c r="ED54" s="594" t="str">
        <f t="shared" si="7"/>
        <v>&gt;30</v>
      </c>
    </row>
    <row r="55" spans="1:134" ht="14.45" customHeight="1">
      <c r="A55" s="346">
        <v>33947</v>
      </c>
      <c r="B55" s="345" t="s">
        <v>315</v>
      </c>
      <c r="E55" s="934"/>
      <c r="F55" s="345">
        <v>305</v>
      </c>
      <c r="G55" s="345" t="s">
        <v>310</v>
      </c>
      <c r="L55" s="347">
        <v>26.01</v>
      </c>
      <c r="M55" s="347" t="s">
        <v>306</v>
      </c>
      <c r="O55" s="348" t="str">
        <f t="array" ref="O55">IFERROR(IF($O$11="Metro",INDEX($F$13:$F$738,SMALL(IF((County=$G$13:$G$738),MATCH(ROW($G$13:$G$738),ROW($G$13:$G$738)),""),ROWS($A$13:A55))),INDEX($I$13:$I$42,SMALL(IF((County=$J$13:$J$42),MATCH(ROW($J$13:$J$42),ROW($J$13:$J$42)),""),ROWS($A$13:A55)))),"")</f>
        <v/>
      </c>
      <c r="Q55" s="348" t="str">
        <f t="array" ref="Q55">IFERROR(IF($Q$11="Yes",INDEX($L$13:$L$2313,SMALL(IF((County=$M$13:$M$2313),MATCH(ROW($M$13:$M$2313),ROW($M$13:$M$2313)),""),ROWS($A$13:A55))),""),"")</f>
        <v/>
      </c>
      <c r="S55" s="346">
        <v>32725</v>
      </c>
      <c r="T55" s="345" t="s">
        <v>376</v>
      </c>
      <c r="V55" s="345">
        <v>4.0199999999999996</v>
      </c>
      <c r="W55" s="345" t="s">
        <v>352</v>
      </c>
      <c r="AB55" s="347">
        <v>2.11</v>
      </c>
      <c r="AC55" s="347" t="s">
        <v>361</v>
      </c>
      <c r="AD55" s="1138"/>
      <c r="AE55" s="346">
        <v>33442</v>
      </c>
      <c r="AF55" s="345" t="s">
        <v>310</v>
      </c>
      <c r="AI55" s="934"/>
      <c r="AJ55" s="345">
        <v>303.02</v>
      </c>
      <c r="AK55" s="345" t="s">
        <v>310</v>
      </c>
      <c r="AP55" s="347">
        <v>15.01</v>
      </c>
      <c r="AQ55" s="347" t="s">
        <v>306</v>
      </c>
      <c r="AS55" s="348" t="str">
        <f t="array" ref="AS55">IFERROR(IF($AS$11="Metro",INDEX($AJ$13:$AJ$814,SMALL(IF((County=$AK$13:$AK$814),MATCH(ROW($AK$13:$AK$814),ROW($AK$13:$AK$814)),""),ROWS($A$13:$A55))),INDEX($AM$13:$AM$48,SMALL(IF((County=$AN$13:$AN$48),MATCH(ROW($AN$13:$AN$48),ROW($AN$13:$AN$48)),""),ROWS($A$13:$A55)))),"")</f>
        <v/>
      </c>
      <c r="AU55" s="348" t="str">
        <f t="array" ref="AU55">IFERROR(IF($AU$11="Yes",INDEX($AP$13:$AP$2950,SMALL(IF((County=$AQ$13:$AQ$2950),MATCH(ROW($AQ$13:$AQ$2950),ROW($AQ$13:$AQ$2950)),""),ROWS($A$13:$A55))),""),"")</f>
        <v/>
      </c>
      <c r="AW55" s="346">
        <v>32714</v>
      </c>
      <c r="AX55" s="345" t="s">
        <v>369</v>
      </c>
      <c r="AZ55" s="345">
        <v>3.06</v>
      </c>
      <c r="BA55" s="345" t="s">
        <v>344</v>
      </c>
      <c r="BF55" s="347">
        <v>2.02</v>
      </c>
      <c r="BG55" s="347" t="s">
        <v>350</v>
      </c>
      <c r="BH55" s="1790"/>
      <c r="BI55" s="1792">
        <v>33322</v>
      </c>
      <c r="BJ55" s="237" t="s">
        <v>310</v>
      </c>
      <c r="BM55" s="1784"/>
      <c r="BN55" s="345">
        <v>21.01</v>
      </c>
      <c r="BO55" s="345" t="s">
        <v>297</v>
      </c>
      <c r="BQ55" s="237">
        <v>9703.0400000000009</v>
      </c>
      <c r="BR55" s="237" t="s">
        <v>327</v>
      </c>
      <c r="BT55" s="347">
        <v>14.04</v>
      </c>
      <c r="BU55" s="347" t="s">
        <v>306</v>
      </c>
      <c r="BW55" s="348" t="str">
        <f t="array" ref="BW55">IFERROR(IF($BW$11="Metro",INDEX($BN$13:$BN$4972,SMALL(IF((County=$BO$13:$BO$4972),MATCH(ROW($BO$13:$BO$4972),ROW($BO$13:$BO$4972)),""),ROWS($A$13:$A55))),INDEX($BQ$13:$BQ$212,SMALL(IF((County=$BR$13:$BR$212),MATCH(ROW($BR$13:$BR$212),ROW($BR$13:$BR$212)),""),ROWS($A$13:$A55)))),"")</f>
        <v/>
      </c>
      <c r="BY55" s="348" t="str">
        <f t="array" ref="BY55">IFERROR(IF($BY$11="Yes",INDEX($BT$13:$BT$2950,SMALL(IF((County=$BU$13:$BU$2950),MATCH(ROW($BU$13:$BU$2950),ROW($BU$13:$BU$2950)),""),ROWS($A$13:$A55))),""),"")</f>
        <v/>
      </c>
      <c r="CA55" s="2298">
        <v>32714</v>
      </c>
      <c r="CB55" s="237" t="s">
        <v>369</v>
      </c>
      <c r="CD55" s="237">
        <v>1.44</v>
      </c>
      <c r="CE55" s="237" t="s">
        <v>352</v>
      </c>
      <c r="CG55" s="345">
        <v>1106.02</v>
      </c>
      <c r="CH55" s="345" t="s">
        <v>319</v>
      </c>
      <c r="CJ55" s="347">
        <v>2.0299999999999998</v>
      </c>
      <c r="CK55" s="347" t="s">
        <v>350</v>
      </c>
      <c r="CL55" s="1789"/>
      <c r="CM55" s="2299"/>
      <c r="CN55" s="345"/>
      <c r="CR55" s="345"/>
      <c r="CS55" s="345"/>
      <c r="CU55" s="345"/>
      <c r="CV55" s="345"/>
      <c r="CX55" s="347"/>
      <c r="CY55" s="347"/>
      <c r="DA55" s="348"/>
      <c r="DC55" s="348"/>
      <c r="DE55" s="1792"/>
      <c r="DF55" s="345"/>
      <c r="DH55" s="237"/>
      <c r="DI55" s="237"/>
      <c r="DK55" s="345"/>
      <c r="DL55" s="345"/>
      <c r="DN55" s="347"/>
      <c r="DO55" s="347"/>
      <c r="DP55" s="2505"/>
      <c r="DT55" s="591" t="s">
        <v>357</v>
      </c>
      <c r="DU55" s="591" t="s">
        <v>2124</v>
      </c>
      <c r="DV55" s="591" t="s">
        <v>2125</v>
      </c>
      <c r="DW55" s="592">
        <v>30.410454999999999</v>
      </c>
      <c r="DX55" s="592">
        <v>-86.614503999999997</v>
      </c>
      <c r="DY55" s="595" t="s">
        <v>684</v>
      </c>
      <c r="DZ55" s="595" t="s">
        <v>685</v>
      </c>
      <c r="EA55" s="592" t="str">
        <f t="shared" si="4"/>
        <v>Okaloosa - Bayside Breeze</v>
      </c>
      <c r="EB55" s="592" t="str">
        <f t="shared" si="5"/>
        <v>Elderly, Non-ALF</v>
      </c>
      <c r="EC55" s="592" t="str">
        <f t="shared" si="6"/>
        <v>(30.410455, -86.614504)</v>
      </c>
      <c r="ED55" s="594" t="str">
        <f t="shared" si="7"/>
        <v>&gt;30</v>
      </c>
    </row>
    <row r="56" spans="1:134" ht="14.45" customHeight="1">
      <c r="A56" s="346">
        <v>33954</v>
      </c>
      <c r="B56" s="345" t="s">
        <v>315</v>
      </c>
      <c r="E56" s="934"/>
      <c r="F56" s="345">
        <v>308.01</v>
      </c>
      <c r="G56" s="345" t="s">
        <v>310</v>
      </c>
      <c r="L56" s="347">
        <v>26.04</v>
      </c>
      <c r="M56" s="347" t="s">
        <v>306</v>
      </c>
      <c r="O56" s="348" t="str">
        <f t="array" ref="O56">IFERROR(IF($O$11="Metro",INDEX($F$13:$F$738,SMALL(IF((County=$G$13:$G$738),MATCH(ROW($G$13:$G$738),ROW($G$13:$G$738)),""),ROWS($A$13:A56))),INDEX($I$13:$I$42,SMALL(IF((County=$J$13:$J$42),MATCH(ROW($J$13:$J$42),ROW($J$13:$J$42)),""),ROWS($A$13:A56)))),"")</f>
        <v/>
      </c>
      <c r="Q56" s="348" t="str">
        <f t="array" ref="Q56">IFERROR(IF($Q$11="Yes",INDEX($L$13:$L$2313,SMALL(IF((County=$M$13:$M$2313),MATCH(ROW($M$13:$M$2313),ROW($M$13:$M$2313)),""),ROWS($A$13:A56))),""),"")</f>
        <v/>
      </c>
      <c r="S56" s="346">
        <v>32732</v>
      </c>
      <c r="T56" s="345" t="s">
        <v>369</v>
      </c>
      <c r="V56" s="345">
        <v>4.03</v>
      </c>
      <c r="W56" s="345" t="s">
        <v>352</v>
      </c>
      <c r="AB56" s="347">
        <v>2.13</v>
      </c>
      <c r="AC56" s="347" t="s">
        <v>352</v>
      </c>
      <c r="AD56" s="1138"/>
      <c r="AE56" s="346">
        <v>33946</v>
      </c>
      <c r="AF56" s="345" t="s">
        <v>315</v>
      </c>
      <c r="AI56" s="934"/>
      <c r="AJ56" s="345">
        <v>304.02</v>
      </c>
      <c r="AK56" s="345" t="s">
        <v>310</v>
      </c>
      <c r="AP56" s="347">
        <v>15.02</v>
      </c>
      <c r="AQ56" s="347" t="s">
        <v>306</v>
      </c>
      <c r="AS56" s="348" t="str">
        <f t="array" ref="AS56">IFERROR(IF($AS$11="Metro",INDEX($AJ$13:$AJ$814,SMALL(IF((County=$AK$13:$AK$814),MATCH(ROW($AK$13:$AK$814),ROW($AK$13:$AK$814)),""),ROWS($A$13:$A56))),INDEX($AM$13:$AM$48,SMALL(IF((County=$AN$13:$AN$48),MATCH(ROW($AN$13:$AN$48),ROW($AN$13:$AN$48)),""),ROWS($A$13:$A56)))),"")</f>
        <v/>
      </c>
      <c r="AU56" s="348" t="str">
        <f t="array" ref="AU56">IFERROR(IF($AU$11="Yes",INDEX($AP$13:$AP$2950,SMALL(IF((County=$AQ$13:$AQ$2950),MATCH(ROW($AQ$13:$AQ$2950),ROW($AQ$13:$AQ$2950)),""),ROWS($A$13:$A56))),""),"")</f>
        <v/>
      </c>
      <c r="AW56" s="346">
        <v>32725</v>
      </c>
      <c r="AX56" s="345" t="s">
        <v>376</v>
      </c>
      <c r="AZ56" s="345">
        <v>3.06</v>
      </c>
      <c r="BA56" s="345" t="s">
        <v>352</v>
      </c>
      <c r="BF56" s="347">
        <v>2.02</v>
      </c>
      <c r="BG56" s="347" t="s">
        <v>361</v>
      </c>
      <c r="BH56" s="1790"/>
      <c r="BI56" s="1792">
        <v>33323</v>
      </c>
      <c r="BJ56" s="237" t="s">
        <v>310</v>
      </c>
      <c r="BM56" s="1784"/>
      <c r="BN56" s="345">
        <v>21.02</v>
      </c>
      <c r="BO56" s="345" t="s">
        <v>297</v>
      </c>
      <c r="BQ56" s="237">
        <v>9900</v>
      </c>
      <c r="BR56" s="237" t="s">
        <v>327</v>
      </c>
      <c r="BT56" s="347">
        <v>15.01</v>
      </c>
      <c r="BU56" s="347" t="s">
        <v>306</v>
      </c>
      <c r="BW56" s="348" t="str">
        <f t="array" ref="BW56">IFERROR(IF($BW$11="Metro",INDEX($BN$13:$BN$4972,SMALL(IF((County=$BO$13:$BO$4972),MATCH(ROW($BO$13:$BO$4972),ROW($BO$13:$BO$4972)),""),ROWS($A$13:$A56))),INDEX($BQ$13:$BQ$212,SMALL(IF((County=$BR$13:$BR$212),MATCH(ROW($BR$13:$BR$212),ROW($BR$13:$BR$212)),""),ROWS($A$13:$A56)))),"")</f>
        <v/>
      </c>
      <c r="BY56" s="348" t="str">
        <f t="array" ref="BY56">IFERROR(IF($BY$11="Yes",INDEX($BT$13:$BT$2950,SMALL(IF((County=$BU$13:$BU$2950),MATCH(ROW($BU$13:$BU$2950),ROW($BU$13:$BU$2950)),""),ROWS($A$13:$A56))),""),"")</f>
        <v/>
      </c>
      <c r="CA56" s="1792">
        <v>32725</v>
      </c>
      <c r="CB56" s="237" t="s">
        <v>376</v>
      </c>
      <c r="CD56" s="237">
        <v>1.45</v>
      </c>
      <c r="CE56" s="237" t="s">
        <v>352</v>
      </c>
      <c r="CG56" s="345">
        <v>1106.03</v>
      </c>
      <c r="CH56" s="345" t="s">
        <v>319</v>
      </c>
      <c r="CJ56" s="347">
        <v>2.04</v>
      </c>
      <c r="CK56" s="347" t="s">
        <v>306</v>
      </c>
      <c r="CL56" s="1789"/>
      <c r="CM56" s="2299"/>
      <c r="CN56" s="345"/>
      <c r="CR56" s="345"/>
      <c r="CS56" s="345"/>
      <c r="CU56" s="345"/>
      <c r="CV56" s="345"/>
      <c r="CX56" s="347"/>
      <c r="CY56" s="347"/>
      <c r="DA56" s="348"/>
      <c r="DC56" s="348"/>
      <c r="DE56" s="1792"/>
      <c r="DF56" s="345"/>
      <c r="DH56" s="237"/>
      <c r="DI56" s="237"/>
      <c r="DK56" s="345"/>
      <c r="DL56" s="345"/>
      <c r="DN56" s="347"/>
      <c r="DO56" s="347"/>
      <c r="DP56" s="2505"/>
      <c r="DT56" s="591" t="s">
        <v>357</v>
      </c>
      <c r="DU56" s="591" t="s">
        <v>719</v>
      </c>
      <c r="DV56" s="591" t="s">
        <v>720</v>
      </c>
      <c r="DW56" s="600">
        <v>30.742882999999999</v>
      </c>
      <c r="DX56" s="599">
        <v>-86.556235999999998</v>
      </c>
      <c r="DY56" s="595" t="s">
        <v>684</v>
      </c>
      <c r="DZ56" s="594" t="s">
        <v>685</v>
      </c>
      <c r="EA56" s="592" t="str">
        <f t="shared" si="4"/>
        <v>Okaloosa - Princeton Grove</v>
      </c>
      <c r="EB56" s="592" t="str">
        <f t="shared" si="5"/>
        <v>Elderly, Non-ALF</v>
      </c>
      <c r="EC56" s="592" t="str">
        <f t="shared" si="6"/>
        <v>(30.742883, -86.556236)</v>
      </c>
      <c r="ED56" s="594" t="str">
        <f t="shared" si="7"/>
        <v>&gt;30</v>
      </c>
    </row>
    <row r="57" spans="1:134" ht="14.45" customHeight="1">
      <c r="A57" s="346">
        <v>33955</v>
      </c>
      <c r="B57" s="345" t="s">
        <v>315</v>
      </c>
      <c r="E57" s="934"/>
      <c r="F57" s="345">
        <v>408.01</v>
      </c>
      <c r="G57" s="345" t="s">
        <v>310</v>
      </c>
      <c r="L57" s="347">
        <v>26.06</v>
      </c>
      <c r="M57" s="347" t="s">
        <v>306</v>
      </c>
      <c r="O57" s="348" t="str">
        <f t="array" ref="O57">IFERROR(IF($O$11="Metro",INDEX($F$13:$F$738,SMALL(IF((County=$G$13:$G$738),MATCH(ROW($G$13:$G$738),ROW($G$13:$G$738)),""),ROWS($A$13:A57))),INDEX($I$13:$I$42,SMALL(IF((County=$J$13:$J$42),MATCH(ROW($J$13:$J$42),ROW($J$13:$J$42)),""),ROWS($A$13:A57)))),"")</f>
        <v/>
      </c>
      <c r="Q57" s="348" t="str">
        <f t="array" ref="Q57">IFERROR(IF($Q$11="Yes",INDEX($L$13:$L$2313,SMALL(IF((County=$M$13:$M$2313),MATCH(ROW($M$13:$M$2313),ROW($M$13:$M$2313)),""),ROWS($A$13:A57))),""),"")</f>
        <v/>
      </c>
      <c r="S57" s="346">
        <v>32735</v>
      </c>
      <c r="T57" s="345" t="s">
        <v>343</v>
      </c>
      <c r="V57" s="345">
        <v>4.0599999999999996</v>
      </c>
      <c r="W57" s="345" t="s">
        <v>368</v>
      </c>
      <c r="AB57" s="347">
        <v>2.14</v>
      </c>
      <c r="AC57" s="347" t="s">
        <v>352</v>
      </c>
      <c r="AD57" s="1138"/>
      <c r="AE57" s="346">
        <v>33947</v>
      </c>
      <c r="AF57" s="345" t="s">
        <v>315</v>
      </c>
      <c r="AI57" s="934"/>
      <c r="AJ57" s="345">
        <v>305</v>
      </c>
      <c r="AK57" s="345" t="s">
        <v>310</v>
      </c>
      <c r="AP57" s="347">
        <v>19</v>
      </c>
      <c r="AQ57" s="347" t="s">
        <v>306</v>
      </c>
      <c r="AS57" s="348" t="str">
        <f t="array" ref="AS57">IFERROR(IF($AS$11="Metro",INDEX($AJ$13:$AJ$814,SMALL(IF((County=$AK$13:$AK$814),MATCH(ROW($AK$13:$AK$814),ROW($AK$13:$AK$814)),""),ROWS($A$13:$A57))),INDEX($AM$13:$AM$48,SMALL(IF((County=$AN$13:$AN$48),MATCH(ROW($AN$13:$AN$48),ROW($AN$13:$AN$48)),""),ROWS($A$13:$A57)))),"")</f>
        <v/>
      </c>
      <c r="AU57" s="348" t="str">
        <f t="array" ref="AU57">IFERROR(IF($AU$11="Yes",INDEX($AP$13:$AP$2950,SMALL(IF((County=$AQ$13:$AQ$2950),MATCH(ROW($AQ$13:$AQ$2950),ROW($AQ$13:$AQ$2950)),""),ROWS($A$13:$A57))),""),"")</f>
        <v/>
      </c>
      <c r="AW57" s="346">
        <v>32732</v>
      </c>
      <c r="AX57" s="345" t="s">
        <v>369</v>
      </c>
      <c r="AZ57" s="345">
        <v>3.07</v>
      </c>
      <c r="BA57" s="345" t="s">
        <v>349</v>
      </c>
      <c r="BF57" s="347">
        <v>2.0299999999999998</v>
      </c>
      <c r="BG57" s="347" t="s">
        <v>350</v>
      </c>
      <c r="BH57" s="1790"/>
      <c r="BI57" s="1792">
        <v>33324</v>
      </c>
      <c r="BJ57" s="237" t="s">
        <v>310</v>
      </c>
      <c r="BM57" s="1784"/>
      <c r="BN57" s="345">
        <v>22.01</v>
      </c>
      <c r="BO57" s="345" t="s">
        <v>297</v>
      </c>
      <c r="BQ57" s="237">
        <v>9901</v>
      </c>
      <c r="BR57" s="237" t="s">
        <v>327</v>
      </c>
      <c r="BT57" s="347">
        <v>15.02</v>
      </c>
      <c r="BU57" s="347" t="s">
        <v>306</v>
      </c>
      <c r="BW57" s="348" t="str">
        <f t="array" ref="BW57">IFERROR(IF($BW$11="Metro",INDEX($BN$13:$BN$4972,SMALL(IF((County=$BO$13:$BO$4972),MATCH(ROW($BO$13:$BO$4972),ROW($BO$13:$BO$4972)),""),ROWS($A$13:$A57))),INDEX($BQ$13:$BQ$212,SMALL(IF((County=$BR$13:$BR$212),MATCH(ROW($BR$13:$BR$212),ROW($BR$13:$BR$212)),""),ROWS($A$13:$A57)))),"")</f>
        <v/>
      </c>
      <c r="BY57" s="348" t="str">
        <f t="array" ref="BY57">IFERROR(IF($BY$11="Yes",INDEX($BT$13:$BT$2950,SMALL(IF((County=$BU$13:$BU$2950),MATCH(ROW($BU$13:$BU$2950),ROW($BU$13:$BU$2950)),""),ROWS($A$13:$A57))),""),"")</f>
        <v/>
      </c>
      <c r="CA57" s="2298">
        <v>32732</v>
      </c>
      <c r="CB57" s="237" t="s">
        <v>369</v>
      </c>
      <c r="CD57" s="237">
        <v>1.46</v>
      </c>
      <c r="CE57" s="237" t="s">
        <v>352</v>
      </c>
      <c r="CG57" s="345">
        <v>1106.04</v>
      </c>
      <c r="CH57" s="345" t="s">
        <v>319</v>
      </c>
      <c r="CJ57" s="347">
        <v>2.04</v>
      </c>
      <c r="CK57" s="347" t="s">
        <v>352</v>
      </c>
      <c r="CL57" s="1789"/>
      <c r="CM57" s="2299"/>
      <c r="CN57" s="345"/>
      <c r="CR57" s="345"/>
      <c r="CS57" s="345"/>
      <c r="CU57" s="345"/>
      <c r="CV57" s="345"/>
      <c r="CX57" s="347"/>
      <c r="CY57" s="347"/>
      <c r="DA57" s="348"/>
      <c r="DC57" s="348"/>
      <c r="DE57" s="1792"/>
      <c r="DF57" s="345"/>
      <c r="DH57" s="237"/>
      <c r="DI57" s="237"/>
      <c r="DK57" s="345"/>
      <c r="DL57" s="345"/>
      <c r="DN57" s="347"/>
      <c r="DO57" s="347"/>
      <c r="DP57" s="2505"/>
      <c r="DT57" s="596" t="s">
        <v>358</v>
      </c>
      <c r="DU57" s="596" t="s">
        <v>2126</v>
      </c>
      <c r="DV57" s="591" t="s">
        <v>2127</v>
      </c>
      <c r="DW57" s="591">
        <v>27.263769</v>
      </c>
      <c r="DX57" s="610">
        <v>-80.830601999999999</v>
      </c>
      <c r="DY57" s="595" t="s">
        <v>686</v>
      </c>
      <c r="DZ57" s="597" t="s">
        <v>689</v>
      </c>
      <c r="EA57" s="592" t="str">
        <f t="shared" si="4"/>
        <v>Okeechobee - Parc East</v>
      </c>
      <c r="EB57" s="592" t="str">
        <f t="shared" si="5"/>
        <v>Family</v>
      </c>
      <c r="EC57" s="592" t="str">
        <f t="shared" si="6"/>
        <v>(27.263769, -80.830602)</v>
      </c>
      <c r="ED57" s="594" t="str">
        <f t="shared" si="7"/>
        <v>&lt;31</v>
      </c>
    </row>
    <row r="58" spans="1:134" ht="14.45" customHeight="1">
      <c r="A58" s="346">
        <v>33981</v>
      </c>
      <c r="B58" s="345" t="s">
        <v>315</v>
      </c>
      <c r="E58" s="934"/>
      <c r="F58" s="345">
        <v>409.01</v>
      </c>
      <c r="G58" s="345" t="s">
        <v>310</v>
      </c>
      <c r="L58" s="347">
        <v>26.07</v>
      </c>
      <c r="M58" s="347" t="s">
        <v>306</v>
      </c>
      <c r="O58" s="348" t="str">
        <f t="array" ref="O58">IFERROR(IF($O$11="Metro",INDEX($F$13:$F$738,SMALL(IF((County=$G$13:$G$738),MATCH(ROW($G$13:$G$738),ROW($G$13:$G$738)),""),ROWS($A$13:A58))),INDEX($I$13:$I$42,SMALL(IF((County=$J$13:$J$42),MATCH(ROW($J$13:$J$42),ROW($J$13:$J$42)),""),ROWS($A$13:A58)))),"")</f>
        <v/>
      </c>
      <c r="Q58" s="348" t="str">
        <f t="array" ref="Q58">IFERROR(IF($Q$11="Yes",INDEX($L$13:$L$2313,SMALL(IF((County=$M$13:$M$2313),MATCH(ROW($M$13:$M$2313),ROW($M$13:$M$2313)),""),ROWS($A$13:A58))),""),"")</f>
        <v/>
      </c>
      <c r="S58" s="346">
        <v>32746</v>
      </c>
      <c r="T58" s="345" t="s">
        <v>369</v>
      </c>
      <c r="V58" s="345">
        <v>4.08</v>
      </c>
      <c r="W58" s="345" t="s">
        <v>352</v>
      </c>
      <c r="AB58" s="347">
        <v>2.14</v>
      </c>
      <c r="AC58" s="347" t="s">
        <v>361</v>
      </c>
      <c r="AD58" s="1138"/>
      <c r="AE58" s="346">
        <v>33953</v>
      </c>
      <c r="AF58" s="345" t="s">
        <v>315</v>
      </c>
      <c r="AI58" s="934"/>
      <c r="AJ58" s="345">
        <v>308.02999999999997</v>
      </c>
      <c r="AK58" s="345" t="s">
        <v>310</v>
      </c>
      <c r="AP58" s="347">
        <v>25</v>
      </c>
      <c r="AQ58" s="347" t="s">
        <v>306</v>
      </c>
      <c r="AS58" s="348" t="str">
        <f t="array" ref="AS58">IFERROR(IF($AS$11="Metro",INDEX($AJ$13:$AJ$814,SMALL(IF((County=$AK$13:$AK$814),MATCH(ROW($AK$13:$AK$814),ROW($AK$13:$AK$814)),""),ROWS($A$13:$A58))),INDEX($AM$13:$AM$48,SMALL(IF((County=$AN$13:$AN$48),MATCH(ROW($AN$13:$AN$48),ROW($AN$13:$AN$48)),""),ROWS($A$13:$A58)))),"")</f>
        <v/>
      </c>
      <c r="AU58" s="348" t="str">
        <f t="array" ref="AU58">IFERROR(IF($AU$11="Yes",INDEX($AP$13:$AP$2950,SMALL(IF((County=$AQ$13:$AQ$2950),MATCH(ROW($AQ$13:$AQ$2950),ROW($AQ$13:$AQ$2950)),""),ROWS($A$13:$A58))),""),"")</f>
        <v/>
      </c>
      <c r="AW58" s="346">
        <v>32735</v>
      </c>
      <c r="AX58" s="345" t="s">
        <v>343</v>
      </c>
      <c r="AZ58" s="345">
        <v>3.09</v>
      </c>
      <c r="BA58" s="345" t="s">
        <v>349</v>
      </c>
      <c r="BF58" s="347">
        <v>2.04</v>
      </c>
      <c r="BG58" s="347" t="s">
        <v>352</v>
      </c>
      <c r="BH58" s="1790"/>
      <c r="BI58" s="1792">
        <v>33325</v>
      </c>
      <c r="BJ58" s="237" t="s">
        <v>310</v>
      </c>
      <c r="BM58" s="1784"/>
      <c r="BN58" s="345">
        <v>22.02</v>
      </c>
      <c r="BO58" s="345" t="s">
        <v>297</v>
      </c>
      <c r="BQ58" s="237">
        <v>1</v>
      </c>
      <c r="BR58" s="237" t="s">
        <v>330</v>
      </c>
      <c r="BT58" s="347">
        <v>19</v>
      </c>
      <c r="BU58" s="347" t="s">
        <v>306</v>
      </c>
      <c r="BW58" s="348" t="str">
        <f t="array" ref="BW58">IFERROR(IF($BW$11="Metro",INDEX($BN$13:$BN$4972,SMALL(IF((County=$BO$13:$BO$4972),MATCH(ROW($BO$13:$BO$4972),ROW($BO$13:$BO$4972)),""),ROWS($A$13:$A58))),INDEX($BQ$13:$BQ$212,SMALL(IF((County=$BR$13:$BR$212),MATCH(ROW($BR$13:$BR$212),ROW($BR$13:$BR$212)),""),ROWS($A$13:$A58)))),"")</f>
        <v/>
      </c>
      <c r="BY58" s="348" t="str">
        <f t="array" ref="BY58">IFERROR(IF($BY$11="Yes",INDEX($BT$13:$BT$2950,SMALL(IF((County=$BU$13:$BU$2950),MATCH(ROW($BU$13:$BU$2950),ROW($BU$13:$BU$2950)),""),ROWS($A$13:$A58))),""),"")</f>
        <v/>
      </c>
      <c r="CA58" s="2298">
        <v>32735</v>
      </c>
      <c r="CB58" s="345" t="s">
        <v>343</v>
      </c>
      <c r="CD58" s="237">
        <v>2</v>
      </c>
      <c r="CE58" s="237" t="s">
        <v>318</v>
      </c>
      <c r="CG58" s="345">
        <v>1107</v>
      </c>
      <c r="CH58" s="345" t="s">
        <v>319</v>
      </c>
      <c r="CJ58" s="347">
        <v>2.04</v>
      </c>
      <c r="CK58" s="347" t="s">
        <v>361</v>
      </c>
      <c r="CL58" s="1789"/>
      <c r="CM58" s="2299"/>
      <c r="CN58" s="345"/>
      <c r="CR58" s="345"/>
      <c r="CS58" s="345"/>
      <c r="CU58" s="345"/>
      <c r="CV58" s="345"/>
      <c r="CX58" s="347"/>
      <c r="CY58" s="347"/>
      <c r="DA58" s="348"/>
      <c r="DC58" s="348"/>
      <c r="DE58" s="1792"/>
      <c r="DF58" s="345"/>
      <c r="DH58" s="237"/>
      <c r="DI58" s="237"/>
      <c r="DK58" s="345"/>
      <c r="DL58" s="345"/>
      <c r="DN58" s="347"/>
      <c r="DO58" s="347"/>
      <c r="DP58" s="2505"/>
      <c r="DT58" s="591" t="s">
        <v>360</v>
      </c>
      <c r="DU58" s="591" t="s">
        <v>723</v>
      </c>
      <c r="DV58" s="591" t="s">
        <v>724</v>
      </c>
      <c r="DW58" s="591">
        <v>28.265356000000001</v>
      </c>
      <c r="DX58" s="591">
        <v>-81.485287</v>
      </c>
      <c r="DY58" s="593" t="s">
        <v>686</v>
      </c>
      <c r="DZ58" s="595" t="s">
        <v>685</v>
      </c>
      <c r="EA58" s="592" t="str">
        <f t="shared" si="4"/>
        <v>Osceola - Falcon Trace II</v>
      </c>
      <c r="EB58" s="592" t="str">
        <f t="shared" si="5"/>
        <v>Family</v>
      </c>
      <c r="EC58" s="592" t="str">
        <f t="shared" si="6"/>
        <v>(28.265356, -81.485287)</v>
      </c>
      <c r="ED58" s="594" t="str">
        <f t="shared" si="7"/>
        <v>&gt;30</v>
      </c>
    </row>
    <row r="59" spans="1:134" ht="14.45" customHeight="1">
      <c r="A59" s="346">
        <v>34429</v>
      </c>
      <c r="B59" s="345" t="s">
        <v>316</v>
      </c>
      <c r="E59" s="934"/>
      <c r="F59" s="345">
        <v>409.02</v>
      </c>
      <c r="G59" s="345" t="s">
        <v>310</v>
      </c>
      <c r="L59" s="347">
        <v>26.08</v>
      </c>
      <c r="M59" s="347" t="s">
        <v>306</v>
      </c>
      <c r="O59" s="348" t="str">
        <f t="array" ref="O59">IFERROR(IF($O$11="Metro",INDEX($F$13:$F$738,SMALL(IF((County=$G$13:$G$738),MATCH(ROW($G$13:$G$738),ROW($G$13:$G$738)),""),ROWS($A$13:A59))),INDEX($I$13:$I$42,SMALL(IF((County=$J$13:$J$42),MATCH(ROW($J$13:$J$42),ROW($J$13:$J$42)),""),ROWS($A$13:A59)))),"")</f>
        <v/>
      </c>
      <c r="Q59" s="348" t="str">
        <f t="array" ref="Q59">IFERROR(IF($Q$11="Yes",INDEX($L$13:$L$2313,SMALL(IF((County=$M$13:$M$2313),MATCH(ROW($M$13:$M$2313),ROW($M$13:$M$2313)),""),ROWS($A$13:A59))),""),"")</f>
        <v/>
      </c>
      <c r="S59" s="346">
        <v>32750</v>
      </c>
      <c r="T59" s="345" t="s">
        <v>369</v>
      </c>
      <c r="V59" s="345">
        <v>4.1100000000000003</v>
      </c>
      <c r="W59" s="345" t="s">
        <v>352</v>
      </c>
      <c r="AB59" s="347">
        <v>2.15</v>
      </c>
      <c r="AC59" s="347" t="s">
        <v>361</v>
      </c>
      <c r="AD59" s="1138"/>
      <c r="AE59" s="346">
        <v>33954</v>
      </c>
      <c r="AF59" s="345" t="s">
        <v>315</v>
      </c>
      <c r="AI59" s="934"/>
      <c r="AJ59" s="345">
        <v>308.04000000000002</v>
      </c>
      <c r="AK59" s="345" t="s">
        <v>310</v>
      </c>
      <c r="AP59" s="347">
        <v>26.05</v>
      </c>
      <c r="AQ59" s="347" t="s">
        <v>306</v>
      </c>
      <c r="AS59" s="348" t="str">
        <f t="array" ref="AS59">IFERROR(IF($AS$11="Metro",INDEX($AJ$13:$AJ$814,SMALL(IF((County=$AK$13:$AK$814),MATCH(ROW($AK$13:$AK$814),ROW($AK$13:$AK$814)),""),ROWS($A$13:$A59))),INDEX($AM$13:$AM$48,SMALL(IF((County=$AN$13:$AN$48),MATCH(ROW($AN$13:$AN$48),ROW($AN$13:$AN$48)),""),ROWS($A$13:$A59)))),"")</f>
        <v/>
      </c>
      <c r="AU59" s="348" t="str">
        <f t="array" ref="AU59">IFERROR(IF($AU$11="Yes",INDEX($AP$13:$AP$2950,SMALL(IF((County=$AQ$13:$AQ$2950),MATCH(ROW($AQ$13:$AQ$2950),ROW($AQ$13:$AQ$2950)),""),ROWS($A$13:$A59))),""),"")</f>
        <v/>
      </c>
      <c r="AW59" s="346">
        <v>32746</v>
      </c>
      <c r="AX59" s="345" t="s">
        <v>369</v>
      </c>
      <c r="AZ59" s="345">
        <v>3.09</v>
      </c>
      <c r="BA59" s="345" t="s">
        <v>352</v>
      </c>
      <c r="BF59" s="347">
        <v>2.04</v>
      </c>
      <c r="BG59" s="347" t="s">
        <v>361</v>
      </c>
      <c r="BH59" s="1790"/>
      <c r="BI59" s="1792">
        <v>33326</v>
      </c>
      <c r="BJ59" s="237" t="s">
        <v>310</v>
      </c>
      <c r="BM59" s="1784"/>
      <c r="BN59" s="345">
        <v>22.04</v>
      </c>
      <c r="BO59" s="345" t="s">
        <v>297</v>
      </c>
      <c r="BQ59" s="237">
        <v>2.0099999999999998</v>
      </c>
      <c r="BR59" s="237" t="s">
        <v>330</v>
      </c>
      <c r="BT59" s="347">
        <v>23</v>
      </c>
      <c r="BU59" s="347" t="s">
        <v>306</v>
      </c>
      <c r="BW59" s="348" t="str">
        <f t="array" ref="BW59">IFERROR(IF($BW$11="Metro",INDEX($BN$13:$BN$4972,SMALL(IF((County=$BO$13:$BO$4972),MATCH(ROW($BO$13:$BO$4972),ROW($BO$13:$BO$4972)),""),ROWS($A$13:$A59))),INDEX($BQ$13:$BQ$212,SMALL(IF((County=$BR$13:$BR$212),MATCH(ROW($BR$13:$BR$212),ROW($BR$13:$BR$212)),""),ROWS($A$13:$A59)))),"")</f>
        <v/>
      </c>
      <c r="BY59" s="348" t="str">
        <f t="array" ref="BY59">IFERROR(IF($BY$11="Yes",INDEX($BT$13:$BT$2950,SMALL(IF((County=$BU$13:$BU$2950),MATCH(ROW($BU$13:$BU$2950),ROW($BU$13:$BU$2950)),""),ROWS($A$13:$A59))),""),"")</f>
        <v/>
      </c>
      <c r="CA59" s="1792">
        <v>32738</v>
      </c>
      <c r="CB59" s="237" t="s">
        <v>376</v>
      </c>
      <c r="CD59" s="237">
        <v>2</v>
      </c>
      <c r="CE59" s="237" t="s">
        <v>323</v>
      </c>
      <c r="CG59" s="345">
        <v>1108</v>
      </c>
      <c r="CH59" s="345" t="s">
        <v>319</v>
      </c>
      <c r="CJ59" s="347">
        <v>2.08</v>
      </c>
      <c r="CK59" s="347" t="s">
        <v>361</v>
      </c>
      <c r="CL59" s="1789"/>
      <c r="CM59" s="2299"/>
      <c r="CN59" s="345"/>
      <c r="CR59" s="345"/>
      <c r="CS59" s="345"/>
      <c r="CU59" s="345"/>
      <c r="CV59" s="345"/>
      <c r="CX59" s="347"/>
      <c r="CY59" s="347"/>
      <c r="DA59" s="348"/>
      <c r="DC59" s="348"/>
      <c r="DE59" s="1792"/>
      <c r="DF59" s="345"/>
      <c r="DH59" s="237"/>
      <c r="DI59" s="237"/>
      <c r="DK59" s="345"/>
      <c r="DL59" s="345"/>
      <c r="DN59" s="347"/>
      <c r="DO59" s="347"/>
      <c r="DP59" s="2505"/>
      <c r="DT59" s="591" t="s">
        <v>360</v>
      </c>
      <c r="DU59" s="609" t="s">
        <v>725</v>
      </c>
      <c r="DV59" s="609" t="s">
        <v>726</v>
      </c>
      <c r="DW59" s="601">
        <v>28.229972</v>
      </c>
      <c r="DX59" s="599">
        <v>-81.307528000000005</v>
      </c>
      <c r="DY59" s="593" t="s">
        <v>684</v>
      </c>
      <c r="DZ59" s="594" t="s">
        <v>685</v>
      </c>
      <c r="EA59" s="592" t="str">
        <f t="shared" si="4"/>
        <v>Osceola - Madison Grove</v>
      </c>
      <c r="EB59" s="592" t="str">
        <f t="shared" si="5"/>
        <v>Elderly, Non-ALF</v>
      </c>
      <c r="EC59" s="592" t="str">
        <f t="shared" si="6"/>
        <v>(28.229972, -81.307528)</v>
      </c>
      <c r="ED59" s="594" t="str">
        <f t="shared" si="7"/>
        <v>&gt;30</v>
      </c>
    </row>
    <row r="60" spans="1:134" ht="14.45" customHeight="1">
      <c r="A60" s="346">
        <v>34434</v>
      </c>
      <c r="B60" s="345" t="s">
        <v>316</v>
      </c>
      <c r="E60" s="934"/>
      <c r="F60" s="345">
        <v>410</v>
      </c>
      <c r="G60" s="345" t="s">
        <v>310</v>
      </c>
      <c r="L60" s="347">
        <v>27.01</v>
      </c>
      <c r="M60" s="347" t="s">
        <v>306</v>
      </c>
      <c r="O60" s="348" t="str">
        <f t="array" ref="O60">IFERROR(IF($O$11="Metro",INDEX($F$13:$F$738,SMALL(IF((County=$G$13:$G$738),MATCH(ROW($G$13:$G$738),ROW($G$13:$G$738)),""),ROWS($A$13:A60))),INDEX($I$13:$I$42,SMALL(IF((County=$J$13:$J$42),MATCH(ROW($J$13:$J$42),ROW($J$13:$J$42)),""),ROWS($A$13:A60)))),"")</f>
        <v/>
      </c>
      <c r="Q60" s="348" t="str">
        <f t="array" ref="Q60">IFERROR(IF($Q$11="Yes",INDEX($L$13:$L$2313,SMALL(IF((County=$M$13:$M$2313),MATCH(ROW($M$13:$M$2313),ROW($M$13:$M$2313)),""),ROWS($A$13:A60))),""),"")</f>
        <v/>
      </c>
      <c r="S60" s="346">
        <v>32751</v>
      </c>
      <c r="T60" s="345" t="s">
        <v>359</v>
      </c>
      <c r="V60" s="345">
        <v>4.12</v>
      </c>
      <c r="W60" s="345" t="s">
        <v>352</v>
      </c>
      <c r="AB60" s="347">
        <v>3</v>
      </c>
      <c r="AC60" s="347" t="s">
        <v>308</v>
      </c>
      <c r="AD60" s="1138"/>
      <c r="AE60" s="346">
        <v>33955</v>
      </c>
      <c r="AF60" s="345" t="s">
        <v>315</v>
      </c>
      <c r="AI60" s="934"/>
      <c r="AJ60" s="345">
        <v>310.01</v>
      </c>
      <c r="AK60" s="345" t="s">
        <v>310</v>
      </c>
      <c r="AP60" s="347">
        <v>26.06</v>
      </c>
      <c r="AQ60" s="347" t="s">
        <v>306</v>
      </c>
      <c r="AS60" s="348" t="str">
        <f t="array" ref="AS60">IFERROR(IF($AS$11="Metro",INDEX($AJ$13:$AJ$814,SMALL(IF((County=$AK$13:$AK$814),MATCH(ROW($AK$13:$AK$814),ROW($AK$13:$AK$814)),""),ROWS($A$13:$A60))),INDEX($AM$13:$AM$48,SMALL(IF((County=$AN$13:$AN$48),MATCH(ROW($AN$13:$AN$48),ROW($AN$13:$AN$48)),""),ROWS($A$13:$A60)))),"")</f>
        <v/>
      </c>
      <c r="AU60" s="348" t="str">
        <f t="array" ref="AU60">IFERROR(IF($AU$11="Yes",INDEX($AP$13:$AP$2950,SMALL(IF((County=$AQ$13:$AQ$2950),MATCH(ROW($AQ$13:$AQ$2950),ROW($AQ$13:$AQ$2950)),""),ROWS($A$13:$A60))),""),"")</f>
        <v/>
      </c>
      <c r="AW60" s="346">
        <v>32750</v>
      </c>
      <c r="AX60" s="345" t="s">
        <v>369</v>
      </c>
      <c r="AZ60" s="345">
        <v>3.1</v>
      </c>
      <c r="BA60" s="345" t="s">
        <v>349</v>
      </c>
      <c r="BF60" s="347">
        <v>2.06</v>
      </c>
      <c r="BG60" s="347" t="s">
        <v>352</v>
      </c>
      <c r="BH60" s="1790"/>
      <c r="BI60" s="1792">
        <v>33327</v>
      </c>
      <c r="BJ60" s="237" t="s">
        <v>310</v>
      </c>
      <c r="BM60" s="1784"/>
      <c r="BN60" s="345">
        <v>22.07</v>
      </c>
      <c r="BO60" s="345" t="s">
        <v>297</v>
      </c>
      <c r="BQ60" s="237">
        <v>2.02</v>
      </c>
      <c r="BR60" s="237" t="s">
        <v>330</v>
      </c>
      <c r="BT60" s="347">
        <v>25</v>
      </c>
      <c r="BU60" s="347" t="s">
        <v>306</v>
      </c>
      <c r="BW60" s="348" t="str">
        <f t="array" ref="BW60">IFERROR(IF($BW$11="Metro",INDEX($BN$13:$BN$4972,SMALL(IF((County=$BO$13:$BO$4972),MATCH(ROW($BO$13:$BO$4972),ROW($BO$13:$BO$4972)),""),ROWS($A$13:$A60))),INDEX($BQ$13:$BQ$212,SMALL(IF((County=$BR$13:$BR$212),MATCH(ROW($BR$13:$BR$212),ROW($BR$13:$BR$212)),""),ROWS($A$13:$A60)))),"")</f>
        <v/>
      </c>
      <c r="BY60" s="348" t="str">
        <f t="array" ref="BY60">IFERROR(IF($BY$11="Yes",INDEX($BT$13:$BT$2950,SMALL(IF((County=$BU$13:$BU$2950),MATCH(ROW($BU$13:$BU$2950),ROW($BU$13:$BU$2950)),""),ROWS($A$13:$A60))),""),"")</f>
        <v/>
      </c>
      <c r="CA60" s="2298">
        <v>32746</v>
      </c>
      <c r="CB60" s="237" t="s">
        <v>369</v>
      </c>
      <c r="CD60" s="237">
        <v>2</v>
      </c>
      <c r="CE60" s="237" t="s">
        <v>345</v>
      </c>
      <c r="CG60" s="345">
        <v>1109.01</v>
      </c>
      <c r="CH60" s="345" t="s">
        <v>319</v>
      </c>
      <c r="CJ60" s="347">
        <v>2.11</v>
      </c>
      <c r="CK60" s="347" t="s">
        <v>361</v>
      </c>
      <c r="CL60" s="1789"/>
      <c r="CM60" s="2299"/>
      <c r="CN60" s="345"/>
      <c r="CR60" s="345"/>
      <c r="CS60" s="345"/>
      <c r="CU60" s="345"/>
      <c r="CV60" s="345"/>
      <c r="CX60" s="347"/>
      <c r="CY60" s="347"/>
      <c r="DA60" s="348"/>
      <c r="DC60" s="348"/>
      <c r="DE60" s="1792"/>
      <c r="DF60" s="345"/>
      <c r="DH60" s="237"/>
      <c r="DI60" s="237"/>
      <c r="DK60" s="345"/>
      <c r="DL60" s="345"/>
      <c r="DN60" s="347"/>
      <c r="DO60" s="347"/>
      <c r="DP60" s="2505"/>
      <c r="DT60" s="591" t="s">
        <v>360</v>
      </c>
      <c r="DU60" s="591" t="s">
        <v>2128</v>
      </c>
      <c r="DV60" s="591" t="s">
        <v>2661</v>
      </c>
      <c r="DW60" s="600">
        <v>28.14921</v>
      </c>
      <c r="DX60" s="599">
        <v>-81.474196000000006</v>
      </c>
      <c r="DY60" s="595" t="s">
        <v>686</v>
      </c>
      <c r="DZ60" s="594" t="s">
        <v>685</v>
      </c>
      <c r="EA60" s="592" t="str">
        <f t="shared" si="4"/>
        <v>Osceola - Maison at Solivita Marketplace</v>
      </c>
      <c r="EB60" s="592" t="str">
        <f t="shared" si="5"/>
        <v>Family</v>
      </c>
      <c r="EC60" s="592" t="str">
        <f t="shared" si="6"/>
        <v>(28.14921, -81.474196)</v>
      </c>
      <c r="ED60" s="594" t="str">
        <f t="shared" si="7"/>
        <v>&gt;30</v>
      </c>
    </row>
    <row r="61" spans="1:134" ht="14.45" customHeight="1">
      <c r="A61" s="346">
        <v>34446</v>
      </c>
      <c r="B61" s="345" t="s">
        <v>316</v>
      </c>
      <c r="E61" s="934"/>
      <c r="F61" s="345">
        <v>412</v>
      </c>
      <c r="G61" s="345" t="s">
        <v>310</v>
      </c>
      <c r="L61" s="347">
        <v>27.02</v>
      </c>
      <c r="M61" s="347" t="s">
        <v>306</v>
      </c>
      <c r="O61" s="348" t="str">
        <f t="array" ref="O61">IFERROR(IF($O$11="Metro",INDEX($F$13:$F$738,SMALL(IF((County=$G$13:$G$738),MATCH(ROW($G$13:$G$738),ROW($G$13:$G$738)),""),ROWS($A$13:A61))),INDEX($I$13:$I$42,SMALL(IF((County=$J$13:$J$42),MATCH(ROW($J$13:$J$42),ROW($J$13:$J$42)),""),ROWS($A$13:A61)))),"")</f>
        <v/>
      </c>
      <c r="Q61" s="348" t="str">
        <f t="array" ref="Q61">IFERROR(IF($Q$11="Yes",INDEX($L$13:$L$2313,SMALL(IF((County=$M$13:$M$2313),MATCH(ROW($M$13:$M$2313),ROW($M$13:$M$2313)),""),ROWS($A$13:A61))),""),"")</f>
        <v/>
      </c>
      <c r="S61" s="346">
        <v>32765</v>
      </c>
      <c r="T61" s="345" t="s">
        <v>369</v>
      </c>
      <c r="V61" s="345">
        <v>4.1399999999999997</v>
      </c>
      <c r="W61" s="345" t="s">
        <v>352</v>
      </c>
      <c r="AB61" s="347">
        <v>3.01</v>
      </c>
      <c r="AC61" s="347" t="s">
        <v>318</v>
      </c>
      <c r="AD61" s="1138"/>
      <c r="AE61" s="346">
        <v>33981</v>
      </c>
      <c r="AF61" s="345" t="s">
        <v>315</v>
      </c>
      <c r="AI61" s="934"/>
      <c r="AJ61" s="345">
        <v>409.01</v>
      </c>
      <c r="AK61" s="345" t="s">
        <v>310</v>
      </c>
      <c r="AP61" s="347">
        <v>26.07</v>
      </c>
      <c r="AQ61" s="347" t="s">
        <v>306</v>
      </c>
      <c r="AS61" s="348" t="str">
        <f t="array" ref="AS61">IFERROR(IF($AS$11="Metro",INDEX($AJ$13:$AJ$814,SMALL(IF((County=$AK$13:$AK$814),MATCH(ROW($AK$13:$AK$814),ROW($AK$13:$AK$814)),""),ROWS($A$13:$A61))),INDEX($AM$13:$AM$48,SMALL(IF((County=$AN$13:$AN$48),MATCH(ROW($AN$13:$AN$48),ROW($AN$13:$AN$48)),""),ROWS($A$13:$A61)))),"")</f>
        <v/>
      </c>
      <c r="AU61" s="348" t="str">
        <f t="array" ref="AU61">IFERROR(IF($AU$11="Yes",INDEX($AP$13:$AP$2950,SMALL(IF((County=$AQ$13:$AQ$2950),MATCH(ROW($AQ$13:$AQ$2950),ROW($AQ$13:$AQ$2950)),""),ROWS($A$13:$A61))),""),"")</f>
        <v/>
      </c>
      <c r="AW61" s="346">
        <v>32751</v>
      </c>
      <c r="AX61" s="345" t="s">
        <v>359</v>
      </c>
      <c r="AZ61" s="345">
        <v>3.1</v>
      </c>
      <c r="BA61" s="345" t="s">
        <v>352</v>
      </c>
      <c r="BF61" s="347">
        <v>2.08</v>
      </c>
      <c r="BG61" s="347" t="s">
        <v>361</v>
      </c>
      <c r="BH61" s="1790"/>
      <c r="BI61" s="1792">
        <v>33328</v>
      </c>
      <c r="BJ61" s="237" t="s">
        <v>310</v>
      </c>
      <c r="BM61" s="1784"/>
      <c r="BN61" s="345">
        <v>22.08</v>
      </c>
      <c r="BO61" s="345" t="s">
        <v>297</v>
      </c>
      <c r="BQ61" s="237">
        <v>3</v>
      </c>
      <c r="BR61" s="237" t="s">
        <v>330</v>
      </c>
      <c r="BT61" s="347">
        <v>26.04</v>
      </c>
      <c r="BU61" s="347" t="s">
        <v>306</v>
      </c>
      <c r="BW61" s="348" t="str">
        <f t="array" ref="BW61">IFERROR(IF($BW$11="Metro",INDEX($BN$13:$BN$4972,SMALL(IF((County=$BO$13:$BO$4972),MATCH(ROW($BO$13:$BO$4972),ROW($BO$13:$BO$4972)),""),ROWS($A$13:$A61))),INDEX($BQ$13:$BQ$212,SMALL(IF((County=$BR$13:$BR$212),MATCH(ROW($BR$13:$BR$212),ROW($BR$13:$BR$212)),""),ROWS($A$13:$A61)))),"")</f>
        <v/>
      </c>
      <c r="BY61" s="348" t="str">
        <f t="array" ref="BY61">IFERROR(IF($BY$11="Yes",INDEX($BT$13:$BT$2950,SMALL(IF((County=$BU$13:$BU$2950),MATCH(ROW($BU$13:$BU$2950),ROW($BU$13:$BU$2950)),""),ROWS($A$13:$A61))),""),"")</f>
        <v/>
      </c>
      <c r="CA61" s="2298">
        <v>32750</v>
      </c>
      <c r="CB61" s="237" t="s">
        <v>369</v>
      </c>
      <c r="CD61" s="237">
        <v>2</v>
      </c>
      <c r="CE61" s="237" t="s">
        <v>351</v>
      </c>
      <c r="CG61" s="345">
        <v>1109.03</v>
      </c>
      <c r="CH61" s="345" t="s">
        <v>319</v>
      </c>
      <c r="CJ61" s="347">
        <v>2.13</v>
      </c>
      <c r="CK61" s="347" t="s">
        <v>352</v>
      </c>
      <c r="CL61" s="1789"/>
      <c r="CM61" s="2299"/>
      <c r="CN61" s="345"/>
      <c r="CR61" s="345"/>
      <c r="CS61" s="345"/>
      <c r="CU61" s="345"/>
      <c r="CV61" s="345"/>
      <c r="CX61" s="347"/>
      <c r="CY61" s="347"/>
      <c r="DA61" s="348"/>
      <c r="DC61" s="348"/>
      <c r="DE61" s="1792"/>
      <c r="DF61" s="345"/>
      <c r="DH61" s="237"/>
      <c r="DI61" s="237"/>
      <c r="DK61" s="345"/>
      <c r="DL61" s="345"/>
      <c r="DN61" s="347"/>
      <c r="DO61" s="347"/>
      <c r="DP61" s="2505"/>
      <c r="DT61" s="592" t="s">
        <v>360</v>
      </c>
      <c r="DU61" s="592" t="s">
        <v>2129</v>
      </c>
      <c r="DV61" s="592" t="s">
        <v>2130</v>
      </c>
      <c r="DW61" s="592">
        <v>28.257769</v>
      </c>
      <c r="DX61" s="592">
        <v>-81.481272000000004</v>
      </c>
      <c r="DY61" s="594" t="s">
        <v>684</v>
      </c>
      <c r="DZ61" s="594" t="s">
        <v>685</v>
      </c>
      <c r="EA61" s="592" t="str">
        <f t="shared" ref="EA61:EA75" si="8">DT61&amp;" - "&amp;DV61</f>
        <v xml:space="preserve">Osceola - Poinciana Parc </v>
      </c>
      <c r="EB61" s="592" t="str">
        <f t="shared" ref="EB61:EB75" si="9">IF(DY61="F","Family",IF(DY61="E","Elderly, Non-ALF",IF(DY61="ALF","Elderly, Assisted Living Facility",IF(DY61="W","Workforce",""))))</f>
        <v>Elderly, Non-ALF</v>
      </c>
      <c r="EC61" s="592" t="str">
        <f t="shared" ref="EC61:EC75" si="10">"("&amp;DW61&amp;", "&amp;DX61&amp;")"</f>
        <v>(28.257769, -81.481272)</v>
      </c>
      <c r="ED61" s="594" t="str">
        <f t="shared" ref="ED61:ED75" si="11">IF(DZ61="N","&gt;30",IF(DZ61="Y","&lt;31",""))</f>
        <v>&gt;30</v>
      </c>
    </row>
    <row r="62" spans="1:134" ht="14.45" customHeight="1">
      <c r="A62" s="346">
        <v>34453</v>
      </c>
      <c r="B62" s="345" t="s">
        <v>316</v>
      </c>
      <c r="E62" s="934"/>
      <c r="F62" s="345">
        <v>413</v>
      </c>
      <c r="G62" s="345" t="s">
        <v>310</v>
      </c>
      <c r="L62" s="347">
        <v>27.03</v>
      </c>
      <c r="M62" s="347" t="s">
        <v>306</v>
      </c>
      <c r="O62" s="348" t="str">
        <f t="array" ref="O62">IFERROR(IF($O$11="Metro",INDEX($F$13:$F$738,SMALL(IF((County=$G$13:$G$738),MATCH(ROW($G$13:$G$738),ROW($G$13:$G$738)),""),ROWS($A$13:A62))),INDEX($I$13:$I$42,SMALL(IF((County=$J$13:$J$42),MATCH(ROW($J$13:$J$42),ROW($J$13:$J$42)),""),ROWS($A$13:A62)))),"")</f>
        <v/>
      </c>
      <c r="Q62" s="348" t="str">
        <f t="array" ref="Q62">IFERROR(IF($Q$11="Yes",INDEX($L$13:$L$2313,SMALL(IF((County=$M$13:$M$2313),MATCH(ROW($M$13:$M$2313),ROW($M$13:$M$2313)),""),ROWS($A$13:A62))),""),"")</f>
        <v/>
      </c>
      <c r="S62" s="346">
        <v>32766</v>
      </c>
      <c r="T62" s="345" t="s">
        <v>369</v>
      </c>
      <c r="V62" s="345">
        <v>5</v>
      </c>
      <c r="W62" s="345" t="s">
        <v>345</v>
      </c>
      <c r="AB62" s="347">
        <v>3.01</v>
      </c>
      <c r="AC62" s="347" t="s">
        <v>345</v>
      </c>
      <c r="AD62" s="1138"/>
      <c r="AE62" s="346">
        <v>34429</v>
      </c>
      <c r="AF62" s="345" t="s">
        <v>316</v>
      </c>
      <c r="AI62" s="934"/>
      <c r="AJ62" s="345">
        <v>409.02</v>
      </c>
      <c r="AK62" s="345" t="s">
        <v>310</v>
      </c>
      <c r="AP62" s="347">
        <v>26.08</v>
      </c>
      <c r="AQ62" s="347" t="s">
        <v>306</v>
      </c>
      <c r="AS62" s="348" t="str">
        <f t="array" ref="AS62">IFERROR(IF($AS$11="Metro",INDEX($AJ$13:$AJ$814,SMALL(IF((County=$AK$13:$AK$814),MATCH(ROW($AK$13:$AK$814),ROW($AK$13:$AK$814)),""),ROWS($A$13:$A62))),INDEX($AM$13:$AM$48,SMALL(IF((County=$AN$13:$AN$48),MATCH(ROW($AN$13:$AN$48),ROW($AN$13:$AN$48)),""),ROWS($A$13:$A62)))),"")</f>
        <v/>
      </c>
      <c r="AU62" s="348" t="str">
        <f t="array" ref="AU62">IFERROR(IF($AU$11="Yes",INDEX($AP$13:$AP$2950,SMALL(IF((County=$AQ$13:$AQ$2950),MATCH(ROW($AQ$13:$AQ$2950),ROW($AQ$13:$AQ$2950)),""),ROWS($A$13:$A62))),""),"")</f>
        <v/>
      </c>
      <c r="AW62" s="346">
        <v>32765</v>
      </c>
      <c r="AX62" s="345" t="s">
        <v>369</v>
      </c>
      <c r="AZ62" s="345">
        <v>3.11</v>
      </c>
      <c r="BA62" s="345" t="s">
        <v>349</v>
      </c>
      <c r="BF62" s="347">
        <v>2.1</v>
      </c>
      <c r="BG62" s="347" t="s">
        <v>361</v>
      </c>
      <c r="BH62" s="1790"/>
      <c r="BI62" s="1792">
        <v>33330</v>
      </c>
      <c r="BJ62" s="237" t="s">
        <v>310</v>
      </c>
      <c r="BM62" s="1784"/>
      <c r="BN62" s="345">
        <v>22.09</v>
      </c>
      <c r="BO62" s="345" t="s">
        <v>297</v>
      </c>
      <c r="BQ62" s="237">
        <v>9900</v>
      </c>
      <c r="BR62" s="237" t="s">
        <v>330</v>
      </c>
      <c r="BT62" s="347">
        <v>26.05</v>
      </c>
      <c r="BU62" s="347" t="s">
        <v>306</v>
      </c>
      <c r="BW62" s="348" t="str">
        <f t="array" ref="BW62">IFERROR(IF($BW$11="Metro",INDEX($BN$13:$BN$4972,SMALL(IF((County=$BO$13:$BO$4972),MATCH(ROW($BO$13:$BO$4972),ROW($BO$13:$BO$4972)),""),ROWS($A$13:$A62))),INDEX($BQ$13:$BQ$212,SMALL(IF((County=$BR$13:$BR$212),MATCH(ROW($BR$13:$BR$212),ROW($BR$13:$BR$212)),""),ROWS($A$13:$A62)))),"")</f>
        <v/>
      </c>
      <c r="BY62" s="348" t="str">
        <f t="array" ref="BY62">IFERROR(IF($BY$11="Yes",INDEX($BT$13:$BT$2950,SMALL(IF((County=$BU$13:$BU$2950),MATCH(ROW($BU$13:$BU$2950),ROW($BU$13:$BU$2950)),""),ROWS($A$13:$A62))),""),"")</f>
        <v/>
      </c>
      <c r="CA62" s="2298">
        <v>32751</v>
      </c>
      <c r="CB62" s="345" t="s">
        <v>359</v>
      </c>
      <c r="CD62" s="237">
        <v>2</v>
      </c>
      <c r="CE62" s="237" t="s">
        <v>368</v>
      </c>
      <c r="CG62" s="345">
        <v>1109.04</v>
      </c>
      <c r="CH62" s="345" t="s">
        <v>319</v>
      </c>
      <c r="CJ62" s="347">
        <v>2.13</v>
      </c>
      <c r="CK62" s="347" t="s">
        <v>361</v>
      </c>
      <c r="CL62" s="1789"/>
      <c r="CM62" s="2299"/>
      <c r="CN62" s="345"/>
      <c r="CR62" s="345"/>
      <c r="CS62" s="345"/>
      <c r="CU62" s="345"/>
      <c r="CV62" s="345"/>
      <c r="CX62" s="347"/>
      <c r="CY62" s="347"/>
      <c r="DA62" s="348"/>
      <c r="DC62" s="348"/>
      <c r="DE62" s="1792"/>
      <c r="DF62" s="345"/>
      <c r="DH62" s="237"/>
      <c r="DI62" s="237"/>
      <c r="DK62" s="345"/>
      <c r="DL62" s="345"/>
      <c r="DN62" s="347"/>
      <c r="DO62" s="347"/>
      <c r="DP62" s="2505"/>
      <c r="DT62" s="591" t="s">
        <v>360</v>
      </c>
      <c r="DU62" s="591" t="s">
        <v>2635</v>
      </c>
      <c r="DV62" s="591" t="s">
        <v>2636</v>
      </c>
      <c r="DW62" s="599">
        <v>28.254057</v>
      </c>
      <c r="DX62" s="602">
        <v>-81.479622000000006</v>
      </c>
      <c r="DY62" s="595" t="s">
        <v>684</v>
      </c>
      <c r="DZ62" s="594" t="s">
        <v>685</v>
      </c>
      <c r="EA62" s="592" t="str">
        <f t="shared" si="8"/>
        <v>Osceola - Woodlock Manor</v>
      </c>
      <c r="EB62" s="592" t="str">
        <f t="shared" si="9"/>
        <v>Elderly, Non-ALF</v>
      </c>
      <c r="EC62" s="592" t="str">
        <f t="shared" si="10"/>
        <v>(28.254057, -81.479622)</v>
      </c>
      <c r="ED62" s="594" t="str">
        <f t="shared" si="11"/>
        <v>&gt;30</v>
      </c>
    </row>
    <row r="63" spans="1:134" ht="14.45" customHeight="1">
      <c r="A63" s="346">
        <v>32003</v>
      </c>
      <c r="B63" s="345" t="s">
        <v>317</v>
      </c>
      <c r="E63" s="934"/>
      <c r="F63" s="345">
        <v>414</v>
      </c>
      <c r="G63" s="345" t="s">
        <v>310</v>
      </c>
      <c r="L63" s="347">
        <v>27.04</v>
      </c>
      <c r="M63" s="347" t="s">
        <v>306</v>
      </c>
      <c r="O63" s="348" t="str">
        <f t="array" ref="O63">IFERROR(IF($O$11="Metro",INDEX($F$13:$F$738,SMALL(IF((County=$G$13:$G$738),MATCH(ROW($G$13:$G$738),ROW($G$13:$G$738)),""),ROWS($A$13:A63))),INDEX($I$13:$I$42,SMALL(IF((County=$J$13:$J$42),MATCH(ROW($J$13:$J$42),ROW($J$13:$J$42)),""),ROWS($A$13:A63)))),"")</f>
        <v/>
      </c>
      <c r="Q63" s="348" t="str">
        <f t="array" ref="Q63">IFERROR(IF($Q$11="Yes",INDEX($L$13:$L$2313,SMALL(IF((County=$M$13:$M$2313),MATCH(ROW($M$13:$M$2313),ROW($M$13:$M$2313)),""),ROWS($A$13:A63))),""),"")</f>
        <v/>
      </c>
      <c r="S63" s="346">
        <v>32776</v>
      </c>
      <c r="T63" s="345" t="s">
        <v>343</v>
      </c>
      <c r="V63" s="345">
        <v>5.01</v>
      </c>
      <c r="W63" s="345" t="s">
        <v>352</v>
      </c>
      <c r="AB63" s="347">
        <v>3.01</v>
      </c>
      <c r="AC63" s="347" t="s">
        <v>350</v>
      </c>
      <c r="AD63" s="1138"/>
      <c r="AE63" s="346">
        <v>34434</v>
      </c>
      <c r="AF63" s="345" t="s">
        <v>316</v>
      </c>
      <c r="AI63" s="934"/>
      <c r="AJ63" s="345">
        <v>410</v>
      </c>
      <c r="AK63" s="345" t="s">
        <v>310</v>
      </c>
      <c r="AP63" s="347">
        <v>26.09</v>
      </c>
      <c r="AQ63" s="347" t="s">
        <v>306</v>
      </c>
      <c r="AS63" s="348" t="str">
        <f t="array" ref="AS63">IFERROR(IF($AS$11="Metro",INDEX($AJ$13:$AJ$814,SMALL(IF((County=$AK$13:$AK$814),MATCH(ROW($AK$13:$AK$814),ROW($AK$13:$AK$814)),""),ROWS($A$13:$A63))),INDEX($AM$13:$AM$48,SMALL(IF((County=$AN$13:$AN$48),MATCH(ROW($AN$13:$AN$48),ROW($AN$13:$AN$48)),""),ROWS($A$13:$A63)))),"")</f>
        <v/>
      </c>
      <c r="AU63" s="348" t="str">
        <f t="array" ref="AU63">IFERROR(IF($AU$11="Yes",INDEX($AP$13:$AP$2950,SMALL(IF((County=$AQ$13:$AQ$2950),MATCH(ROW($AQ$13:$AQ$2950),ROW($AQ$13:$AQ$2950)),""),ROWS($A$13:$A63))),""),"")</f>
        <v/>
      </c>
      <c r="AW63" s="346">
        <v>32766</v>
      </c>
      <c r="AX63" s="345" t="s">
        <v>369</v>
      </c>
      <c r="AZ63" s="345">
        <v>3.13</v>
      </c>
      <c r="BA63" s="345" t="s">
        <v>349</v>
      </c>
      <c r="BF63" s="347">
        <v>2.11</v>
      </c>
      <c r="BG63" s="347" t="s">
        <v>352</v>
      </c>
      <c r="BH63" s="1790"/>
      <c r="BI63" s="1792">
        <v>33331</v>
      </c>
      <c r="BJ63" s="237" t="s">
        <v>310</v>
      </c>
      <c r="BM63" s="1784"/>
      <c r="BN63" s="345">
        <v>22.1</v>
      </c>
      <c r="BO63" s="345" t="s">
        <v>297</v>
      </c>
      <c r="BQ63" s="237">
        <v>9601.01</v>
      </c>
      <c r="BR63" s="237" t="s">
        <v>331</v>
      </c>
      <c r="BT63" s="347">
        <v>26.06</v>
      </c>
      <c r="BU63" s="347" t="s">
        <v>306</v>
      </c>
      <c r="BW63" s="348" t="str">
        <f t="array" ref="BW63">IFERROR(IF($BW$11="Metro",INDEX($BN$13:$BN$4972,SMALL(IF((County=$BO$13:$BO$4972),MATCH(ROW($BO$13:$BO$4972),ROW($BO$13:$BO$4972)),""),ROWS($A$13:$A63))),INDEX($BQ$13:$BQ$212,SMALL(IF((County=$BR$13:$BR$212),MATCH(ROW($BR$13:$BR$212),ROW($BR$13:$BR$212)),""),ROWS($A$13:$A63)))),"")</f>
        <v/>
      </c>
      <c r="BY63" s="348" t="str">
        <f t="array" ref="BY63">IFERROR(IF($BY$11="Yes",INDEX($BT$13:$BT$2950,SMALL(IF((County=$BU$13:$BU$2950),MATCH(ROW($BU$13:$BU$2950),ROW($BU$13:$BU$2950)),""),ROWS($A$13:$A63))),""),"")</f>
        <v/>
      </c>
      <c r="CA63" s="2298">
        <v>32765</v>
      </c>
      <c r="CB63" s="237" t="s">
        <v>369</v>
      </c>
      <c r="CD63" s="345">
        <v>2.0099999999999998</v>
      </c>
      <c r="CE63" s="345" t="s">
        <v>297</v>
      </c>
      <c r="CG63" s="237">
        <v>2101</v>
      </c>
      <c r="CH63" s="237" t="s">
        <v>340</v>
      </c>
      <c r="CJ63" s="347">
        <v>2.14</v>
      </c>
      <c r="CK63" s="347" t="s">
        <v>361</v>
      </c>
      <c r="CL63" s="1789"/>
      <c r="CM63" s="2299"/>
      <c r="CN63" s="345"/>
      <c r="CR63" s="345"/>
      <c r="CS63" s="345"/>
      <c r="CU63" s="345"/>
      <c r="CV63" s="345"/>
      <c r="CX63" s="347"/>
      <c r="CY63" s="347"/>
      <c r="DA63" s="348"/>
      <c r="DC63" s="348"/>
      <c r="DE63" s="1792"/>
      <c r="DF63" s="345"/>
      <c r="DH63" s="237"/>
      <c r="DI63" s="237"/>
      <c r="DK63" s="345"/>
      <c r="DL63" s="345"/>
      <c r="DN63" s="347"/>
      <c r="DO63" s="347"/>
      <c r="DP63" s="2505"/>
      <c r="DT63" s="591" t="s">
        <v>362</v>
      </c>
      <c r="DU63" s="609" t="s">
        <v>2637</v>
      </c>
      <c r="DV63" s="609" t="s">
        <v>2660</v>
      </c>
      <c r="DW63" s="601">
        <v>28.358250000000002</v>
      </c>
      <c r="DX63" s="599">
        <v>-82.690602999999996</v>
      </c>
      <c r="DY63" s="595" t="s">
        <v>684</v>
      </c>
      <c r="DZ63" s="594" t="s">
        <v>685</v>
      </c>
      <c r="EA63" s="592" t="str">
        <f t="shared" si="8"/>
        <v>Pasco - Ekos at Bayonet Pointe fka Bayonet Gardens</v>
      </c>
      <c r="EB63" s="592" t="str">
        <f t="shared" si="9"/>
        <v>Elderly, Non-ALF</v>
      </c>
      <c r="EC63" s="592" t="str">
        <f t="shared" si="10"/>
        <v>(28.35825, -82.690603)</v>
      </c>
      <c r="ED63" s="594" t="str">
        <f t="shared" si="11"/>
        <v>&gt;30</v>
      </c>
    </row>
    <row r="64" spans="1:134" ht="14.45" customHeight="1">
      <c r="A64" s="346">
        <v>34103</v>
      </c>
      <c r="B64" s="345" t="s">
        <v>318</v>
      </c>
      <c r="E64" s="934"/>
      <c r="F64" s="345">
        <v>415</v>
      </c>
      <c r="G64" s="345" t="s">
        <v>310</v>
      </c>
      <c r="L64" s="347">
        <v>27.05</v>
      </c>
      <c r="M64" s="347" t="s">
        <v>306</v>
      </c>
      <c r="O64" s="348" t="str">
        <f t="array" ref="O64">IFERROR(IF($O$11="Metro",INDEX($F$13:$F$738,SMALL(IF((County=$G$13:$G$738),MATCH(ROW($G$13:$G$738),ROW($G$13:$G$738)),""),ROWS($A$13:A64))),INDEX($I$13:$I$42,SMALL(IF((County=$J$13:$J$42),MATCH(ROW($J$13:$J$42),ROW($J$13:$J$42)),""),ROWS($A$13:A64)))),"")</f>
        <v/>
      </c>
      <c r="Q64" s="348" t="str">
        <f t="array" ref="Q64">IFERROR(IF($Q$11="Yes",INDEX($L$13:$L$2313,SMALL(IF((County=$M$13:$M$2313),MATCH(ROW($M$13:$M$2313),ROW($M$13:$M$2313)),""),ROWS($A$13:A64))),""),"")</f>
        <v/>
      </c>
      <c r="S64" s="346">
        <v>32779</v>
      </c>
      <c r="T64" s="345" t="s">
        <v>369</v>
      </c>
      <c r="V64" s="345">
        <v>5.0199999999999996</v>
      </c>
      <c r="W64" s="345" t="s">
        <v>344</v>
      </c>
      <c r="AB64" s="347">
        <v>3.01</v>
      </c>
      <c r="AC64" s="347" t="s">
        <v>361</v>
      </c>
      <c r="AD64" s="1138"/>
      <c r="AE64" s="346">
        <v>34446</v>
      </c>
      <c r="AF64" s="345" t="s">
        <v>316</v>
      </c>
      <c r="AI64" s="934"/>
      <c r="AJ64" s="345">
        <v>412</v>
      </c>
      <c r="AK64" s="345" t="s">
        <v>310</v>
      </c>
      <c r="AP64" s="347">
        <v>27.03</v>
      </c>
      <c r="AQ64" s="347" t="s">
        <v>306</v>
      </c>
      <c r="AS64" s="348" t="str">
        <f t="array" ref="AS64">IFERROR(IF($AS$11="Metro",INDEX($AJ$13:$AJ$814,SMALL(IF((County=$AK$13:$AK$814),MATCH(ROW($AK$13:$AK$814),ROW($AK$13:$AK$814)),""),ROWS($A$13:$A64))),INDEX($AM$13:$AM$48,SMALL(IF((County=$AN$13:$AN$48),MATCH(ROW($AN$13:$AN$48),ROW($AN$13:$AN$48)),""),ROWS($A$13:$A64)))),"")</f>
        <v/>
      </c>
      <c r="AU64" s="348" t="str">
        <f t="array" ref="AU64">IFERROR(IF($AU$11="Yes",INDEX($AP$13:$AP$2950,SMALL(IF((County=$AQ$13:$AQ$2950),MATCH(ROW($AQ$13:$AQ$2950),ROW($AQ$13:$AQ$2950)),""),ROWS($A$13:$A64))),""),"")</f>
        <v/>
      </c>
      <c r="AW64" s="346">
        <v>32776</v>
      </c>
      <c r="AX64" s="345" t="s">
        <v>343</v>
      </c>
      <c r="AZ64" s="345">
        <v>3.14</v>
      </c>
      <c r="BA64" s="345" t="s">
        <v>349</v>
      </c>
      <c r="BF64" s="347">
        <v>2.11</v>
      </c>
      <c r="BG64" s="347" t="s">
        <v>361</v>
      </c>
      <c r="BH64" s="1790"/>
      <c r="BI64" s="1792">
        <v>33332</v>
      </c>
      <c r="BJ64" s="237" t="s">
        <v>310</v>
      </c>
      <c r="BM64" s="1784"/>
      <c r="BN64" s="345">
        <v>22.17</v>
      </c>
      <c r="BO64" s="345" t="s">
        <v>297</v>
      </c>
      <c r="BQ64" s="237">
        <v>9601.02</v>
      </c>
      <c r="BR64" s="237" t="s">
        <v>331</v>
      </c>
      <c r="BT64" s="347">
        <v>26.07</v>
      </c>
      <c r="BU64" s="347" t="s">
        <v>306</v>
      </c>
      <c r="BW64" s="348" t="str">
        <f t="array" ref="BW64">IFERROR(IF($BW$11="Metro",INDEX($BN$13:$BN$4972,SMALL(IF((County=$BO$13:$BO$4972),MATCH(ROW($BO$13:$BO$4972),ROW($BO$13:$BO$4972)),""),ROWS($A$13:$A64))),INDEX($BQ$13:$BQ$212,SMALL(IF((County=$BR$13:$BR$212),MATCH(ROW($BR$13:$BR$212),ROW($BR$13:$BR$212)),""),ROWS($A$13:$A64)))),"")</f>
        <v/>
      </c>
      <c r="BY64" s="348" t="str">
        <f t="array" ref="BY64">IFERROR(IF($BY$11="Yes",INDEX($BT$13:$BT$2950,SMALL(IF((County=$BU$13:$BU$2950),MATCH(ROW($BU$13:$BU$2950),ROW($BU$13:$BU$2950)),""),ROWS($A$13:$A64))),""),"")</f>
        <v/>
      </c>
      <c r="CA64" s="2298">
        <v>32766</v>
      </c>
      <c r="CB64" s="237" t="s">
        <v>369</v>
      </c>
      <c r="CD64" s="345">
        <v>2.0099999999999998</v>
      </c>
      <c r="CE64" s="345" t="s">
        <v>306</v>
      </c>
      <c r="CG64" s="237">
        <v>2102</v>
      </c>
      <c r="CH64" s="237" t="s">
        <v>340</v>
      </c>
      <c r="CJ64" s="347">
        <v>2.16</v>
      </c>
      <c r="CK64" s="347" t="s">
        <v>352</v>
      </c>
      <c r="CL64" s="1789"/>
      <c r="CM64" s="2299"/>
      <c r="CN64" s="345"/>
      <c r="CR64" s="345"/>
      <c r="CS64" s="345"/>
      <c r="CU64" s="345"/>
      <c r="CV64" s="345"/>
      <c r="CX64" s="347"/>
      <c r="CY64" s="347"/>
      <c r="DA64" s="348"/>
      <c r="DC64" s="348"/>
      <c r="DE64" s="1792"/>
      <c r="DF64" s="345"/>
      <c r="DH64" s="237"/>
      <c r="DI64" s="237"/>
      <c r="DK64" s="345"/>
      <c r="DL64" s="345"/>
      <c r="DN64" s="347"/>
      <c r="DO64" s="347"/>
      <c r="DP64" s="2505"/>
      <c r="DT64" s="596" t="s">
        <v>365</v>
      </c>
      <c r="DU64" s="596" t="s">
        <v>727</v>
      </c>
      <c r="DV64" s="591" t="s">
        <v>728</v>
      </c>
      <c r="DW64" s="591">
        <v>28.042382</v>
      </c>
      <c r="DX64" s="591">
        <v>-81.727389000000002</v>
      </c>
      <c r="DY64" s="595" t="s">
        <v>686</v>
      </c>
      <c r="DZ64" s="597" t="s">
        <v>685</v>
      </c>
      <c r="EA64" s="592" t="str">
        <f t="shared" si="8"/>
        <v>Polk - Florence Place</v>
      </c>
      <c r="EB64" s="592" t="str">
        <f t="shared" si="9"/>
        <v>Family</v>
      </c>
      <c r="EC64" s="592" t="str">
        <f t="shared" si="10"/>
        <v>(28.042382, -81.727389)</v>
      </c>
      <c r="ED64" s="594" t="str">
        <f t="shared" si="11"/>
        <v>&gt;30</v>
      </c>
    </row>
    <row r="65" spans="1:134" ht="14.45" customHeight="1">
      <c r="A65" s="346">
        <v>34105</v>
      </c>
      <c r="B65" s="345" t="s">
        <v>318</v>
      </c>
      <c r="E65" s="934"/>
      <c r="F65" s="345">
        <v>416</v>
      </c>
      <c r="G65" s="345" t="s">
        <v>310</v>
      </c>
      <c r="L65" s="347">
        <v>2</v>
      </c>
      <c r="M65" s="347" t="s">
        <v>308</v>
      </c>
      <c r="O65" s="348" t="str">
        <f t="array" ref="O65">IFERROR(IF($O$11="Metro",INDEX($F$13:$F$738,SMALL(IF((County=$G$13:$G$738),MATCH(ROW($G$13:$G$738),ROW($G$13:$G$738)),""),ROWS($A$13:A65))),INDEX($I$13:$I$42,SMALL(IF((County=$J$13:$J$42),MATCH(ROW($J$13:$J$42),ROW($J$13:$J$42)),""),ROWS($A$13:A65)))),"")</f>
        <v/>
      </c>
      <c r="Q65" s="348" t="str">
        <f t="array" ref="Q65">IFERROR(IF($Q$11="Yes",INDEX($L$13:$L$2313,SMALL(IF((County=$M$13:$M$2313),MATCH(ROW($M$13:$M$2313),ROW($M$13:$M$2313)),""),ROWS($A$13:A65))),""),"")</f>
        <v/>
      </c>
      <c r="S65" s="346">
        <v>32789</v>
      </c>
      <c r="T65" s="345" t="s">
        <v>359</v>
      </c>
      <c r="V65" s="345">
        <v>5.0199999999999996</v>
      </c>
      <c r="W65" s="345" t="s">
        <v>350</v>
      </c>
      <c r="AB65" s="347">
        <v>3.02</v>
      </c>
      <c r="AC65" s="347" t="s">
        <v>318</v>
      </c>
      <c r="AD65" s="1138"/>
      <c r="AE65" s="346">
        <v>32003</v>
      </c>
      <c r="AF65" s="345" t="s">
        <v>317</v>
      </c>
      <c r="AI65" s="934"/>
      <c r="AJ65" s="345">
        <v>413</v>
      </c>
      <c r="AK65" s="345" t="s">
        <v>310</v>
      </c>
      <c r="AP65" s="347">
        <v>27.06</v>
      </c>
      <c r="AQ65" s="347" t="s">
        <v>306</v>
      </c>
      <c r="AS65" s="348" t="str">
        <f t="array" ref="AS65">IFERROR(IF($AS$11="Metro",INDEX($AJ$13:$AJ$814,SMALL(IF((County=$AK$13:$AK$814),MATCH(ROW($AK$13:$AK$814),ROW($AK$13:$AK$814)),""),ROWS($A$13:$A65))),INDEX($AM$13:$AM$48,SMALL(IF((County=$AN$13:$AN$48),MATCH(ROW($AN$13:$AN$48),ROW($AN$13:$AN$48)),""),ROWS($A$13:$A65)))),"")</f>
        <v/>
      </c>
      <c r="AU65" s="348" t="str">
        <f t="array" ref="AU65">IFERROR(IF($AU$11="Yes",INDEX($AP$13:$AP$2950,SMALL(IF((County=$AQ$13:$AQ$2950),MATCH(ROW($AQ$13:$AQ$2950),ROW($AQ$13:$AQ$2950)),""),ROWS($A$13:$A65))),""),"")</f>
        <v/>
      </c>
      <c r="AW65" s="346">
        <v>32779</v>
      </c>
      <c r="AX65" s="345" t="s">
        <v>369</v>
      </c>
      <c r="AZ65" s="345">
        <v>4</v>
      </c>
      <c r="BA65" s="345" t="s">
        <v>325</v>
      </c>
      <c r="BF65" s="347">
        <v>2.13</v>
      </c>
      <c r="BG65" s="347" t="s">
        <v>352</v>
      </c>
      <c r="BH65" s="1790"/>
      <c r="BI65" s="1792">
        <v>33351</v>
      </c>
      <c r="BJ65" s="237" t="s">
        <v>310</v>
      </c>
      <c r="BM65" s="1784"/>
      <c r="BN65" s="345">
        <v>22.18</v>
      </c>
      <c r="BO65" s="345" t="s">
        <v>297</v>
      </c>
      <c r="BQ65" s="237">
        <v>9602</v>
      </c>
      <c r="BR65" s="237" t="s">
        <v>331</v>
      </c>
      <c r="BT65" s="347">
        <v>26.08</v>
      </c>
      <c r="BU65" s="347" t="s">
        <v>306</v>
      </c>
      <c r="BW65" s="348" t="str">
        <f t="array" ref="BW65">IFERROR(IF($BW$11="Metro",INDEX($BN$13:$BN$4972,SMALL(IF((County=$BO$13:$BO$4972),MATCH(ROW($BO$13:$BO$4972),ROW($BO$13:$BO$4972)),""),ROWS($A$13:$A65))),INDEX($BQ$13:$BQ$212,SMALL(IF((County=$BR$13:$BR$212),MATCH(ROW($BR$13:$BR$212),ROW($BR$13:$BR$212)),""),ROWS($A$13:$A65)))),"")</f>
        <v/>
      </c>
      <c r="BY65" s="348" t="str">
        <f t="array" ref="BY65">IFERROR(IF($BY$11="Yes",INDEX($BT$13:$BT$2950,SMALL(IF((County=$BU$13:$BU$2950),MATCH(ROW($BU$13:$BU$2950),ROW($BU$13:$BU$2950)),""),ROWS($A$13:$A65))),""),"")</f>
        <v/>
      </c>
      <c r="CA65" s="2298">
        <v>32776</v>
      </c>
      <c r="CB65" s="345" t="s">
        <v>343</v>
      </c>
      <c r="CD65" s="237">
        <v>2.0099999999999998</v>
      </c>
      <c r="CE65" s="237" t="s">
        <v>337</v>
      </c>
      <c r="CG65" s="237">
        <v>2103.0100000000002</v>
      </c>
      <c r="CH65" s="237" t="s">
        <v>340</v>
      </c>
      <c r="CJ65" s="347">
        <v>2.16</v>
      </c>
      <c r="CK65" s="347" t="s">
        <v>361</v>
      </c>
      <c r="CL65" s="1789"/>
      <c r="CM65" s="2299"/>
      <c r="CN65" s="345"/>
      <c r="CR65" s="345"/>
      <c r="CS65" s="345"/>
      <c r="CU65" s="345"/>
      <c r="CV65" s="345"/>
      <c r="CX65" s="347"/>
      <c r="CY65" s="347"/>
      <c r="DA65" s="348"/>
      <c r="DC65" s="348"/>
      <c r="DE65" s="1792"/>
      <c r="DF65" s="345"/>
      <c r="DH65" s="237"/>
      <c r="DI65" s="237"/>
      <c r="DK65" s="345"/>
      <c r="DL65" s="345"/>
      <c r="DN65" s="347"/>
      <c r="DO65" s="347"/>
      <c r="DP65" s="2505"/>
      <c r="DT65" s="591" t="s">
        <v>365</v>
      </c>
      <c r="DU65" s="591" t="s">
        <v>2638</v>
      </c>
      <c r="DV65" s="591" t="s">
        <v>2639</v>
      </c>
      <c r="DW65" s="591">
        <v>27.906196000000001</v>
      </c>
      <c r="DX65" s="591">
        <v>-81.593179000000006</v>
      </c>
      <c r="DY65" s="595" t="s">
        <v>686</v>
      </c>
      <c r="DZ65" s="595" t="s">
        <v>685</v>
      </c>
      <c r="EA65" s="592" t="str">
        <f t="shared" si="8"/>
        <v>Polk - Grove Manor Phase II</v>
      </c>
      <c r="EB65" s="592" t="str">
        <f t="shared" si="9"/>
        <v>Family</v>
      </c>
      <c r="EC65" s="592" t="str">
        <f t="shared" si="10"/>
        <v>(27.906196, -81.593179)</v>
      </c>
      <c r="ED65" s="594" t="str">
        <f t="shared" si="11"/>
        <v>&gt;30</v>
      </c>
    </row>
    <row r="66" spans="1:134" ht="14.45" customHeight="1">
      <c r="A66" s="346">
        <v>34108</v>
      </c>
      <c r="B66" s="345" t="s">
        <v>318</v>
      </c>
      <c r="E66" s="934"/>
      <c r="F66" s="345">
        <v>417</v>
      </c>
      <c r="G66" s="345" t="s">
        <v>310</v>
      </c>
      <c r="L66" s="347">
        <v>3</v>
      </c>
      <c r="M66" s="347" t="s">
        <v>308</v>
      </c>
      <c r="O66" s="348" t="str">
        <f t="array" ref="O66">IFERROR(IF($O$11="Metro",INDEX($F$13:$F$738,SMALL(IF((County=$G$13:$G$738),MATCH(ROW($G$13:$G$738),ROW($G$13:$G$738)),""),ROWS($A$13:A66))),INDEX($I$13:$I$42,SMALL(IF((County=$J$13:$J$42),MATCH(ROW($J$13:$J$42),ROW($J$13:$J$42)),""),ROWS($A$13:A66)))),"")</f>
        <v/>
      </c>
      <c r="Q66" s="348" t="str">
        <f t="array" ref="Q66">IFERROR(IF($Q$11="Yes",INDEX($L$13:$L$2313,SMALL(IF((County=$M$13:$M$2313),MATCH(ROW($M$13:$M$2313),ROW($M$13:$M$2313)),""),ROWS($A$13:A66))),""),"")</f>
        <v/>
      </c>
      <c r="S66" s="346">
        <v>32792</v>
      </c>
      <c r="T66" s="345" t="s">
        <v>359</v>
      </c>
      <c r="V66" s="345">
        <v>5.03</v>
      </c>
      <c r="W66" s="345" t="s">
        <v>352</v>
      </c>
      <c r="AB66" s="347">
        <v>3.02</v>
      </c>
      <c r="AC66" s="347" t="s">
        <v>345</v>
      </c>
      <c r="AD66" s="1138"/>
      <c r="AE66" s="346">
        <v>32079</v>
      </c>
      <c r="AF66" s="345" t="s">
        <v>317</v>
      </c>
      <c r="AI66" s="934"/>
      <c r="AJ66" s="345">
        <v>414</v>
      </c>
      <c r="AK66" s="345" t="s">
        <v>310</v>
      </c>
      <c r="AP66" s="347">
        <v>27.07</v>
      </c>
      <c r="AQ66" s="347" t="s">
        <v>306</v>
      </c>
      <c r="AS66" s="348" t="str">
        <f t="array" ref="AS66">IFERROR(IF($AS$11="Metro",INDEX($AJ$13:$AJ$814,SMALL(IF((County=$AK$13:$AK$814),MATCH(ROW($AK$13:$AK$814),ROW($AK$13:$AK$814)),""),ROWS($A$13:$A66))),INDEX($AM$13:$AM$48,SMALL(IF((County=$AN$13:$AN$48),MATCH(ROW($AN$13:$AN$48),ROW($AN$13:$AN$48)),""),ROWS($A$13:$A66)))),"")</f>
        <v/>
      </c>
      <c r="AU66" s="348" t="str">
        <f t="array" ref="AU66">IFERROR(IF($AU$11="Yes",INDEX($AP$13:$AP$2950,SMALL(IF((County=$AQ$13:$AQ$2950),MATCH(ROW($AQ$13:$AQ$2950),ROW($AQ$13:$AQ$2950)),""),ROWS($A$13:$A66))),""),"")</f>
        <v/>
      </c>
      <c r="AW66" s="346">
        <v>32789</v>
      </c>
      <c r="AX66" s="345" t="s">
        <v>359</v>
      </c>
      <c r="AZ66" s="345">
        <v>4</v>
      </c>
      <c r="BA66" s="345" t="s">
        <v>345</v>
      </c>
      <c r="BF66" s="347">
        <v>2.13</v>
      </c>
      <c r="BG66" s="347" t="s">
        <v>361</v>
      </c>
      <c r="BH66" s="1790"/>
      <c r="BI66" s="1791">
        <v>33441</v>
      </c>
      <c r="BJ66" s="345" t="s">
        <v>310</v>
      </c>
      <c r="BM66" s="1784"/>
      <c r="BN66" s="345">
        <v>22.19</v>
      </c>
      <c r="BO66" s="345" t="s">
        <v>297</v>
      </c>
      <c r="BQ66" s="237">
        <v>9603.01</v>
      </c>
      <c r="BR66" s="237" t="s">
        <v>331</v>
      </c>
      <c r="BT66" s="347">
        <v>26.09</v>
      </c>
      <c r="BU66" s="347" t="s">
        <v>306</v>
      </c>
      <c r="BW66" s="348" t="str">
        <f t="array" ref="BW66">IFERROR(IF($BW$11="Metro",INDEX($BN$13:$BN$4972,SMALL(IF((County=$BO$13:$BO$4972),MATCH(ROW($BO$13:$BO$4972),ROW($BO$13:$BO$4972)),""),ROWS($A$13:$A66))),INDEX($BQ$13:$BQ$212,SMALL(IF((County=$BR$13:$BR$212),MATCH(ROW($BR$13:$BR$212),ROW($BR$13:$BR$212)),""),ROWS($A$13:$A66)))),"")</f>
        <v/>
      </c>
      <c r="BY66" s="348" t="str">
        <f t="array" ref="BY66">IFERROR(IF($BY$11="Yes",INDEX($BT$13:$BT$2950,SMALL(IF((County=$BU$13:$BU$2950),MATCH(ROW($BU$13:$BU$2950),ROW($BU$13:$BU$2950)),""),ROWS($A$13:$A66))),""),"")</f>
        <v/>
      </c>
      <c r="CA66" s="2298">
        <v>32779</v>
      </c>
      <c r="CB66" s="237" t="s">
        <v>369</v>
      </c>
      <c r="CD66" s="237">
        <v>2.0099999999999998</v>
      </c>
      <c r="CE66" s="237" t="s">
        <v>349</v>
      </c>
      <c r="CG66" s="237">
        <v>2103.02</v>
      </c>
      <c r="CH66" s="237" t="s">
        <v>340</v>
      </c>
      <c r="CJ66" s="347">
        <v>2.17</v>
      </c>
      <c r="CK66" s="347" t="s">
        <v>361</v>
      </c>
      <c r="CL66" s="1789"/>
      <c r="CM66" s="2299"/>
      <c r="CN66" s="345"/>
      <c r="CR66" s="345"/>
      <c r="CS66" s="345"/>
      <c r="CU66" s="345"/>
      <c r="CV66" s="345"/>
      <c r="CX66" s="347"/>
      <c r="CY66" s="347"/>
      <c r="DA66" s="348"/>
      <c r="DC66" s="348"/>
      <c r="DE66" s="1792"/>
      <c r="DF66" s="345"/>
      <c r="DH66" s="237"/>
      <c r="DI66" s="237"/>
      <c r="DK66" s="345"/>
      <c r="DL66" s="345"/>
      <c r="DN66" s="347"/>
      <c r="DO66" s="347"/>
      <c r="DP66" s="2505"/>
      <c r="DT66" s="591" t="s">
        <v>366</v>
      </c>
      <c r="DU66" s="591" t="s">
        <v>2131</v>
      </c>
      <c r="DV66" s="591" t="s">
        <v>2132</v>
      </c>
      <c r="DW66" s="592">
        <v>29.637149000000001</v>
      </c>
      <c r="DX66" s="592">
        <v>-81.676452999999995</v>
      </c>
      <c r="DY66" s="593" t="s">
        <v>686</v>
      </c>
      <c r="DZ66" s="594" t="s">
        <v>685</v>
      </c>
      <c r="EA66" s="592" t="str">
        <f t="shared" si="8"/>
        <v xml:space="preserve">Putnam - Palatka Apartments </v>
      </c>
      <c r="EB66" s="592" t="str">
        <f t="shared" si="9"/>
        <v>Family</v>
      </c>
      <c r="EC66" s="592" t="str">
        <f t="shared" si="10"/>
        <v>(29.637149, -81.676453)</v>
      </c>
      <c r="ED66" s="594" t="str">
        <f t="shared" si="11"/>
        <v>&gt;30</v>
      </c>
    </row>
    <row r="67" spans="1:134" ht="14.45" customHeight="1">
      <c r="A67" s="346">
        <v>34110</v>
      </c>
      <c r="B67" s="345" t="s">
        <v>318</v>
      </c>
      <c r="E67" s="934"/>
      <c r="F67" s="345">
        <v>428</v>
      </c>
      <c r="G67" s="345" t="s">
        <v>310</v>
      </c>
      <c r="L67" s="347">
        <v>602</v>
      </c>
      <c r="M67" s="347" t="s">
        <v>309</v>
      </c>
      <c r="O67" s="348" t="str">
        <f t="array" ref="O67">IFERROR(IF($O$11="Metro",INDEX($F$13:$F$738,SMALL(IF((County=$G$13:$G$738),MATCH(ROW($G$13:$G$738),ROW($G$13:$G$738)),""),ROWS($A$13:A67))),INDEX($I$13:$I$42,SMALL(IF((County=$J$13:$J$42),MATCH(ROW($J$13:$J$42),ROW($J$13:$J$42)),""),ROWS($A$13:A67)))),"")</f>
        <v/>
      </c>
      <c r="Q67" s="348" t="str">
        <f t="array" ref="Q67">IFERROR(IF($Q$11="Yes",INDEX($L$13:$L$2313,SMALL(IF((County=$M$13:$M$2313),MATCH(ROW($M$13:$M$2313),ROW($M$13:$M$2313)),""),ROWS($A$13:A67))),""),"")</f>
        <v/>
      </c>
      <c r="S67" s="346">
        <v>32801</v>
      </c>
      <c r="T67" s="345" t="s">
        <v>359</v>
      </c>
      <c r="V67" s="345">
        <v>5.04</v>
      </c>
      <c r="W67" s="345" t="s">
        <v>344</v>
      </c>
      <c r="AB67" s="347">
        <v>3.03</v>
      </c>
      <c r="AC67" s="347" t="s">
        <v>361</v>
      </c>
      <c r="AD67" s="1138"/>
      <c r="AE67" s="346">
        <v>34103</v>
      </c>
      <c r="AF67" s="345" t="s">
        <v>318</v>
      </c>
      <c r="AI67" s="934"/>
      <c r="AJ67" s="345">
        <v>415</v>
      </c>
      <c r="AK67" s="345" t="s">
        <v>310</v>
      </c>
      <c r="AP67" s="347">
        <v>27.08</v>
      </c>
      <c r="AQ67" s="347" t="s">
        <v>306</v>
      </c>
      <c r="AS67" s="348" t="str">
        <f t="array" ref="AS67">IFERROR(IF($AS$11="Metro",INDEX($AJ$13:$AJ$814,SMALL(IF((County=$AK$13:$AK$814),MATCH(ROW($AK$13:$AK$814),ROW($AK$13:$AK$814)),""),ROWS($A$13:$A67))),INDEX($AM$13:$AM$48,SMALL(IF((County=$AN$13:$AN$48),MATCH(ROW($AN$13:$AN$48),ROW($AN$13:$AN$48)),""),ROWS($A$13:$A67)))),"")</f>
        <v/>
      </c>
      <c r="AU67" s="348" t="str">
        <f t="array" ref="AU67">IFERROR(IF($AU$11="Yes",INDEX($AP$13:$AP$2950,SMALL(IF((County=$AQ$13:$AQ$2950),MATCH(ROW($AQ$13:$AQ$2950),ROW($AQ$13:$AQ$2950)),""),ROWS($A$13:$A67))),""),"")</f>
        <v/>
      </c>
      <c r="AW67" s="346">
        <v>32792</v>
      </c>
      <c r="AX67" s="345" t="s">
        <v>359</v>
      </c>
      <c r="AZ67" s="345">
        <v>4.01</v>
      </c>
      <c r="BA67" s="345" t="s">
        <v>350</v>
      </c>
      <c r="BF67" s="347">
        <v>2.14</v>
      </c>
      <c r="BG67" s="347" t="s">
        <v>361</v>
      </c>
      <c r="BH67" s="1790"/>
      <c r="BI67" s="1791">
        <v>33442</v>
      </c>
      <c r="BJ67" s="345" t="s">
        <v>310</v>
      </c>
      <c r="BM67" s="1784"/>
      <c r="BN67" s="345">
        <v>22.2</v>
      </c>
      <c r="BO67" s="345" t="s">
        <v>297</v>
      </c>
      <c r="BQ67" s="237">
        <v>9603.02</v>
      </c>
      <c r="BR67" s="237" t="s">
        <v>331</v>
      </c>
      <c r="BT67" s="347">
        <v>27.03</v>
      </c>
      <c r="BU67" s="347" t="s">
        <v>306</v>
      </c>
      <c r="BW67" s="348" t="str">
        <f t="array" ref="BW67">IFERROR(IF($BW$11="Metro",INDEX($BN$13:$BN$4972,SMALL(IF((County=$BO$13:$BO$4972),MATCH(ROW($BO$13:$BO$4972),ROW($BO$13:$BO$4972)),""),ROWS($A$13:$A67))),INDEX($BQ$13:$BQ$212,SMALL(IF((County=$BR$13:$BR$212),MATCH(ROW($BR$13:$BR$212),ROW($BR$13:$BR$212)),""),ROWS($A$13:$A67)))),"")</f>
        <v/>
      </c>
      <c r="BY67" s="348" t="str">
        <f t="array" ref="BY67">IFERROR(IF($BY$11="Yes",INDEX($BT$13:$BT$2950,SMALL(IF((County=$BU$13:$BU$2950),MATCH(ROW($BU$13:$BU$2950),ROW($BU$13:$BU$2950)),""),ROWS($A$13:$A67))),""),"")</f>
        <v/>
      </c>
      <c r="CA67" s="2298">
        <v>32789</v>
      </c>
      <c r="CB67" s="345" t="s">
        <v>359</v>
      </c>
      <c r="CD67" s="237">
        <v>2.0099999999999998</v>
      </c>
      <c r="CE67" s="237" t="s">
        <v>350</v>
      </c>
      <c r="CG67" s="237">
        <v>2104</v>
      </c>
      <c r="CH67" s="237" t="s">
        <v>340</v>
      </c>
      <c r="CJ67" s="347">
        <v>2.1800000000000002</v>
      </c>
      <c r="CK67" s="347" t="s">
        <v>361</v>
      </c>
      <c r="CL67" s="1789"/>
      <c r="CM67" s="2299"/>
      <c r="CN67" s="345"/>
      <c r="CR67" s="345"/>
      <c r="CS67" s="345"/>
      <c r="CU67" s="345"/>
      <c r="CV67" s="345"/>
      <c r="CX67" s="347"/>
      <c r="CY67" s="347"/>
      <c r="DA67" s="348"/>
      <c r="DC67" s="348"/>
      <c r="DE67" s="1792"/>
      <c r="DF67" s="345"/>
      <c r="DH67" s="237"/>
      <c r="DI67" s="237"/>
      <c r="DK67" s="345"/>
      <c r="DL67" s="345"/>
      <c r="DN67" s="347"/>
      <c r="DO67" s="347"/>
      <c r="DP67" s="2505"/>
      <c r="DT67" s="591" t="s">
        <v>729</v>
      </c>
      <c r="DU67" s="591" t="s">
        <v>730</v>
      </c>
      <c r="DV67" s="591" t="s">
        <v>2133</v>
      </c>
      <c r="DW67" s="592">
        <v>29.891359999999999</v>
      </c>
      <c r="DX67" s="592">
        <v>-81.344566</v>
      </c>
      <c r="DY67" s="595" t="s">
        <v>686</v>
      </c>
      <c r="DZ67" s="595" t="s">
        <v>685</v>
      </c>
      <c r="EA67" s="592" t="str">
        <f t="shared" si="8"/>
        <v>Saint Johns - Villages of New Augustine - site 1</v>
      </c>
      <c r="EB67" s="592" t="str">
        <f t="shared" si="9"/>
        <v>Family</v>
      </c>
      <c r="EC67" s="592" t="str">
        <f t="shared" si="10"/>
        <v>(29.89136, -81.344566)</v>
      </c>
      <c r="ED67" s="594" t="str">
        <f t="shared" si="11"/>
        <v>&gt;30</v>
      </c>
    </row>
    <row r="68" spans="1:134" ht="14.45" customHeight="1">
      <c r="A68" s="346">
        <v>34117</v>
      </c>
      <c r="B68" s="345" t="s">
        <v>318</v>
      </c>
      <c r="E68" s="934"/>
      <c r="F68" s="345">
        <v>433.02</v>
      </c>
      <c r="G68" s="345" t="s">
        <v>310</v>
      </c>
      <c r="L68" s="347">
        <v>611</v>
      </c>
      <c r="M68" s="347" t="s">
        <v>309</v>
      </c>
      <c r="O68" s="348" t="str">
        <f t="array" ref="O68">IFERROR(IF($O$11="Metro",INDEX($F$13:$F$738,SMALL(IF((County=$G$13:$G$738),MATCH(ROW($G$13:$G$738),ROW($G$13:$G$738)),""),ROWS($A$13:A68))),INDEX($I$13:$I$42,SMALL(IF((County=$J$13:$J$42),MATCH(ROW($J$13:$J$42),ROW($J$13:$J$42)),""),ROWS($A$13:A68)))),"")</f>
        <v/>
      </c>
      <c r="Q68" s="348" t="str">
        <f t="array" ref="Q68">IFERROR(IF($Q$11="Yes",INDEX($L$13:$L$2313,SMALL(IF((County=$M$13:$M$2313),MATCH(ROW($M$13:$M$2313),ROW($M$13:$M$2313)),""),ROWS($A$13:A68))),""),"")</f>
        <v/>
      </c>
      <c r="S68" s="346">
        <v>32803</v>
      </c>
      <c r="T68" s="345" t="s">
        <v>359</v>
      </c>
      <c r="V68" s="345">
        <v>5.04</v>
      </c>
      <c r="W68" s="345" t="s">
        <v>352</v>
      </c>
      <c r="AB68" s="347">
        <v>3.04</v>
      </c>
      <c r="AC68" s="347" t="s">
        <v>361</v>
      </c>
      <c r="AD68" s="1138"/>
      <c r="AE68" s="346">
        <v>34105</v>
      </c>
      <c r="AF68" s="345" t="s">
        <v>318</v>
      </c>
      <c r="AI68" s="934"/>
      <c r="AJ68" s="345">
        <v>416.01</v>
      </c>
      <c r="AK68" s="345" t="s">
        <v>310</v>
      </c>
      <c r="AP68" s="347">
        <v>27.09</v>
      </c>
      <c r="AQ68" s="347" t="s">
        <v>306</v>
      </c>
      <c r="AS68" s="348" t="str">
        <f t="array" ref="AS68">IFERROR(IF($AS$11="Metro",INDEX($AJ$13:$AJ$814,SMALL(IF((County=$AK$13:$AK$814),MATCH(ROW($AK$13:$AK$814),ROW($AK$13:$AK$814)),""),ROWS($A$13:$A68))),INDEX($AM$13:$AM$48,SMALL(IF((County=$AN$13:$AN$48),MATCH(ROW($AN$13:$AN$48),ROW($AN$13:$AN$48)),""),ROWS($A$13:$A68)))),"")</f>
        <v/>
      </c>
      <c r="AU68" s="348" t="str">
        <f t="array" ref="AU68">IFERROR(IF($AU$11="Yes",INDEX($AP$13:$AP$2950,SMALL(IF((County=$AQ$13:$AQ$2950),MATCH(ROW($AQ$13:$AQ$2950),ROW($AQ$13:$AQ$2950)),""),ROWS($A$13:$A68))),""),"")</f>
        <v/>
      </c>
      <c r="AW68" s="346">
        <v>32801</v>
      </c>
      <c r="AX68" s="345" t="s">
        <v>359</v>
      </c>
      <c r="AZ68" s="345">
        <v>4.0199999999999996</v>
      </c>
      <c r="BA68" s="345" t="s">
        <v>337</v>
      </c>
      <c r="BF68" s="347">
        <v>2.16</v>
      </c>
      <c r="BG68" s="347" t="s">
        <v>352</v>
      </c>
      <c r="BH68" s="1790"/>
      <c r="BI68" s="2299">
        <v>33946</v>
      </c>
      <c r="BJ68" s="345" t="s">
        <v>315</v>
      </c>
      <c r="BM68" s="1784"/>
      <c r="BN68" s="345">
        <v>22.21</v>
      </c>
      <c r="BO68" s="345" t="s">
        <v>297</v>
      </c>
      <c r="BQ68" s="237">
        <v>9900</v>
      </c>
      <c r="BR68" s="237" t="s">
        <v>331</v>
      </c>
      <c r="BT68" s="347">
        <v>27.06</v>
      </c>
      <c r="BU68" s="347" t="s">
        <v>306</v>
      </c>
      <c r="BW68" s="348" t="str">
        <f t="array" ref="BW68">IFERROR(IF($BW$11="Metro",INDEX($BN$13:$BN$4972,SMALL(IF((County=$BO$13:$BO$4972),MATCH(ROW($BO$13:$BO$4972),ROW($BO$13:$BO$4972)),""),ROWS($A$13:$A68))),INDEX($BQ$13:$BQ$212,SMALL(IF((County=$BR$13:$BR$212),MATCH(ROW($BR$13:$BR$212),ROW($BR$13:$BR$212)),""),ROWS($A$13:$A68)))),"")</f>
        <v/>
      </c>
      <c r="BY68" s="348" t="str">
        <f t="array" ref="BY68">IFERROR(IF($BY$11="Yes",INDEX($BT$13:$BT$2950,SMALL(IF((County=$BU$13:$BU$2950),MATCH(ROW($BU$13:$BU$2950),ROW($BU$13:$BU$2950)),""),ROWS($A$13:$A68))),""),"")</f>
        <v/>
      </c>
      <c r="CA68" s="2298">
        <v>32792</v>
      </c>
      <c r="CB68" s="345" t="s">
        <v>359</v>
      </c>
      <c r="CD68" s="345">
        <v>2.02</v>
      </c>
      <c r="CE68" s="345" t="s">
        <v>297</v>
      </c>
      <c r="CG68" s="237">
        <v>2105</v>
      </c>
      <c r="CH68" s="237" t="s">
        <v>340</v>
      </c>
      <c r="CJ68" s="347">
        <v>2.19</v>
      </c>
      <c r="CK68" s="347" t="s">
        <v>361</v>
      </c>
      <c r="CL68" s="1789"/>
      <c r="CM68" s="2299"/>
      <c r="CN68" s="345"/>
      <c r="CR68" s="345"/>
      <c r="CS68" s="345"/>
      <c r="CU68" s="345"/>
      <c r="CV68" s="345"/>
      <c r="CX68" s="347"/>
      <c r="CY68" s="347"/>
      <c r="DA68" s="348"/>
      <c r="DC68" s="348"/>
      <c r="DE68" s="1792"/>
      <c r="DF68" s="345"/>
      <c r="DH68" s="237"/>
      <c r="DI68" s="237"/>
      <c r="DK68" s="345"/>
      <c r="DL68" s="345"/>
      <c r="DN68" s="347"/>
      <c r="DO68" s="347"/>
      <c r="DP68" s="2505"/>
      <c r="DT68" s="591" t="s">
        <v>729</v>
      </c>
      <c r="DU68" s="591" t="s">
        <v>730</v>
      </c>
      <c r="DV68" s="591" t="s">
        <v>2140</v>
      </c>
      <c r="DW68" s="598">
        <v>29.891864000000002</v>
      </c>
      <c r="DX68" s="599">
        <v>-81.344534999999993</v>
      </c>
      <c r="DY68" s="595" t="s">
        <v>686</v>
      </c>
      <c r="DZ68" s="594" t="s">
        <v>685</v>
      </c>
      <c r="EA68" s="592" t="str">
        <f t="shared" si="8"/>
        <v>Saint Johns - Villages of New Augustine - site 2</v>
      </c>
      <c r="EB68" s="592" t="str">
        <f t="shared" si="9"/>
        <v>Family</v>
      </c>
      <c r="EC68" s="592" t="str">
        <f t="shared" si="10"/>
        <v>(29.891864, -81.344535)</v>
      </c>
      <c r="ED68" s="594" t="str">
        <f t="shared" si="11"/>
        <v>&gt;30</v>
      </c>
    </row>
    <row r="69" spans="1:134" ht="14.45" customHeight="1">
      <c r="A69" s="346">
        <v>34119</v>
      </c>
      <c r="B69" s="345" t="s">
        <v>318</v>
      </c>
      <c r="E69" s="934"/>
      <c r="F69" s="345">
        <v>502.08</v>
      </c>
      <c r="G69" s="345" t="s">
        <v>310</v>
      </c>
      <c r="L69" s="347">
        <v>612.01</v>
      </c>
      <c r="M69" s="347" t="s">
        <v>309</v>
      </c>
      <c r="O69" s="348" t="str">
        <f t="array" ref="O69">IFERROR(IF($O$11="Metro",INDEX($F$13:$F$738,SMALL(IF((County=$G$13:$G$738),MATCH(ROW($G$13:$G$738),ROW($G$13:$G$738)),""),ROWS($A$13:A69))),INDEX($I$13:$I$42,SMALL(IF((County=$J$13:$J$42),MATCH(ROW($J$13:$J$42),ROW($J$13:$J$42)),""),ROWS($A$13:A69)))),"")</f>
        <v/>
      </c>
      <c r="Q69" s="348" t="str">
        <f t="array" ref="Q69">IFERROR(IF($Q$11="Yes",INDEX($L$13:$L$2313,SMALL(IF((County=$M$13:$M$2313),MATCH(ROW($M$13:$M$2313),ROW($M$13:$M$2313)),""),ROWS($A$13:A69))),""),"")</f>
        <v/>
      </c>
      <c r="S69" s="346">
        <v>32804</v>
      </c>
      <c r="T69" s="345" t="s">
        <v>359</v>
      </c>
      <c r="V69" s="345">
        <v>5.05</v>
      </c>
      <c r="W69" s="345" t="s">
        <v>352</v>
      </c>
      <c r="AB69" s="347">
        <v>3.07</v>
      </c>
      <c r="AC69" s="347" t="s">
        <v>352</v>
      </c>
      <c r="AD69" s="1138"/>
      <c r="AE69" s="346">
        <v>34108</v>
      </c>
      <c r="AF69" s="345" t="s">
        <v>318</v>
      </c>
      <c r="AI69" s="934"/>
      <c r="AJ69" s="345">
        <v>416.02</v>
      </c>
      <c r="AK69" s="345" t="s">
        <v>310</v>
      </c>
      <c r="AP69" s="347">
        <v>27.1</v>
      </c>
      <c r="AQ69" s="347" t="s">
        <v>306</v>
      </c>
      <c r="AS69" s="348" t="str">
        <f t="array" ref="AS69">IFERROR(IF($AS$11="Metro",INDEX($AJ$13:$AJ$814,SMALL(IF((County=$AK$13:$AK$814),MATCH(ROW($AK$13:$AK$814),ROW($AK$13:$AK$814)),""),ROWS($A$13:$A69))),INDEX($AM$13:$AM$48,SMALL(IF((County=$AN$13:$AN$48),MATCH(ROW($AN$13:$AN$48),ROW($AN$13:$AN$48)),""),ROWS($A$13:$A69)))),"")</f>
        <v/>
      </c>
      <c r="AU69" s="348" t="str">
        <f t="array" ref="AU69">IFERROR(IF($AU$11="Yes",INDEX($AP$13:$AP$2950,SMALL(IF((County=$AQ$13:$AQ$2950),MATCH(ROW($AQ$13:$AQ$2950),ROW($AQ$13:$AQ$2950)),""),ROWS($A$13:$A69))),""),"")</f>
        <v/>
      </c>
      <c r="AW69" s="346">
        <v>32803</v>
      </c>
      <c r="AX69" s="345" t="s">
        <v>359</v>
      </c>
      <c r="AZ69" s="345">
        <v>4.0199999999999996</v>
      </c>
      <c r="BA69" s="345" t="s">
        <v>350</v>
      </c>
      <c r="BF69" s="347">
        <v>2.16</v>
      </c>
      <c r="BG69" s="347" t="s">
        <v>361</v>
      </c>
      <c r="BH69" s="1790"/>
      <c r="BI69" s="2299">
        <v>33947</v>
      </c>
      <c r="BJ69" s="345" t="s">
        <v>315</v>
      </c>
      <c r="BM69" s="1784"/>
      <c r="BN69" s="345">
        <v>22.22</v>
      </c>
      <c r="BO69" s="345" t="s">
        <v>297</v>
      </c>
      <c r="BQ69" s="237">
        <v>9601.01</v>
      </c>
      <c r="BR69" s="237" t="s">
        <v>332</v>
      </c>
      <c r="BT69" s="347">
        <v>27.07</v>
      </c>
      <c r="BU69" s="347" t="s">
        <v>306</v>
      </c>
      <c r="BW69" s="348" t="str">
        <f t="array" ref="BW69">IFERROR(IF($BW$11="Metro",INDEX($BN$13:$BN$4972,SMALL(IF((County=$BO$13:$BO$4972),MATCH(ROW($BO$13:$BO$4972),ROW($BO$13:$BO$4972)),""),ROWS($A$13:$A69))),INDEX($BQ$13:$BQ$212,SMALL(IF((County=$BR$13:$BR$212),MATCH(ROW($BR$13:$BR$212),ROW($BR$13:$BR$212)),""),ROWS($A$13:$A69)))),"")</f>
        <v/>
      </c>
      <c r="BY69" s="348" t="str">
        <f t="array" ref="BY69">IFERROR(IF($BY$11="Yes",INDEX($BT$13:$BT$2950,SMALL(IF((County=$BU$13:$BU$2950),MATCH(ROW($BU$13:$BU$2950),ROW($BU$13:$BU$2950)),""),ROWS($A$13:$A69))),""),"")</f>
        <v/>
      </c>
      <c r="CA69" s="2298">
        <v>32801</v>
      </c>
      <c r="CB69" s="345" t="s">
        <v>359</v>
      </c>
      <c r="CD69" s="237">
        <v>2.02</v>
      </c>
      <c r="CE69" s="237" t="s">
        <v>337</v>
      </c>
      <c r="CG69" s="237">
        <v>2106</v>
      </c>
      <c r="CH69" s="237" t="s">
        <v>340</v>
      </c>
      <c r="CJ69" s="347">
        <v>2.2000000000000002</v>
      </c>
      <c r="CK69" s="347" t="s">
        <v>361</v>
      </c>
      <c r="CL69" s="1789"/>
      <c r="CM69" s="2299"/>
      <c r="CN69" s="345"/>
      <c r="CR69" s="345"/>
      <c r="CS69" s="345"/>
      <c r="CU69" s="345"/>
      <c r="CV69" s="345"/>
      <c r="CX69" s="347"/>
      <c r="CY69" s="347"/>
      <c r="DA69" s="348"/>
      <c r="DC69" s="348"/>
      <c r="DE69" s="1792"/>
      <c r="DF69" s="345"/>
      <c r="DH69" s="237"/>
      <c r="DI69" s="237"/>
      <c r="DK69" s="345"/>
      <c r="DL69" s="345"/>
      <c r="DN69" s="347"/>
      <c r="DO69" s="347"/>
      <c r="DP69" s="2505"/>
      <c r="DT69" s="591" t="s">
        <v>729</v>
      </c>
      <c r="DU69" s="591" t="s">
        <v>730</v>
      </c>
      <c r="DV69" s="591" t="s">
        <v>2141</v>
      </c>
      <c r="DW69" s="598">
        <v>29.891193000000001</v>
      </c>
      <c r="DX69" s="599">
        <v>-81.345499000000004</v>
      </c>
      <c r="DY69" s="593" t="s">
        <v>686</v>
      </c>
      <c r="DZ69" s="594" t="s">
        <v>685</v>
      </c>
      <c r="EA69" s="592" t="str">
        <f t="shared" si="8"/>
        <v>Saint Johns - Villages of New Augustine - site 3</v>
      </c>
      <c r="EB69" s="592" t="str">
        <f t="shared" si="9"/>
        <v>Family</v>
      </c>
      <c r="EC69" s="592" t="str">
        <f t="shared" si="10"/>
        <v>(29.891193, -81.345499)</v>
      </c>
      <c r="ED69" s="594" t="str">
        <f t="shared" si="11"/>
        <v>&gt;30</v>
      </c>
    </row>
    <row r="70" spans="1:134" ht="14.45" customHeight="1">
      <c r="A70" s="346">
        <v>34120</v>
      </c>
      <c r="B70" s="345" t="s">
        <v>318</v>
      </c>
      <c r="E70" s="934"/>
      <c r="F70" s="345">
        <v>503.07</v>
      </c>
      <c r="G70" s="345" t="s">
        <v>310</v>
      </c>
      <c r="L70" s="347">
        <v>612.02</v>
      </c>
      <c r="M70" s="347" t="s">
        <v>309</v>
      </c>
      <c r="O70" s="348" t="str">
        <f t="array" ref="O70">IFERROR(IF($O$11="Metro",INDEX($F$13:$F$738,SMALL(IF((County=$G$13:$G$738),MATCH(ROW($G$13:$G$738),ROW($G$13:$G$738)),""),ROWS($A$13:A70))),INDEX($I$13:$I$42,SMALL(IF((County=$J$13:$J$42),MATCH(ROW($J$13:$J$42),ROW($J$13:$J$42)),""),ROWS($A$13:A70)))),"")</f>
        <v/>
      </c>
      <c r="Q70" s="348" t="str">
        <f t="array" ref="Q70">IFERROR(IF($Q$11="Yes",INDEX($L$13:$L$2313,SMALL(IF((County=$M$13:$M$2313),MATCH(ROW($M$13:$M$2313),ROW($M$13:$M$2313)),""),ROWS($A$13:A70))),""),"")</f>
        <v/>
      </c>
      <c r="S70" s="346">
        <v>32812</v>
      </c>
      <c r="T70" s="345" t="s">
        <v>359</v>
      </c>
      <c r="V70" s="345">
        <v>6</v>
      </c>
      <c r="W70" s="345" t="s">
        <v>323</v>
      </c>
      <c r="AB70" s="347">
        <v>4</v>
      </c>
      <c r="AC70" s="347" t="s">
        <v>351</v>
      </c>
      <c r="AD70" s="1138"/>
      <c r="AE70" s="346">
        <v>34109</v>
      </c>
      <c r="AF70" s="345" t="s">
        <v>318</v>
      </c>
      <c r="AI70" s="934"/>
      <c r="AJ70" s="345">
        <v>417</v>
      </c>
      <c r="AK70" s="345" t="s">
        <v>310</v>
      </c>
      <c r="AP70" s="347">
        <v>27.11</v>
      </c>
      <c r="AQ70" s="347" t="s">
        <v>306</v>
      </c>
      <c r="AS70" s="348" t="str">
        <f t="array" ref="AS70">IFERROR(IF($AS$11="Metro",INDEX($AJ$13:$AJ$814,SMALL(IF((County=$AK$13:$AK$814),MATCH(ROW($AK$13:$AK$814),ROW($AK$13:$AK$814)),""),ROWS($A$13:$A70))),INDEX($AM$13:$AM$48,SMALL(IF((County=$AN$13:$AN$48),MATCH(ROW($AN$13:$AN$48),ROW($AN$13:$AN$48)),""),ROWS($A$13:$A70)))),"")</f>
        <v/>
      </c>
      <c r="AU70" s="348" t="str">
        <f t="array" ref="AU70">IFERROR(IF($AU$11="Yes",INDEX($AP$13:$AP$2950,SMALL(IF((County=$AQ$13:$AQ$2950),MATCH(ROW($AQ$13:$AQ$2950),ROW($AQ$13:$AQ$2950)),""),ROWS($A$13:$A70))),""),"")</f>
        <v/>
      </c>
      <c r="AW70" s="346">
        <v>32804</v>
      </c>
      <c r="AX70" s="345" t="s">
        <v>359</v>
      </c>
      <c r="AZ70" s="345">
        <v>4.0199999999999996</v>
      </c>
      <c r="BA70" s="345" t="s">
        <v>352</v>
      </c>
      <c r="BF70" s="347">
        <v>2.17</v>
      </c>
      <c r="BG70" s="347" t="s">
        <v>361</v>
      </c>
      <c r="BH70" s="1790"/>
      <c r="BI70" s="2299">
        <v>33953</v>
      </c>
      <c r="BJ70" s="345" t="s">
        <v>315</v>
      </c>
      <c r="BM70" s="1784"/>
      <c r="BN70" s="345">
        <v>1108</v>
      </c>
      <c r="BO70" s="345" t="s">
        <v>297</v>
      </c>
      <c r="BQ70" s="237">
        <v>9601.02</v>
      </c>
      <c r="BR70" s="237" t="s">
        <v>332</v>
      </c>
      <c r="BT70" s="347">
        <v>27.08</v>
      </c>
      <c r="BU70" s="347" t="s">
        <v>306</v>
      </c>
      <c r="BW70" s="348" t="str">
        <f t="array" ref="BW70">IFERROR(IF($BW$11="Metro",INDEX($BN$13:$BN$4972,SMALL(IF((County=$BO$13:$BO$4972),MATCH(ROW($BO$13:$BO$4972),ROW($BO$13:$BO$4972)),""),ROWS($A$13:$A70))),INDEX($BQ$13:$BQ$212,SMALL(IF((County=$BR$13:$BR$212),MATCH(ROW($BR$13:$BR$212),ROW($BR$13:$BR$212)),""),ROWS($A$13:$A70)))),"")</f>
        <v/>
      </c>
      <c r="BY70" s="348" t="str">
        <f t="array" ref="BY70">IFERROR(IF($BY$11="Yes",INDEX($BT$13:$BT$2950,SMALL(IF((County=$BU$13:$BU$2950),MATCH(ROW($BU$13:$BU$2950),ROW($BU$13:$BU$2950)),""),ROWS($A$13:$A70))),""),"")</f>
        <v/>
      </c>
      <c r="CA70" s="2298">
        <v>32803</v>
      </c>
      <c r="CB70" s="345" t="s">
        <v>359</v>
      </c>
      <c r="CD70" s="237">
        <v>2.02</v>
      </c>
      <c r="CE70" s="237" t="s">
        <v>350</v>
      </c>
      <c r="CG70" s="237">
        <v>2107</v>
      </c>
      <c r="CH70" s="237" t="s">
        <v>340</v>
      </c>
      <c r="CJ70" s="347">
        <v>2.21</v>
      </c>
      <c r="CK70" s="347" t="s">
        <v>352</v>
      </c>
      <c r="CL70" s="1789"/>
      <c r="CM70" s="2299"/>
      <c r="CN70" s="345"/>
      <c r="CR70" s="345"/>
      <c r="CS70" s="345"/>
      <c r="CU70" s="345"/>
      <c r="CV70" s="345"/>
      <c r="CX70" s="347"/>
      <c r="CY70" s="347"/>
      <c r="DA70" s="348"/>
      <c r="DC70" s="348"/>
      <c r="DE70" s="1792"/>
      <c r="DF70" s="345"/>
      <c r="DH70" s="237"/>
      <c r="DI70" s="237"/>
      <c r="DK70" s="345"/>
      <c r="DL70" s="345"/>
      <c r="DN70" s="347"/>
      <c r="DO70" s="347"/>
      <c r="DP70" s="2505"/>
      <c r="DT70" s="591" t="s">
        <v>368</v>
      </c>
      <c r="DU70" s="591" t="s">
        <v>2640</v>
      </c>
      <c r="DV70" s="591" t="s">
        <v>2641</v>
      </c>
      <c r="DW70" s="592">
        <v>27.068049999999999</v>
      </c>
      <c r="DX70" s="592">
        <v>-82.160799999999995</v>
      </c>
      <c r="DY70" s="595" t="s">
        <v>686</v>
      </c>
      <c r="DZ70" s="594" t="s">
        <v>685</v>
      </c>
      <c r="EA70" s="592" t="str">
        <f t="shared" si="8"/>
        <v>Sarasota - Ekos at Arbor Park Phase II</v>
      </c>
      <c r="EB70" s="592" t="str">
        <f t="shared" si="9"/>
        <v>Family</v>
      </c>
      <c r="EC70" s="592" t="str">
        <f t="shared" si="10"/>
        <v>(27.06805, -82.1608)</v>
      </c>
      <c r="ED70" s="594" t="str">
        <f t="shared" si="11"/>
        <v>&gt;30</v>
      </c>
    </row>
    <row r="71" spans="1:134" ht="14.45" customHeight="1">
      <c r="A71" s="346">
        <v>34140</v>
      </c>
      <c r="B71" s="345" t="s">
        <v>318</v>
      </c>
      <c r="E71" s="934"/>
      <c r="F71" s="345">
        <v>503.08</v>
      </c>
      <c r="G71" s="345" t="s">
        <v>310</v>
      </c>
      <c r="L71" s="347">
        <v>621.03</v>
      </c>
      <c r="M71" s="347" t="s">
        <v>309</v>
      </c>
      <c r="O71" s="348" t="str">
        <f t="array" ref="O71">IFERROR(IF($O$11="Metro",INDEX($F$13:$F$738,SMALL(IF((County=$G$13:$G$738),MATCH(ROW($G$13:$G$738),ROW($G$13:$G$738)),""),ROWS($A$13:A71))),INDEX($I$13:$I$42,SMALL(IF((County=$J$13:$J$42),MATCH(ROW($J$13:$J$42),ROW($J$13:$J$42)),""),ROWS($A$13:A71)))),"")</f>
        <v/>
      </c>
      <c r="Q71" s="348" t="str">
        <f t="array" ref="Q71">IFERROR(IF($Q$11="Yes",INDEX($L$13:$L$2313,SMALL(IF((County=$M$13:$M$2313),MATCH(ROW($M$13:$M$2313),ROW($M$13:$M$2313)),""),ROWS($A$13:A71))),""),"")</f>
        <v/>
      </c>
      <c r="S71" s="346">
        <v>32814</v>
      </c>
      <c r="T71" s="345" t="s">
        <v>359</v>
      </c>
      <c r="V71" s="345">
        <v>6</v>
      </c>
      <c r="W71" s="345" t="s">
        <v>325</v>
      </c>
      <c r="AB71" s="347">
        <v>4.01</v>
      </c>
      <c r="AC71" s="347" t="s">
        <v>318</v>
      </c>
      <c r="AD71" s="1138"/>
      <c r="AE71" s="346">
        <v>34110</v>
      </c>
      <c r="AF71" s="345" t="s">
        <v>318</v>
      </c>
      <c r="AI71" s="934"/>
      <c r="AJ71" s="345">
        <v>427</v>
      </c>
      <c r="AK71" s="345" t="s">
        <v>310</v>
      </c>
      <c r="AP71" s="347">
        <v>27.12</v>
      </c>
      <c r="AQ71" s="347" t="s">
        <v>306</v>
      </c>
      <c r="AS71" s="348" t="str">
        <f t="array" ref="AS71">IFERROR(IF($AS$11="Metro",INDEX($AJ$13:$AJ$814,SMALL(IF((County=$AK$13:$AK$814),MATCH(ROW($AK$13:$AK$814),ROW($AK$13:$AK$814)),""),ROWS($A$13:$A71))),INDEX($AM$13:$AM$48,SMALL(IF((County=$AN$13:$AN$48),MATCH(ROW($AN$13:$AN$48),ROW($AN$13:$AN$48)),""),ROWS($A$13:$A71)))),"")</f>
        <v/>
      </c>
      <c r="AU71" s="348" t="str">
        <f t="array" ref="AU71">IFERROR(IF($AU$11="Yes",INDEX($AP$13:$AP$2950,SMALL(IF((County=$AQ$13:$AQ$2950),MATCH(ROW($AQ$13:$AQ$2950),ROW($AQ$13:$AQ$2950)),""),ROWS($A$13:$A71))),""),"")</f>
        <v/>
      </c>
      <c r="AW71" s="346">
        <v>32806</v>
      </c>
      <c r="AX71" s="345" t="s">
        <v>359</v>
      </c>
      <c r="AZ71" s="345">
        <v>4.08</v>
      </c>
      <c r="BA71" s="345" t="s">
        <v>352</v>
      </c>
      <c r="BF71" s="347">
        <v>2.1800000000000002</v>
      </c>
      <c r="BG71" s="347" t="s">
        <v>361</v>
      </c>
      <c r="BH71" s="1790"/>
      <c r="BI71" s="2299">
        <v>33954</v>
      </c>
      <c r="BJ71" s="345" t="s">
        <v>315</v>
      </c>
      <c r="BM71" s="1784"/>
      <c r="BN71" s="345">
        <v>401.01</v>
      </c>
      <c r="BO71" s="345" t="s">
        <v>302</v>
      </c>
      <c r="BQ71" s="237">
        <v>9601.0300000000007</v>
      </c>
      <c r="BR71" s="237" t="s">
        <v>332</v>
      </c>
      <c r="BT71" s="347">
        <v>27.09</v>
      </c>
      <c r="BU71" s="347" t="s">
        <v>306</v>
      </c>
      <c r="BW71" s="348" t="str">
        <f t="array" ref="BW71">IFERROR(IF($BW$11="Metro",INDEX($BN$13:$BN$4972,SMALL(IF((County=$BO$13:$BO$4972),MATCH(ROW($BO$13:$BO$4972),ROW($BO$13:$BO$4972)),""),ROWS($A$13:$A71))),INDEX($BQ$13:$BQ$212,SMALL(IF((County=$BR$13:$BR$212),MATCH(ROW($BR$13:$BR$212),ROW($BR$13:$BR$212)),""),ROWS($A$13:$A71)))),"")</f>
        <v/>
      </c>
      <c r="BY71" s="348" t="str">
        <f t="array" ref="BY71">IFERROR(IF($BY$11="Yes",INDEX($BT$13:$BT$2950,SMALL(IF((County=$BU$13:$BU$2950),MATCH(ROW($BU$13:$BU$2950),ROW($BU$13:$BU$2950)),""),ROWS($A$13:$A71))),""),"")</f>
        <v/>
      </c>
      <c r="CA71" s="2298">
        <v>32805</v>
      </c>
      <c r="CB71" s="345" t="s">
        <v>359</v>
      </c>
      <c r="CD71" s="237">
        <v>2.02</v>
      </c>
      <c r="CE71" s="237" t="s">
        <v>361</v>
      </c>
      <c r="CG71" s="237">
        <v>2108</v>
      </c>
      <c r="CH71" s="237" t="s">
        <v>340</v>
      </c>
      <c r="CJ71" s="347">
        <v>2.21</v>
      </c>
      <c r="CK71" s="347" t="s">
        <v>361</v>
      </c>
      <c r="CL71" s="1789"/>
      <c r="CM71" s="2299"/>
      <c r="CN71" s="345"/>
      <c r="CR71" s="345"/>
      <c r="CS71" s="345"/>
      <c r="CU71" s="345"/>
      <c r="CV71" s="345"/>
      <c r="CX71" s="347"/>
      <c r="CY71" s="347"/>
      <c r="DA71" s="348"/>
      <c r="DC71" s="348"/>
      <c r="DE71" s="1792"/>
      <c r="DF71" s="345"/>
      <c r="DH71" s="237"/>
      <c r="DI71" s="237"/>
      <c r="DK71" s="345"/>
      <c r="DL71" s="345"/>
      <c r="DN71" s="347"/>
      <c r="DO71" s="347"/>
      <c r="DP71" s="2505"/>
      <c r="DT71" s="591" t="s">
        <v>2134</v>
      </c>
      <c r="DU71" s="591" t="s">
        <v>2135</v>
      </c>
      <c r="DV71" s="591" t="s">
        <v>2136</v>
      </c>
      <c r="DW71" s="591">
        <v>27.374355000000001</v>
      </c>
      <c r="DX71" s="591">
        <v>-82.553548000000006</v>
      </c>
      <c r="DY71" s="595" t="s">
        <v>686</v>
      </c>
      <c r="DZ71" s="595" t="s">
        <v>685</v>
      </c>
      <c r="EA71" s="592" t="str">
        <f t="shared" si="8"/>
        <v>Sarasota  - New Trail Plaza</v>
      </c>
      <c r="EB71" s="592" t="str">
        <f t="shared" si="9"/>
        <v>Family</v>
      </c>
      <c r="EC71" s="592" t="str">
        <f t="shared" si="10"/>
        <v>(27.374355, -82.553548)</v>
      </c>
      <c r="ED71" s="594" t="str">
        <f t="shared" si="11"/>
        <v>&gt;30</v>
      </c>
    </row>
    <row r="72" spans="1:134" ht="14.45" customHeight="1">
      <c r="A72" s="346">
        <v>34145</v>
      </c>
      <c r="B72" s="345" t="s">
        <v>318</v>
      </c>
      <c r="E72" s="934"/>
      <c r="F72" s="345">
        <v>503.09</v>
      </c>
      <c r="G72" s="345" t="s">
        <v>310</v>
      </c>
      <c r="L72" s="347">
        <v>621.08000000000004</v>
      </c>
      <c r="M72" s="347" t="s">
        <v>309</v>
      </c>
      <c r="O72" s="348" t="str">
        <f t="array" ref="O72">IFERROR(IF($O$11="Metro",INDEX($F$13:$F$738,SMALL(IF((County=$G$13:$G$738),MATCH(ROW($G$13:$G$738),ROW($G$13:$G$738)),""),ROWS($A$13:A72))),INDEX($I$13:$I$42,SMALL(IF((County=$J$13:$J$42),MATCH(ROW($J$13:$J$42),ROW($J$13:$J$42)),""),ROWS($A$13:A72)))),"")</f>
        <v/>
      </c>
      <c r="Q72" s="348" t="str">
        <f t="array" ref="Q72">IFERROR(IF($Q$11="Yes",INDEX($L$13:$L$2313,SMALL(IF((County=$M$13:$M$2313),MATCH(ROW($M$13:$M$2313),ROW($M$13:$M$2313)),""),ROWS($A$13:A72))),""),"")</f>
        <v/>
      </c>
      <c r="S72" s="346">
        <v>32817</v>
      </c>
      <c r="T72" s="345" t="s">
        <v>359</v>
      </c>
      <c r="V72" s="345">
        <v>6</v>
      </c>
      <c r="W72" s="345" t="s">
        <v>344</v>
      </c>
      <c r="AB72" s="347">
        <v>4.01</v>
      </c>
      <c r="AC72" s="347" t="s">
        <v>334</v>
      </c>
      <c r="AD72" s="1138"/>
      <c r="AE72" s="346">
        <v>34117</v>
      </c>
      <c r="AF72" s="345" t="s">
        <v>318</v>
      </c>
      <c r="AI72" s="934"/>
      <c r="AJ72" s="345">
        <v>428.01</v>
      </c>
      <c r="AK72" s="345" t="s">
        <v>310</v>
      </c>
      <c r="AP72" s="347">
        <v>2.02</v>
      </c>
      <c r="AQ72" s="347" t="s">
        <v>308</v>
      </c>
      <c r="AS72" s="348" t="str">
        <f t="array" ref="AS72">IFERROR(IF($AS$11="Metro",INDEX($AJ$13:$AJ$814,SMALL(IF((County=$AK$13:$AK$814),MATCH(ROW($AK$13:$AK$814),ROW($AK$13:$AK$814)),""),ROWS($A$13:$A72))),INDEX($AM$13:$AM$48,SMALL(IF((County=$AN$13:$AN$48),MATCH(ROW($AN$13:$AN$48),ROW($AN$13:$AN$48)),""),ROWS($A$13:$A72)))),"")</f>
        <v/>
      </c>
      <c r="AU72" s="348" t="str">
        <f t="array" ref="AU72">IFERROR(IF($AU$11="Yes",INDEX($AP$13:$AP$2950,SMALL(IF((County=$AQ$13:$AQ$2950),MATCH(ROW($AQ$13:$AQ$2950),ROW($AQ$13:$AQ$2950)),""),ROWS($A$13:$A72))),""),"")</f>
        <v/>
      </c>
      <c r="AW72" s="346">
        <v>32811</v>
      </c>
      <c r="AX72" s="345" t="s">
        <v>359</v>
      </c>
      <c r="AZ72" s="345">
        <v>4.1100000000000003</v>
      </c>
      <c r="BA72" s="345" t="s">
        <v>352</v>
      </c>
      <c r="BF72" s="347">
        <v>2.19</v>
      </c>
      <c r="BG72" s="347" t="s">
        <v>361</v>
      </c>
      <c r="BH72" s="1790"/>
      <c r="BI72" s="2299">
        <v>33955</v>
      </c>
      <c r="BJ72" s="345" t="s">
        <v>315</v>
      </c>
      <c r="BM72" s="1784"/>
      <c r="BN72" s="345">
        <v>401.02</v>
      </c>
      <c r="BO72" s="345" t="s">
        <v>302</v>
      </c>
      <c r="BQ72" s="237">
        <v>9602.01</v>
      </c>
      <c r="BR72" s="237" t="s">
        <v>332</v>
      </c>
      <c r="BT72" s="347">
        <v>27.1</v>
      </c>
      <c r="BU72" s="347" t="s">
        <v>306</v>
      </c>
      <c r="BW72" s="348" t="str">
        <f t="array" ref="BW72">IFERROR(IF($BW$11="Metro",INDEX($BN$13:$BN$4972,SMALL(IF((County=$BO$13:$BO$4972),MATCH(ROW($BO$13:$BO$4972),ROW($BO$13:$BO$4972)),""),ROWS($A$13:$A72))),INDEX($BQ$13:$BQ$212,SMALL(IF((County=$BR$13:$BR$212),MATCH(ROW($BR$13:$BR$212),ROW($BR$13:$BR$212)),""),ROWS($A$13:$A72)))),"")</f>
        <v/>
      </c>
      <c r="BY72" s="348" t="str">
        <f t="array" ref="BY72">IFERROR(IF($BY$11="Yes",INDEX($BT$13:$BT$2950,SMALL(IF((County=$BU$13:$BU$2950),MATCH(ROW($BU$13:$BU$2950),ROW($BU$13:$BU$2950)),""),ROWS($A$13:$A72))),""),"")</f>
        <v/>
      </c>
      <c r="CA72" s="2298">
        <v>32806</v>
      </c>
      <c r="CB72" s="345" t="s">
        <v>359</v>
      </c>
      <c r="CD72" s="345">
        <v>2.0299999999999998</v>
      </c>
      <c r="CE72" s="345" t="s">
        <v>306</v>
      </c>
      <c r="CG72" s="237">
        <v>2109.0100000000002</v>
      </c>
      <c r="CH72" s="237" t="s">
        <v>340</v>
      </c>
      <c r="CJ72" s="347">
        <v>2.23</v>
      </c>
      <c r="CK72" s="347" t="s">
        <v>361</v>
      </c>
      <c r="CL72" s="1789"/>
      <c r="CM72" s="2299"/>
      <c r="CN72" s="345"/>
      <c r="CR72" s="345"/>
      <c r="CS72" s="345"/>
      <c r="CU72" s="345"/>
      <c r="CV72" s="345"/>
      <c r="CX72" s="347"/>
      <c r="CY72" s="347"/>
      <c r="DA72" s="348"/>
      <c r="DC72" s="348"/>
      <c r="DE72" s="1792"/>
      <c r="DF72" s="345"/>
      <c r="DH72" s="237"/>
      <c r="DI72" s="237"/>
      <c r="DK72" s="345"/>
      <c r="DL72" s="345"/>
      <c r="DN72" s="347"/>
      <c r="DO72" s="347"/>
      <c r="DP72" s="2505"/>
      <c r="DT72" s="591" t="s">
        <v>369</v>
      </c>
      <c r="DU72" s="591" t="s">
        <v>731</v>
      </c>
      <c r="DV72" s="591" t="s">
        <v>732</v>
      </c>
      <c r="DW72" s="592">
        <v>28.668277</v>
      </c>
      <c r="DX72" s="592">
        <v>-81.357022000000001</v>
      </c>
      <c r="DY72" s="593" t="s">
        <v>686</v>
      </c>
      <c r="DZ72" s="594" t="s">
        <v>685</v>
      </c>
      <c r="EA72" s="592" t="str">
        <f t="shared" si="8"/>
        <v>Seminole - Banyan East Town Apartments</v>
      </c>
      <c r="EB72" s="592" t="str">
        <f t="shared" si="9"/>
        <v>Family</v>
      </c>
      <c r="EC72" s="592" t="str">
        <f t="shared" si="10"/>
        <v>(28.668277, -81.357022)</v>
      </c>
      <c r="ED72" s="594" t="str">
        <f t="shared" si="11"/>
        <v>&gt;30</v>
      </c>
    </row>
    <row r="73" spans="1:134" ht="14.45" customHeight="1">
      <c r="A73" s="346">
        <v>32212</v>
      </c>
      <c r="B73" s="345" t="s">
        <v>323</v>
      </c>
      <c r="E73" s="934"/>
      <c r="F73" s="345">
        <v>503.11</v>
      </c>
      <c r="G73" s="345" t="s">
        <v>310</v>
      </c>
      <c r="L73" s="347">
        <v>621.09</v>
      </c>
      <c r="M73" s="347" t="s">
        <v>309</v>
      </c>
      <c r="O73" s="348" t="str">
        <f t="array" ref="O73">IFERROR(IF($O$11="Metro",INDEX($F$13:$F$738,SMALL(IF((County=$G$13:$G$738),MATCH(ROW($G$13:$G$738),ROW($G$13:$G$738)),""),ROWS($A$13:A73))),INDEX($I$13:$I$42,SMALL(IF((County=$J$13:$J$42),MATCH(ROW($J$13:$J$42),ROW($J$13:$J$42)),""),ROWS($A$13:A73)))),"")</f>
        <v/>
      </c>
      <c r="Q73" s="348" t="str">
        <f t="array" ref="Q73">IFERROR(IF($Q$11="Yes",INDEX($L$13:$L$2313,SMALL(IF((County=$M$13:$M$2313),MATCH(ROW($M$13:$M$2313),ROW($M$13:$M$2313)),""),ROWS($A$13:A73))),""),"")</f>
        <v/>
      </c>
      <c r="S73" s="346">
        <v>32819</v>
      </c>
      <c r="T73" s="345" t="s">
        <v>359</v>
      </c>
      <c r="V73" s="345">
        <v>6</v>
      </c>
      <c r="W73" s="345" t="s">
        <v>345</v>
      </c>
      <c r="AB73" s="347">
        <v>4.0199999999999996</v>
      </c>
      <c r="AC73" s="347" t="s">
        <v>318</v>
      </c>
      <c r="AD73" s="1138"/>
      <c r="AE73" s="346">
        <v>34119</v>
      </c>
      <c r="AF73" s="345" t="s">
        <v>318</v>
      </c>
      <c r="AI73" s="934"/>
      <c r="AJ73" s="345">
        <v>428.02</v>
      </c>
      <c r="AK73" s="345" t="s">
        <v>310</v>
      </c>
      <c r="AP73" s="347">
        <v>3.01</v>
      </c>
      <c r="AQ73" s="347" t="s">
        <v>308</v>
      </c>
      <c r="AS73" s="348" t="str">
        <f t="array" ref="AS73">IFERROR(IF($AS$11="Metro",INDEX($AJ$13:$AJ$814,SMALL(IF((County=$AK$13:$AK$814),MATCH(ROW($AK$13:$AK$814),ROW($AK$13:$AK$814)),""),ROWS($A$13:$A73))),INDEX($AM$13:$AM$48,SMALL(IF((County=$AN$13:$AN$48),MATCH(ROW($AN$13:$AN$48),ROW($AN$13:$AN$48)),""),ROWS($A$13:$A73)))),"")</f>
        <v/>
      </c>
      <c r="AU73" s="348" t="str">
        <f t="array" ref="AU73">IFERROR(IF($AU$11="Yes",INDEX($AP$13:$AP$2950,SMALL(IF((County=$AQ$13:$AQ$2950),MATCH(ROW($AQ$13:$AQ$2950),ROW($AQ$13:$AQ$2950)),""),ROWS($A$13:$A73))),""),"")</f>
        <v/>
      </c>
      <c r="AW73" s="346">
        <v>32812</v>
      </c>
      <c r="AX73" s="345" t="s">
        <v>359</v>
      </c>
      <c r="AZ73" s="345">
        <v>4.1399999999999997</v>
      </c>
      <c r="BA73" s="345" t="s">
        <v>352</v>
      </c>
      <c r="BF73" s="347">
        <v>2.2000000000000002</v>
      </c>
      <c r="BG73" s="347" t="s">
        <v>361</v>
      </c>
      <c r="BH73" s="1790"/>
      <c r="BI73" s="2299">
        <v>33981</v>
      </c>
      <c r="BJ73" s="345" t="s">
        <v>315</v>
      </c>
      <c r="BM73" s="1784"/>
      <c r="BN73" s="345">
        <v>402.01</v>
      </c>
      <c r="BO73" s="345" t="s">
        <v>302</v>
      </c>
      <c r="BQ73" s="237">
        <v>9602.02</v>
      </c>
      <c r="BR73" s="237" t="s">
        <v>332</v>
      </c>
      <c r="BT73" s="347">
        <v>27.11</v>
      </c>
      <c r="BU73" s="347" t="s">
        <v>306</v>
      </c>
      <c r="BW73" s="348" t="str">
        <f t="array" ref="BW73">IFERROR(IF($BW$11="Metro",INDEX($BN$13:$BN$4972,SMALL(IF((County=$BO$13:$BO$4972),MATCH(ROW($BO$13:$BO$4972),ROW($BO$13:$BO$4972)),""),ROWS($A$13:$A73))),INDEX($BQ$13:$BQ$212,SMALL(IF((County=$BR$13:$BR$212),MATCH(ROW($BR$13:$BR$212),ROW($BR$13:$BR$212)),""),ROWS($A$13:$A73)))),"")</f>
        <v/>
      </c>
      <c r="BY73" s="348" t="str">
        <f t="array" ref="BY73">IFERROR(IF($BY$11="Yes",INDEX($BT$13:$BT$2950,SMALL(IF((County=$BU$13:$BU$2950),MATCH(ROW($BU$13:$BU$2950),ROW($BU$13:$BU$2950)),""),ROWS($A$13:$A73))),""),"")</f>
        <v/>
      </c>
      <c r="CA73" s="2298">
        <v>32811</v>
      </c>
      <c r="CB73" s="345" t="s">
        <v>359</v>
      </c>
      <c r="CD73" s="237">
        <v>2.0299999999999998</v>
      </c>
      <c r="CE73" s="237" t="s">
        <v>349</v>
      </c>
      <c r="CG73" s="237">
        <v>2109.02</v>
      </c>
      <c r="CH73" s="237" t="s">
        <v>340</v>
      </c>
      <c r="CJ73" s="347">
        <v>2.2400000000000002</v>
      </c>
      <c r="CK73" s="347" t="s">
        <v>352</v>
      </c>
      <c r="CL73" s="1789"/>
      <c r="CM73" s="2299"/>
      <c r="CN73" s="345"/>
      <c r="CR73" s="345"/>
      <c r="CS73" s="345"/>
      <c r="CU73" s="345"/>
      <c r="CV73" s="345"/>
      <c r="CX73" s="347"/>
      <c r="CY73" s="347"/>
      <c r="DA73" s="348"/>
      <c r="DC73" s="348"/>
      <c r="DE73" s="1792"/>
      <c r="DF73" s="345"/>
      <c r="DH73" s="237"/>
      <c r="DI73" s="237"/>
      <c r="DK73" s="345"/>
      <c r="DL73" s="345"/>
      <c r="DN73" s="347"/>
      <c r="DO73" s="347"/>
      <c r="DP73" s="2505"/>
      <c r="DT73" s="591" t="s">
        <v>369</v>
      </c>
      <c r="DU73" s="609" t="s">
        <v>2642</v>
      </c>
      <c r="DV73" s="609" t="s">
        <v>2643</v>
      </c>
      <c r="DW73" s="601">
        <v>28.787856000000001</v>
      </c>
      <c r="DX73" s="599">
        <v>-81.220033000000001</v>
      </c>
      <c r="DY73" s="593" t="s">
        <v>686</v>
      </c>
      <c r="DZ73" s="594" t="s">
        <v>685</v>
      </c>
      <c r="EA73" s="592" t="str">
        <f t="shared" si="8"/>
        <v>Seminole - Riverbend Landings</v>
      </c>
      <c r="EB73" s="592" t="str">
        <f t="shared" si="9"/>
        <v>Family</v>
      </c>
      <c r="EC73" s="592" t="str">
        <f t="shared" si="10"/>
        <v>(28.787856, -81.220033)</v>
      </c>
      <c r="ED73" s="594" t="str">
        <f t="shared" si="11"/>
        <v>&gt;30</v>
      </c>
    </row>
    <row r="74" spans="1:134" ht="14.45" customHeight="1">
      <c r="A74" s="346">
        <v>32222</v>
      </c>
      <c r="B74" s="345" t="s">
        <v>323</v>
      </c>
      <c r="E74" s="934"/>
      <c r="F74" s="345">
        <v>507.02</v>
      </c>
      <c r="G74" s="345" t="s">
        <v>310</v>
      </c>
      <c r="L74" s="347">
        <v>628</v>
      </c>
      <c r="M74" s="347" t="s">
        <v>309</v>
      </c>
      <c r="O74" s="348" t="str">
        <f t="array" ref="O74">IFERROR(IF($O$11="Metro",INDEX($F$13:$F$738,SMALL(IF((County=$G$13:$G$738),MATCH(ROW($G$13:$G$738),ROW($G$13:$G$738)),""),ROWS($A$13:A74))),INDEX($I$13:$I$42,SMALL(IF((County=$J$13:$J$42),MATCH(ROW($J$13:$J$42),ROW($J$13:$J$42)),""),ROWS($A$13:A74)))),"")</f>
        <v/>
      </c>
      <c r="Q74" s="348" t="str">
        <f t="array" ref="Q74">IFERROR(IF($Q$11="Yes",INDEX($L$13:$L$2313,SMALL(IF((County=$M$13:$M$2313),MATCH(ROW($M$13:$M$2313),ROW($M$13:$M$2313)),""),ROWS($A$13:A74))),""),"")</f>
        <v/>
      </c>
      <c r="S74" s="346">
        <v>32820</v>
      </c>
      <c r="T74" s="345" t="s">
        <v>359</v>
      </c>
      <c r="V74" s="345">
        <v>6.01</v>
      </c>
      <c r="W74" s="345" t="s">
        <v>337</v>
      </c>
      <c r="AB74" s="347">
        <v>4.0199999999999996</v>
      </c>
      <c r="AC74" s="347" t="s">
        <v>334</v>
      </c>
      <c r="AD74" s="1138"/>
      <c r="AE74" s="346">
        <v>34120</v>
      </c>
      <c r="AF74" s="345" t="s">
        <v>318</v>
      </c>
      <c r="AI74" s="934"/>
      <c r="AJ74" s="345">
        <v>502.08</v>
      </c>
      <c r="AK74" s="345" t="s">
        <v>310</v>
      </c>
      <c r="AP74" s="347">
        <v>3.02</v>
      </c>
      <c r="AQ74" s="347" t="s">
        <v>308</v>
      </c>
      <c r="AS74" s="348" t="str">
        <f t="array" ref="AS74">IFERROR(IF($AS$11="Metro",INDEX($AJ$13:$AJ$814,SMALL(IF((County=$AK$13:$AK$814),MATCH(ROW($AK$13:$AK$814),ROW($AK$13:$AK$814)),""),ROWS($A$13:$A74))),INDEX($AM$13:$AM$48,SMALL(IF((County=$AN$13:$AN$48),MATCH(ROW($AN$13:$AN$48),ROW($AN$13:$AN$48)),""),ROWS($A$13:$A74)))),"")</f>
        <v/>
      </c>
      <c r="AU74" s="348" t="str">
        <f t="array" ref="AU74">IFERROR(IF($AU$11="Yes",INDEX($AP$13:$AP$2950,SMALL(IF((County=$AQ$13:$AQ$2950),MATCH(ROW($AQ$13:$AQ$2950),ROW($AQ$13:$AQ$2950)),""),ROWS($A$13:$A74))),""),"")</f>
        <v/>
      </c>
      <c r="AW74" s="346">
        <v>32814</v>
      </c>
      <c r="AX74" s="345" t="s">
        <v>359</v>
      </c>
      <c r="AZ74" s="345">
        <v>4.1500000000000004</v>
      </c>
      <c r="BA74" s="345" t="s">
        <v>352</v>
      </c>
      <c r="BF74" s="347">
        <v>2.21</v>
      </c>
      <c r="BG74" s="347" t="s">
        <v>352</v>
      </c>
      <c r="BH74" s="1790"/>
      <c r="BI74" s="2299">
        <v>34434</v>
      </c>
      <c r="BJ74" s="345" t="s">
        <v>316</v>
      </c>
      <c r="BM74" s="1784"/>
      <c r="BN74" s="345">
        <v>402.02</v>
      </c>
      <c r="BO74" s="345" t="s">
        <v>302</v>
      </c>
      <c r="BQ74" s="237">
        <v>9603</v>
      </c>
      <c r="BR74" s="237" t="s">
        <v>332</v>
      </c>
      <c r="BT74" s="347">
        <v>27.12</v>
      </c>
      <c r="BU74" s="347" t="s">
        <v>306</v>
      </c>
      <c r="BW74" s="348" t="str">
        <f t="array" ref="BW74">IFERROR(IF($BW$11="Metro",INDEX($BN$13:$BN$4972,SMALL(IF((County=$BO$13:$BO$4972),MATCH(ROW($BO$13:$BO$4972),ROW($BO$13:$BO$4972)),""),ROWS($A$13:$A74))),INDEX($BQ$13:$BQ$212,SMALL(IF((County=$BR$13:$BR$212),MATCH(ROW($BR$13:$BR$212),ROW($BR$13:$BR$212)),""),ROWS($A$13:$A74)))),"")</f>
        <v/>
      </c>
      <c r="BY74" s="348" t="str">
        <f t="array" ref="BY74">IFERROR(IF($BY$11="Yes",INDEX($BT$13:$BT$2950,SMALL(IF((County=$BU$13:$BU$2950),MATCH(ROW($BU$13:$BU$2950),ROW($BU$13:$BU$2950)),""),ROWS($A$13:$A74))),""),"")</f>
        <v/>
      </c>
      <c r="CA74" s="2298">
        <v>32812</v>
      </c>
      <c r="CB74" s="345" t="s">
        <v>359</v>
      </c>
      <c r="CD74" s="237">
        <v>2.0299999999999998</v>
      </c>
      <c r="CE74" s="237" t="s">
        <v>350</v>
      </c>
      <c r="CG74" s="237">
        <v>2110</v>
      </c>
      <c r="CH74" s="237" t="s">
        <v>340</v>
      </c>
      <c r="CJ74" s="347">
        <v>2.25</v>
      </c>
      <c r="CK74" s="347" t="s">
        <v>352</v>
      </c>
      <c r="CL74" s="1789"/>
      <c r="CM74" s="2299"/>
      <c r="CN74" s="345"/>
      <c r="CR74" s="345"/>
      <c r="CS74" s="345"/>
      <c r="CU74" s="345"/>
      <c r="CV74" s="345"/>
      <c r="CX74" s="347"/>
      <c r="CY74" s="347"/>
      <c r="DA74" s="348"/>
      <c r="DC74" s="348"/>
      <c r="DE74" s="1792"/>
      <c r="DF74" s="345"/>
      <c r="DH74" s="237"/>
      <c r="DI74" s="237"/>
      <c r="DK74" s="345"/>
      <c r="DL74" s="345"/>
      <c r="DN74" s="347"/>
      <c r="DO74" s="347"/>
      <c r="DP74" s="2505"/>
      <c r="DT74" s="591" t="s">
        <v>369</v>
      </c>
      <c r="DU74" s="591" t="s">
        <v>2644</v>
      </c>
      <c r="DV74" s="591" t="s">
        <v>2645</v>
      </c>
      <c r="DW74" s="592">
        <v>28.787465999999998</v>
      </c>
      <c r="DX74" s="592">
        <v>-81.221860000000007</v>
      </c>
      <c r="DY74" s="593" t="s">
        <v>686</v>
      </c>
      <c r="DZ74" s="594" t="s">
        <v>685</v>
      </c>
      <c r="EA74" s="592" t="str">
        <f t="shared" si="8"/>
        <v>Seminole - Riverbend Landings - Phase II</v>
      </c>
      <c r="EB74" s="592" t="str">
        <f t="shared" si="9"/>
        <v>Family</v>
      </c>
      <c r="EC74" s="592" t="str">
        <f t="shared" si="10"/>
        <v>(28.787466, -81.22186)</v>
      </c>
      <c r="ED74" s="594" t="str">
        <f t="shared" si="11"/>
        <v>&gt;30</v>
      </c>
    </row>
    <row r="75" spans="1:134" ht="14.45" customHeight="1">
      <c r="A75" s="346">
        <v>32224</v>
      </c>
      <c r="B75" s="345" t="s">
        <v>323</v>
      </c>
      <c r="E75" s="934"/>
      <c r="F75" s="345">
        <v>508</v>
      </c>
      <c r="G75" s="345" t="s">
        <v>310</v>
      </c>
      <c r="L75" s="347">
        <v>630</v>
      </c>
      <c r="M75" s="347" t="s">
        <v>309</v>
      </c>
      <c r="O75" s="348" t="str">
        <f t="array" ref="O75">IFERROR(IF($O$11="Metro",INDEX($F$13:$F$738,SMALL(IF((County=$G$13:$G$738),MATCH(ROW($G$13:$G$738),ROW($G$13:$G$738)),""),ROWS($A$13:A75))),INDEX($I$13:$I$42,SMALL(IF((County=$J$13:$J$42),MATCH(ROW($J$13:$J$42),ROW($J$13:$J$42)),""),ROWS($A$13:A75)))),"")</f>
        <v/>
      </c>
      <c r="Q75" s="348" t="str">
        <f t="array" ref="Q75">IFERROR(IF($Q$11="Yes",INDEX($L$13:$L$2313,SMALL(IF((County=$M$13:$M$2313),MATCH(ROW($M$13:$M$2313),ROW($M$13:$M$2313)),""),ROWS($A$13:A75))),""),"")</f>
        <v/>
      </c>
      <c r="S75" s="346">
        <v>32821</v>
      </c>
      <c r="T75" s="345" t="s">
        <v>359</v>
      </c>
      <c r="V75" s="345">
        <v>6.01</v>
      </c>
      <c r="W75" s="345" t="s">
        <v>352</v>
      </c>
      <c r="AB75" s="347">
        <v>4.03</v>
      </c>
      <c r="AC75" s="347" t="s">
        <v>349</v>
      </c>
      <c r="AD75" s="1138"/>
      <c r="AE75" s="346">
        <v>34140</v>
      </c>
      <c r="AF75" s="345" t="s">
        <v>318</v>
      </c>
      <c r="AI75" s="934"/>
      <c r="AJ75" s="345">
        <v>503.08</v>
      </c>
      <c r="AK75" s="345" t="s">
        <v>310</v>
      </c>
      <c r="AP75" s="347">
        <v>601.05999999999995</v>
      </c>
      <c r="AQ75" s="347" t="s">
        <v>309</v>
      </c>
      <c r="AS75" s="348" t="str">
        <f t="array" ref="AS75">IFERROR(IF($AS$11="Metro",INDEX($AJ$13:$AJ$814,SMALL(IF((County=$AK$13:$AK$814),MATCH(ROW($AK$13:$AK$814),ROW($AK$13:$AK$814)),""),ROWS($A$13:$A75))),INDEX($AM$13:$AM$48,SMALL(IF((County=$AN$13:$AN$48),MATCH(ROW($AN$13:$AN$48),ROW($AN$13:$AN$48)),""),ROWS($A$13:$A75)))),"")</f>
        <v/>
      </c>
      <c r="AU75" s="348" t="str">
        <f t="array" ref="AU75">IFERROR(IF($AU$11="Yes",INDEX($AP$13:$AP$2950,SMALL(IF((County=$AQ$13:$AQ$2950),MATCH(ROW($AQ$13:$AQ$2950),ROW($AQ$13:$AQ$2950)),""),ROWS($A$13:$A75))),""),"")</f>
        <v/>
      </c>
      <c r="AW75" s="346">
        <v>32817</v>
      </c>
      <c r="AX75" s="345" t="s">
        <v>359</v>
      </c>
      <c r="AZ75" s="345">
        <v>4.16</v>
      </c>
      <c r="BA75" s="345" t="s">
        <v>352</v>
      </c>
      <c r="BF75" s="347">
        <v>2.21</v>
      </c>
      <c r="BG75" s="347" t="s">
        <v>361</v>
      </c>
      <c r="BH75" s="1790"/>
      <c r="BI75" s="1791">
        <v>32003</v>
      </c>
      <c r="BJ75" s="345" t="s">
        <v>317</v>
      </c>
      <c r="BM75" s="1784"/>
      <c r="BN75" s="345">
        <v>2.0099999999999998</v>
      </c>
      <c r="BO75" s="345" t="s">
        <v>306</v>
      </c>
      <c r="BQ75" s="237">
        <v>9701.01</v>
      </c>
      <c r="BR75" s="237" t="s">
        <v>333</v>
      </c>
      <c r="BT75" s="347">
        <v>27.13</v>
      </c>
      <c r="BU75" s="347" t="s">
        <v>306</v>
      </c>
      <c r="BW75" s="348" t="str">
        <f t="array" ref="BW75">IFERROR(IF($BW$11="Metro",INDEX($BN$13:$BN$4972,SMALL(IF((County=$BO$13:$BO$4972),MATCH(ROW($BO$13:$BO$4972),ROW($BO$13:$BO$4972)),""),ROWS($A$13:$A75))),INDEX($BQ$13:$BQ$212,SMALL(IF((County=$BR$13:$BR$212),MATCH(ROW($BR$13:$BR$212),ROW($BR$13:$BR$212)),""),ROWS($A$13:$A75)))),"")</f>
        <v/>
      </c>
      <c r="BY75" s="348" t="str">
        <f t="array" ref="BY75">IFERROR(IF($BY$11="Yes",INDEX($BT$13:$BT$2950,SMALL(IF((County=$BU$13:$BU$2950),MATCH(ROW($BU$13:$BU$2950),ROW($BU$13:$BU$2950)),""),ROWS($A$13:$A75))),""),"")</f>
        <v/>
      </c>
      <c r="CA75" s="2298">
        <v>32814</v>
      </c>
      <c r="CB75" s="345" t="s">
        <v>359</v>
      </c>
      <c r="CD75" s="345">
        <v>2.04</v>
      </c>
      <c r="CE75" s="345" t="s">
        <v>306</v>
      </c>
      <c r="CG75" s="237">
        <v>2111</v>
      </c>
      <c r="CH75" s="237" t="s">
        <v>340</v>
      </c>
      <c r="CJ75" s="347">
        <v>2.2599999999999998</v>
      </c>
      <c r="CK75" s="347" t="s">
        <v>352</v>
      </c>
      <c r="CL75" s="1789"/>
      <c r="CM75" s="2299"/>
      <c r="CN75" s="345"/>
      <c r="CR75" s="345"/>
      <c r="CS75" s="345"/>
      <c r="CU75" s="345"/>
      <c r="CV75" s="345"/>
      <c r="CX75" s="347"/>
      <c r="CY75" s="347"/>
      <c r="DA75" s="348"/>
      <c r="DC75" s="348"/>
      <c r="DE75" s="1792"/>
      <c r="DF75" s="345"/>
      <c r="DH75" s="237"/>
      <c r="DI75" s="237"/>
      <c r="DK75" s="345"/>
      <c r="DL75" s="345"/>
      <c r="DN75" s="347"/>
      <c r="DO75" s="347"/>
      <c r="DP75" s="2505"/>
      <c r="DT75" s="591" t="s">
        <v>372</v>
      </c>
      <c r="DU75" s="591" t="s">
        <v>2646</v>
      </c>
      <c r="DV75" s="591" t="s">
        <v>2647</v>
      </c>
      <c r="DW75" s="592">
        <v>28.914664999999999</v>
      </c>
      <c r="DX75" s="592">
        <v>-81.954106999999993</v>
      </c>
      <c r="DY75" s="593" t="s">
        <v>686</v>
      </c>
      <c r="DZ75" s="594" t="s">
        <v>685</v>
      </c>
      <c r="EA75" s="592" t="str">
        <f t="shared" si="8"/>
        <v>Sumter - Lake Sumter Reserve - Phase II</v>
      </c>
      <c r="EB75" s="592" t="str">
        <f t="shared" si="9"/>
        <v>Family</v>
      </c>
      <c r="EC75" s="592" t="str">
        <f t="shared" si="10"/>
        <v>(28.914665, -81.954107)</v>
      </c>
      <c r="ED75" s="594" t="str">
        <f t="shared" si="11"/>
        <v>&gt;30</v>
      </c>
    </row>
    <row r="76" spans="1:134" ht="14.45" customHeight="1">
      <c r="A76" s="346">
        <v>32226</v>
      </c>
      <c r="B76" s="345" t="s">
        <v>323</v>
      </c>
      <c r="E76" s="934"/>
      <c r="F76" s="345">
        <v>602.03</v>
      </c>
      <c r="G76" s="345" t="s">
        <v>310</v>
      </c>
      <c r="L76" s="347">
        <v>631.02</v>
      </c>
      <c r="M76" s="347" t="s">
        <v>309</v>
      </c>
      <c r="O76" s="348" t="str">
        <f t="array" ref="O76">IFERROR(IF($O$11="Metro",INDEX($F$13:$F$738,SMALL(IF((County=$G$13:$G$738),MATCH(ROW($G$13:$G$738),ROW($G$13:$G$738)),""),ROWS($A$13:A76))),INDEX($I$13:$I$42,SMALL(IF((County=$J$13:$J$42),MATCH(ROW($J$13:$J$42),ROW($J$13:$J$42)),""),ROWS($A$13:A76)))),"")</f>
        <v/>
      </c>
      <c r="Q76" s="348" t="str">
        <f t="array" ref="Q76">IFERROR(IF($Q$11="Yes",INDEX($L$13:$L$2313,SMALL(IF((County=$M$13:$M$2313),MATCH(ROW($M$13:$M$2313),ROW($M$13:$M$2313)),""),ROWS($A$13:A76))),""),"")</f>
        <v/>
      </c>
      <c r="S76" s="346">
        <v>32824</v>
      </c>
      <c r="T76" s="345" t="s">
        <v>359</v>
      </c>
      <c r="V76" s="345">
        <v>6.02</v>
      </c>
      <c r="W76" s="345" t="s">
        <v>337</v>
      </c>
      <c r="AB76" s="347">
        <v>4.04</v>
      </c>
      <c r="AC76" s="347" t="s">
        <v>368</v>
      </c>
      <c r="AD76" s="1138"/>
      <c r="AE76" s="346">
        <v>34145</v>
      </c>
      <c r="AF76" s="345" t="s">
        <v>318</v>
      </c>
      <c r="AI76" s="934"/>
      <c r="AJ76" s="345">
        <v>503.09</v>
      </c>
      <c r="AK76" s="345" t="s">
        <v>310</v>
      </c>
      <c r="AP76" s="347">
        <v>602.01</v>
      </c>
      <c r="AQ76" s="347" t="s">
        <v>309</v>
      </c>
      <c r="AS76" s="348" t="str">
        <f t="array" ref="AS76">IFERROR(IF($AS$11="Metro",INDEX($AJ$13:$AJ$814,SMALL(IF((County=$AK$13:$AK$814),MATCH(ROW($AK$13:$AK$814),ROW($AK$13:$AK$814)),""),ROWS($A$13:$A76))),INDEX($AM$13:$AM$48,SMALL(IF((County=$AN$13:$AN$48),MATCH(ROW($AN$13:$AN$48),ROW($AN$13:$AN$48)),""),ROWS($A$13:$A76)))),"")</f>
        <v/>
      </c>
      <c r="AU76" s="348" t="str">
        <f t="array" ref="AU76">IFERROR(IF($AU$11="Yes",INDEX($AP$13:$AP$2950,SMALL(IF((County=$AQ$13:$AQ$2950),MATCH(ROW($AQ$13:$AQ$2950),ROW($AQ$13:$AQ$2950)),""),ROWS($A$13:$A76))),""),"")</f>
        <v/>
      </c>
      <c r="AW76" s="346">
        <v>32819</v>
      </c>
      <c r="AX76" s="345" t="s">
        <v>359</v>
      </c>
      <c r="AZ76" s="345">
        <v>4.17</v>
      </c>
      <c r="BA76" s="345" t="s">
        <v>352</v>
      </c>
      <c r="BF76" s="347">
        <v>2.23</v>
      </c>
      <c r="BG76" s="347" t="s">
        <v>361</v>
      </c>
      <c r="BH76" s="1790"/>
      <c r="BI76" s="1791">
        <v>32079</v>
      </c>
      <c r="BJ76" s="345" t="s">
        <v>317</v>
      </c>
      <c r="BM76" s="1784"/>
      <c r="BN76" s="345">
        <v>2.0299999999999998</v>
      </c>
      <c r="BO76" s="345" t="s">
        <v>306</v>
      </c>
      <c r="BQ76" s="237">
        <v>9701.02</v>
      </c>
      <c r="BR76" s="237" t="s">
        <v>333</v>
      </c>
      <c r="BT76" s="347">
        <v>2.02</v>
      </c>
      <c r="BU76" s="347" t="s">
        <v>308</v>
      </c>
      <c r="BW76" s="348" t="str">
        <f t="array" ref="BW76">IFERROR(IF($BW$11="Metro",INDEX($BN$13:$BN$4972,SMALL(IF((County=$BO$13:$BO$4972),MATCH(ROW($BO$13:$BO$4972),ROW($BO$13:$BO$4972)),""),ROWS($A$13:$A76))),INDEX($BQ$13:$BQ$212,SMALL(IF((County=$BR$13:$BR$212),MATCH(ROW($BR$13:$BR$212),ROW($BR$13:$BR$212)),""),ROWS($A$13:$A76)))),"")</f>
        <v/>
      </c>
      <c r="BY76" s="348" t="str">
        <f t="array" ref="BY76">IFERROR(IF($BY$11="Yes",INDEX($BT$13:$BT$2950,SMALL(IF((County=$BU$13:$BU$2950),MATCH(ROW($BU$13:$BU$2950),ROW($BU$13:$BU$2950)),""),ROWS($A$13:$A76))),""),"")</f>
        <v/>
      </c>
      <c r="CA76" s="2298">
        <v>32817</v>
      </c>
      <c r="CB76" s="345" t="s">
        <v>359</v>
      </c>
      <c r="CD76" s="237">
        <v>2.04</v>
      </c>
      <c r="CE76" s="237" t="s">
        <v>349</v>
      </c>
      <c r="CG76" s="237">
        <v>9101.01</v>
      </c>
      <c r="CH76" s="237" t="s">
        <v>358</v>
      </c>
      <c r="CJ76" s="347">
        <v>3</v>
      </c>
      <c r="CK76" s="347" t="s">
        <v>325</v>
      </c>
      <c r="CL76" s="1789"/>
      <c r="CM76" s="2299"/>
      <c r="CN76" s="345"/>
      <c r="CR76" s="345"/>
      <c r="CS76" s="345"/>
      <c r="CU76" s="345"/>
      <c r="CV76" s="345"/>
      <c r="CX76" s="347"/>
      <c r="CY76" s="347"/>
      <c r="DA76" s="348"/>
      <c r="DC76" s="348"/>
      <c r="DE76" s="1792"/>
      <c r="DF76" s="345"/>
      <c r="DH76" s="237"/>
      <c r="DI76" s="237"/>
      <c r="DK76" s="345"/>
      <c r="DL76" s="345"/>
      <c r="DN76" s="347"/>
      <c r="DO76" s="347"/>
      <c r="DP76" s="2505"/>
      <c r="DT76" s="591" t="s">
        <v>376</v>
      </c>
      <c r="DU76" s="591" t="s">
        <v>733</v>
      </c>
      <c r="DV76" s="591" t="s">
        <v>734</v>
      </c>
      <c r="DW76" s="602">
        <v>28.916706000000001</v>
      </c>
      <c r="DX76" s="602">
        <v>-81.275324999999995</v>
      </c>
      <c r="DY76" s="595" t="s">
        <v>684</v>
      </c>
      <c r="DZ76" s="594" t="s">
        <v>685</v>
      </c>
      <c r="EA76" s="592" t="str">
        <f t="shared" ref="EA76:EA78" si="12">DT76&amp;" - "&amp;DV76</f>
        <v>Volusia - Bristol Manor</v>
      </c>
      <c r="EB76" s="592" t="str">
        <f t="shared" ref="EB76:EB78" si="13">IF(DY76="F","Family",IF(DY76="E","Elderly, Non-ALF",IF(DY76="ALF","Elderly, Assisted Living Facility",IF(DY76="W","Workforce",""))))</f>
        <v>Elderly, Non-ALF</v>
      </c>
      <c r="EC76" s="592" t="str">
        <f t="shared" ref="EC76:EC78" si="14">"("&amp;DW76&amp;", "&amp;DX76&amp;")"</f>
        <v>(28.916706, -81.275325)</v>
      </c>
      <c r="ED76" s="594" t="str">
        <f t="shared" ref="ED76:ED78" si="15">IF(DZ76="N","&gt;30",IF(DZ76="Y","&lt;31",""))</f>
        <v>&gt;30</v>
      </c>
    </row>
    <row r="77" spans="1:134" ht="14.45" customHeight="1">
      <c r="A77" s="346">
        <v>32227</v>
      </c>
      <c r="B77" s="345" t="s">
        <v>323</v>
      </c>
      <c r="E77" s="934"/>
      <c r="F77" s="345">
        <v>603.02</v>
      </c>
      <c r="G77" s="345" t="s">
        <v>310</v>
      </c>
      <c r="L77" s="347">
        <v>631.04</v>
      </c>
      <c r="M77" s="347" t="s">
        <v>309</v>
      </c>
      <c r="O77" s="348" t="str">
        <f t="array" ref="O77">IFERROR(IF($O$11="Metro",INDEX($F$13:$F$738,SMALL(IF((County=$G$13:$G$738),MATCH(ROW($G$13:$G$738),ROW($G$13:$G$738)),""),ROWS($A$13:A77))),INDEX($I$13:$I$42,SMALL(IF((County=$J$13:$J$42),MATCH(ROW($J$13:$J$42),ROW($J$13:$J$42)),""),ROWS($A$13:A77)))),"")</f>
        <v/>
      </c>
      <c r="Q77" s="348" t="str">
        <f t="array" ref="Q77">IFERROR(IF($Q$11="Yes",INDEX($L$13:$L$2313,SMALL(IF((County=$M$13:$M$2313),MATCH(ROW($M$13:$M$2313),ROW($M$13:$M$2313)),""),ROWS($A$13:A77))),""),"")</f>
        <v/>
      </c>
      <c r="S77" s="346">
        <v>32827</v>
      </c>
      <c r="T77" s="345" t="s">
        <v>359</v>
      </c>
      <c r="V77" s="345">
        <v>6.02</v>
      </c>
      <c r="W77" s="345" t="s">
        <v>352</v>
      </c>
      <c r="AB77" s="347">
        <v>4.05</v>
      </c>
      <c r="AC77" s="347" t="s">
        <v>349</v>
      </c>
      <c r="AD77" s="1138"/>
      <c r="AE77" s="346">
        <v>32212</v>
      </c>
      <c r="AF77" s="345" t="s">
        <v>323</v>
      </c>
      <c r="AI77" s="934"/>
      <c r="AJ77" s="345">
        <v>503.11</v>
      </c>
      <c r="AK77" s="345" t="s">
        <v>310</v>
      </c>
      <c r="AP77" s="347">
        <v>611</v>
      </c>
      <c r="AQ77" s="347" t="s">
        <v>309</v>
      </c>
      <c r="AS77" s="348" t="str">
        <f t="array" ref="AS77">IFERROR(IF($AS$11="Metro",INDEX($AJ$13:$AJ$814,SMALL(IF((County=$AK$13:$AK$814),MATCH(ROW($AK$13:$AK$814),ROW($AK$13:$AK$814)),""),ROWS($A$13:$A77))),INDEX($AM$13:$AM$48,SMALL(IF((County=$AN$13:$AN$48),MATCH(ROW($AN$13:$AN$48),ROW($AN$13:$AN$48)),""),ROWS($A$13:$A77)))),"")</f>
        <v/>
      </c>
      <c r="AU77" s="348" t="str">
        <f t="array" ref="AU77">IFERROR(IF($AU$11="Yes",INDEX($AP$13:$AP$2950,SMALL(IF((County=$AQ$13:$AQ$2950),MATCH(ROW($AQ$13:$AQ$2950),ROW($AQ$13:$AQ$2950)),""),ROWS($A$13:$A77))),""),"")</f>
        <v/>
      </c>
      <c r="AW77" s="346">
        <v>32820</v>
      </c>
      <c r="AX77" s="345" t="s">
        <v>359</v>
      </c>
      <c r="AZ77" s="345">
        <v>4.18</v>
      </c>
      <c r="BA77" s="345" t="s">
        <v>352</v>
      </c>
      <c r="BF77" s="347">
        <v>2.25</v>
      </c>
      <c r="BG77" s="347" t="s">
        <v>352</v>
      </c>
      <c r="BH77" s="1790"/>
      <c r="BI77" s="2299">
        <v>34102</v>
      </c>
      <c r="BJ77" s="345" t="s">
        <v>318</v>
      </c>
      <c r="BM77" s="1784"/>
      <c r="BN77" s="345">
        <v>2.04</v>
      </c>
      <c r="BO77" s="345" t="s">
        <v>306</v>
      </c>
      <c r="BQ77" s="237">
        <v>9702.01</v>
      </c>
      <c r="BR77" s="237" t="s">
        <v>333</v>
      </c>
      <c r="BT77" s="347">
        <v>3.01</v>
      </c>
      <c r="BU77" s="347" t="s">
        <v>308</v>
      </c>
      <c r="BW77" s="348" t="str">
        <f t="array" ref="BW77">IFERROR(IF($BW$11="Metro",INDEX($BN$13:$BN$4972,SMALL(IF((County=$BO$13:$BO$4972),MATCH(ROW($BO$13:$BO$4972),ROW($BO$13:$BO$4972)),""),ROWS($A$13:$A77))),INDEX($BQ$13:$BQ$212,SMALL(IF((County=$BR$13:$BR$212),MATCH(ROW($BR$13:$BR$212),ROW($BR$13:$BR$212)),""),ROWS($A$13:$A77)))),"")</f>
        <v/>
      </c>
      <c r="BY77" s="348" t="str">
        <f t="array" ref="BY77">IFERROR(IF($BY$11="Yes",INDEX($BT$13:$BT$2950,SMALL(IF((County=$BU$13:$BU$2950),MATCH(ROW($BU$13:$BU$2950),ROW($BU$13:$BU$2950)),""),ROWS($A$13:$A77))),""),"")</f>
        <v/>
      </c>
      <c r="CA77" s="2298">
        <v>32819</v>
      </c>
      <c r="CB77" s="345" t="s">
        <v>359</v>
      </c>
      <c r="CD77" s="237">
        <v>2.04</v>
      </c>
      <c r="CE77" s="237" t="s">
        <v>352</v>
      </c>
      <c r="CG77" s="237">
        <v>9101.02</v>
      </c>
      <c r="CH77" s="237" t="s">
        <v>358</v>
      </c>
      <c r="CJ77" s="347">
        <v>3</v>
      </c>
      <c r="CK77" s="347" t="s">
        <v>330</v>
      </c>
      <c r="CL77" s="1789"/>
      <c r="CM77" s="2299"/>
      <c r="CN77" s="345"/>
      <c r="CR77" s="345"/>
      <c r="CS77" s="345"/>
      <c r="CU77" s="345"/>
      <c r="CV77" s="345"/>
      <c r="CX77" s="347"/>
      <c r="CY77" s="347"/>
      <c r="DA77" s="348"/>
      <c r="DC77" s="348"/>
      <c r="DE77" s="1792"/>
      <c r="DF77" s="345"/>
      <c r="DH77" s="237"/>
      <c r="DI77" s="237"/>
      <c r="DK77" s="345"/>
      <c r="DL77" s="345"/>
      <c r="DN77" s="347"/>
      <c r="DO77" s="347"/>
      <c r="DP77" s="2505"/>
      <c r="DT77" s="591" t="s">
        <v>2137</v>
      </c>
      <c r="DU77" s="591" t="s">
        <v>2138</v>
      </c>
      <c r="DV77" s="591" t="s">
        <v>2139</v>
      </c>
      <c r="DW77" s="600">
        <v>28.971865000000001</v>
      </c>
      <c r="DX77" s="599">
        <v>-81.301589000000007</v>
      </c>
      <c r="DY77" s="595" t="s">
        <v>686</v>
      </c>
      <c r="DZ77" s="594" t="s">
        <v>685</v>
      </c>
      <c r="EA77" s="592" t="str">
        <f t="shared" si="12"/>
        <v xml:space="preserve">Volusia  - Minnesota Ave Apartments </v>
      </c>
      <c r="EB77" s="592" t="str">
        <f t="shared" si="13"/>
        <v>Family</v>
      </c>
      <c r="EC77" s="592" t="str">
        <f t="shared" si="14"/>
        <v>(28.971865, -81.301589)</v>
      </c>
      <c r="ED77" s="594" t="str">
        <f t="shared" si="15"/>
        <v>&gt;30</v>
      </c>
    </row>
    <row r="78" spans="1:134" ht="14.45" customHeight="1">
      <c r="A78" s="346">
        <v>32228</v>
      </c>
      <c r="B78" s="345" t="s">
        <v>323</v>
      </c>
      <c r="E78" s="934"/>
      <c r="F78" s="345">
        <v>603.03</v>
      </c>
      <c r="G78" s="345" t="s">
        <v>310</v>
      </c>
      <c r="L78" s="347">
        <v>631.04999999999995</v>
      </c>
      <c r="M78" s="347" t="s">
        <v>309</v>
      </c>
      <c r="O78" s="348" t="str">
        <f t="array" ref="O78">IFERROR(IF($O$11="Metro",INDEX($F$13:$F$738,SMALL(IF((County=$G$13:$G$738),MATCH(ROW($G$13:$G$738),ROW($G$13:$G$738)),""),ROWS($A$13:A78))),INDEX($I$13:$I$42,SMALL(IF((County=$J$13:$J$42),MATCH(ROW($J$13:$J$42),ROW($J$13:$J$42)),""),ROWS($A$13:A78)))),"")</f>
        <v/>
      </c>
      <c r="Q78" s="348" t="str">
        <f t="array" ref="Q78">IFERROR(IF($Q$11="Yes",INDEX($L$13:$L$2313,SMALL(IF((County=$M$13:$M$2313),MATCH(ROW($M$13:$M$2313),ROW($M$13:$M$2313)),""),ROWS($A$13:A78))),""),"")</f>
        <v/>
      </c>
      <c r="S78" s="346">
        <v>32828</v>
      </c>
      <c r="T78" s="345" t="s">
        <v>359</v>
      </c>
      <c r="V78" s="345">
        <v>6.03</v>
      </c>
      <c r="W78" s="345" t="s">
        <v>352</v>
      </c>
      <c r="AB78" s="347">
        <v>4.05</v>
      </c>
      <c r="AC78" s="347" t="s">
        <v>361</v>
      </c>
      <c r="AD78" s="1138"/>
      <c r="AE78" s="346">
        <v>32224</v>
      </c>
      <c r="AF78" s="345" t="s">
        <v>323</v>
      </c>
      <c r="AI78" s="934"/>
      <c r="AJ78" s="345">
        <v>503.12</v>
      </c>
      <c r="AK78" s="345" t="s">
        <v>310</v>
      </c>
      <c r="AP78" s="347">
        <v>612.01</v>
      </c>
      <c r="AQ78" s="347" t="s">
        <v>309</v>
      </c>
      <c r="AS78" s="348" t="str">
        <f t="array" ref="AS78">IFERROR(IF($AS$11="Metro",INDEX($AJ$13:$AJ$814,SMALL(IF((County=$AK$13:$AK$814),MATCH(ROW($AK$13:$AK$814),ROW($AK$13:$AK$814)),""),ROWS($A$13:$A78))),INDEX($AM$13:$AM$48,SMALL(IF((County=$AN$13:$AN$48),MATCH(ROW($AN$13:$AN$48),ROW($AN$13:$AN$48)),""),ROWS($A$13:$A78)))),"")</f>
        <v/>
      </c>
      <c r="AU78" s="348" t="str">
        <f t="array" ref="AU78">IFERROR(IF($AU$11="Yes",INDEX($AP$13:$AP$2950,SMALL(IF((County=$AQ$13:$AQ$2950),MATCH(ROW($AQ$13:$AQ$2950),ROW($AQ$13:$AQ$2950)),""),ROWS($A$13:$A78))),""),"")</f>
        <v/>
      </c>
      <c r="AW78" s="346">
        <v>32821</v>
      </c>
      <c r="AX78" s="345" t="s">
        <v>359</v>
      </c>
      <c r="AZ78" s="345">
        <v>5.01</v>
      </c>
      <c r="BA78" s="345" t="s">
        <v>345</v>
      </c>
      <c r="BF78" s="347">
        <v>2.2599999999999998</v>
      </c>
      <c r="BG78" s="347" t="s">
        <v>352</v>
      </c>
      <c r="BH78" s="1790"/>
      <c r="BI78" s="2299">
        <v>34103</v>
      </c>
      <c r="BJ78" s="345" t="s">
        <v>318</v>
      </c>
      <c r="BM78" s="1784"/>
      <c r="BN78" s="345">
        <v>3.01</v>
      </c>
      <c r="BO78" s="345" t="s">
        <v>306</v>
      </c>
      <c r="BQ78" s="237">
        <v>9702.02</v>
      </c>
      <c r="BR78" s="237" t="s">
        <v>333</v>
      </c>
      <c r="BT78" s="347">
        <v>3.02</v>
      </c>
      <c r="BU78" s="347" t="s">
        <v>308</v>
      </c>
      <c r="BW78" s="348" t="str">
        <f t="array" ref="BW78">IFERROR(IF($BW$11="Metro",INDEX($BN$13:$BN$4972,SMALL(IF((County=$BO$13:$BO$4972),MATCH(ROW($BO$13:$BO$4972),ROW($BO$13:$BO$4972)),""),ROWS($A$13:$A78))),INDEX($BQ$13:$BQ$212,SMALL(IF((County=$BR$13:$BR$212),MATCH(ROW($BR$13:$BR$212),ROW($BR$13:$BR$212)),""),ROWS($A$13:$A78)))),"")</f>
        <v/>
      </c>
      <c r="BY78" s="348" t="str">
        <f t="array" ref="BY78">IFERROR(IF($BY$11="Yes",INDEX($BT$13:$BT$2950,SMALL(IF((County=$BU$13:$BU$2950),MATCH(ROW($BU$13:$BU$2950),ROW($BU$13:$BU$2950)),""),ROWS($A$13:$A78))),""),"")</f>
        <v/>
      </c>
      <c r="CA78" s="2298">
        <v>32820</v>
      </c>
      <c r="CB78" s="345" t="s">
        <v>359</v>
      </c>
      <c r="CD78" s="237">
        <v>2.04</v>
      </c>
      <c r="CE78" s="237" t="s">
        <v>361</v>
      </c>
      <c r="CG78" s="237">
        <v>9102.01</v>
      </c>
      <c r="CH78" s="237" t="s">
        <v>358</v>
      </c>
      <c r="CJ78" s="347">
        <v>3</v>
      </c>
      <c r="CK78" s="347" t="s">
        <v>351</v>
      </c>
      <c r="CL78" s="1789"/>
      <c r="CM78" s="2299"/>
      <c r="CN78" s="345"/>
      <c r="CR78" s="345"/>
      <c r="CS78" s="345"/>
      <c r="CU78" s="345"/>
      <c r="CV78" s="345"/>
      <c r="CX78" s="347"/>
      <c r="CY78" s="347"/>
      <c r="DA78" s="348"/>
      <c r="DC78" s="348"/>
      <c r="DE78" s="1792"/>
      <c r="DF78" s="345"/>
      <c r="DH78" s="237"/>
      <c r="DI78" s="237"/>
      <c r="DK78" s="345"/>
      <c r="DL78" s="345"/>
      <c r="DN78" s="347"/>
      <c r="DO78" s="347"/>
      <c r="DP78" s="2505"/>
      <c r="DT78" s="591" t="s">
        <v>378</v>
      </c>
      <c r="DU78" s="591" t="s">
        <v>2648</v>
      </c>
      <c r="DV78" s="591" t="s">
        <v>2649</v>
      </c>
      <c r="DW78" s="1463">
        <v>30.7303</v>
      </c>
      <c r="DX78" s="1463">
        <v>-86.123400000000004</v>
      </c>
      <c r="DY78" s="593" t="s">
        <v>686</v>
      </c>
      <c r="DZ78" s="1464" t="s">
        <v>685</v>
      </c>
      <c r="EA78" s="1463" t="str">
        <f t="shared" si="12"/>
        <v>Walton - Arbours at Emerald Springs</v>
      </c>
      <c r="EB78" s="1463" t="str">
        <f t="shared" si="13"/>
        <v>Family</v>
      </c>
      <c r="EC78" s="1463" t="str">
        <f t="shared" si="14"/>
        <v>(30.7303, -86.1234)</v>
      </c>
      <c r="ED78" s="1464" t="str">
        <f t="shared" si="15"/>
        <v>&gt;30</v>
      </c>
    </row>
    <row r="79" spans="1:134" ht="14.45" customHeight="1">
      <c r="A79" s="346">
        <v>32256</v>
      </c>
      <c r="B79" s="345" t="s">
        <v>323</v>
      </c>
      <c r="E79" s="934"/>
      <c r="F79" s="345">
        <v>603.04</v>
      </c>
      <c r="G79" s="345" t="s">
        <v>310</v>
      </c>
      <c r="L79" s="347">
        <v>631.05999999999995</v>
      </c>
      <c r="M79" s="347" t="s">
        <v>309</v>
      </c>
      <c r="O79" s="348" t="str">
        <f t="array" ref="O79">IFERROR(IF($O$11="Metro",INDEX($F$13:$F$738,SMALL(IF((County=$G$13:$G$738),MATCH(ROW($G$13:$G$738),ROW($G$13:$G$738)),""),ROWS($A$13:A79))),INDEX($I$13:$I$42,SMALL(IF((County=$J$13:$J$42),MATCH(ROW($J$13:$J$42),ROW($J$13:$J$42)),""),ROWS($A$13:A79)))),"")</f>
        <v/>
      </c>
      <c r="Q79" s="348" t="str">
        <f t="array" ref="Q79">IFERROR(IF($Q$11="Yes",INDEX($L$13:$L$2313,SMALL(IF((County=$M$13:$M$2313),MATCH(ROW($M$13:$M$2313),ROW($M$13:$M$2313)),""),ROWS($A$13:A79))),""),"")</f>
        <v/>
      </c>
      <c r="S79" s="346">
        <v>32829</v>
      </c>
      <c r="T79" s="345" t="s">
        <v>359</v>
      </c>
      <c r="V79" s="345">
        <v>6.04</v>
      </c>
      <c r="W79" s="345" t="s">
        <v>349</v>
      </c>
      <c r="AB79" s="347">
        <v>4.05</v>
      </c>
      <c r="AC79" s="347" t="s">
        <v>368</v>
      </c>
      <c r="AD79" s="1138"/>
      <c r="AE79" s="346">
        <v>32225</v>
      </c>
      <c r="AF79" s="345" t="s">
        <v>323</v>
      </c>
      <c r="AI79" s="934"/>
      <c r="AJ79" s="345">
        <v>503.13</v>
      </c>
      <c r="AK79" s="345" t="s">
        <v>310</v>
      </c>
      <c r="AP79" s="347">
        <v>612.02</v>
      </c>
      <c r="AQ79" s="347" t="s">
        <v>309</v>
      </c>
      <c r="AS79" s="348" t="str">
        <f t="array" ref="AS79">IFERROR(IF($AS$11="Metro",INDEX($AJ$13:$AJ$814,SMALL(IF((County=$AK$13:$AK$814),MATCH(ROW($AK$13:$AK$814),ROW($AK$13:$AK$814)),""),ROWS($A$13:$A79))),INDEX($AM$13:$AM$48,SMALL(IF((County=$AN$13:$AN$48),MATCH(ROW($AN$13:$AN$48),ROW($AN$13:$AN$48)),""),ROWS($A$13:$A79)))),"")</f>
        <v/>
      </c>
      <c r="AU79" s="348" t="str">
        <f t="array" ref="AU79">IFERROR(IF($AU$11="Yes",INDEX($AP$13:$AP$2950,SMALL(IF((County=$AQ$13:$AQ$2950),MATCH(ROW($AQ$13:$AQ$2950),ROW($AQ$13:$AQ$2950)),""),ROWS($A$13:$A79))),""),"")</f>
        <v/>
      </c>
      <c r="AW79" s="346">
        <v>32822</v>
      </c>
      <c r="AX79" s="345" t="s">
        <v>359</v>
      </c>
      <c r="AZ79" s="345">
        <v>5.0199999999999996</v>
      </c>
      <c r="BA79" s="345" t="s">
        <v>344</v>
      </c>
      <c r="BF79" s="347">
        <v>3</v>
      </c>
      <c r="BG79" s="347" t="s">
        <v>330</v>
      </c>
      <c r="BH79" s="1790"/>
      <c r="BI79" s="2299">
        <v>34105</v>
      </c>
      <c r="BJ79" s="345" t="s">
        <v>318</v>
      </c>
      <c r="BM79" s="1784"/>
      <c r="BN79" s="345">
        <v>3.02</v>
      </c>
      <c r="BO79" s="345" t="s">
        <v>306</v>
      </c>
      <c r="BQ79" s="237">
        <v>9703.01</v>
      </c>
      <c r="BR79" s="237" t="s">
        <v>333</v>
      </c>
      <c r="BT79" s="347">
        <v>601.05999999999995</v>
      </c>
      <c r="BU79" s="347" t="s">
        <v>309</v>
      </c>
      <c r="BW79" s="348" t="str">
        <f t="array" ref="BW79">IFERROR(IF($BW$11="Metro",INDEX($BN$13:$BN$4972,SMALL(IF((County=$BO$13:$BO$4972),MATCH(ROW($BO$13:$BO$4972),ROW($BO$13:$BO$4972)),""),ROWS($A$13:$A79))),INDEX($BQ$13:$BQ$212,SMALL(IF((County=$BR$13:$BR$212),MATCH(ROW($BR$13:$BR$212),ROW($BR$13:$BR$212)),""),ROWS($A$13:$A79)))),"")</f>
        <v/>
      </c>
      <c r="BY79" s="348" t="str">
        <f t="array" ref="BY79">IFERROR(IF($BY$11="Yes",INDEX($BT$13:$BT$2950,SMALL(IF((County=$BU$13:$BU$2950),MATCH(ROW($BU$13:$BU$2950),ROW($BU$13:$BU$2950)),""),ROWS($A$13:$A79))),""),"")</f>
        <v/>
      </c>
      <c r="CA79" s="2298">
        <v>32821</v>
      </c>
      <c r="CB79" s="345" t="s">
        <v>359</v>
      </c>
      <c r="CD79" s="237">
        <v>2.06</v>
      </c>
      <c r="CE79" s="237" t="s">
        <v>352</v>
      </c>
      <c r="CG79" s="237">
        <v>9102.02</v>
      </c>
      <c r="CH79" s="237" t="s">
        <v>358</v>
      </c>
      <c r="CJ79" s="347">
        <v>3.01</v>
      </c>
      <c r="CK79" s="347" t="s">
        <v>308</v>
      </c>
      <c r="CL79" s="1789"/>
      <c r="CM79" s="2299"/>
      <c r="CN79" s="345"/>
      <c r="CR79" s="345"/>
      <c r="CS79" s="345"/>
      <c r="CU79" s="345"/>
      <c r="CV79" s="345"/>
      <c r="CX79" s="347"/>
      <c r="CY79" s="347"/>
      <c r="DA79" s="348"/>
      <c r="DC79" s="348"/>
      <c r="DE79" s="1792"/>
      <c r="DF79" s="345"/>
      <c r="DH79" s="237"/>
      <c r="DI79" s="237"/>
      <c r="DK79" s="345"/>
      <c r="DL79" s="345"/>
      <c r="DN79" s="347"/>
      <c r="DO79" s="347"/>
      <c r="DP79" s="2505"/>
    </row>
    <row r="80" spans="1:134" ht="14.45" customHeight="1">
      <c r="A80" s="346">
        <v>32258</v>
      </c>
      <c r="B80" s="345" t="s">
        <v>323</v>
      </c>
      <c r="E80" s="934"/>
      <c r="F80" s="345">
        <v>604.01</v>
      </c>
      <c r="G80" s="345" t="s">
        <v>310</v>
      </c>
      <c r="L80" s="347">
        <v>631.07000000000005</v>
      </c>
      <c r="M80" s="347" t="s">
        <v>309</v>
      </c>
      <c r="O80" s="348" t="str">
        <f t="array" ref="O80">IFERROR(IF($O$11="Metro",INDEX($F$13:$F$738,SMALL(IF((County=$G$13:$G$738),MATCH(ROW($G$13:$G$738),ROW($G$13:$G$738)),""),ROWS($A$13:A80))),INDEX($I$13:$I$42,SMALL(IF((County=$J$13:$J$42),MATCH(ROW($J$13:$J$42),ROW($J$13:$J$42)),""),ROWS($A$13:A80)))),"")</f>
        <v/>
      </c>
      <c r="Q80" s="348" t="str">
        <f t="array" ref="Q80">IFERROR(IF($Q$11="Yes",INDEX($L$13:$L$2313,SMALL(IF((County=$M$13:$M$2313),MATCH(ROW($M$13:$M$2313),ROW($M$13:$M$2313)),""),ROWS($A$13:A80))),""),"")</f>
        <v/>
      </c>
      <c r="S80" s="346">
        <v>32831</v>
      </c>
      <c r="T80" s="345" t="s">
        <v>359</v>
      </c>
      <c r="V80" s="345">
        <v>6.04</v>
      </c>
      <c r="W80" s="345" t="s">
        <v>350</v>
      </c>
      <c r="AB80" s="347">
        <v>4.0599999999999996</v>
      </c>
      <c r="AC80" s="347" t="s">
        <v>361</v>
      </c>
      <c r="AD80" s="1138"/>
      <c r="AE80" s="346">
        <v>32226</v>
      </c>
      <c r="AF80" s="345" t="s">
        <v>323</v>
      </c>
      <c r="AI80" s="934"/>
      <c r="AJ80" s="345">
        <v>503.14</v>
      </c>
      <c r="AK80" s="345" t="s">
        <v>310</v>
      </c>
      <c r="AP80" s="347">
        <v>621.08000000000004</v>
      </c>
      <c r="AQ80" s="347" t="s">
        <v>309</v>
      </c>
      <c r="AS80" s="348" t="str">
        <f t="array" ref="AS80">IFERROR(IF($AS$11="Metro",INDEX($AJ$13:$AJ$814,SMALL(IF((County=$AK$13:$AK$814),MATCH(ROW($AK$13:$AK$814),ROW($AK$13:$AK$814)),""),ROWS($A$13:$A80))),INDEX($AM$13:$AM$48,SMALL(IF((County=$AN$13:$AN$48),MATCH(ROW($AN$13:$AN$48),ROW($AN$13:$AN$48)),""),ROWS($A$13:$A80)))),"")</f>
        <v/>
      </c>
      <c r="AU80" s="348" t="str">
        <f t="array" ref="AU80">IFERROR(IF($AU$11="Yes",INDEX($AP$13:$AP$2950,SMALL(IF((County=$AQ$13:$AQ$2950),MATCH(ROW($AQ$13:$AQ$2950),ROW($AQ$13:$AQ$2950)),""),ROWS($A$13:$A80))),""),"")</f>
        <v/>
      </c>
      <c r="AW80" s="346">
        <v>32824</v>
      </c>
      <c r="AX80" s="345" t="s">
        <v>359</v>
      </c>
      <c r="AZ80" s="345">
        <v>5.0199999999999996</v>
      </c>
      <c r="BA80" s="345" t="s">
        <v>345</v>
      </c>
      <c r="BF80" s="347">
        <v>3</v>
      </c>
      <c r="BG80" s="347" t="s">
        <v>351</v>
      </c>
      <c r="BH80" s="1790"/>
      <c r="BI80" s="2299">
        <v>34108</v>
      </c>
      <c r="BJ80" s="345" t="s">
        <v>318</v>
      </c>
      <c r="BM80" s="1784"/>
      <c r="BN80" s="345">
        <v>4.01</v>
      </c>
      <c r="BO80" s="345" t="s">
        <v>306</v>
      </c>
      <c r="BQ80" s="237">
        <v>9703.02</v>
      </c>
      <c r="BR80" s="237" t="s">
        <v>333</v>
      </c>
      <c r="BT80" s="347">
        <v>602.01</v>
      </c>
      <c r="BU80" s="347" t="s">
        <v>309</v>
      </c>
      <c r="BW80" s="348" t="str">
        <f t="array" ref="BW80">IFERROR(IF($BW$11="Metro",INDEX($BN$13:$BN$4972,SMALL(IF((County=$BO$13:$BO$4972),MATCH(ROW($BO$13:$BO$4972),ROW($BO$13:$BO$4972)),""),ROWS($A$13:$A80))),INDEX($BQ$13:$BQ$212,SMALL(IF((County=$BR$13:$BR$212),MATCH(ROW($BR$13:$BR$212),ROW($BR$13:$BR$212)),""),ROWS($A$13:$A80)))),"")</f>
        <v/>
      </c>
      <c r="BY80" s="348" t="str">
        <f t="array" ref="BY80">IFERROR(IF($BY$11="Yes",INDEX($BT$13:$BT$2950,SMALL(IF((County=$BU$13:$BU$2950),MATCH(ROW($BU$13:$BU$2950),ROW($BU$13:$BU$2950)),""),ROWS($A$13:$A80))),""),"")</f>
        <v/>
      </c>
      <c r="CA80" s="2298">
        <v>32822</v>
      </c>
      <c r="CB80" s="345" t="s">
        <v>359</v>
      </c>
      <c r="CD80" s="237">
        <v>2.08</v>
      </c>
      <c r="CE80" s="237" t="s">
        <v>361</v>
      </c>
      <c r="CG80" s="237">
        <v>9103</v>
      </c>
      <c r="CH80" s="237" t="s">
        <v>358</v>
      </c>
      <c r="CJ80" s="347">
        <v>3.01</v>
      </c>
      <c r="CK80" s="347" t="s">
        <v>318</v>
      </c>
      <c r="CL80" s="1789"/>
      <c r="CM80" s="2299"/>
      <c r="CN80" s="345"/>
      <c r="CR80" s="345"/>
      <c r="CS80" s="345"/>
      <c r="CU80" s="345"/>
      <c r="CV80" s="345"/>
      <c r="CX80" s="347"/>
      <c r="CY80" s="347"/>
      <c r="DA80" s="348"/>
      <c r="DC80" s="348"/>
      <c r="DE80" s="1792"/>
      <c r="DF80" s="345"/>
      <c r="DH80" s="237"/>
      <c r="DI80" s="237"/>
      <c r="DK80" s="345"/>
      <c r="DL80" s="345"/>
      <c r="DN80" s="347"/>
      <c r="DO80" s="347"/>
      <c r="DP80" s="2505"/>
      <c r="DT80" s="2300"/>
      <c r="DU80" s="2300"/>
      <c r="DV80" s="2300"/>
      <c r="DW80" s="2301"/>
      <c r="DX80" s="2301"/>
      <c r="DY80" s="2302"/>
      <c r="DZ80" s="2303"/>
      <c r="EA80" s="2301"/>
      <c r="EB80" s="2301"/>
      <c r="EC80" s="2301"/>
      <c r="ED80" s="2303"/>
    </row>
    <row r="81" spans="1:134" ht="14.45" customHeight="1">
      <c r="A81" s="346">
        <v>32266</v>
      </c>
      <c r="B81" s="345" t="s">
        <v>323</v>
      </c>
      <c r="E81" s="934"/>
      <c r="F81" s="345">
        <v>611</v>
      </c>
      <c r="G81" s="345" t="s">
        <v>310</v>
      </c>
      <c r="L81" s="347">
        <v>641.02</v>
      </c>
      <c r="M81" s="347" t="s">
        <v>309</v>
      </c>
      <c r="O81" s="348" t="str">
        <f t="array" ref="O81">IFERROR(IF($O$11="Metro",INDEX($F$13:$F$738,SMALL(IF((County=$G$13:$G$738),MATCH(ROW($G$13:$G$738),ROW($G$13:$G$738)),""),ROWS($A$13:A81))),INDEX($I$13:$I$42,SMALL(IF((County=$J$13:$J$42),MATCH(ROW($J$13:$J$42),ROW($J$13:$J$42)),""),ROWS($A$13:A81)))),"")</f>
        <v/>
      </c>
      <c r="Q81" s="348" t="str">
        <f t="array" ref="Q81">IFERROR(IF($Q$11="Yes",INDEX($L$13:$L$2313,SMALL(IF((County=$M$13:$M$2313),MATCH(ROW($M$13:$M$2313),ROW($M$13:$M$2313)),""),ROWS($A$13:A81))),""),"")</f>
        <v/>
      </c>
      <c r="S81" s="346">
        <v>32832</v>
      </c>
      <c r="T81" s="345" t="s">
        <v>359</v>
      </c>
      <c r="V81" s="345">
        <v>6.05</v>
      </c>
      <c r="W81" s="345" t="s">
        <v>350</v>
      </c>
      <c r="AB81" s="347">
        <v>4.07</v>
      </c>
      <c r="AC81" s="347" t="s">
        <v>349</v>
      </c>
      <c r="AD81" s="1138"/>
      <c r="AE81" s="346">
        <v>32227</v>
      </c>
      <c r="AF81" s="345" t="s">
        <v>323</v>
      </c>
      <c r="AI81" s="934"/>
      <c r="AJ81" s="345">
        <v>507.02</v>
      </c>
      <c r="AK81" s="345" t="s">
        <v>310</v>
      </c>
      <c r="AP81" s="347">
        <v>621.1</v>
      </c>
      <c r="AQ81" s="347" t="s">
        <v>309</v>
      </c>
      <c r="AS81" s="348" t="str">
        <f t="array" ref="AS81">IFERROR(IF($AS$11="Metro",INDEX($AJ$13:$AJ$814,SMALL(IF((County=$AK$13:$AK$814),MATCH(ROW($AK$13:$AK$814),ROW($AK$13:$AK$814)),""),ROWS($A$13:$A81))),INDEX($AM$13:$AM$48,SMALL(IF((County=$AN$13:$AN$48),MATCH(ROW($AN$13:$AN$48),ROW($AN$13:$AN$48)),""),ROWS($A$13:$A81)))),"")</f>
        <v/>
      </c>
      <c r="AU81" s="348" t="str">
        <f t="array" ref="AU81">IFERROR(IF($AU$11="Yes",INDEX($AP$13:$AP$2950,SMALL(IF((County=$AQ$13:$AQ$2950),MATCH(ROW($AQ$13:$AQ$2950),ROW($AQ$13:$AQ$2950)),""),ROWS($A$13:$A81))),""),"")</f>
        <v/>
      </c>
      <c r="AW81" s="346">
        <v>32827</v>
      </c>
      <c r="AX81" s="345" t="s">
        <v>359</v>
      </c>
      <c r="AZ81" s="345">
        <v>5.03</v>
      </c>
      <c r="BA81" s="345" t="s">
        <v>368</v>
      </c>
      <c r="BF81" s="347">
        <v>3.01</v>
      </c>
      <c r="BG81" s="347" t="s">
        <v>308</v>
      </c>
      <c r="BH81" s="1790"/>
      <c r="BI81" s="2299">
        <v>34109</v>
      </c>
      <c r="BJ81" s="345" t="s">
        <v>318</v>
      </c>
      <c r="BM81" s="1784"/>
      <c r="BN81" s="345">
        <v>4.0199999999999996</v>
      </c>
      <c r="BO81" s="345" t="s">
        <v>306</v>
      </c>
      <c r="BQ81" s="237">
        <v>9704.01</v>
      </c>
      <c r="BR81" s="237" t="s">
        <v>333</v>
      </c>
      <c r="BT81" s="347">
        <v>611</v>
      </c>
      <c r="BU81" s="347" t="s">
        <v>309</v>
      </c>
      <c r="BW81" s="348" t="str">
        <f t="array" ref="BW81">IFERROR(IF($BW$11="Metro",INDEX($BN$13:$BN$4972,SMALL(IF((County=$BO$13:$BO$4972),MATCH(ROW($BO$13:$BO$4972),ROW($BO$13:$BO$4972)),""),ROWS($A$13:$A81))),INDEX($BQ$13:$BQ$212,SMALL(IF((County=$BR$13:$BR$212),MATCH(ROW($BR$13:$BR$212),ROW($BR$13:$BR$212)),""),ROWS($A$13:$A81)))),"")</f>
        <v/>
      </c>
      <c r="BY81" s="348" t="str">
        <f t="array" ref="BY81">IFERROR(IF($BY$11="Yes",INDEX($BT$13:$BT$2950,SMALL(IF((County=$BU$13:$BU$2950),MATCH(ROW($BU$13:$BU$2950),ROW($BU$13:$BU$2950)),""),ROWS($A$13:$A81))),""),"")</f>
        <v/>
      </c>
      <c r="CA81" s="2298">
        <v>32824</v>
      </c>
      <c r="CB81" s="345" t="s">
        <v>359</v>
      </c>
      <c r="CD81" s="237">
        <v>2.1</v>
      </c>
      <c r="CE81" s="237" t="s">
        <v>361</v>
      </c>
      <c r="CG81" s="237">
        <v>9104.01</v>
      </c>
      <c r="CH81" s="237" t="s">
        <v>358</v>
      </c>
      <c r="CJ81" s="347">
        <v>3.01</v>
      </c>
      <c r="CK81" s="347" t="s">
        <v>345</v>
      </c>
      <c r="CL81" s="1789"/>
      <c r="CM81" s="2299"/>
      <c r="CN81" s="345"/>
      <c r="CR81" s="345"/>
      <c r="CS81" s="345"/>
      <c r="CU81" s="345"/>
      <c r="CV81" s="345"/>
      <c r="CX81" s="347"/>
      <c r="CY81" s="347"/>
      <c r="DA81" s="348"/>
      <c r="DC81" s="348"/>
      <c r="DE81" s="1792"/>
      <c r="DF81" s="345"/>
      <c r="DH81" s="237"/>
      <c r="DI81" s="237"/>
      <c r="DK81" s="345"/>
      <c r="DL81" s="345"/>
      <c r="DN81" s="347"/>
      <c r="DO81" s="347"/>
      <c r="DP81" s="2505"/>
      <c r="DT81" s="2300"/>
      <c r="DU81" s="2300"/>
      <c r="DV81" s="2300"/>
      <c r="DW81" s="2301"/>
      <c r="DX81" s="2301"/>
      <c r="DY81" s="2302"/>
      <c r="DZ81" s="2303"/>
      <c r="EA81" s="2301"/>
      <c r="EB81" s="2301"/>
      <c r="EC81" s="2301"/>
      <c r="ED81" s="2303"/>
    </row>
    <row r="82" spans="1:134" ht="14.45" customHeight="1">
      <c r="A82" s="346">
        <v>32508</v>
      </c>
      <c r="B82" s="345" t="s">
        <v>325</v>
      </c>
      <c r="E82" s="934"/>
      <c r="F82" s="345">
        <v>805</v>
      </c>
      <c r="G82" s="345" t="s">
        <v>310</v>
      </c>
      <c r="L82" s="347">
        <v>641.23</v>
      </c>
      <c r="M82" s="347" t="s">
        <v>309</v>
      </c>
      <c r="O82" s="348" t="str">
        <f t="array" ref="O82">IFERROR(IF($O$11="Metro",INDEX($F$13:$F$738,SMALL(IF((County=$G$13:$G$738),MATCH(ROW($G$13:$G$738),ROW($G$13:$G$738)),""),ROWS($A$13:A82))),INDEX($I$13:$I$42,SMALL(IF((County=$J$13:$J$42),MATCH(ROW($J$13:$J$42),ROW($J$13:$J$42)),""),ROWS($A$13:A82)))),"")</f>
        <v/>
      </c>
      <c r="Q82" s="348" t="str">
        <f t="array" ref="Q82">IFERROR(IF($Q$11="Yes",INDEX($L$13:$L$2313,SMALL(IF((County=$M$13:$M$2313),MATCH(ROW($M$13:$M$2313),ROW($M$13:$M$2313)),""),ROWS($A$13:A82))),""),"")</f>
        <v/>
      </c>
      <c r="S82" s="346">
        <v>32833</v>
      </c>
      <c r="T82" s="345" t="s">
        <v>359</v>
      </c>
      <c r="V82" s="345">
        <v>6.05</v>
      </c>
      <c r="W82" s="345" t="s">
        <v>352</v>
      </c>
      <c r="AB82" s="347">
        <v>4.07</v>
      </c>
      <c r="AC82" s="347" t="s">
        <v>361</v>
      </c>
      <c r="AD82" s="1138"/>
      <c r="AE82" s="346">
        <v>32228</v>
      </c>
      <c r="AF82" s="345" t="s">
        <v>323</v>
      </c>
      <c r="AI82" s="934"/>
      <c r="AJ82" s="345">
        <v>508</v>
      </c>
      <c r="AK82" s="345" t="s">
        <v>310</v>
      </c>
      <c r="AP82" s="347">
        <v>628</v>
      </c>
      <c r="AQ82" s="347" t="s">
        <v>309</v>
      </c>
      <c r="AS82" s="348" t="str">
        <f t="array" ref="AS82">IFERROR(IF($AS$11="Metro",INDEX($AJ$13:$AJ$814,SMALL(IF((County=$AK$13:$AK$814),MATCH(ROW($AK$13:$AK$814),ROW($AK$13:$AK$814)),""),ROWS($A$13:$A82))),INDEX($AM$13:$AM$48,SMALL(IF((County=$AN$13:$AN$48),MATCH(ROW($AN$13:$AN$48),ROW($AN$13:$AN$48)),""),ROWS($A$13:$A82)))),"")</f>
        <v/>
      </c>
      <c r="AU82" s="348" t="str">
        <f t="array" ref="AU82">IFERROR(IF($AU$11="Yes",INDEX($AP$13:$AP$2950,SMALL(IF((County=$AQ$13:$AQ$2950),MATCH(ROW($AQ$13:$AQ$2950),ROW($AQ$13:$AQ$2950)),""),ROWS($A$13:$A82))),""),"")</f>
        <v/>
      </c>
      <c r="AW82" s="346">
        <v>32828</v>
      </c>
      <c r="AX82" s="345" t="s">
        <v>359</v>
      </c>
      <c r="AZ82" s="345">
        <v>5.04</v>
      </c>
      <c r="BA82" s="345" t="s">
        <v>344</v>
      </c>
      <c r="BF82" s="347">
        <v>3.01</v>
      </c>
      <c r="BG82" s="347" t="s">
        <v>318</v>
      </c>
      <c r="BH82" s="1790"/>
      <c r="BI82" s="2299">
        <v>34110</v>
      </c>
      <c r="BJ82" s="345" t="s">
        <v>318</v>
      </c>
      <c r="BM82" s="1784"/>
      <c r="BN82" s="345">
        <v>5</v>
      </c>
      <c r="BO82" s="345" t="s">
        <v>306</v>
      </c>
      <c r="BQ82" s="237">
        <v>9704.02</v>
      </c>
      <c r="BR82" s="237" t="s">
        <v>333</v>
      </c>
      <c r="BT82" s="347">
        <v>612.01</v>
      </c>
      <c r="BU82" s="347" t="s">
        <v>309</v>
      </c>
      <c r="BW82" s="348" t="str">
        <f t="array" ref="BW82">IFERROR(IF($BW$11="Metro",INDEX($BN$13:$BN$4972,SMALL(IF((County=$BO$13:$BO$4972),MATCH(ROW($BO$13:$BO$4972),ROW($BO$13:$BO$4972)),""),ROWS($A$13:$A82))),INDEX($BQ$13:$BQ$212,SMALL(IF((County=$BR$13:$BR$212),MATCH(ROW($BR$13:$BR$212),ROW($BR$13:$BR$212)),""),ROWS($A$13:$A82)))),"")</f>
        <v/>
      </c>
      <c r="BY82" s="348" t="str">
        <f t="array" ref="BY82">IFERROR(IF($BY$11="Yes",INDEX($BT$13:$BT$2950,SMALL(IF((County=$BU$13:$BU$2950),MATCH(ROW($BU$13:$BU$2950),ROW($BU$13:$BU$2950)),""),ROWS($A$13:$A82))),""),"")</f>
        <v/>
      </c>
      <c r="CA82" s="2298">
        <v>32825</v>
      </c>
      <c r="CB82" s="345" t="s">
        <v>359</v>
      </c>
      <c r="CD82" s="237">
        <v>2.11</v>
      </c>
      <c r="CE82" s="237" t="s">
        <v>352</v>
      </c>
      <c r="CG82" s="237">
        <v>9104.02</v>
      </c>
      <c r="CH82" s="237" t="s">
        <v>358</v>
      </c>
      <c r="CJ82" s="347">
        <v>3.01</v>
      </c>
      <c r="CK82" s="347" t="s">
        <v>361</v>
      </c>
      <c r="CL82" s="1789"/>
      <c r="CM82" s="2299"/>
      <c r="CN82" s="345"/>
      <c r="CR82" s="345"/>
      <c r="CS82" s="345"/>
      <c r="CU82" s="345"/>
      <c r="CV82" s="345"/>
      <c r="CX82" s="347"/>
      <c r="CY82" s="347"/>
      <c r="DA82" s="348"/>
      <c r="DC82" s="348"/>
      <c r="DE82" s="1792"/>
      <c r="DF82" s="345"/>
      <c r="DH82" s="237"/>
      <c r="DI82" s="237"/>
      <c r="DK82" s="345"/>
      <c r="DL82" s="345"/>
      <c r="DN82" s="347"/>
      <c r="DO82" s="347"/>
      <c r="DP82" s="2505"/>
      <c r="DT82" s="2300"/>
      <c r="DU82" s="2300"/>
      <c r="DV82" s="2300"/>
      <c r="DW82" s="2301"/>
      <c r="DX82" s="2301"/>
      <c r="DY82" s="2302"/>
      <c r="DZ82" s="2303"/>
      <c r="EA82" s="2301"/>
      <c r="EB82" s="2301"/>
      <c r="EC82" s="2301"/>
      <c r="ED82" s="2303"/>
    </row>
    <row r="83" spans="1:134" ht="14.45" customHeight="1">
      <c r="A83" s="346">
        <v>32456</v>
      </c>
      <c r="B83" s="345" t="s">
        <v>331</v>
      </c>
      <c r="E83" s="934"/>
      <c r="F83" s="345">
        <v>903.01</v>
      </c>
      <c r="G83" s="345" t="s">
        <v>310</v>
      </c>
      <c r="L83" s="347">
        <v>641.25</v>
      </c>
      <c r="M83" s="347" t="s">
        <v>309</v>
      </c>
      <c r="O83" s="348" t="str">
        <f t="array" ref="O83">IFERROR(IF($O$11="Metro",INDEX($F$13:$F$738,SMALL(IF((County=$G$13:$G$738),MATCH(ROW($G$13:$G$738),ROW($G$13:$G$738)),""),ROWS($A$13:A83))),INDEX($I$13:$I$42,SMALL(IF((County=$J$13:$J$42),MATCH(ROW($J$13:$J$42),ROW($J$13:$J$42)),""),ROWS($A$13:A83)))),"")</f>
        <v/>
      </c>
      <c r="Q83" s="348" t="str">
        <f t="array" ref="Q83">IFERROR(IF($Q$11="Yes",INDEX($L$13:$L$2313,SMALL(IF((County=$M$13:$M$2313),MATCH(ROW($M$13:$M$2313),ROW($M$13:$M$2313)),""),ROWS($A$13:A83))),""),"")</f>
        <v/>
      </c>
      <c r="S83" s="346">
        <v>32835</v>
      </c>
      <c r="T83" s="345" t="s">
        <v>359</v>
      </c>
      <c r="V83" s="345">
        <v>6.08</v>
      </c>
      <c r="W83" s="345" t="s">
        <v>352</v>
      </c>
      <c r="AB83" s="347">
        <v>4.08</v>
      </c>
      <c r="AC83" s="347" t="s">
        <v>361</v>
      </c>
      <c r="AD83" s="1138"/>
      <c r="AE83" s="346">
        <v>32250</v>
      </c>
      <c r="AF83" s="345" t="s">
        <v>323</v>
      </c>
      <c r="AI83" s="934"/>
      <c r="AJ83" s="345">
        <v>602.03</v>
      </c>
      <c r="AK83" s="345" t="s">
        <v>310</v>
      </c>
      <c r="AP83" s="347">
        <v>630</v>
      </c>
      <c r="AQ83" s="347" t="s">
        <v>309</v>
      </c>
      <c r="AS83" s="348" t="str">
        <f t="array" ref="AS83">IFERROR(IF($AS$11="Metro",INDEX($AJ$13:$AJ$814,SMALL(IF((County=$AK$13:$AK$814),MATCH(ROW($AK$13:$AK$814),ROW($AK$13:$AK$814)),""),ROWS($A$13:$A83))),INDEX($AM$13:$AM$48,SMALL(IF((County=$AN$13:$AN$48),MATCH(ROW($AN$13:$AN$48),ROW($AN$13:$AN$48)),""),ROWS($A$13:$A83)))),"")</f>
        <v/>
      </c>
      <c r="AU83" s="348" t="str">
        <f t="array" ref="AU83">IFERROR(IF($AU$11="Yes",INDEX($AP$13:$AP$2950,SMALL(IF((County=$AQ$13:$AQ$2950),MATCH(ROW($AQ$13:$AQ$2950),ROW($AQ$13:$AQ$2950)),""),ROWS($A$13:$A83))),""),"")</f>
        <v/>
      </c>
      <c r="AW83" s="346">
        <v>32829</v>
      </c>
      <c r="AX83" s="345" t="s">
        <v>359</v>
      </c>
      <c r="AZ83" s="345">
        <v>5.04</v>
      </c>
      <c r="BA83" s="345" t="s">
        <v>352</v>
      </c>
      <c r="BF83" s="347">
        <v>3.01</v>
      </c>
      <c r="BG83" s="347" t="s">
        <v>345</v>
      </c>
      <c r="BH83" s="1790"/>
      <c r="BI83" s="2299">
        <v>34113</v>
      </c>
      <c r="BJ83" s="345" t="s">
        <v>318</v>
      </c>
      <c r="BM83" s="1784"/>
      <c r="BN83" s="345">
        <v>6</v>
      </c>
      <c r="BO83" s="345" t="s">
        <v>306</v>
      </c>
      <c r="BQ83" s="237">
        <v>1.01</v>
      </c>
      <c r="BR83" s="237" t="s">
        <v>334</v>
      </c>
      <c r="BT83" s="347">
        <v>612.02</v>
      </c>
      <c r="BU83" s="347" t="s">
        <v>309</v>
      </c>
      <c r="BW83" s="348" t="str">
        <f t="array" ref="BW83">IFERROR(IF($BW$11="Metro",INDEX($BN$13:$BN$4972,SMALL(IF((County=$BO$13:$BO$4972),MATCH(ROW($BO$13:$BO$4972),ROW($BO$13:$BO$4972)),""),ROWS($A$13:$A83))),INDEX($BQ$13:$BQ$212,SMALL(IF((County=$BR$13:$BR$212),MATCH(ROW($BR$13:$BR$212),ROW($BR$13:$BR$212)),""),ROWS($A$13:$A83)))),"")</f>
        <v/>
      </c>
      <c r="BY83" s="348" t="str">
        <f t="array" ref="BY83">IFERROR(IF($BY$11="Yes",INDEX($BT$13:$BT$2950,SMALL(IF((County=$BU$13:$BU$2950),MATCH(ROW($BU$13:$BU$2950),ROW($BU$13:$BU$2950)),""),ROWS($A$13:$A83))),""),"")</f>
        <v/>
      </c>
      <c r="CA83" s="2298">
        <v>32827</v>
      </c>
      <c r="CB83" s="345" t="s">
        <v>359</v>
      </c>
      <c r="CD83" s="237">
        <v>2.11</v>
      </c>
      <c r="CE83" s="237" t="s">
        <v>361</v>
      </c>
      <c r="CG83" s="237">
        <v>9104.0300000000007</v>
      </c>
      <c r="CH83" s="237" t="s">
        <v>358</v>
      </c>
      <c r="CJ83" s="347">
        <v>3.02</v>
      </c>
      <c r="CK83" s="347" t="s">
        <v>306</v>
      </c>
      <c r="CL83" s="1789"/>
      <c r="CM83" s="2299"/>
      <c r="CN83" s="345"/>
      <c r="CR83" s="345"/>
      <c r="CS83" s="345"/>
      <c r="CU83" s="345"/>
      <c r="CV83" s="345"/>
      <c r="CX83" s="347"/>
      <c r="CY83" s="347"/>
      <c r="DA83" s="348"/>
      <c r="DC83" s="348"/>
      <c r="DE83" s="1792"/>
      <c r="DF83" s="345"/>
      <c r="DH83" s="237"/>
      <c r="DI83" s="237"/>
      <c r="DK83" s="345"/>
      <c r="DL83" s="345"/>
      <c r="DN83" s="347"/>
      <c r="DO83" s="347"/>
      <c r="DP83" s="2505"/>
      <c r="DT83" s="2300"/>
      <c r="DU83" s="2300"/>
      <c r="DV83" s="2300"/>
      <c r="DW83" s="2301"/>
      <c r="DX83" s="2301"/>
      <c r="DY83" s="2302"/>
      <c r="DZ83" s="2303"/>
      <c r="EA83" s="2301"/>
      <c r="EB83" s="2301"/>
      <c r="EC83" s="2301"/>
      <c r="ED83" s="2303"/>
    </row>
    <row r="84" spans="1:134" ht="14.45" customHeight="1">
      <c r="A84" s="346">
        <v>34609</v>
      </c>
      <c r="B84" s="345" t="s">
        <v>335</v>
      </c>
      <c r="E84" s="934"/>
      <c r="F84" s="345">
        <v>904.03</v>
      </c>
      <c r="G84" s="345" t="s">
        <v>310</v>
      </c>
      <c r="L84" s="347">
        <v>641.26</v>
      </c>
      <c r="M84" s="347" t="s">
        <v>309</v>
      </c>
      <c r="O84" s="348" t="str">
        <f t="array" ref="O84">IFERROR(IF($O$11="Metro",INDEX($F$13:$F$738,SMALL(IF((County=$G$13:$G$738),MATCH(ROW($G$13:$G$738),ROW($G$13:$G$738)),""),ROWS($A$13:A84))),INDEX($I$13:$I$42,SMALL(IF((County=$J$13:$J$42),MATCH(ROW($J$13:$J$42),ROW($J$13:$J$42)),""),ROWS($A$13:A84)))),"")</f>
        <v/>
      </c>
      <c r="Q84" s="348" t="str">
        <f t="array" ref="Q84">IFERROR(IF($Q$11="Yes",INDEX($L$13:$L$2313,SMALL(IF((County=$M$13:$M$2313),MATCH(ROW($M$13:$M$2313),ROW($M$13:$M$2313)),""),ROWS($A$13:A84))),""),"")</f>
        <v/>
      </c>
      <c r="S84" s="346">
        <v>32836</v>
      </c>
      <c r="T84" s="345" t="s">
        <v>359</v>
      </c>
      <c r="V84" s="345">
        <v>7</v>
      </c>
      <c r="W84" s="345" t="s">
        <v>318</v>
      </c>
      <c r="AB84" s="347">
        <v>4.09</v>
      </c>
      <c r="AC84" s="347" t="s">
        <v>352</v>
      </c>
      <c r="AD84" s="1138"/>
      <c r="AE84" s="346">
        <v>32256</v>
      </c>
      <c r="AF84" s="345" t="s">
        <v>323</v>
      </c>
      <c r="AI84" s="934"/>
      <c r="AJ84" s="345">
        <v>603.02</v>
      </c>
      <c r="AK84" s="345" t="s">
        <v>310</v>
      </c>
      <c r="AP84" s="347">
        <v>631.02</v>
      </c>
      <c r="AQ84" s="347" t="s">
        <v>309</v>
      </c>
      <c r="AS84" s="348" t="str">
        <f t="array" ref="AS84">IFERROR(IF($AS$11="Metro",INDEX($AJ$13:$AJ$814,SMALL(IF((County=$AK$13:$AK$814),MATCH(ROW($AK$13:$AK$814),ROW($AK$13:$AK$814)),""),ROWS($A$13:$A84))),INDEX($AM$13:$AM$48,SMALL(IF((County=$AN$13:$AN$48),MATCH(ROW($AN$13:$AN$48),ROW($AN$13:$AN$48)),""),ROWS($A$13:$A84)))),"")</f>
        <v/>
      </c>
      <c r="AU84" s="348" t="str">
        <f t="array" ref="AU84">IFERROR(IF($AU$11="Yes",INDEX($AP$13:$AP$2950,SMALL(IF((County=$AQ$13:$AQ$2950),MATCH(ROW($AQ$13:$AQ$2950),ROW($AQ$13:$AQ$2950)),""),ROWS($A$13:$A84))),""),"")</f>
        <v/>
      </c>
      <c r="AW84" s="346">
        <v>32831</v>
      </c>
      <c r="AX84" s="345" t="s">
        <v>359</v>
      </c>
      <c r="AZ84" s="345">
        <v>5.05</v>
      </c>
      <c r="BA84" s="345" t="s">
        <v>352</v>
      </c>
      <c r="BF84" s="347">
        <v>3.01</v>
      </c>
      <c r="BG84" s="347" t="s">
        <v>361</v>
      </c>
      <c r="BH84" s="1790"/>
      <c r="BI84" s="2299">
        <v>34117</v>
      </c>
      <c r="BJ84" s="345" t="s">
        <v>318</v>
      </c>
      <c r="BM84" s="1784"/>
      <c r="BN84" s="345">
        <v>7</v>
      </c>
      <c r="BO84" s="345" t="s">
        <v>306</v>
      </c>
      <c r="BQ84" s="237">
        <v>1.02</v>
      </c>
      <c r="BR84" s="237" t="s">
        <v>334</v>
      </c>
      <c r="BT84" s="347">
        <v>621.08000000000004</v>
      </c>
      <c r="BU84" s="347" t="s">
        <v>309</v>
      </c>
      <c r="BW84" s="348" t="str">
        <f t="array" ref="BW84">IFERROR(IF($BW$11="Metro",INDEX($BN$13:$BN$4972,SMALL(IF((County=$BO$13:$BO$4972),MATCH(ROW($BO$13:$BO$4972),ROW($BO$13:$BO$4972)),""),ROWS($A$13:$A84))),INDEX($BQ$13:$BQ$212,SMALL(IF((County=$BR$13:$BR$212),MATCH(ROW($BR$13:$BR$212),ROW($BR$13:$BR$212)),""),ROWS($A$13:$A84)))),"")</f>
        <v/>
      </c>
      <c r="BY84" s="348" t="str">
        <f t="array" ref="BY84">IFERROR(IF($BY$11="Yes",INDEX($BT$13:$BT$2950,SMALL(IF((County=$BU$13:$BU$2950),MATCH(ROW($BU$13:$BU$2950),ROW($BU$13:$BU$2950)),""),ROWS($A$13:$A84))),""),"")</f>
        <v/>
      </c>
      <c r="CA84" s="2298">
        <v>32828</v>
      </c>
      <c r="CB84" s="345" t="s">
        <v>359</v>
      </c>
      <c r="CD84" s="237">
        <v>2.12</v>
      </c>
      <c r="CE84" s="237" t="s">
        <v>352</v>
      </c>
      <c r="CG84" s="237">
        <v>9105</v>
      </c>
      <c r="CH84" s="237" t="s">
        <v>358</v>
      </c>
      <c r="CJ84" s="347">
        <v>3.02</v>
      </c>
      <c r="CK84" s="347" t="s">
        <v>308</v>
      </c>
      <c r="CL84" s="1789"/>
      <c r="CM84" s="2299"/>
      <c r="CN84" s="345"/>
      <c r="CR84" s="345"/>
      <c r="CS84" s="345"/>
      <c r="CU84" s="345"/>
      <c r="CV84" s="345"/>
      <c r="CX84" s="347"/>
      <c r="CY84" s="347"/>
      <c r="DA84" s="348"/>
      <c r="DC84" s="348"/>
      <c r="DE84" s="1792"/>
      <c r="DF84" s="345"/>
      <c r="DH84" s="237"/>
      <c r="DI84" s="237"/>
      <c r="DK84" s="345"/>
      <c r="DL84" s="345"/>
      <c r="DN84" s="347"/>
      <c r="DO84" s="347"/>
      <c r="DP84" s="2505"/>
      <c r="DT84" s="2300"/>
      <c r="DU84" s="2300"/>
      <c r="DV84" s="2300"/>
      <c r="DW84" s="2301"/>
      <c r="DX84" s="2301"/>
      <c r="DY84" s="2302"/>
      <c r="DZ84" s="2303"/>
      <c r="EA84" s="2301"/>
      <c r="EB84" s="2301"/>
      <c r="EC84" s="2301"/>
      <c r="ED84" s="2303"/>
    </row>
    <row r="85" spans="1:134" ht="14.45" customHeight="1">
      <c r="A85" s="346">
        <v>33872</v>
      </c>
      <c r="B85" s="345" t="s">
        <v>336</v>
      </c>
      <c r="E85" s="934"/>
      <c r="F85" s="345">
        <v>1004</v>
      </c>
      <c r="G85" s="345" t="s">
        <v>310</v>
      </c>
      <c r="L85" s="347">
        <v>641.27</v>
      </c>
      <c r="M85" s="347" t="s">
        <v>309</v>
      </c>
      <c r="O85" s="348" t="str">
        <f t="array" ref="O85">IFERROR(IF($O$11="Metro",INDEX($F$13:$F$738,SMALL(IF((County=$G$13:$G$738),MATCH(ROW($G$13:$G$738),ROW($G$13:$G$738)),""),ROWS($A$13:A85))),INDEX($I$13:$I$42,SMALL(IF((County=$J$13:$J$42),MATCH(ROW($J$13:$J$42),ROW($J$13:$J$42)),""),ROWS($A$13:A85)))),"")</f>
        <v/>
      </c>
      <c r="Q85" s="348" t="str">
        <f t="array" ref="Q85">IFERROR(IF($Q$11="Yes",INDEX($L$13:$L$2313,SMALL(IF((County=$M$13:$M$2313),MATCH(ROW($M$13:$M$2313),ROW($M$13:$M$2313)),""),ROWS($A$13:A85))),""),"")</f>
        <v/>
      </c>
      <c r="S85" s="346">
        <v>32837</v>
      </c>
      <c r="T85" s="345" t="s">
        <v>359</v>
      </c>
      <c r="V85" s="345">
        <v>7</v>
      </c>
      <c r="W85" s="345" t="s">
        <v>337</v>
      </c>
      <c r="AB85" s="347">
        <v>4.0999999999999996</v>
      </c>
      <c r="AC85" s="347" t="s">
        <v>352</v>
      </c>
      <c r="AD85" s="1138"/>
      <c r="AE85" s="346">
        <v>32258</v>
      </c>
      <c r="AF85" s="345" t="s">
        <v>323</v>
      </c>
      <c r="AI85" s="934"/>
      <c r="AJ85" s="345">
        <v>603.03</v>
      </c>
      <c r="AK85" s="345" t="s">
        <v>310</v>
      </c>
      <c r="AP85" s="347">
        <v>631.04</v>
      </c>
      <c r="AQ85" s="347" t="s">
        <v>309</v>
      </c>
      <c r="AS85" s="348" t="str">
        <f t="array" ref="AS85">IFERROR(IF($AS$11="Metro",INDEX($AJ$13:$AJ$814,SMALL(IF((County=$AK$13:$AK$814),MATCH(ROW($AK$13:$AK$814),ROW($AK$13:$AK$814)),""),ROWS($A$13:$A85))),INDEX($AM$13:$AM$48,SMALL(IF((County=$AN$13:$AN$48),MATCH(ROW($AN$13:$AN$48),ROW($AN$13:$AN$48)),""),ROWS($A$13:$A85)))),"")</f>
        <v/>
      </c>
      <c r="AU85" s="348" t="str">
        <f t="array" ref="AU85">IFERROR(IF($AU$11="Yes",INDEX($AP$13:$AP$2950,SMALL(IF((County=$AQ$13:$AQ$2950),MATCH(ROW($AQ$13:$AQ$2950),ROW($AQ$13:$AQ$2950)),""),ROWS($A$13:$A85))),""),"")</f>
        <v/>
      </c>
      <c r="AW85" s="346">
        <v>32832</v>
      </c>
      <c r="AX85" s="345" t="s">
        <v>359</v>
      </c>
      <c r="AZ85" s="345">
        <v>5.0599999999999996</v>
      </c>
      <c r="BA85" s="345" t="s">
        <v>352</v>
      </c>
      <c r="BF85" s="347">
        <v>3.02</v>
      </c>
      <c r="BG85" s="347" t="s">
        <v>308</v>
      </c>
      <c r="BH85" s="1790"/>
      <c r="BI85" s="2299">
        <v>34119</v>
      </c>
      <c r="BJ85" s="345" t="s">
        <v>318</v>
      </c>
      <c r="BM85" s="1784"/>
      <c r="BN85" s="345">
        <v>8.0299999999999994</v>
      </c>
      <c r="BO85" s="345" t="s">
        <v>306</v>
      </c>
      <c r="BQ85" s="237">
        <v>2</v>
      </c>
      <c r="BR85" s="237" t="s">
        <v>334</v>
      </c>
      <c r="BT85" s="347">
        <v>621.1</v>
      </c>
      <c r="BU85" s="347" t="s">
        <v>309</v>
      </c>
      <c r="BW85" s="348" t="str">
        <f t="array" ref="BW85">IFERROR(IF($BW$11="Metro",INDEX($BN$13:$BN$4972,SMALL(IF((County=$BO$13:$BO$4972),MATCH(ROW($BO$13:$BO$4972),ROW($BO$13:$BO$4972)),""),ROWS($A$13:$A85))),INDEX($BQ$13:$BQ$212,SMALL(IF((County=$BR$13:$BR$212),MATCH(ROW($BR$13:$BR$212),ROW($BR$13:$BR$212)),""),ROWS($A$13:$A85)))),"")</f>
        <v/>
      </c>
      <c r="BY85" s="348" t="str">
        <f t="array" ref="BY85">IFERROR(IF($BY$11="Yes",INDEX($BT$13:$BT$2950,SMALL(IF((County=$BU$13:$BU$2950),MATCH(ROW($BU$13:$BU$2950),ROW($BU$13:$BU$2950)),""),ROWS($A$13:$A85))),""),"")</f>
        <v/>
      </c>
      <c r="CA85" s="2298">
        <v>32829</v>
      </c>
      <c r="CB85" s="345" t="s">
        <v>359</v>
      </c>
      <c r="CD85" s="237">
        <v>2.13</v>
      </c>
      <c r="CE85" s="237" t="s">
        <v>352</v>
      </c>
      <c r="CG85" s="237">
        <v>9106.01</v>
      </c>
      <c r="CH85" s="237" t="s">
        <v>358</v>
      </c>
      <c r="CJ85" s="347">
        <v>3.02</v>
      </c>
      <c r="CK85" s="347" t="s">
        <v>318</v>
      </c>
      <c r="CL85" s="1789"/>
      <c r="CM85" s="2299"/>
      <c r="CN85" s="345"/>
      <c r="CR85" s="345"/>
      <c r="CS85" s="345"/>
      <c r="CU85" s="345"/>
      <c r="CV85" s="345"/>
      <c r="CX85" s="347"/>
      <c r="CY85" s="347"/>
      <c r="DA85" s="348"/>
      <c r="DC85" s="348"/>
      <c r="DE85" s="1792"/>
      <c r="DF85" s="345"/>
      <c r="DH85" s="237"/>
      <c r="DI85" s="237"/>
      <c r="DK85" s="345"/>
      <c r="DL85" s="345"/>
      <c r="DN85" s="347"/>
      <c r="DO85" s="347"/>
      <c r="DP85" s="2505"/>
      <c r="DT85" s="2300"/>
      <c r="DU85" s="2300"/>
      <c r="DV85" s="2300"/>
      <c r="DW85" s="2301"/>
      <c r="DX85" s="2301"/>
      <c r="DY85" s="2302"/>
      <c r="DZ85" s="2303"/>
      <c r="EA85" s="2301"/>
      <c r="EB85" s="2301"/>
      <c r="EC85" s="2301"/>
      <c r="ED85" s="2303"/>
    </row>
    <row r="86" spans="1:134" ht="14.45" customHeight="1">
      <c r="A86" s="346">
        <v>33875</v>
      </c>
      <c r="B86" s="345" t="s">
        <v>336</v>
      </c>
      <c r="E86" s="934"/>
      <c r="F86" s="345">
        <v>1005.02</v>
      </c>
      <c r="G86" s="345" t="s">
        <v>310</v>
      </c>
      <c r="L86" s="347">
        <v>641.28</v>
      </c>
      <c r="M86" s="347" t="s">
        <v>309</v>
      </c>
      <c r="O86" s="348" t="str">
        <f t="array" ref="O86">IFERROR(IF($O$11="Metro",INDEX($F$13:$F$738,SMALL(IF((County=$G$13:$G$738),MATCH(ROW($G$13:$G$738),ROW($G$13:$G$738)),""),ROWS($A$13:A86))),INDEX($I$13:$I$42,SMALL(IF((County=$J$13:$J$42),MATCH(ROW($J$13:$J$42),ROW($J$13:$J$42)),""),ROWS($A$13:A86)))),"")</f>
        <v/>
      </c>
      <c r="Q86" s="348" t="str">
        <f t="array" ref="Q86">IFERROR(IF($Q$11="Yes",INDEX($L$13:$L$2313,SMALL(IF((County=$M$13:$M$2313),MATCH(ROW($M$13:$M$2313),ROW($M$13:$M$2313)),""),ROWS($A$13:A86))),""),"")</f>
        <v/>
      </c>
      <c r="S86" s="346">
        <v>32903</v>
      </c>
      <c r="T86" s="345" t="s">
        <v>309</v>
      </c>
      <c r="V86" s="345">
        <v>7</v>
      </c>
      <c r="W86" s="345" t="s">
        <v>344</v>
      </c>
      <c r="AB86" s="347">
        <v>4.0999999999999996</v>
      </c>
      <c r="AC86" s="347" t="s">
        <v>361</v>
      </c>
      <c r="AD86" s="1138"/>
      <c r="AE86" s="346">
        <v>32266</v>
      </c>
      <c r="AF86" s="345" t="s">
        <v>323</v>
      </c>
      <c r="AI86" s="934"/>
      <c r="AJ86" s="345">
        <v>603.04</v>
      </c>
      <c r="AK86" s="345" t="s">
        <v>310</v>
      </c>
      <c r="AP86" s="347">
        <v>631.04999999999995</v>
      </c>
      <c r="AQ86" s="347" t="s">
        <v>309</v>
      </c>
      <c r="AS86" s="348" t="str">
        <f t="array" ref="AS86">IFERROR(IF($AS$11="Metro",INDEX($AJ$13:$AJ$814,SMALL(IF((County=$AK$13:$AK$814),MATCH(ROW($AK$13:$AK$814),ROW($AK$13:$AK$814)),""),ROWS($A$13:$A86))),INDEX($AM$13:$AM$48,SMALL(IF((County=$AN$13:$AN$48),MATCH(ROW($AN$13:$AN$48),ROW($AN$13:$AN$48)),""),ROWS($A$13:$A86)))),"")</f>
        <v/>
      </c>
      <c r="AU86" s="348" t="str">
        <f t="array" ref="AU86">IFERROR(IF($AU$11="Yes",INDEX($AP$13:$AP$2950,SMALL(IF((County=$AQ$13:$AQ$2950),MATCH(ROW($AQ$13:$AQ$2950),ROW($AQ$13:$AQ$2950)),""),ROWS($A$13:$A86))),""),"")</f>
        <v/>
      </c>
      <c r="AW86" s="346">
        <v>32833</v>
      </c>
      <c r="AX86" s="345" t="s">
        <v>359</v>
      </c>
      <c r="AZ86" s="345">
        <v>5.07</v>
      </c>
      <c r="BA86" s="345" t="s">
        <v>352</v>
      </c>
      <c r="BF86" s="347">
        <v>3.02</v>
      </c>
      <c r="BG86" s="347" t="s">
        <v>318</v>
      </c>
      <c r="BH86" s="1790"/>
      <c r="BI86" s="2299">
        <v>34120</v>
      </c>
      <c r="BJ86" s="345" t="s">
        <v>318</v>
      </c>
      <c r="BM86" s="1784"/>
      <c r="BN86" s="345">
        <v>8.0399999999999991</v>
      </c>
      <c r="BO86" s="345" t="s">
        <v>306</v>
      </c>
      <c r="BQ86" s="237">
        <v>3</v>
      </c>
      <c r="BR86" s="237" t="s">
        <v>334</v>
      </c>
      <c r="BT86" s="347">
        <v>621.12</v>
      </c>
      <c r="BU86" s="347" t="s">
        <v>309</v>
      </c>
      <c r="BW86" s="348" t="str">
        <f t="array" ref="BW86">IFERROR(IF($BW$11="Metro",INDEX($BN$13:$BN$4972,SMALL(IF((County=$BO$13:$BO$4972),MATCH(ROW($BO$13:$BO$4972),ROW($BO$13:$BO$4972)),""),ROWS($A$13:$A86))),INDEX($BQ$13:$BQ$212,SMALL(IF((County=$BR$13:$BR$212),MATCH(ROW($BR$13:$BR$212),ROW($BR$13:$BR$212)),""),ROWS($A$13:$A86)))),"")</f>
        <v/>
      </c>
      <c r="BY86" s="348" t="str">
        <f t="array" ref="BY86">IFERROR(IF($BY$11="Yes",INDEX($BT$13:$BT$2950,SMALL(IF((County=$BU$13:$BU$2950),MATCH(ROW($BU$13:$BU$2950),ROW($BU$13:$BU$2950)),""),ROWS($A$13:$A86))),""),"")</f>
        <v/>
      </c>
      <c r="CA86" s="2298">
        <v>32831</v>
      </c>
      <c r="CB86" s="345" t="s">
        <v>359</v>
      </c>
      <c r="CD86" s="237">
        <v>2.13</v>
      </c>
      <c r="CE86" s="237" t="s">
        <v>361</v>
      </c>
      <c r="CG86" s="237">
        <v>9106.02</v>
      </c>
      <c r="CH86" s="237" t="s">
        <v>358</v>
      </c>
      <c r="CJ86" s="347">
        <v>3.02</v>
      </c>
      <c r="CK86" s="347" t="s">
        <v>345</v>
      </c>
      <c r="CL86" s="1789"/>
      <c r="CM86" s="2299"/>
      <c r="CN86" s="345"/>
      <c r="CR86" s="345"/>
      <c r="CS86" s="345"/>
      <c r="CU86" s="345"/>
      <c r="CV86" s="345"/>
      <c r="CX86" s="347"/>
      <c r="CY86" s="347"/>
      <c r="DA86" s="348"/>
      <c r="DC86" s="348"/>
      <c r="DE86" s="1792"/>
      <c r="DF86" s="345"/>
      <c r="DH86" s="237"/>
      <c r="DI86" s="237"/>
      <c r="DK86" s="345"/>
      <c r="DL86" s="345"/>
      <c r="DN86" s="347"/>
      <c r="DO86" s="347"/>
      <c r="DP86" s="2505"/>
      <c r="DT86" s="2300"/>
      <c r="DU86" s="2300"/>
      <c r="DV86" s="2300"/>
      <c r="DW86" s="2301"/>
      <c r="DX86" s="2301"/>
      <c r="DY86" s="2302"/>
      <c r="DZ86" s="2303"/>
      <c r="EA86" s="2301"/>
      <c r="EB86" s="2301"/>
      <c r="EC86" s="2301"/>
      <c r="ED86" s="2303"/>
    </row>
    <row r="87" spans="1:134" ht="14.45" customHeight="1">
      <c r="A87" s="346">
        <v>33876</v>
      </c>
      <c r="B87" s="345" t="s">
        <v>336</v>
      </c>
      <c r="E87" s="934"/>
      <c r="F87" s="345">
        <v>1007</v>
      </c>
      <c r="G87" s="345" t="s">
        <v>310</v>
      </c>
      <c r="L87" s="347">
        <v>644</v>
      </c>
      <c r="M87" s="347" t="s">
        <v>309</v>
      </c>
      <c r="O87" s="348" t="str">
        <f t="array" ref="O87">IFERROR(IF($O$11="Metro",INDEX($F$13:$F$738,SMALL(IF((County=$G$13:$G$738),MATCH(ROW($G$13:$G$738),ROW($G$13:$G$738)),""),ROWS($A$13:A87))),INDEX($I$13:$I$42,SMALL(IF((County=$J$13:$J$42),MATCH(ROW($J$13:$J$42),ROW($J$13:$J$42)),""),ROWS($A$13:A87)))),"")</f>
        <v/>
      </c>
      <c r="Q87" s="348" t="str">
        <f t="array" ref="Q87">IFERROR(IF($Q$11="Yes",INDEX($L$13:$L$2313,SMALL(IF((County=$M$13:$M$2313),MATCH(ROW($M$13:$M$2313),ROW($M$13:$M$2313)),""),ROWS($A$13:A87))),""),"")</f>
        <v/>
      </c>
      <c r="S87" s="346">
        <v>32904</v>
      </c>
      <c r="T87" s="345" t="s">
        <v>309</v>
      </c>
      <c r="V87" s="345">
        <v>7.04</v>
      </c>
      <c r="W87" s="345" t="s">
        <v>349</v>
      </c>
      <c r="AB87" s="347">
        <v>5</v>
      </c>
      <c r="AC87" s="347" t="s">
        <v>297</v>
      </c>
      <c r="AD87" s="1138"/>
      <c r="AE87" s="346">
        <v>32456</v>
      </c>
      <c r="AF87" s="345" t="s">
        <v>331</v>
      </c>
      <c r="AI87" s="934"/>
      <c r="AJ87" s="345">
        <v>604.01</v>
      </c>
      <c r="AK87" s="345" t="s">
        <v>310</v>
      </c>
      <c r="AP87" s="347">
        <v>631.05999999999995</v>
      </c>
      <c r="AQ87" s="347" t="s">
        <v>309</v>
      </c>
      <c r="AS87" s="348" t="str">
        <f t="array" ref="AS87">IFERROR(IF($AS$11="Metro",INDEX($AJ$13:$AJ$814,SMALL(IF((County=$AK$13:$AK$814),MATCH(ROW($AK$13:$AK$814),ROW($AK$13:$AK$814)),""),ROWS($A$13:$A87))),INDEX($AM$13:$AM$48,SMALL(IF((County=$AN$13:$AN$48),MATCH(ROW($AN$13:$AN$48),ROW($AN$13:$AN$48)),""),ROWS($A$13:$A87)))),"")</f>
        <v/>
      </c>
      <c r="AU87" s="348" t="str">
        <f t="array" ref="AU87">IFERROR(IF($AU$11="Yes",INDEX($AP$13:$AP$2950,SMALL(IF((County=$AQ$13:$AQ$2950),MATCH(ROW($AQ$13:$AQ$2950),ROW($AQ$13:$AQ$2950)),""),ROWS($A$13:$A87))),""),"")</f>
        <v/>
      </c>
      <c r="AW87" s="346">
        <v>32835</v>
      </c>
      <c r="AX87" s="345" t="s">
        <v>359</v>
      </c>
      <c r="AZ87" s="345">
        <v>5.08</v>
      </c>
      <c r="BA87" s="345" t="s">
        <v>352</v>
      </c>
      <c r="BF87" s="347">
        <v>3.02</v>
      </c>
      <c r="BG87" s="347" t="s">
        <v>345</v>
      </c>
      <c r="BH87" s="1790"/>
      <c r="BI87" s="2299">
        <v>34140</v>
      </c>
      <c r="BJ87" s="345" t="s">
        <v>318</v>
      </c>
      <c r="BM87" s="1784"/>
      <c r="BN87" s="345">
        <v>8.0500000000000007</v>
      </c>
      <c r="BO87" s="345" t="s">
        <v>306</v>
      </c>
      <c r="BQ87" s="237">
        <v>4.01</v>
      </c>
      <c r="BR87" s="237" t="s">
        <v>334</v>
      </c>
      <c r="BT87" s="347">
        <v>628</v>
      </c>
      <c r="BU87" s="347" t="s">
        <v>309</v>
      </c>
      <c r="BW87" s="348" t="str">
        <f t="array" ref="BW87">IFERROR(IF($BW$11="Metro",INDEX($BN$13:$BN$4972,SMALL(IF((County=$BO$13:$BO$4972),MATCH(ROW($BO$13:$BO$4972),ROW($BO$13:$BO$4972)),""),ROWS($A$13:$A87))),INDEX($BQ$13:$BQ$212,SMALL(IF((County=$BR$13:$BR$212),MATCH(ROW($BR$13:$BR$212),ROW($BR$13:$BR$212)),""),ROWS($A$13:$A87)))),"")</f>
        <v/>
      </c>
      <c r="BY87" s="348" t="str">
        <f t="array" ref="BY87">IFERROR(IF($BY$11="Yes",INDEX($BT$13:$BT$2950,SMALL(IF((County=$BU$13:$BU$2950),MATCH(ROW($BU$13:$BU$2950),ROW($BU$13:$BU$2950)),""),ROWS($A$13:$A87))),""),"")</f>
        <v/>
      </c>
      <c r="CA87" s="2298">
        <v>32832</v>
      </c>
      <c r="CB87" s="345" t="s">
        <v>359</v>
      </c>
      <c r="CD87" s="237">
        <v>2.14</v>
      </c>
      <c r="CE87" s="237" t="s">
        <v>361</v>
      </c>
      <c r="CG87" s="237">
        <v>9501</v>
      </c>
      <c r="CH87" s="237" t="s">
        <v>347</v>
      </c>
      <c r="CJ87" s="347">
        <v>3.02</v>
      </c>
      <c r="CK87" s="347" t="s">
        <v>352</v>
      </c>
      <c r="CL87" s="1789"/>
      <c r="CM87" s="2299"/>
      <c r="CN87" s="345"/>
      <c r="CR87" s="345"/>
      <c r="CS87" s="345"/>
      <c r="CU87" s="345"/>
      <c r="CV87" s="345"/>
      <c r="CX87" s="347"/>
      <c r="CY87" s="347"/>
      <c r="DA87" s="348"/>
      <c r="DC87" s="348"/>
      <c r="DE87" s="1792"/>
      <c r="DF87" s="345"/>
      <c r="DH87" s="237"/>
      <c r="DI87" s="237"/>
      <c r="DK87" s="345"/>
      <c r="DL87" s="345"/>
      <c r="DN87" s="347"/>
      <c r="DO87" s="347"/>
      <c r="DP87" s="2505"/>
      <c r="DT87" s="2300"/>
      <c r="DU87" s="2300"/>
      <c r="DV87" s="2300"/>
      <c r="DW87" s="2301"/>
      <c r="DX87" s="2301"/>
      <c r="DY87" s="2302"/>
      <c r="DZ87" s="2303"/>
      <c r="EA87" s="2301"/>
      <c r="EB87" s="2301"/>
      <c r="EC87" s="2301"/>
      <c r="ED87" s="2303"/>
    </row>
    <row r="88" spans="1:134" ht="14.45" customHeight="1">
      <c r="A88" s="346">
        <v>33503</v>
      </c>
      <c r="B88" s="345" t="s">
        <v>337</v>
      </c>
      <c r="E88" s="934"/>
      <c r="F88" s="345">
        <v>1008.01</v>
      </c>
      <c r="G88" s="345" t="s">
        <v>310</v>
      </c>
      <c r="L88" s="347">
        <v>646.01</v>
      </c>
      <c r="M88" s="347" t="s">
        <v>309</v>
      </c>
      <c r="O88" s="348" t="str">
        <f t="array" ref="O88">IFERROR(IF($O$11="Metro",INDEX($F$13:$F$738,SMALL(IF((County=$G$13:$G$738),MATCH(ROW($G$13:$G$738),ROW($G$13:$G$738)),""),ROWS($A$13:A88))),INDEX($I$13:$I$42,SMALL(IF((County=$J$13:$J$42),MATCH(ROW($J$13:$J$42),ROW($J$13:$J$42)),""),ROWS($A$13:A88)))),"")</f>
        <v/>
      </c>
      <c r="Q88" s="348" t="str">
        <f t="array" ref="Q88">IFERROR(IF($Q$11="Yes",INDEX($L$13:$L$2313,SMALL(IF((County=$M$13:$M$2313),MATCH(ROW($M$13:$M$2313),ROW($M$13:$M$2313)),""),ROWS($A$13:A88))),""),"")</f>
        <v/>
      </c>
      <c r="S88" s="346">
        <v>32908</v>
      </c>
      <c r="T88" s="345" t="s">
        <v>309</v>
      </c>
      <c r="V88" s="345">
        <v>7.05</v>
      </c>
      <c r="W88" s="345" t="s">
        <v>349</v>
      </c>
      <c r="AB88" s="347">
        <v>5</v>
      </c>
      <c r="AC88" s="347" t="s">
        <v>306</v>
      </c>
      <c r="AD88" s="1138"/>
      <c r="AE88" s="346">
        <v>33875</v>
      </c>
      <c r="AF88" s="345" t="s">
        <v>336</v>
      </c>
      <c r="AI88" s="934"/>
      <c r="AJ88" s="345">
        <v>611</v>
      </c>
      <c r="AK88" s="345" t="s">
        <v>310</v>
      </c>
      <c r="AP88" s="347">
        <v>631.08000000000004</v>
      </c>
      <c r="AQ88" s="347" t="s">
        <v>309</v>
      </c>
      <c r="AS88" s="348" t="str">
        <f t="array" ref="AS88">IFERROR(IF($AS$11="Metro",INDEX($AJ$13:$AJ$814,SMALL(IF((County=$AK$13:$AK$814),MATCH(ROW($AK$13:$AK$814),ROW($AK$13:$AK$814)),""),ROWS($A$13:$A88))),INDEX($AM$13:$AM$48,SMALL(IF((County=$AN$13:$AN$48),MATCH(ROW($AN$13:$AN$48),ROW($AN$13:$AN$48)),""),ROWS($A$13:$A88)))),"")</f>
        <v/>
      </c>
      <c r="AU88" s="348" t="str">
        <f t="array" ref="AU88">IFERROR(IF($AU$11="Yes",INDEX($AP$13:$AP$2950,SMALL(IF((County=$AQ$13:$AQ$2950),MATCH(ROW($AQ$13:$AQ$2950),ROW($AQ$13:$AQ$2950)),""),ROWS($A$13:$A88))),""),"")</f>
        <v/>
      </c>
      <c r="AW88" s="346">
        <v>32836</v>
      </c>
      <c r="AX88" s="345" t="s">
        <v>359</v>
      </c>
      <c r="AZ88" s="345">
        <v>5.09</v>
      </c>
      <c r="BA88" s="345" t="s">
        <v>352</v>
      </c>
      <c r="BF88" s="347">
        <v>3.03</v>
      </c>
      <c r="BG88" s="347" t="s">
        <v>345</v>
      </c>
      <c r="BH88" s="1790"/>
      <c r="BI88" s="2299">
        <v>34145</v>
      </c>
      <c r="BJ88" s="345" t="s">
        <v>318</v>
      </c>
      <c r="BM88" s="1784"/>
      <c r="BN88" s="345">
        <v>8.06</v>
      </c>
      <c r="BO88" s="345" t="s">
        <v>306</v>
      </c>
      <c r="BQ88" s="237">
        <v>4.03</v>
      </c>
      <c r="BR88" s="237" t="s">
        <v>334</v>
      </c>
      <c r="BT88" s="347">
        <v>630</v>
      </c>
      <c r="BU88" s="347" t="s">
        <v>309</v>
      </c>
      <c r="BW88" s="348" t="str">
        <f t="array" ref="BW88">IFERROR(IF($BW$11="Metro",INDEX($BN$13:$BN$4972,SMALL(IF((County=$BO$13:$BO$4972),MATCH(ROW($BO$13:$BO$4972),ROW($BO$13:$BO$4972)),""),ROWS($A$13:$A88))),INDEX($BQ$13:$BQ$212,SMALL(IF((County=$BR$13:$BR$212),MATCH(ROW($BR$13:$BR$212),ROW($BR$13:$BR$212)),""),ROWS($A$13:$A88)))),"")</f>
        <v/>
      </c>
      <c r="BY88" s="348" t="str">
        <f t="array" ref="BY88">IFERROR(IF($BY$11="Yes",INDEX($BT$13:$BT$2950,SMALL(IF((County=$BU$13:$BU$2950),MATCH(ROW($BU$13:$BU$2950),ROW($BU$13:$BU$2950)),""),ROWS($A$13:$A88))),""),"")</f>
        <v/>
      </c>
      <c r="CA88" s="2298">
        <v>32835</v>
      </c>
      <c r="CB88" s="345" t="s">
        <v>359</v>
      </c>
      <c r="CD88" s="237">
        <v>2.15</v>
      </c>
      <c r="CE88" s="237" t="s">
        <v>352</v>
      </c>
      <c r="CG88" s="237">
        <v>9501</v>
      </c>
      <c r="CH88" s="237" t="s">
        <v>366</v>
      </c>
      <c r="CJ88" s="347">
        <v>3.03</v>
      </c>
      <c r="CK88" s="347" t="s">
        <v>345</v>
      </c>
      <c r="CL88" s="1789"/>
      <c r="CM88" s="2299"/>
      <c r="CN88" s="345"/>
      <c r="CR88" s="345"/>
      <c r="CS88" s="345"/>
      <c r="CU88" s="345"/>
      <c r="CV88" s="345"/>
      <c r="CX88" s="347"/>
      <c r="CY88" s="347"/>
      <c r="DA88" s="348"/>
      <c r="DC88" s="348"/>
      <c r="DE88" s="1792"/>
      <c r="DF88" s="345"/>
      <c r="DH88" s="237"/>
      <c r="DI88" s="237"/>
      <c r="DK88" s="345"/>
      <c r="DL88" s="345"/>
      <c r="DN88" s="347"/>
      <c r="DO88" s="347"/>
      <c r="DP88" s="2505"/>
    </row>
    <row r="89" spans="1:134" ht="14.45" customHeight="1">
      <c r="A89" s="346">
        <v>33510</v>
      </c>
      <c r="B89" s="345" t="s">
        <v>337</v>
      </c>
      <c r="E89" s="934"/>
      <c r="F89" s="345">
        <v>1103.3399999999999</v>
      </c>
      <c r="G89" s="345" t="s">
        <v>310</v>
      </c>
      <c r="L89" s="347">
        <v>648</v>
      </c>
      <c r="M89" s="347" t="s">
        <v>309</v>
      </c>
      <c r="O89" s="348" t="str">
        <f t="array" ref="O89">IFERROR(IF($O$11="Metro",INDEX($F$13:$F$738,SMALL(IF((County=$G$13:$G$738),MATCH(ROW($G$13:$G$738),ROW($G$13:$G$738)),""),ROWS($A$13:A89))),INDEX($I$13:$I$42,SMALL(IF((County=$J$13:$J$42),MATCH(ROW($J$13:$J$42),ROW($J$13:$J$42)),""),ROWS($A$13:A89)))),"")</f>
        <v/>
      </c>
      <c r="Q89" s="348" t="str">
        <f t="array" ref="Q89">IFERROR(IF($Q$11="Yes",INDEX($L$13:$L$2313,SMALL(IF((County=$M$13:$M$2313),MATCH(ROW($M$13:$M$2313),ROW($M$13:$M$2313)),""),ROWS($A$13:A89))),""),"")</f>
        <v/>
      </c>
      <c r="S89" s="346">
        <v>32925</v>
      </c>
      <c r="T89" s="345" t="s">
        <v>309</v>
      </c>
      <c r="V89" s="345">
        <v>7.05</v>
      </c>
      <c r="W89" s="345" t="s">
        <v>352</v>
      </c>
      <c r="AB89" s="347">
        <v>5</v>
      </c>
      <c r="AC89" s="347" t="s">
        <v>318</v>
      </c>
      <c r="AD89" s="1138"/>
      <c r="AE89" s="346">
        <v>33876</v>
      </c>
      <c r="AF89" s="345" t="s">
        <v>336</v>
      </c>
      <c r="AI89" s="934"/>
      <c r="AJ89" s="345">
        <v>805</v>
      </c>
      <c r="AK89" s="345" t="s">
        <v>310</v>
      </c>
      <c r="AP89" s="347">
        <v>631.09</v>
      </c>
      <c r="AQ89" s="347" t="s">
        <v>309</v>
      </c>
      <c r="AS89" s="348" t="str">
        <f t="array" ref="AS89">IFERROR(IF($AS$11="Metro",INDEX($AJ$13:$AJ$814,SMALL(IF((County=$AK$13:$AK$814),MATCH(ROW($AK$13:$AK$814),ROW($AK$13:$AK$814)),""),ROWS($A$13:$A89))),INDEX($AM$13:$AM$48,SMALL(IF((County=$AN$13:$AN$48),MATCH(ROW($AN$13:$AN$48),ROW($AN$13:$AN$48)),""),ROWS($A$13:$A89)))),"")</f>
        <v/>
      </c>
      <c r="AU89" s="348" t="str">
        <f t="array" ref="AU89">IFERROR(IF($AU$11="Yes",INDEX($AP$13:$AP$2950,SMALL(IF((County=$AQ$13:$AQ$2950),MATCH(ROW($AQ$13:$AQ$2950),ROW($AQ$13:$AQ$2950)),""),ROWS($A$13:$A89))),""),"")</f>
        <v/>
      </c>
      <c r="AW89" s="346">
        <v>32837</v>
      </c>
      <c r="AX89" s="345" t="s">
        <v>359</v>
      </c>
      <c r="AZ89" s="345">
        <v>6</v>
      </c>
      <c r="BA89" s="345" t="s">
        <v>297</v>
      </c>
      <c r="BF89" s="347">
        <v>3.03</v>
      </c>
      <c r="BG89" s="347" t="s">
        <v>361</v>
      </c>
      <c r="BH89" s="1790"/>
      <c r="BI89" s="1791">
        <v>32212</v>
      </c>
      <c r="BJ89" s="345" t="s">
        <v>323</v>
      </c>
      <c r="BM89" s="1784"/>
      <c r="BN89" s="345">
        <v>9</v>
      </c>
      <c r="BO89" s="345" t="s">
        <v>306</v>
      </c>
      <c r="BQ89" s="237">
        <v>4.04</v>
      </c>
      <c r="BR89" s="237" t="s">
        <v>334</v>
      </c>
      <c r="BT89" s="347">
        <v>631.02</v>
      </c>
      <c r="BU89" s="347" t="s">
        <v>309</v>
      </c>
      <c r="BW89" s="348" t="str">
        <f t="array" ref="BW89">IFERROR(IF($BW$11="Metro",INDEX($BN$13:$BN$4972,SMALL(IF((County=$BO$13:$BO$4972),MATCH(ROW($BO$13:$BO$4972),ROW($BO$13:$BO$4972)),""),ROWS($A$13:$A89))),INDEX($BQ$13:$BQ$212,SMALL(IF((County=$BR$13:$BR$212),MATCH(ROW($BR$13:$BR$212),ROW($BR$13:$BR$212)),""),ROWS($A$13:$A89)))),"")</f>
        <v/>
      </c>
      <c r="BY89" s="348" t="str">
        <f t="array" ref="BY89">IFERROR(IF($BY$11="Yes",INDEX($BT$13:$BT$2950,SMALL(IF((County=$BU$13:$BU$2950),MATCH(ROW($BU$13:$BU$2950),ROW($BU$13:$BU$2950)),""),ROWS($A$13:$A89))),""),"")</f>
        <v/>
      </c>
      <c r="CA89" s="2298">
        <v>32836</v>
      </c>
      <c r="CB89" s="345" t="s">
        <v>359</v>
      </c>
      <c r="CD89" s="237">
        <v>2.16</v>
      </c>
      <c r="CE89" s="237" t="s">
        <v>352</v>
      </c>
      <c r="CG89" s="237">
        <v>9501</v>
      </c>
      <c r="CH89" s="237" t="s">
        <v>374</v>
      </c>
      <c r="CJ89" s="347">
        <v>3.03</v>
      </c>
      <c r="CK89" s="347" t="s">
        <v>361</v>
      </c>
      <c r="CL89" s="1789"/>
      <c r="CM89" s="2299"/>
      <c r="CN89" s="345"/>
      <c r="CR89" s="345"/>
      <c r="CS89" s="345"/>
      <c r="CU89" s="345"/>
      <c r="CV89" s="345"/>
      <c r="CX89" s="347"/>
      <c r="CY89" s="347"/>
      <c r="DA89" s="348"/>
      <c r="DC89" s="348"/>
      <c r="DE89" s="1792"/>
      <c r="DF89" s="345"/>
      <c r="DH89" s="237"/>
      <c r="DI89" s="237"/>
      <c r="DK89" s="345"/>
      <c r="DL89" s="345"/>
      <c r="DN89" s="347"/>
      <c r="DO89" s="347"/>
      <c r="DP89" s="2505"/>
    </row>
    <row r="90" spans="1:134" ht="14.45" customHeight="1">
      <c r="A90" s="346">
        <v>33511</v>
      </c>
      <c r="B90" s="345" t="s">
        <v>337</v>
      </c>
      <c r="E90" s="934"/>
      <c r="F90" s="345">
        <v>1103.3499999999999</v>
      </c>
      <c r="G90" s="345" t="s">
        <v>310</v>
      </c>
      <c r="L90" s="347">
        <v>649.01</v>
      </c>
      <c r="M90" s="347" t="s">
        <v>309</v>
      </c>
      <c r="O90" s="348" t="str">
        <f t="array" ref="O90">IFERROR(IF($O$11="Metro",INDEX($F$13:$F$738,SMALL(IF((County=$G$13:$G$738),MATCH(ROW($G$13:$G$738),ROW($G$13:$G$738)),""),ROWS($A$13:A90))),INDEX($I$13:$I$42,SMALL(IF((County=$J$13:$J$42),MATCH(ROW($J$13:$J$42),ROW($J$13:$J$42)),""),ROWS($A$13:A90)))),"")</f>
        <v/>
      </c>
      <c r="Q90" s="348" t="str">
        <f t="array" ref="Q90">IFERROR(IF($Q$11="Yes",INDEX($L$13:$L$2313,SMALL(IF((County=$M$13:$M$2313),MATCH(ROW($M$13:$M$2313),ROW($M$13:$M$2313)),""),ROWS($A$13:A90))),""),"")</f>
        <v/>
      </c>
      <c r="S90" s="346">
        <v>32934</v>
      </c>
      <c r="T90" s="345" t="s">
        <v>309</v>
      </c>
      <c r="V90" s="345">
        <v>7.06</v>
      </c>
      <c r="W90" s="345" t="s">
        <v>352</v>
      </c>
      <c r="AB90" s="347">
        <v>5</v>
      </c>
      <c r="AC90" s="347" t="s">
        <v>325</v>
      </c>
      <c r="AD90" s="1138"/>
      <c r="AE90" s="346">
        <v>33503</v>
      </c>
      <c r="AF90" s="345" t="s">
        <v>337</v>
      </c>
      <c r="AI90" s="934"/>
      <c r="AJ90" s="345">
        <v>903.01</v>
      </c>
      <c r="AK90" s="345" t="s">
        <v>310</v>
      </c>
      <c r="AP90" s="347">
        <v>641.02</v>
      </c>
      <c r="AQ90" s="347" t="s">
        <v>309</v>
      </c>
      <c r="AS90" s="348" t="str">
        <f t="array" ref="AS90">IFERROR(IF($AS$11="Metro",INDEX($AJ$13:$AJ$814,SMALL(IF((County=$AK$13:$AK$814),MATCH(ROW($AK$13:$AK$814),ROW($AK$13:$AK$814)),""),ROWS($A$13:$A90))),INDEX($AM$13:$AM$48,SMALL(IF((County=$AN$13:$AN$48),MATCH(ROW($AN$13:$AN$48),ROW($AN$13:$AN$48)),""),ROWS($A$13:$A90)))),"")</f>
        <v/>
      </c>
      <c r="AU90" s="348" t="str">
        <f t="array" ref="AU90">IFERROR(IF($AU$11="Yes",INDEX($AP$13:$AP$2950,SMALL(IF((County=$AQ$13:$AQ$2950),MATCH(ROW($AQ$13:$AQ$2950),ROW($AQ$13:$AQ$2950)),""),ROWS($A$13:$A90))),""),"")</f>
        <v/>
      </c>
      <c r="AW90" s="346">
        <v>32903</v>
      </c>
      <c r="AX90" s="345" t="s">
        <v>309</v>
      </c>
      <c r="AZ90" s="345">
        <v>6</v>
      </c>
      <c r="BA90" s="345" t="s">
        <v>323</v>
      </c>
      <c r="BF90" s="347">
        <v>3.04</v>
      </c>
      <c r="BG90" s="347" t="s">
        <v>344</v>
      </c>
      <c r="BH90" s="1790"/>
      <c r="BI90" s="1791">
        <v>32225</v>
      </c>
      <c r="BJ90" s="345" t="s">
        <v>323</v>
      </c>
      <c r="BM90" s="1784"/>
      <c r="BN90" s="345">
        <v>10</v>
      </c>
      <c r="BO90" s="345" t="s">
        <v>306</v>
      </c>
      <c r="BQ90" s="237">
        <v>6.01</v>
      </c>
      <c r="BR90" s="237" t="s">
        <v>334</v>
      </c>
      <c r="BT90" s="347">
        <v>631.04</v>
      </c>
      <c r="BU90" s="347" t="s">
        <v>309</v>
      </c>
      <c r="BW90" s="348" t="str">
        <f t="array" ref="BW90">IFERROR(IF($BW$11="Metro",INDEX($BN$13:$BN$4972,SMALL(IF((County=$BO$13:$BO$4972),MATCH(ROW($BO$13:$BO$4972),ROW($BO$13:$BO$4972)),""),ROWS($A$13:$A90))),INDEX($BQ$13:$BQ$212,SMALL(IF((County=$BR$13:$BR$212),MATCH(ROW($BR$13:$BR$212),ROW($BR$13:$BR$212)),""),ROWS($A$13:$A90)))),"")</f>
        <v/>
      </c>
      <c r="BY90" s="348" t="str">
        <f t="array" ref="BY90">IFERROR(IF($BY$11="Yes",INDEX($BT$13:$BT$2950,SMALL(IF((County=$BU$13:$BU$2950),MATCH(ROW($BU$13:$BU$2950),ROW($BU$13:$BU$2950)),""),ROWS($A$13:$A90))),""),"")</f>
        <v/>
      </c>
      <c r="CA90" s="2298">
        <v>32837</v>
      </c>
      <c r="CB90" s="345" t="s">
        <v>359</v>
      </c>
      <c r="CD90" s="237">
        <v>2.16</v>
      </c>
      <c r="CE90" s="237" t="s">
        <v>361</v>
      </c>
      <c r="CG90" s="237">
        <v>9502.01</v>
      </c>
      <c r="CH90" s="237" t="s">
        <v>347</v>
      </c>
      <c r="CJ90" s="347">
        <v>3.04</v>
      </c>
      <c r="CK90" s="347" t="s">
        <v>344</v>
      </c>
      <c r="CL90" s="1789"/>
      <c r="CM90" s="2299"/>
      <c r="CN90" s="345"/>
      <c r="CR90" s="345"/>
      <c r="CS90" s="345"/>
      <c r="CU90" s="345"/>
      <c r="CV90" s="345"/>
      <c r="CX90" s="347"/>
      <c r="CY90" s="347"/>
      <c r="DA90" s="348"/>
      <c r="DC90" s="348"/>
      <c r="DE90" s="1792"/>
      <c r="DF90" s="345"/>
      <c r="DH90" s="237"/>
      <c r="DI90" s="237"/>
      <c r="DK90" s="345"/>
      <c r="DL90" s="345"/>
      <c r="DN90" s="347"/>
      <c r="DO90" s="347"/>
      <c r="DP90" s="2505"/>
    </row>
    <row r="91" spans="1:134" ht="14.45" customHeight="1">
      <c r="A91" s="346">
        <v>33547</v>
      </c>
      <c r="B91" s="345" t="s">
        <v>337</v>
      </c>
      <c r="E91" s="934"/>
      <c r="F91" s="345">
        <v>103.02</v>
      </c>
      <c r="G91" s="345" t="s">
        <v>315</v>
      </c>
      <c r="L91" s="347">
        <v>650.01</v>
      </c>
      <c r="M91" s="347" t="s">
        <v>309</v>
      </c>
      <c r="O91" s="348" t="str">
        <f t="array" ref="O91">IFERROR(IF($O$11="Metro",INDEX($F$13:$F$738,SMALL(IF((County=$G$13:$G$738),MATCH(ROW($G$13:$G$738),ROW($G$13:$G$738)),""),ROWS($A$13:A91))),INDEX($I$13:$I$42,SMALL(IF((County=$J$13:$J$42),MATCH(ROW($J$13:$J$42),ROW($J$13:$J$42)),""),ROWS($A$13:A91)))),"")</f>
        <v/>
      </c>
      <c r="Q91" s="348" t="str">
        <f t="array" ref="Q91">IFERROR(IF($Q$11="Yes",INDEX($L$13:$L$2313,SMALL(IF((County=$M$13:$M$2313),MATCH(ROW($M$13:$M$2313),ROW($M$13:$M$2313)),""),ROWS($A$13:A91))),""),"")</f>
        <v/>
      </c>
      <c r="S91" s="346">
        <v>32937</v>
      </c>
      <c r="T91" s="345" t="s">
        <v>309</v>
      </c>
      <c r="V91" s="345">
        <v>7.08</v>
      </c>
      <c r="W91" s="345" t="s">
        <v>352</v>
      </c>
      <c r="AB91" s="347">
        <v>5</v>
      </c>
      <c r="AC91" s="347" t="s">
        <v>337</v>
      </c>
      <c r="AD91" s="1138"/>
      <c r="AE91" s="346">
        <v>33511</v>
      </c>
      <c r="AF91" s="345" t="s">
        <v>337</v>
      </c>
      <c r="AI91" s="934"/>
      <c r="AJ91" s="345">
        <v>904.03</v>
      </c>
      <c r="AK91" s="345" t="s">
        <v>310</v>
      </c>
      <c r="AP91" s="347">
        <v>641.23</v>
      </c>
      <c r="AQ91" s="347" t="s">
        <v>309</v>
      </c>
      <c r="AS91" s="348" t="str">
        <f t="array" ref="AS91">IFERROR(IF($AS$11="Metro",INDEX($AJ$13:$AJ$814,SMALL(IF((County=$AK$13:$AK$814),MATCH(ROW($AK$13:$AK$814),ROW($AK$13:$AK$814)),""),ROWS($A$13:$A91))),INDEX($AM$13:$AM$48,SMALL(IF((County=$AN$13:$AN$48),MATCH(ROW($AN$13:$AN$48),ROW($AN$13:$AN$48)),""),ROWS($A$13:$A91)))),"")</f>
        <v/>
      </c>
      <c r="AU91" s="348" t="str">
        <f t="array" ref="AU91">IFERROR(IF($AU$11="Yes",INDEX($AP$13:$AP$2950,SMALL(IF((County=$AQ$13:$AQ$2950),MATCH(ROW($AQ$13:$AQ$2950),ROW($AQ$13:$AQ$2950)),""),ROWS($A$13:$A91))),""),"")</f>
        <v/>
      </c>
      <c r="AW91" s="346">
        <v>32904</v>
      </c>
      <c r="AX91" s="345" t="s">
        <v>309</v>
      </c>
      <c r="AZ91" s="345">
        <v>6</v>
      </c>
      <c r="BA91" s="345" t="s">
        <v>344</v>
      </c>
      <c r="BF91" s="347">
        <v>3.04</v>
      </c>
      <c r="BG91" s="347" t="s">
        <v>361</v>
      </c>
      <c r="BH91" s="1790"/>
      <c r="BI91" s="1791">
        <v>32226</v>
      </c>
      <c r="BJ91" s="345" t="s">
        <v>323</v>
      </c>
      <c r="BM91" s="1784"/>
      <c r="BN91" s="345">
        <v>11</v>
      </c>
      <c r="BO91" s="345" t="s">
        <v>306</v>
      </c>
      <c r="BQ91" s="237">
        <v>6.02</v>
      </c>
      <c r="BR91" s="237" t="s">
        <v>334</v>
      </c>
      <c r="BT91" s="347">
        <v>631.04999999999995</v>
      </c>
      <c r="BU91" s="347" t="s">
        <v>309</v>
      </c>
      <c r="BW91" s="348" t="str">
        <f t="array" ref="BW91">IFERROR(IF($BW$11="Metro",INDEX($BN$13:$BN$4972,SMALL(IF((County=$BO$13:$BO$4972),MATCH(ROW($BO$13:$BO$4972),ROW($BO$13:$BO$4972)),""),ROWS($A$13:$A91))),INDEX($BQ$13:$BQ$212,SMALL(IF((County=$BR$13:$BR$212),MATCH(ROW($BR$13:$BR$212),ROW($BR$13:$BR$212)),""),ROWS($A$13:$A91)))),"")</f>
        <v/>
      </c>
      <c r="BY91" s="348" t="str">
        <f t="array" ref="BY91">IFERROR(IF($BY$11="Yes",INDEX($BT$13:$BT$2950,SMALL(IF((County=$BU$13:$BU$2950),MATCH(ROW($BU$13:$BU$2950),ROW($BU$13:$BU$2950)),""),ROWS($A$13:$A91))),""),"")</f>
        <v/>
      </c>
      <c r="CA91" s="2298">
        <v>32903</v>
      </c>
      <c r="CB91" s="345" t="s">
        <v>309</v>
      </c>
      <c r="CD91" s="237">
        <v>2.17</v>
      </c>
      <c r="CE91" s="237" t="s">
        <v>361</v>
      </c>
      <c r="CG91" s="237">
        <v>9502.01</v>
      </c>
      <c r="CH91" s="237" t="s">
        <v>366</v>
      </c>
      <c r="CJ91" s="347">
        <v>3.04</v>
      </c>
      <c r="CK91" s="347" t="s">
        <v>350</v>
      </c>
      <c r="CL91" s="1789"/>
      <c r="CM91" s="2299"/>
      <c r="CN91" s="345"/>
      <c r="CR91" s="345"/>
      <c r="CS91" s="345"/>
      <c r="CU91" s="345"/>
      <c r="CV91" s="345"/>
      <c r="CX91" s="347"/>
      <c r="CY91" s="347"/>
      <c r="DA91" s="348"/>
      <c r="DC91" s="348"/>
      <c r="DE91" s="1792"/>
      <c r="DF91" s="345"/>
      <c r="DH91" s="237"/>
      <c r="DI91" s="237"/>
      <c r="DK91" s="345"/>
      <c r="DL91" s="345"/>
      <c r="DN91" s="347"/>
      <c r="DO91" s="347"/>
      <c r="DP91" s="2505"/>
    </row>
    <row r="92" spans="1:134" ht="14.45" customHeight="1">
      <c r="A92" s="346">
        <v>33548</v>
      </c>
      <c r="B92" s="345" t="s">
        <v>337</v>
      </c>
      <c r="E92" s="934"/>
      <c r="F92" s="345">
        <v>207</v>
      </c>
      <c r="G92" s="345" t="s">
        <v>315</v>
      </c>
      <c r="L92" s="347">
        <v>650.21</v>
      </c>
      <c r="M92" s="347" t="s">
        <v>309</v>
      </c>
      <c r="O92" s="348" t="str">
        <f t="array" ref="O92">IFERROR(IF($O$11="Metro",INDEX($F$13:$F$738,SMALL(IF((County=$G$13:$G$738),MATCH(ROW($G$13:$G$738),ROW($G$13:$G$738)),""),ROWS($A$13:A92))),INDEX($I$13:$I$42,SMALL(IF((County=$J$13:$J$42),MATCH(ROW($J$13:$J$42),ROW($J$13:$J$42)),""),ROWS($A$13:A92)))),"")</f>
        <v/>
      </c>
      <c r="Q92" s="348" t="str">
        <f t="array" ref="Q92">IFERROR(IF($Q$11="Yes",INDEX($L$13:$L$2313,SMALL(IF((County=$M$13:$M$2313),MATCH(ROW($M$13:$M$2313),ROW($M$13:$M$2313)),""),ROWS($A$13:A92))),""),"")</f>
        <v/>
      </c>
      <c r="S92" s="346">
        <v>32940</v>
      </c>
      <c r="T92" s="345" t="s">
        <v>309</v>
      </c>
      <c r="V92" s="345">
        <v>7.09</v>
      </c>
      <c r="W92" s="345" t="s">
        <v>352</v>
      </c>
      <c r="AB92" s="347">
        <v>5.01</v>
      </c>
      <c r="AC92" s="347" t="s">
        <v>349</v>
      </c>
      <c r="AD92" s="1138"/>
      <c r="AE92" s="346">
        <v>33547</v>
      </c>
      <c r="AF92" s="345" t="s">
        <v>337</v>
      </c>
      <c r="AI92" s="934"/>
      <c r="AJ92" s="345">
        <v>1003.02</v>
      </c>
      <c r="AK92" s="345" t="s">
        <v>310</v>
      </c>
      <c r="AP92" s="347">
        <v>641.26</v>
      </c>
      <c r="AQ92" s="347" t="s">
        <v>309</v>
      </c>
      <c r="AS92" s="348" t="str">
        <f t="array" ref="AS92">IFERROR(IF($AS$11="Metro",INDEX($AJ$13:$AJ$814,SMALL(IF((County=$AK$13:$AK$814),MATCH(ROW($AK$13:$AK$814),ROW($AK$13:$AK$814)),""),ROWS($A$13:$A92))),INDEX($AM$13:$AM$48,SMALL(IF((County=$AN$13:$AN$48),MATCH(ROW($AN$13:$AN$48),ROW($AN$13:$AN$48)),""),ROWS($A$13:$A92)))),"")</f>
        <v/>
      </c>
      <c r="AU92" s="348" t="str">
        <f t="array" ref="AU92">IFERROR(IF($AU$11="Yes",INDEX($AP$13:$AP$2950,SMALL(IF((County=$AQ$13:$AQ$2950),MATCH(ROW($AQ$13:$AQ$2950),ROW($AQ$13:$AQ$2950)),""),ROWS($A$13:$A92))),""),"")</f>
        <v/>
      </c>
      <c r="AW92" s="346">
        <v>32908</v>
      </c>
      <c r="AX92" s="345" t="s">
        <v>309</v>
      </c>
      <c r="AZ92" s="345">
        <v>6</v>
      </c>
      <c r="BA92" s="345" t="s">
        <v>345</v>
      </c>
      <c r="BF92" s="347">
        <v>3.09</v>
      </c>
      <c r="BG92" s="347" t="s">
        <v>352</v>
      </c>
      <c r="BH92" s="1790"/>
      <c r="BI92" s="1791">
        <v>32227</v>
      </c>
      <c r="BJ92" s="345" t="s">
        <v>323</v>
      </c>
      <c r="BM92" s="1784"/>
      <c r="BN92" s="345">
        <v>12</v>
      </c>
      <c r="BO92" s="345" t="s">
        <v>306</v>
      </c>
      <c r="BQ92" s="237">
        <v>9900</v>
      </c>
      <c r="BR92" s="237" t="s">
        <v>334</v>
      </c>
      <c r="BT92" s="347">
        <v>631.05999999999995</v>
      </c>
      <c r="BU92" s="347" t="s">
        <v>309</v>
      </c>
      <c r="BW92" s="348" t="str">
        <f t="array" ref="BW92">IFERROR(IF($BW$11="Metro",INDEX($BN$13:$BN$4972,SMALL(IF((County=$BO$13:$BO$4972),MATCH(ROW($BO$13:$BO$4972),ROW($BO$13:$BO$4972)),""),ROWS($A$13:$A92))),INDEX($BQ$13:$BQ$212,SMALL(IF((County=$BR$13:$BR$212),MATCH(ROW($BR$13:$BR$212),ROW($BR$13:$BR$212)),""),ROWS($A$13:$A92)))),"")</f>
        <v/>
      </c>
      <c r="BY92" s="348" t="str">
        <f t="array" ref="BY92">IFERROR(IF($BY$11="Yes",INDEX($BT$13:$BT$2950,SMALL(IF((County=$BU$13:$BU$2950),MATCH(ROW($BU$13:$BU$2950),ROW($BU$13:$BU$2950)),""),ROWS($A$13:$A92))),""),"")</f>
        <v/>
      </c>
      <c r="CA92" s="2298">
        <v>32904</v>
      </c>
      <c r="CB92" s="345" t="s">
        <v>309</v>
      </c>
      <c r="CD92" s="237">
        <v>2.1800000000000002</v>
      </c>
      <c r="CE92" s="237" t="s">
        <v>352</v>
      </c>
      <c r="CG92" s="237">
        <v>9502.01</v>
      </c>
      <c r="CH92" s="237" t="s">
        <v>374</v>
      </c>
      <c r="CJ92" s="347">
        <v>3.04</v>
      </c>
      <c r="CK92" s="347" t="s">
        <v>361</v>
      </c>
      <c r="CL92" s="1789"/>
      <c r="CM92" s="2299"/>
      <c r="CN92" s="345"/>
      <c r="CR92" s="345"/>
      <c r="CS92" s="345"/>
      <c r="CU92" s="345"/>
      <c r="CV92" s="345"/>
      <c r="CX92" s="347"/>
      <c r="CY92" s="347"/>
      <c r="DA92" s="348"/>
      <c r="DC92" s="348"/>
      <c r="DE92" s="1792"/>
      <c r="DF92" s="345"/>
      <c r="DH92" s="237"/>
      <c r="DI92" s="237"/>
      <c r="DK92" s="345"/>
      <c r="DL92" s="345"/>
      <c r="DN92" s="347"/>
      <c r="DO92" s="347"/>
      <c r="DP92" s="2505"/>
      <c r="DV92" s="2865" t="s">
        <v>2651</v>
      </c>
      <c r="DW92" s="2866"/>
      <c r="DX92" s="2867"/>
      <c r="DY92" s="2867"/>
      <c r="DZ92" s="2868"/>
      <c r="EA92" s="2865" t="s">
        <v>2652</v>
      </c>
      <c r="EB92" s="2866"/>
      <c r="EC92" s="2874"/>
    </row>
    <row r="93" spans="1:134" ht="14.45" customHeight="1">
      <c r="A93" s="346">
        <v>33549</v>
      </c>
      <c r="B93" s="345" t="s">
        <v>337</v>
      </c>
      <c r="E93" s="934"/>
      <c r="F93" s="345">
        <v>4502.0200000000004</v>
      </c>
      <c r="G93" s="345" t="s">
        <v>316</v>
      </c>
      <c r="L93" s="347">
        <v>652.30999999999995</v>
      </c>
      <c r="M93" s="347" t="s">
        <v>309</v>
      </c>
      <c r="O93" s="348" t="str">
        <f t="array" ref="O93">IFERROR(IF($O$11="Metro",INDEX($F$13:$F$738,SMALL(IF((County=$G$13:$G$738),MATCH(ROW($G$13:$G$738),ROW($G$13:$G$738)),""),ROWS($A$13:A93))),INDEX($I$13:$I$42,SMALL(IF((County=$J$13:$J$42),MATCH(ROW($J$13:$J$42),ROW($J$13:$J$42)),""),ROWS($A$13:A93)))),"")</f>
        <v/>
      </c>
      <c r="Q93" s="348" t="str">
        <f t="array" ref="Q93">IFERROR(IF($Q$11="Yes",INDEX($L$13:$L$2313,SMALL(IF((County=$M$13:$M$2313),MATCH(ROW($M$13:$M$2313),ROW($M$13:$M$2313)),""),ROWS($A$13:A93))),""),"")</f>
        <v/>
      </c>
      <c r="S93" s="346">
        <v>32951</v>
      </c>
      <c r="T93" s="345" t="s">
        <v>309</v>
      </c>
      <c r="V93" s="345">
        <v>7.1</v>
      </c>
      <c r="W93" s="345" t="s">
        <v>352</v>
      </c>
      <c r="AB93" s="347">
        <v>5.01</v>
      </c>
      <c r="AC93" s="347" t="s">
        <v>368</v>
      </c>
      <c r="AD93" s="1138"/>
      <c r="AE93" s="346">
        <v>33548</v>
      </c>
      <c r="AF93" s="345" t="s">
        <v>337</v>
      </c>
      <c r="AI93" s="934"/>
      <c r="AJ93" s="345">
        <v>1004</v>
      </c>
      <c r="AK93" s="345" t="s">
        <v>310</v>
      </c>
      <c r="AP93" s="347">
        <v>641.27</v>
      </c>
      <c r="AQ93" s="347" t="s">
        <v>309</v>
      </c>
      <c r="AS93" s="348" t="str">
        <f t="array" ref="AS93">IFERROR(IF($AS$11="Metro",INDEX($AJ$13:$AJ$814,SMALL(IF((County=$AK$13:$AK$814),MATCH(ROW($AK$13:$AK$814),ROW($AK$13:$AK$814)),""),ROWS($A$13:$A93))),INDEX($AM$13:$AM$48,SMALL(IF((County=$AN$13:$AN$48),MATCH(ROW($AN$13:$AN$48),ROW($AN$13:$AN$48)),""),ROWS($A$13:$A93)))),"")</f>
        <v/>
      </c>
      <c r="AU93" s="348" t="str">
        <f t="array" ref="AU93">IFERROR(IF($AU$11="Yes",INDEX($AP$13:$AP$2950,SMALL(IF((County=$AQ$13:$AQ$2950),MATCH(ROW($AQ$13:$AQ$2950),ROW($AQ$13:$AQ$2950)),""),ROWS($A$13:$A93))),""),"")</f>
        <v/>
      </c>
      <c r="AW93" s="346">
        <v>32925</v>
      </c>
      <c r="AX93" s="345" t="s">
        <v>309</v>
      </c>
      <c r="AZ93" s="345">
        <v>6.01</v>
      </c>
      <c r="BA93" s="345" t="s">
        <v>352</v>
      </c>
      <c r="BF93" s="347">
        <v>4</v>
      </c>
      <c r="BG93" s="347" t="s">
        <v>351</v>
      </c>
      <c r="BH93" s="1790"/>
      <c r="BI93" s="1791">
        <v>32250</v>
      </c>
      <c r="BJ93" s="345" t="s">
        <v>323</v>
      </c>
      <c r="BM93" s="1784"/>
      <c r="BN93" s="345">
        <v>13.01</v>
      </c>
      <c r="BO93" s="345" t="s">
        <v>306</v>
      </c>
      <c r="BQ93" s="237">
        <v>9601</v>
      </c>
      <c r="BR93" s="237" t="s">
        <v>338</v>
      </c>
      <c r="BT93" s="347">
        <v>631.08000000000004</v>
      </c>
      <c r="BU93" s="347" t="s">
        <v>309</v>
      </c>
      <c r="BW93" s="348" t="str">
        <f t="array" ref="BW93">IFERROR(IF($BW$11="Metro",INDEX($BN$13:$BN$4972,SMALL(IF((County=$BO$13:$BO$4972),MATCH(ROW($BO$13:$BO$4972),ROW($BO$13:$BO$4972)),""),ROWS($A$13:$A93))),INDEX($BQ$13:$BQ$212,SMALL(IF((County=$BR$13:$BR$212),MATCH(ROW($BR$13:$BR$212),ROW($BR$13:$BR$212)),""),ROWS($A$13:$A93)))),"")</f>
        <v/>
      </c>
      <c r="BY93" s="348" t="str">
        <f t="array" ref="BY93">IFERROR(IF($BY$11="Yes",INDEX($BT$13:$BT$2950,SMALL(IF((County=$BU$13:$BU$2950),MATCH(ROW($BU$13:$BU$2950),ROW($BU$13:$BU$2950)),""),ROWS($A$13:$A93))),""),"")</f>
        <v/>
      </c>
      <c r="CA93" s="2298">
        <v>32908</v>
      </c>
      <c r="CB93" s="345" t="s">
        <v>309</v>
      </c>
      <c r="CD93" s="237">
        <v>2.1800000000000002</v>
      </c>
      <c r="CE93" s="237" t="s">
        <v>361</v>
      </c>
      <c r="CG93" s="237">
        <v>9502.02</v>
      </c>
      <c r="CH93" s="237" t="s">
        <v>347</v>
      </c>
      <c r="CJ93" s="347">
        <v>4.01</v>
      </c>
      <c r="CK93" s="347" t="s">
        <v>318</v>
      </c>
      <c r="CL93" s="1789"/>
      <c r="CM93" s="2299"/>
      <c r="CN93" s="345"/>
      <c r="CR93" s="345"/>
      <c r="CS93" s="345"/>
      <c r="CU93" s="345"/>
      <c r="CV93" s="345"/>
      <c r="CX93" s="347"/>
      <c r="CY93" s="347"/>
      <c r="DA93" s="348"/>
      <c r="DC93" s="348"/>
      <c r="DE93" s="1792"/>
      <c r="DF93" s="345"/>
      <c r="DH93" s="237"/>
      <c r="DI93" s="237"/>
      <c r="DK93" s="345"/>
      <c r="DL93" s="345"/>
      <c r="DN93" s="347"/>
      <c r="DO93" s="347"/>
      <c r="DP93" s="2505"/>
      <c r="DV93" s="1487" t="s">
        <v>59</v>
      </c>
      <c r="DW93" s="1492" t="s">
        <v>1962</v>
      </c>
      <c r="DX93" s="2876" t="s">
        <v>59</v>
      </c>
      <c r="DY93" s="2877"/>
      <c r="DZ93" s="2878"/>
      <c r="EA93" s="1493" t="s">
        <v>59</v>
      </c>
      <c r="EB93" s="1485" t="s">
        <v>1962</v>
      </c>
      <c r="EC93" s="1484" t="s">
        <v>59</v>
      </c>
    </row>
    <row r="94" spans="1:134" ht="14.45" customHeight="1">
      <c r="A94" s="346">
        <v>33556</v>
      </c>
      <c r="B94" s="345" t="s">
        <v>337</v>
      </c>
      <c r="E94" s="934"/>
      <c r="F94" s="345">
        <v>4503.03</v>
      </c>
      <c r="G94" s="345" t="s">
        <v>316</v>
      </c>
      <c r="L94" s="347">
        <v>661.01</v>
      </c>
      <c r="M94" s="347" t="s">
        <v>309</v>
      </c>
      <c r="O94" s="348" t="str">
        <f t="array" ref="O94">IFERROR(IF($O$11="Metro",INDEX($F$13:$F$738,SMALL(IF((County=$G$13:$G$738),MATCH(ROW($G$13:$G$738),ROW($G$13:$G$738)),""),ROWS($A$13:A94))),INDEX($I$13:$I$42,SMALL(IF((County=$J$13:$J$42),MATCH(ROW($J$13:$J$42),ROW($J$13:$J$42)),""),ROWS($A$13:A94)))),"")</f>
        <v/>
      </c>
      <c r="Q94" s="348" t="str">
        <f t="array" ref="Q94">IFERROR(IF($Q$11="Yes",INDEX($L$13:$L$2313,SMALL(IF((County=$M$13:$M$2313),MATCH(ROW($M$13:$M$2313),ROW($M$13:$M$2313)),""),ROWS($A$13:A94))),""),"")</f>
        <v/>
      </c>
      <c r="S94" s="346">
        <v>32955</v>
      </c>
      <c r="T94" s="345" t="s">
        <v>309</v>
      </c>
      <c r="V94" s="345">
        <v>7.11</v>
      </c>
      <c r="W94" s="345" t="s">
        <v>352</v>
      </c>
      <c r="AB94" s="347">
        <v>5.0199999999999996</v>
      </c>
      <c r="AC94" s="347" t="s">
        <v>351</v>
      </c>
      <c r="AD94" s="1138"/>
      <c r="AE94" s="346">
        <v>33556</v>
      </c>
      <c r="AF94" s="345" t="s">
        <v>337</v>
      </c>
      <c r="AI94" s="934"/>
      <c r="AJ94" s="345">
        <v>1005.01</v>
      </c>
      <c r="AK94" s="345" t="s">
        <v>310</v>
      </c>
      <c r="AP94" s="347">
        <v>641.28</v>
      </c>
      <c r="AQ94" s="347" t="s">
        <v>309</v>
      </c>
      <c r="AS94" s="348" t="str">
        <f t="array" ref="AS94">IFERROR(IF($AS$11="Metro",INDEX($AJ$13:$AJ$814,SMALL(IF((County=$AK$13:$AK$814),MATCH(ROW($AK$13:$AK$814),ROW($AK$13:$AK$814)),""),ROWS($A$13:$A94))),INDEX($AM$13:$AM$48,SMALL(IF((County=$AN$13:$AN$48),MATCH(ROW($AN$13:$AN$48),ROW($AN$13:$AN$48)),""),ROWS($A$13:$A94)))),"")</f>
        <v/>
      </c>
      <c r="AU94" s="348" t="str">
        <f t="array" ref="AU94">IFERROR(IF($AU$11="Yes",INDEX($AP$13:$AP$2950,SMALL(IF((County=$AQ$13:$AQ$2950),MATCH(ROW($AQ$13:$AQ$2950),ROW($AQ$13:$AQ$2950)),""),ROWS($A$13:$A94))),""),"")</f>
        <v/>
      </c>
      <c r="AW94" s="346">
        <v>32934</v>
      </c>
      <c r="AX94" s="345" t="s">
        <v>309</v>
      </c>
      <c r="AZ94" s="345">
        <v>6.02</v>
      </c>
      <c r="BA94" s="345" t="s">
        <v>337</v>
      </c>
      <c r="BF94" s="347">
        <v>4.01</v>
      </c>
      <c r="BG94" s="347" t="s">
        <v>306</v>
      </c>
      <c r="BH94" s="1790"/>
      <c r="BI94" s="1791">
        <v>32258</v>
      </c>
      <c r="BJ94" s="345" t="s">
        <v>323</v>
      </c>
      <c r="BM94" s="1784"/>
      <c r="BN94" s="345">
        <v>13.02</v>
      </c>
      <c r="BO94" s="345" t="s">
        <v>306</v>
      </c>
      <c r="BQ94" s="237">
        <v>9602.01</v>
      </c>
      <c r="BR94" s="237" t="s">
        <v>338</v>
      </c>
      <c r="BT94" s="347">
        <v>631.09</v>
      </c>
      <c r="BU94" s="347" t="s">
        <v>309</v>
      </c>
      <c r="BW94" s="348" t="str">
        <f t="array" ref="BW94">IFERROR(IF($BW$11="Metro",INDEX($BN$13:$BN$4972,SMALL(IF((County=$BO$13:$BO$4972),MATCH(ROW($BO$13:$BO$4972),ROW($BO$13:$BO$4972)),""),ROWS($A$13:$A94))),INDEX($BQ$13:$BQ$212,SMALL(IF((County=$BR$13:$BR$212),MATCH(ROW($BR$13:$BR$212),ROW($BR$13:$BR$212)),""),ROWS($A$13:$A94)))),"")</f>
        <v/>
      </c>
      <c r="BY94" s="348" t="str">
        <f t="array" ref="BY94">IFERROR(IF($BY$11="Yes",INDEX($BT$13:$BT$2950,SMALL(IF((County=$BU$13:$BU$2950),MATCH(ROW($BU$13:$BU$2950),ROW($BU$13:$BU$2950)),""),ROWS($A$13:$A94))),""),"")</f>
        <v/>
      </c>
      <c r="CA94" s="2298">
        <v>32925</v>
      </c>
      <c r="CB94" s="345" t="s">
        <v>309</v>
      </c>
      <c r="CD94" s="237">
        <v>2.19</v>
      </c>
      <c r="CE94" s="237" t="s">
        <v>352</v>
      </c>
      <c r="CG94" s="237">
        <v>9502.02</v>
      </c>
      <c r="CH94" s="237" t="s">
        <v>366</v>
      </c>
      <c r="CJ94" s="347">
        <v>4.01</v>
      </c>
      <c r="CK94" s="347" t="s">
        <v>334</v>
      </c>
      <c r="CL94" s="1789"/>
      <c r="CM94" s="2299"/>
      <c r="CN94" s="345"/>
      <c r="CR94" s="345"/>
      <c r="CS94" s="345"/>
      <c r="CU94" s="345"/>
      <c r="CV94" s="345"/>
      <c r="CX94" s="347"/>
      <c r="CY94" s="347"/>
      <c r="DA94" s="348"/>
      <c r="DC94" s="348"/>
      <c r="DE94" s="1792"/>
      <c r="DF94" s="345"/>
      <c r="DH94" s="237"/>
      <c r="DI94" s="237"/>
      <c r="DK94" s="345"/>
      <c r="DL94" s="345"/>
      <c r="DN94" s="347"/>
      <c r="DO94" s="347"/>
      <c r="DP94" s="2505"/>
      <c r="DU94" s="1329"/>
      <c r="DV94" s="1486" t="s">
        <v>1997</v>
      </c>
      <c r="DW94" s="1488" t="s">
        <v>737</v>
      </c>
      <c r="DX94" s="2862" t="str">
        <f t="shared" ref="DX94:DX116" si="16">DV94&amp;" - "&amp;DW94</f>
        <v>Allapattah - Tier 1</v>
      </c>
      <c r="DY94" s="2875"/>
      <c r="DZ94" s="2875"/>
      <c r="EA94" s="844" t="s">
        <v>736</v>
      </c>
      <c r="EB94" s="844" t="s">
        <v>737</v>
      </c>
      <c r="EC94" s="592" t="str">
        <f t="shared" ref="EC94:EC103" si="17">EA94&amp;" - "&amp;EB94</f>
        <v>Cutler Ridge - Tier 1</v>
      </c>
    </row>
    <row r="95" spans="1:134" ht="14.45" customHeight="1">
      <c r="A95" s="346">
        <v>33559</v>
      </c>
      <c r="B95" s="345" t="s">
        <v>337</v>
      </c>
      <c r="E95" s="934"/>
      <c r="F95" s="345">
        <v>4508</v>
      </c>
      <c r="G95" s="345" t="s">
        <v>316</v>
      </c>
      <c r="L95" s="347">
        <v>661.03</v>
      </c>
      <c r="M95" s="347" t="s">
        <v>309</v>
      </c>
      <c r="O95" s="348" t="str">
        <f t="array" ref="O95">IFERROR(IF($O$11="Metro",INDEX($F$13:$F$738,SMALL(IF((County=$G$13:$G$738),MATCH(ROW($G$13:$G$738),ROW($G$13:$G$738)),""),ROWS($A$13:A95))),INDEX($I$13:$I$42,SMALL(IF((County=$J$13:$J$42),MATCH(ROW($J$13:$J$42),ROW($J$13:$J$42)),""),ROWS($A$13:A95)))),"")</f>
        <v/>
      </c>
      <c r="Q95" s="348" t="str">
        <f t="array" ref="Q95">IFERROR(IF($Q$11="Yes",INDEX($L$13:$L$2313,SMALL(IF((County=$M$13:$M$2313),MATCH(ROW($M$13:$M$2313),ROW($M$13:$M$2313)),""),ROWS($A$13:A95))),""),"")</f>
        <v/>
      </c>
      <c r="S95" s="346">
        <v>32963</v>
      </c>
      <c r="T95" s="345" t="s">
        <v>339</v>
      </c>
      <c r="V95" s="345">
        <v>7.12</v>
      </c>
      <c r="W95" s="345" t="s">
        <v>352</v>
      </c>
      <c r="AB95" s="347">
        <v>5.0199999999999996</v>
      </c>
      <c r="AC95" s="347" t="s">
        <v>368</v>
      </c>
      <c r="AD95" s="1138"/>
      <c r="AE95" s="346">
        <v>33559</v>
      </c>
      <c r="AF95" s="345" t="s">
        <v>337</v>
      </c>
      <c r="AI95" s="934"/>
      <c r="AJ95" s="345">
        <v>1005.02</v>
      </c>
      <c r="AK95" s="345" t="s">
        <v>310</v>
      </c>
      <c r="AP95" s="347">
        <v>641.29999999999995</v>
      </c>
      <c r="AQ95" s="347" t="s">
        <v>309</v>
      </c>
      <c r="AS95" s="348" t="str">
        <f t="array" ref="AS95">IFERROR(IF($AS$11="Metro",INDEX($AJ$13:$AJ$814,SMALL(IF((County=$AK$13:$AK$814),MATCH(ROW($AK$13:$AK$814),ROW($AK$13:$AK$814)),""),ROWS($A$13:$A95))),INDEX($AM$13:$AM$48,SMALL(IF((County=$AN$13:$AN$48),MATCH(ROW($AN$13:$AN$48),ROW($AN$13:$AN$48)),""),ROWS($A$13:$A95)))),"")</f>
        <v/>
      </c>
      <c r="AU95" s="348" t="str">
        <f t="array" ref="AU95">IFERROR(IF($AU$11="Yes",INDEX($AP$13:$AP$2950,SMALL(IF((County=$AQ$13:$AQ$2950),MATCH(ROW($AQ$13:$AQ$2950),ROW($AQ$13:$AQ$2950)),""),ROWS($A$13:$A95))),""),"")</f>
        <v/>
      </c>
      <c r="AW95" s="346">
        <v>32937</v>
      </c>
      <c r="AX95" s="345" t="s">
        <v>309</v>
      </c>
      <c r="AZ95" s="345">
        <v>6.03</v>
      </c>
      <c r="BA95" s="345" t="s">
        <v>349</v>
      </c>
      <c r="BF95" s="347">
        <v>4.01</v>
      </c>
      <c r="BG95" s="347" t="s">
        <v>318</v>
      </c>
      <c r="BH95" s="1790"/>
      <c r="BI95" s="2299">
        <v>32508</v>
      </c>
      <c r="BJ95" s="345" t="s">
        <v>325</v>
      </c>
      <c r="BM95" s="1784"/>
      <c r="BN95" s="345">
        <v>14.02</v>
      </c>
      <c r="BO95" s="345" t="s">
        <v>306</v>
      </c>
      <c r="BQ95" s="237">
        <v>9602.02</v>
      </c>
      <c r="BR95" s="237" t="s">
        <v>338</v>
      </c>
      <c r="BT95" s="347">
        <v>641.02</v>
      </c>
      <c r="BU95" s="347" t="s">
        <v>309</v>
      </c>
      <c r="BW95" s="348" t="str">
        <f t="array" ref="BW95">IFERROR(IF($BW$11="Metro",INDEX($BN$13:$BN$4972,SMALL(IF((County=$BO$13:$BO$4972),MATCH(ROW($BO$13:$BO$4972),ROW($BO$13:$BO$4972)),""),ROWS($A$13:$A95))),INDEX($BQ$13:$BQ$212,SMALL(IF((County=$BR$13:$BR$212),MATCH(ROW($BR$13:$BR$212),ROW($BR$13:$BR$212)),""),ROWS($A$13:$A95)))),"")</f>
        <v/>
      </c>
      <c r="BY95" s="348" t="str">
        <f t="array" ref="BY95">IFERROR(IF($BY$11="Yes",INDEX($BT$13:$BT$2950,SMALL(IF((County=$BU$13:$BU$2950),MATCH(ROW($BU$13:$BU$2950),ROW($BU$13:$BU$2950)),""),ROWS($A$13:$A95))),""),"")</f>
        <v/>
      </c>
      <c r="CA95" s="2298">
        <v>32934</v>
      </c>
      <c r="CB95" s="345" t="s">
        <v>309</v>
      </c>
      <c r="CD95" s="237">
        <v>2.19</v>
      </c>
      <c r="CE95" s="237" t="s">
        <v>361</v>
      </c>
      <c r="CG95" s="237">
        <v>9502.02</v>
      </c>
      <c r="CH95" s="237" t="s">
        <v>374</v>
      </c>
      <c r="CJ95" s="347">
        <v>4.01</v>
      </c>
      <c r="CK95" s="347" t="s">
        <v>344</v>
      </c>
      <c r="CL95" s="1789"/>
      <c r="CM95" s="2299"/>
      <c r="CN95" s="345"/>
      <c r="CR95" s="345"/>
      <c r="CS95" s="345"/>
      <c r="CU95" s="345"/>
      <c r="CV95" s="345"/>
      <c r="CX95" s="347"/>
      <c r="CY95" s="347"/>
      <c r="DA95" s="348"/>
      <c r="DC95" s="348"/>
      <c r="DE95" s="1792"/>
      <c r="DF95" s="345"/>
      <c r="DH95" s="237"/>
      <c r="DI95" s="237"/>
      <c r="DK95" s="345"/>
      <c r="DL95" s="345"/>
      <c r="DN95" s="347"/>
      <c r="DO95" s="347"/>
      <c r="DP95" s="2505"/>
      <c r="DU95" s="1329"/>
      <c r="DV95" s="1348" t="s">
        <v>2143</v>
      </c>
      <c r="DW95" s="1488" t="s">
        <v>737</v>
      </c>
      <c r="DX95" s="2862" t="str">
        <f t="shared" si="16"/>
        <v>Brickell - Tier 1</v>
      </c>
      <c r="DY95" s="2863"/>
      <c r="DZ95" s="2863"/>
      <c r="EA95" s="844" t="s">
        <v>738</v>
      </c>
      <c r="EB95" s="844" t="s">
        <v>737</v>
      </c>
      <c r="EC95" s="592" t="str">
        <f t="shared" si="17"/>
        <v>Downtown Kendall - Tier 1</v>
      </c>
    </row>
    <row r="96" spans="1:134" ht="14.45" customHeight="1">
      <c r="A96" s="346">
        <v>33569</v>
      </c>
      <c r="B96" s="345" t="s">
        <v>337</v>
      </c>
      <c r="E96" s="934"/>
      <c r="F96" s="345">
        <v>4514</v>
      </c>
      <c r="G96" s="345" t="s">
        <v>316</v>
      </c>
      <c r="L96" s="347">
        <v>661.04</v>
      </c>
      <c r="M96" s="347" t="s">
        <v>309</v>
      </c>
      <c r="O96" s="348" t="str">
        <f t="array" ref="O96">IFERROR(IF($O$11="Metro",INDEX($F$13:$F$738,SMALL(IF((County=$G$13:$G$738),MATCH(ROW($G$13:$G$738),ROW($G$13:$G$738)),""),ROWS($A$13:A96))),INDEX($I$13:$I$42,SMALL(IF((County=$J$13:$J$42),MATCH(ROW($J$13:$J$42),ROW($J$13:$J$42)),""),ROWS($A$13:A96)))),"")</f>
        <v/>
      </c>
      <c r="Q96" s="348" t="str">
        <f t="array" ref="Q96">IFERROR(IF($Q$11="Yes",INDEX($L$13:$L$2313,SMALL(IF((County=$M$13:$M$2313),MATCH(ROW($M$13:$M$2313),ROW($M$13:$M$2313)),""),ROWS($A$13:A96))),""),"")</f>
        <v/>
      </c>
      <c r="S96" s="346">
        <v>32968</v>
      </c>
      <c r="T96" s="345" t="s">
        <v>339</v>
      </c>
      <c r="V96" s="345">
        <v>8</v>
      </c>
      <c r="W96" s="345" t="s">
        <v>337</v>
      </c>
      <c r="AB96" s="347">
        <v>5.03</v>
      </c>
      <c r="AC96" s="347" t="s">
        <v>349</v>
      </c>
      <c r="AD96" s="1138"/>
      <c r="AE96" s="346">
        <v>33569</v>
      </c>
      <c r="AF96" s="345" t="s">
        <v>337</v>
      </c>
      <c r="AI96" s="934"/>
      <c r="AJ96" s="345">
        <v>1007</v>
      </c>
      <c r="AK96" s="345" t="s">
        <v>310</v>
      </c>
      <c r="AP96" s="347">
        <v>643.02</v>
      </c>
      <c r="AQ96" s="347" t="s">
        <v>309</v>
      </c>
      <c r="AS96" s="348" t="str">
        <f t="array" ref="AS96">IFERROR(IF($AS$11="Metro",INDEX($AJ$13:$AJ$814,SMALL(IF((County=$AK$13:$AK$814),MATCH(ROW($AK$13:$AK$814),ROW($AK$13:$AK$814)),""),ROWS($A$13:$A96))),INDEX($AM$13:$AM$48,SMALL(IF((County=$AN$13:$AN$48),MATCH(ROW($AN$13:$AN$48),ROW($AN$13:$AN$48)),""),ROWS($A$13:$A96)))),"")</f>
        <v/>
      </c>
      <c r="AU96" s="348" t="str">
        <f t="array" ref="AU96">IFERROR(IF($AU$11="Yes",INDEX($AP$13:$AP$2950,SMALL(IF((County=$AQ$13:$AQ$2950),MATCH(ROW($AQ$13:$AQ$2950),ROW($AQ$13:$AQ$2950)),""),ROWS($A$13:$A96))),""),"")</f>
        <v/>
      </c>
      <c r="AW96" s="346">
        <v>32940</v>
      </c>
      <c r="AX96" s="345" t="s">
        <v>309</v>
      </c>
      <c r="AZ96" s="345">
        <v>6.03</v>
      </c>
      <c r="BA96" s="345" t="s">
        <v>352</v>
      </c>
      <c r="BF96" s="347">
        <v>4.01</v>
      </c>
      <c r="BG96" s="347" t="s">
        <v>334</v>
      </c>
      <c r="BH96" s="1790"/>
      <c r="BI96" s="1791">
        <v>32137</v>
      </c>
      <c r="BJ96" s="345" t="s">
        <v>326</v>
      </c>
      <c r="BM96" s="1784"/>
      <c r="BN96" s="345">
        <v>14.03</v>
      </c>
      <c r="BO96" s="345" t="s">
        <v>306</v>
      </c>
      <c r="BQ96" s="237">
        <v>9603</v>
      </c>
      <c r="BR96" s="237" t="s">
        <v>338</v>
      </c>
      <c r="BT96" s="347">
        <v>641.23</v>
      </c>
      <c r="BU96" s="347" t="s">
        <v>309</v>
      </c>
      <c r="BW96" s="348" t="str">
        <f t="array" ref="BW96">IFERROR(IF($BW$11="Metro",INDEX($BN$13:$BN$4972,SMALL(IF((County=$BO$13:$BO$4972),MATCH(ROW($BO$13:$BO$4972),ROW($BO$13:$BO$4972)),""),ROWS($A$13:$A96))),INDEX($BQ$13:$BQ$212,SMALL(IF((County=$BR$13:$BR$212),MATCH(ROW($BR$13:$BR$212),ROW($BR$13:$BR$212)),""),ROWS($A$13:$A96)))),"")</f>
        <v/>
      </c>
      <c r="BY96" s="348" t="str">
        <f t="array" ref="BY96">IFERROR(IF($BY$11="Yes",INDEX($BT$13:$BT$2950,SMALL(IF((County=$BU$13:$BU$2950),MATCH(ROW($BU$13:$BU$2950),ROW($BU$13:$BU$2950)),""),ROWS($A$13:$A96))),""),"")</f>
        <v/>
      </c>
      <c r="CA96" s="2298">
        <v>32937</v>
      </c>
      <c r="CB96" s="345" t="s">
        <v>309</v>
      </c>
      <c r="CD96" s="237">
        <v>2.2000000000000002</v>
      </c>
      <c r="CE96" s="237" t="s">
        <v>352</v>
      </c>
      <c r="CG96" s="237">
        <v>9503</v>
      </c>
      <c r="CH96" s="237" t="s">
        <v>366</v>
      </c>
      <c r="CJ96" s="347">
        <v>4.01</v>
      </c>
      <c r="CK96" s="347" t="s">
        <v>350</v>
      </c>
      <c r="CL96" s="1789"/>
      <c r="CM96" s="2299"/>
      <c r="CN96" s="345"/>
      <c r="CR96" s="345"/>
      <c r="CS96" s="345"/>
      <c r="CU96" s="345"/>
      <c r="CV96" s="345"/>
      <c r="CX96" s="347"/>
      <c r="CY96" s="347"/>
      <c r="DA96" s="348"/>
      <c r="DC96" s="348"/>
      <c r="DE96" s="1792"/>
      <c r="DF96" s="345"/>
      <c r="DH96" s="237"/>
      <c r="DI96" s="237"/>
      <c r="DK96" s="345"/>
      <c r="DL96" s="345"/>
      <c r="DN96" s="347"/>
      <c r="DO96" s="347"/>
      <c r="DP96" s="2505"/>
      <c r="DU96" s="1329"/>
      <c r="DV96" s="1348" t="s">
        <v>2158</v>
      </c>
      <c r="DW96" s="1488" t="s">
        <v>740</v>
      </c>
      <c r="DX96" s="2862" t="str">
        <f t="shared" si="16"/>
        <v>Brownsville - Tier 2</v>
      </c>
      <c r="DY96" s="2863"/>
      <c r="DZ96" s="2863"/>
      <c r="EA96" s="844" t="s">
        <v>739</v>
      </c>
      <c r="EB96" s="844" t="s">
        <v>737</v>
      </c>
      <c r="EC96" s="592" t="str">
        <f t="shared" si="17"/>
        <v>Goulds - Tier 1</v>
      </c>
    </row>
    <row r="97" spans="1:133" ht="14.45" customHeight="1">
      <c r="A97" s="346">
        <v>33572</v>
      </c>
      <c r="B97" s="345" t="s">
        <v>337</v>
      </c>
      <c r="E97" s="934"/>
      <c r="F97" s="345">
        <v>304</v>
      </c>
      <c r="G97" s="345" t="s">
        <v>317</v>
      </c>
      <c r="L97" s="347">
        <v>662</v>
      </c>
      <c r="M97" s="347" t="s">
        <v>309</v>
      </c>
      <c r="O97" s="348" t="str">
        <f t="array" ref="O97">IFERROR(IF($O$11="Metro",INDEX($F$13:$F$738,SMALL(IF((County=$G$13:$G$738),MATCH(ROW($G$13:$G$738),ROW($G$13:$G$738)),""),ROWS($A$13:A97))),INDEX($I$13:$I$42,SMALL(IF((County=$J$13:$J$42),MATCH(ROW($J$13:$J$42),ROW($J$13:$J$42)),""),ROWS($A$13:A97)))),"")</f>
        <v/>
      </c>
      <c r="Q97" s="348" t="str">
        <f t="array" ref="Q97">IFERROR(IF($Q$11="Yes",INDEX($L$13:$L$2313,SMALL(IF((County=$M$13:$M$2313),MATCH(ROW($M$13:$M$2313),ROW($M$13:$M$2313)),""),ROWS($A$13:A97))),""),"")</f>
        <v/>
      </c>
      <c r="S97" s="346">
        <v>33014</v>
      </c>
      <c r="T97" s="345" t="s">
        <v>352</v>
      </c>
      <c r="V97" s="345">
        <v>8</v>
      </c>
      <c r="W97" s="345" t="s">
        <v>351</v>
      </c>
      <c r="AB97" s="347">
        <v>5.05</v>
      </c>
      <c r="AC97" s="347" t="s">
        <v>361</v>
      </c>
      <c r="AD97" s="1138"/>
      <c r="AE97" s="346">
        <v>33572</v>
      </c>
      <c r="AF97" s="345" t="s">
        <v>337</v>
      </c>
      <c r="AI97" s="934"/>
      <c r="AJ97" s="345">
        <v>1008.01</v>
      </c>
      <c r="AK97" s="345" t="s">
        <v>310</v>
      </c>
      <c r="AP97" s="347">
        <v>644</v>
      </c>
      <c r="AQ97" s="347" t="s">
        <v>309</v>
      </c>
      <c r="AS97" s="348" t="str">
        <f t="array" ref="AS97">IFERROR(IF($AS$11="Metro",INDEX($AJ$13:$AJ$814,SMALL(IF((County=$AK$13:$AK$814),MATCH(ROW($AK$13:$AK$814),ROW($AK$13:$AK$814)),""),ROWS($A$13:$A97))),INDEX($AM$13:$AM$48,SMALL(IF((County=$AN$13:$AN$48),MATCH(ROW($AN$13:$AN$48),ROW($AN$13:$AN$48)),""),ROWS($A$13:$A97)))),"")</f>
        <v/>
      </c>
      <c r="AU97" s="348" t="str">
        <f t="array" ref="AU97">IFERROR(IF($AU$11="Yes",INDEX($AP$13:$AP$2950,SMALL(IF((County=$AQ$13:$AQ$2950),MATCH(ROW($AQ$13:$AQ$2950),ROW($AQ$13:$AQ$2950)),""),ROWS($A$13:$A97))),""),"")</f>
        <v/>
      </c>
      <c r="AW97" s="346">
        <v>32951</v>
      </c>
      <c r="AX97" s="345" t="s">
        <v>309</v>
      </c>
      <c r="AZ97" s="345">
        <v>6.04</v>
      </c>
      <c r="BA97" s="345" t="s">
        <v>349</v>
      </c>
      <c r="BF97" s="347">
        <v>4.01</v>
      </c>
      <c r="BG97" s="347" t="s">
        <v>344</v>
      </c>
      <c r="BH97" s="1790"/>
      <c r="BI97" s="2299">
        <v>32456</v>
      </c>
      <c r="BJ97" s="345" t="s">
        <v>331</v>
      </c>
      <c r="BM97" s="1784"/>
      <c r="BN97" s="345">
        <v>14.04</v>
      </c>
      <c r="BO97" s="345" t="s">
        <v>306</v>
      </c>
      <c r="BQ97" s="237">
        <v>9604.01</v>
      </c>
      <c r="BR97" s="237" t="s">
        <v>338</v>
      </c>
      <c r="BT97" s="347">
        <v>641.26</v>
      </c>
      <c r="BU97" s="347" t="s">
        <v>309</v>
      </c>
      <c r="BW97" s="348" t="str">
        <f t="array" ref="BW97">IFERROR(IF($BW$11="Metro",INDEX($BN$13:$BN$4972,SMALL(IF((County=$BO$13:$BO$4972),MATCH(ROW($BO$13:$BO$4972),ROW($BO$13:$BO$4972)),""),ROWS($A$13:$A97))),INDEX($BQ$13:$BQ$212,SMALL(IF((County=$BR$13:$BR$212),MATCH(ROW($BR$13:$BR$212),ROW($BR$13:$BR$212)),""),ROWS($A$13:$A97)))),"")</f>
        <v/>
      </c>
      <c r="BY97" s="348" t="str">
        <f t="array" ref="BY97">IFERROR(IF($BY$11="Yes",INDEX($BT$13:$BT$2950,SMALL(IF((County=$BU$13:$BU$2950),MATCH(ROW($BU$13:$BU$2950),ROW($BU$13:$BU$2950)),""),ROWS($A$13:$A97))),""),"")</f>
        <v/>
      </c>
      <c r="CA97" s="2298">
        <v>32940</v>
      </c>
      <c r="CB97" s="345" t="s">
        <v>309</v>
      </c>
      <c r="CD97" s="237">
        <v>2.2000000000000002</v>
      </c>
      <c r="CE97" s="237" t="s">
        <v>361</v>
      </c>
      <c r="CG97" s="237">
        <v>9503.01</v>
      </c>
      <c r="CH97" s="237" t="s">
        <v>374</v>
      </c>
      <c r="CJ97" s="347">
        <v>4.0199999999999996</v>
      </c>
      <c r="CK97" s="347" t="s">
        <v>318</v>
      </c>
      <c r="CL97" s="1789"/>
      <c r="CM97" s="2299"/>
      <c r="CN97" s="345"/>
      <c r="CR97" s="345"/>
      <c r="CS97" s="345"/>
      <c r="CU97" s="345"/>
      <c r="CV97" s="345"/>
      <c r="CX97" s="347"/>
      <c r="CY97" s="347"/>
      <c r="DA97" s="348"/>
      <c r="DC97" s="348"/>
      <c r="DE97" s="1792"/>
      <c r="DF97" s="345"/>
      <c r="DH97" s="237"/>
      <c r="DI97" s="237"/>
      <c r="DK97" s="345"/>
      <c r="DL97" s="345"/>
      <c r="DN97" s="347"/>
      <c r="DO97" s="347"/>
      <c r="DP97" s="2505"/>
      <c r="DU97" s="1329"/>
      <c r="DV97" s="1486" t="s">
        <v>1998</v>
      </c>
      <c r="DW97" s="1488" t="s">
        <v>737</v>
      </c>
      <c r="DX97" s="2862" t="str">
        <f t="shared" si="16"/>
        <v>Civic Center - Tier 1</v>
      </c>
      <c r="DY97" s="2863"/>
      <c r="DZ97" s="2863"/>
      <c r="EA97" s="844" t="s">
        <v>741</v>
      </c>
      <c r="EB97" s="844" t="s">
        <v>740</v>
      </c>
      <c r="EC97" s="592" t="str">
        <f t="shared" si="17"/>
        <v>Leisure City - Tier 2</v>
      </c>
    </row>
    <row r="98" spans="1:133" ht="14.45" customHeight="1">
      <c r="A98" s="346">
        <v>33573</v>
      </c>
      <c r="B98" s="345" t="s">
        <v>337</v>
      </c>
      <c r="E98" s="934"/>
      <c r="F98" s="345">
        <v>7</v>
      </c>
      <c r="G98" s="345" t="s">
        <v>318</v>
      </c>
      <c r="L98" s="347">
        <v>663.01</v>
      </c>
      <c r="M98" s="347" t="s">
        <v>309</v>
      </c>
      <c r="O98" s="348" t="str">
        <f t="array" ref="O98">IFERROR(IF($O$11="Metro",INDEX($F$13:$F$738,SMALL(IF((County=$G$13:$G$738),MATCH(ROW($G$13:$G$738),ROW($G$13:$G$738)),""),ROWS($A$13:A98))),INDEX($I$13:$I$42,SMALL(IF((County=$J$13:$J$42),MATCH(ROW($J$13:$J$42),ROW($J$13:$J$42)),""),ROWS($A$13:A98)))),"")</f>
        <v/>
      </c>
      <c r="Q98" s="348" t="str">
        <f t="array" ref="Q98">IFERROR(IF($Q$11="Yes",INDEX($L$13:$L$2313,SMALL(IF((County=$M$13:$M$2313),MATCH(ROW($M$13:$M$2313),ROW($M$13:$M$2313)),""),ROWS($A$13:A98))),""),"")</f>
        <v/>
      </c>
      <c r="S98" s="346">
        <v>33015</v>
      </c>
      <c r="T98" s="345" t="s">
        <v>352</v>
      </c>
      <c r="V98" s="345">
        <v>8.0299999999999994</v>
      </c>
      <c r="W98" s="345" t="s">
        <v>306</v>
      </c>
      <c r="AB98" s="347">
        <v>5.07</v>
      </c>
      <c r="AC98" s="347" t="s">
        <v>361</v>
      </c>
      <c r="AD98" s="1138"/>
      <c r="AE98" s="346">
        <v>33573</v>
      </c>
      <c r="AF98" s="345" t="s">
        <v>337</v>
      </c>
      <c r="AI98" s="934"/>
      <c r="AJ98" s="345">
        <v>1103.3399999999999</v>
      </c>
      <c r="AK98" s="345" t="s">
        <v>310</v>
      </c>
      <c r="AP98" s="347">
        <v>646.01</v>
      </c>
      <c r="AQ98" s="347" t="s">
        <v>309</v>
      </c>
      <c r="AS98" s="348" t="str">
        <f t="array" ref="AS98">IFERROR(IF($AS$11="Metro",INDEX($AJ$13:$AJ$814,SMALL(IF((County=$AK$13:$AK$814),MATCH(ROW($AK$13:$AK$814),ROW($AK$13:$AK$814)),""),ROWS($A$13:$A98))),INDEX($AM$13:$AM$48,SMALL(IF((County=$AN$13:$AN$48),MATCH(ROW($AN$13:$AN$48),ROW($AN$13:$AN$48)),""),ROWS($A$13:$A98)))),"")</f>
        <v/>
      </c>
      <c r="AU98" s="348" t="str">
        <f t="array" ref="AU98">IFERROR(IF($AU$11="Yes",INDEX($AP$13:$AP$2950,SMALL(IF((County=$AQ$13:$AQ$2950),MATCH(ROW($AQ$13:$AQ$2950),ROW($AQ$13:$AQ$2950)),""),ROWS($A$13:$A98))),""),"")</f>
        <v/>
      </c>
      <c r="AW98" s="346">
        <v>32955</v>
      </c>
      <c r="AX98" s="345" t="s">
        <v>309</v>
      </c>
      <c r="AZ98" s="345">
        <v>6.04</v>
      </c>
      <c r="BA98" s="345" t="s">
        <v>350</v>
      </c>
      <c r="BF98" s="347">
        <v>4.01</v>
      </c>
      <c r="BG98" s="347" t="s">
        <v>350</v>
      </c>
      <c r="BH98" s="1790"/>
      <c r="BI98" s="2299">
        <v>34609</v>
      </c>
      <c r="BJ98" s="345" t="s">
        <v>335</v>
      </c>
      <c r="BM98" s="1784"/>
      <c r="BN98" s="345">
        <v>15.01</v>
      </c>
      <c r="BO98" s="345" t="s">
        <v>306</v>
      </c>
      <c r="BQ98" s="237">
        <v>9604.02</v>
      </c>
      <c r="BR98" s="237" t="s">
        <v>338</v>
      </c>
      <c r="BT98" s="347">
        <v>641.27</v>
      </c>
      <c r="BU98" s="347" t="s">
        <v>309</v>
      </c>
      <c r="BW98" s="348" t="str">
        <f t="array" ref="BW98">IFERROR(IF($BW$11="Metro",INDEX($BN$13:$BN$4972,SMALL(IF((County=$BO$13:$BO$4972),MATCH(ROW($BO$13:$BO$4972),ROW($BO$13:$BO$4972)),""),ROWS($A$13:$A98))),INDEX($BQ$13:$BQ$212,SMALL(IF((County=$BR$13:$BR$212),MATCH(ROW($BR$13:$BR$212),ROW($BR$13:$BR$212)),""),ROWS($A$13:$A98)))),"")</f>
        <v/>
      </c>
      <c r="BY98" s="348" t="str">
        <f t="array" ref="BY98">IFERROR(IF($BY$11="Yes",INDEX($BT$13:$BT$2950,SMALL(IF((County=$BU$13:$BU$2950),MATCH(ROW($BU$13:$BU$2950),ROW($BU$13:$BU$2950)),""),ROWS($A$13:$A98))),""),"")</f>
        <v/>
      </c>
      <c r="CA98" s="2298">
        <v>32950</v>
      </c>
      <c r="CB98" s="345" t="s">
        <v>309</v>
      </c>
      <c r="CD98" s="237">
        <v>2.21</v>
      </c>
      <c r="CE98" s="237" t="s">
        <v>352</v>
      </c>
      <c r="CG98" s="237">
        <v>9503.02</v>
      </c>
      <c r="CH98" s="237" t="s">
        <v>374</v>
      </c>
      <c r="CJ98" s="347">
        <v>4.0199999999999996</v>
      </c>
      <c r="CK98" s="347" t="s">
        <v>344</v>
      </c>
      <c r="CL98" s="1789"/>
      <c r="CM98" s="2299"/>
      <c r="CN98" s="345"/>
      <c r="CR98" s="345"/>
      <c r="CS98" s="345"/>
      <c r="CU98" s="345"/>
      <c r="CV98" s="345"/>
      <c r="CX98" s="347"/>
      <c r="CY98" s="347"/>
      <c r="DA98" s="348"/>
      <c r="DC98" s="348"/>
      <c r="DE98" s="1792"/>
      <c r="DF98" s="345"/>
      <c r="DH98" s="237"/>
      <c r="DI98" s="237"/>
      <c r="DK98" s="345"/>
      <c r="DL98" s="345"/>
      <c r="DN98" s="347"/>
      <c r="DO98" s="347"/>
      <c r="DP98" s="2505"/>
      <c r="DU98" s="1329"/>
      <c r="DV98" s="1486" t="s">
        <v>1999</v>
      </c>
      <c r="DW98" s="1488" t="s">
        <v>737</v>
      </c>
      <c r="DX98" s="2862" t="str">
        <f t="shared" si="16"/>
        <v>Coconut Grove - Tier 1</v>
      </c>
      <c r="DY98" s="2863"/>
      <c r="DZ98" s="2863"/>
      <c r="EA98" s="844" t="s">
        <v>742</v>
      </c>
      <c r="EB98" s="844" t="s">
        <v>740</v>
      </c>
      <c r="EC98" s="592" t="str">
        <f t="shared" si="17"/>
        <v>Model City - Tier 2</v>
      </c>
    </row>
    <row r="99" spans="1:133" ht="14.45" customHeight="1">
      <c r="A99" s="346">
        <v>33578</v>
      </c>
      <c r="B99" s="345" t="s">
        <v>337</v>
      </c>
      <c r="E99" s="934"/>
      <c r="F99" s="345">
        <v>104.1</v>
      </c>
      <c r="G99" s="345" t="s">
        <v>318</v>
      </c>
      <c r="L99" s="347">
        <v>663.02</v>
      </c>
      <c r="M99" s="347" t="s">
        <v>309</v>
      </c>
      <c r="O99" s="348" t="str">
        <f t="array" ref="O99">IFERROR(IF($O$11="Metro",INDEX($F$13:$F$738,SMALL(IF((County=$G$13:$G$738),MATCH(ROW($G$13:$G$738),ROW($G$13:$G$738)),""),ROWS($A$13:A99))),INDEX($I$13:$I$42,SMALL(IF((County=$J$13:$J$42),MATCH(ROW($J$13:$J$42),ROW($J$13:$J$42)),""),ROWS($A$13:A99)))),"")</f>
        <v/>
      </c>
      <c r="Q99" s="348" t="str">
        <f t="array" ref="Q99">IFERROR(IF($Q$11="Yes",INDEX($L$13:$L$2313,SMALL(IF((County=$M$13:$M$2313),MATCH(ROW($M$13:$M$2313),ROW($M$13:$M$2313)),""),ROWS($A$13:A99))),""),"")</f>
        <v/>
      </c>
      <c r="S99" s="346">
        <v>33018</v>
      </c>
      <c r="T99" s="345" t="s">
        <v>352</v>
      </c>
      <c r="V99" s="345">
        <v>8.0399999999999991</v>
      </c>
      <c r="W99" s="345" t="s">
        <v>352</v>
      </c>
      <c r="AB99" s="347">
        <v>5.09</v>
      </c>
      <c r="AC99" s="347" t="s">
        <v>361</v>
      </c>
      <c r="AD99" s="1138"/>
      <c r="AE99" s="346">
        <v>33578</v>
      </c>
      <c r="AF99" s="345" t="s">
        <v>337</v>
      </c>
      <c r="AI99" s="934"/>
      <c r="AJ99" s="345">
        <v>1103.54</v>
      </c>
      <c r="AK99" s="345" t="s">
        <v>310</v>
      </c>
      <c r="AP99" s="347">
        <v>647.02</v>
      </c>
      <c r="AQ99" s="347" t="s">
        <v>309</v>
      </c>
      <c r="AS99" s="348" t="str">
        <f t="array" ref="AS99">IFERROR(IF($AS$11="Metro",INDEX($AJ$13:$AJ$814,SMALL(IF((County=$AK$13:$AK$814),MATCH(ROW($AK$13:$AK$814),ROW($AK$13:$AK$814)),""),ROWS($A$13:$A99))),INDEX($AM$13:$AM$48,SMALL(IF((County=$AN$13:$AN$48),MATCH(ROW($AN$13:$AN$48),ROW($AN$13:$AN$48)),""),ROWS($A$13:$A99)))),"")</f>
        <v/>
      </c>
      <c r="AU99" s="348" t="str">
        <f t="array" ref="AU99">IFERROR(IF($AU$11="Yes",INDEX($AP$13:$AP$2950,SMALL(IF((County=$AQ$13:$AQ$2950),MATCH(ROW($AQ$13:$AQ$2950),ROW($AQ$13:$AQ$2950)),""),ROWS($A$13:$A99))),""),"")</f>
        <v/>
      </c>
      <c r="AW99" s="346">
        <v>32963</v>
      </c>
      <c r="AX99" s="345" t="s">
        <v>339</v>
      </c>
      <c r="AZ99" s="345">
        <v>6.07</v>
      </c>
      <c r="BA99" s="345" t="s">
        <v>352</v>
      </c>
      <c r="BF99" s="347">
        <v>4.0199999999999996</v>
      </c>
      <c r="BG99" s="347" t="s">
        <v>306</v>
      </c>
      <c r="BH99" s="1790"/>
      <c r="BI99" s="2299">
        <v>33876</v>
      </c>
      <c r="BJ99" s="345" t="s">
        <v>336</v>
      </c>
      <c r="BM99" s="1784"/>
      <c r="BN99" s="345">
        <v>15.02</v>
      </c>
      <c r="BO99" s="345" t="s">
        <v>306</v>
      </c>
      <c r="BQ99" s="237">
        <v>9604.0300000000007</v>
      </c>
      <c r="BR99" s="237" t="s">
        <v>338</v>
      </c>
      <c r="BT99" s="347">
        <v>641.28</v>
      </c>
      <c r="BU99" s="347" t="s">
        <v>309</v>
      </c>
      <c r="BW99" s="348" t="str">
        <f t="array" ref="BW99">IFERROR(IF($BW$11="Metro",INDEX($BN$13:$BN$4972,SMALL(IF((County=$BO$13:$BO$4972),MATCH(ROW($BO$13:$BO$4972),ROW($BO$13:$BO$4972)),""),ROWS($A$13:$A99))),INDEX($BQ$13:$BQ$212,SMALL(IF((County=$BR$13:$BR$212),MATCH(ROW($BR$13:$BR$212),ROW($BR$13:$BR$212)),""),ROWS($A$13:$A99)))),"")</f>
        <v/>
      </c>
      <c r="BY99" s="348" t="str">
        <f t="array" ref="BY99">IFERROR(IF($BY$11="Yes",INDEX($BT$13:$BT$2950,SMALL(IF((County=$BU$13:$BU$2950),MATCH(ROW($BU$13:$BU$2950),ROW($BU$13:$BU$2950)),""),ROWS($A$13:$A99))),""),"")</f>
        <v/>
      </c>
      <c r="CA99" s="2298">
        <v>32951</v>
      </c>
      <c r="CB99" s="345" t="s">
        <v>309</v>
      </c>
      <c r="CD99" s="237">
        <v>2.21</v>
      </c>
      <c r="CE99" s="237" t="s">
        <v>361</v>
      </c>
      <c r="CG99" s="237">
        <v>9504</v>
      </c>
      <c r="CH99" s="237" t="s">
        <v>366</v>
      </c>
      <c r="CJ99" s="347">
        <v>4.03</v>
      </c>
      <c r="CK99" s="347" t="s">
        <v>334</v>
      </c>
      <c r="CL99" s="1789"/>
      <c r="CM99" s="2299"/>
      <c r="CN99" s="345"/>
      <c r="CR99" s="345"/>
      <c r="CS99" s="345"/>
      <c r="CU99" s="345"/>
      <c r="CV99" s="345"/>
      <c r="CX99" s="347"/>
      <c r="CY99" s="347"/>
      <c r="DA99" s="348"/>
      <c r="DC99" s="348"/>
      <c r="DE99" s="1792"/>
      <c r="DF99" s="345"/>
      <c r="DH99" s="237"/>
      <c r="DI99" s="237"/>
      <c r="DK99" s="345"/>
      <c r="DL99" s="345"/>
      <c r="DN99" s="347"/>
      <c r="DO99" s="347"/>
      <c r="DP99" s="2505"/>
      <c r="DU99" s="1329"/>
      <c r="DV99" s="1348" t="s">
        <v>2144</v>
      </c>
      <c r="DW99" s="1488" t="s">
        <v>737</v>
      </c>
      <c r="DX99" s="2862" t="str">
        <f t="shared" si="16"/>
        <v>Culmer - Tier 1</v>
      </c>
      <c r="DY99" s="2863"/>
      <c r="DZ99" s="2863"/>
      <c r="EA99" s="844" t="s">
        <v>743</v>
      </c>
      <c r="EB99" s="844" t="str">
        <f>"Tier "&amp;IF(OR(Demographic="Elderly Non-ALF",Demographic="Elderly ALF"),1,2)</f>
        <v>Tier 2</v>
      </c>
      <c r="EC99" s="592" t="str">
        <f t="shared" si="17"/>
        <v>Naranja - Tier 2</v>
      </c>
    </row>
    <row r="100" spans="1:133" ht="14.45" customHeight="1">
      <c r="A100" s="346">
        <v>33579</v>
      </c>
      <c r="B100" s="345" t="s">
        <v>337</v>
      </c>
      <c r="E100" s="934"/>
      <c r="F100" s="345">
        <v>104.2</v>
      </c>
      <c r="G100" s="345" t="s">
        <v>318</v>
      </c>
      <c r="L100" s="347">
        <v>664</v>
      </c>
      <c r="M100" s="347" t="s">
        <v>309</v>
      </c>
      <c r="O100" s="348" t="str">
        <f t="array" ref="O100">IFERROR(IF($O$11="Metro",INDEX($F$13:$F$738,SMALL(IF((County=$G$13:$G$738),MATCH(ROW($G$13:$G$738),ROW($G$13:$G$738)),""),ROWS($A$13:A100))),INDEX($I$13:$I$42,SMALL(IF((County=$J$13:$J$42),MATCH(ROW($J$13:$J$42),ROW($J$13:$J$42)),""),ROWS($A$13:A100)))),"")</f>
        <v/>
      </c>
      <c r="Q100" s="348" t="str">
        <f t="array" ref="Q100">IFERROR(IF($Q$11="Yes",INDEX($L$13:$L$2313,SMALL(IF((County=$M$13:$M$2313),MATCH(ROW($M$13:$M$2313),ROW($M$13:$M$2313)),""),ROWS($A$13:A100))),""),"")</f>
        <v/>
      </c>
      <c r="S100" s="346">
        <v>33019</v>
      </c>
      <c r="T100" s="345" t="s">
        <v>310</v>
      </c>
      <c r="V100" s="345">
        <v>8.0500000000000007</v>
      </c>
      <c r="W100" s="345" t="s">
        <v>352</v>
      </c>
      <c r="AB100" s="347">
        <v>5.1100000000000003</v>
      </c>
      <c r="AC100" s="347" t="s">
        <v>361</v>
      </c>
      <c r="AD100" s="1138"/>
      <c r="AE100" s="346">
        <v>33579</v>
      </c>
      <c r="AF100" s="345" t="s">
        <v>337</v>
      </c>
      <c r="AI100" s="934"/>
      <c r="AJ100" s="345">
        <v>1103.55</v>
      </c>
      <c r="AK100" s="345" t="s">
        <v>310</v>
      </c>
      <c r="AP100" s="347">
        <v>648</v>
      </c>
      <c r="AQ100" s="347" t="s">
        <v>309</v>
      </c>
      <c r="AS100" s="348" t="str">
        <f t="array" ref="AS100">IFERROR(IF($AS$11="Metro",INDEX($AJ$13:$AJ$814,SMALL(IF((County=$AK$13:$AK$814),MATCH(ROW($AK$13:$AK$814),ROW($AK$13:$AK$814)),""),ROWS($A$13:$A100))),INDEX($AM$13:$AM$48,SMALL(IF((County=$AN$13:$AN$48),MATCH(ROW($AN$13:$AN$48),ROW($AN$13:$AN$48)),""),ROWS($A$13:$A100)))),"")</f>
        <v/>
      </c>
      <c r="AU100" s="348" t="str">
        <f t="array" ref="AU100">IFERROR(IF($AU$11="Yes",INDEX($AP$13:$AP$2950,SMALL(IF((County=$AQ$13:$AQ$2950),MATCH(ROW($AQ$13:$AQ$2950),ROW($AQ$13:$AQ$2950)),""),ROWS($A$13:$A100))),""),"")</f>
        <v/>
      </c>
      <c r="AW100" s="346">
        <v>32968</v>
      </c>
      <c r="AX100" s="345" t="s">
        <v>339</v>
      </c>
      <c r="AZ100" s="345">
        <v>6.09</v>
      </c>
      <c r="BA100" s="345" t="s">
        <v>352</v>
      </c>
      <c r="BF100" s="347">
        <v>4.0199999999999996</v>
      </c>
      <c r="BG100" s="347" t="s">
        <v>318</v>
      </c>
      <c r="BH100" s="1790"/>
      <c r="BI100" s="2299">
        <v>33503</v>
      </c>
      <c r="BJ100" s="345" t="s">
        <v>337</v>
      </c>
      <c r="BM100" s="1784"/>
      <c r="BN100" s="345">
        <v>16</v>
      </c>
      <c r="BO100" s="345" t="s">
        <v>306</v>
      </c>
      <c r="BQ100" s="237">
        <v>2101</v>
      </c>
      <c r="BR100" s="237" t="s">
        <v>340</v>
      </c>
      <c r="BT100" s="347">
        <v>641.29999999999995</v>
      </c>
      <c r="BU100" s="347" t="s">
        <v>309</v>
      </c>
      <c r="BW100" s="348" t="str">
        <f t="array" ref="BW100">IFERROR(IF($BW$11="Metro",INDEX($BN$13:$BN$4972,SMALL(IF((County=$BO$13:$BO$4972),MATCH(ROW($BO$13:$BO$4972),ROW($BO$13:$BO$4972)),""),ROWS($A$13:$A100))),INDEX($BQ$13:$BQ$212,SMALL(IF((County=$BR$13:$BR$212),MATCH(ROW($BR$13:$BR$212),ROW($BR$13:$BR$212)),""),ROWS($A$13:$A100)))),"")</f>
        <v/>
      </c>
      <c r="BY100" s="348" t="str">
        <f t="array" ref="BY100">IFERROR(IF($BY$11="Yes",INDEX($BT$13:$BT$2950,SMALL(IF((County=$BU$13:$BU$2950),MATCH(ROW($BU$13:$BU$2950),ROW($BU$13:$BU$2950)),""),ROWS($A$13:$A100))),""),"")</f>
        <v/>
      </c>
      <c r="CA100" s="2298">
        <v>32955</v>
      </c>
      <c r="CB100" s="345" t="s">
        <v>309</v>
      </c>
      <c r="CD100" s="237">
        <v>2.2200000000000002</v>
      </c>
      <c r="CE100" s="237" t="s">
        <v>352</v>
      </c>
      <c r="CG100" s="237">
        <v>9504.01</v>
      </c>
      <c r="CH100" s="237" t="s">
        <v>374</v>
      </c>
      <c r="CJ100" s="347">
        <v>4.03</v>
      </c>
      <c r="CK100" s="347" t="s">
        <v>349</v>
      </c>
      <c r="CL100" s="1789"/>
      <c r="CM100" s="2299"/>
      <c r="CN100" s="345"/>
      <c r="CR100" s="345"/>
      <c r="CS100" s="345"/>
      <c r="CU100" s="345"/>
      <c r="CV100" s="345"/>
      <c r="CX100" s="347"/>
      <c r="CY100" s="347"/>
      <c r="DA100" s="348"/>
      <c r="DC100" s="348"/>
      <c r="DE100" s="1792"/>
      <c r="DF100" s="345"/>
      <c r="DH100" s="237"/>
      <c r="DI100" s="237"/>
      <c r="DK100" s="345"/>
      <c r="DL100" s="345"/>
      <c r="DN100" s="347"/>
      <c r="DO100" s="347"/>
      <c r="DP100" s="2505"/>
      <c r="DU100" s="1329"/>
      <c r="DV100" s="1348" t="s">
        <v>2145</v>
      </c>
      <c r="DW100" s="1488" t="s">
        <v>737</v>
      </c>
      <c r="DX100" s="2862" t="str">
        <f t="shared" si="16"/>
        <v>Dadeland North - Tier 1</v>
      </c>
      <c r="DY100" s="2863"/>
      <c r="DZ100" s="2863"/>
      <c r="EA100" s="844" t="s">
        <v>744</v>
      </c>
      <c r="EB100" s="844" t="s">
        <v>740</v>
      </c>
      <c r="EC100" s="592" t="str">
        <f t="shared" si="17"/>
        <v>North Central - Tier 2</v>
      </c>
    </row>
    <row r="101" spans="1:133" ht="14.45" customHeight="1">
      <c r="A101" s="346">
        <v>33584</v>
      </c>
      <c r="B101" s="345" t="s">
        <v>337</v>
      </c>
      <c r="E101" s="934"/>
      <c r="F101" s="345">
        <v>106.01</v>
      </c>
      <c r="G101" s="345" t="s">
        <v>318</v>
      </c>
      <c r="L101" s="347">
        <v>665</v>
      </c>
      <c r="M101" s="347" t="s">
        <v>309</v>
      </c>
      <c r="O101" s="348" t="str">
        <f t="array" ref="O101">IFERROR(IF($O$11="Metro",INDEX($F$13:$F$738,SMALL(IF((County=$G$13:$G$738),MATCH(ROW($G$13:$G$738),ROW($G$13:$G$738)),""),ROWS($A$13:A101))),INDEX($I$13:$I$42,SMALL(IF((County=$J$13:$J$42),MATCH(ROW($J$13:$J$42),ROW($J$13:$J$42)),""),ROWS($A$13:A101)))),"")</f>
        <v/>
      </c>
      <c r="Q101" s="348" t="str">
        <f t="array" ref="Q101">IFERROR(IF($Q$11="Yes",INDEX($L$13:$L$2313,SMALL(IF((County=$M$13:$M$2313),MATCH(ROW($M$13:$M$2313),ROW($M$13:$M$2313)),""),ROWS($A$13:A101))),""),"")</f>
        <v/>
      </c>
      <c r="S101" s="346">
        <v>33025</v>
      </c>
      <c r="T101" s="345" t="s">
        <v>310</v>
      </c>
      <c r="V101" s="345">
        <v>8.06</v>
      </c>
      <c r="W101" s="345" t="s">
        <v>297</v>
      </c>
      <c r="AB101" s="347">
        <v>6</v>
      </c>
      <c r="AC101" s="347" t="s">
        <v>306</v>
      </c>
      <c r="AD101" s="1138"/>
      <c r="AE101" s="346">
        <v>33584</v>
      </c>
      <c r="AF101" s="345" t="s">
        <v>337</v>
      </c>
      <c r="AI101" s="934"/>
      <c r="AJ101" s="345">
        <v>207</v>
      </c>
      <c r="AK101" s="345" t="s">
        <v>315</v>
      </c>
      <c r="AP101" s="347">
        <v>649.01</v>
      </c>
      <c r="AQ101" s="347" t="s">
        <v>309</v>
      </c>
      <c r="AS101" s="348" t="str">
        <f t="array" ref="AS101">IFERROR(IF($AS$11="Metro",INDEX($AJ$13:$AJ$814,SMALL(IF((County=$AK$13:$AK$814),MATCH(ROW($AK$13:$AK$814),ROW($AK$13:$AK$814)),""),ROWS($A$13:$A101))),INDEX($AM$13:$AM$48,SMALL(IF((County=$AN$13:$AN$48),MATCH(ROW($AN$13:$AN$48),ROW($AN$13:$AN$48)),""),ROWS($A$13:$A101)))),"")</f>
        <v/>
      </c>
      <c r="AU101" s="348" t="str">
        <f t="array" ref="AU101">IFERROR(IF($AU$11="Yes",INDEX($AP$13:$AP$2950,SMALL(IF((County=$AQ$13:$AQ$2950),MATCH(ROW($AQ$13:$AQ$2950),ROW($AQ$13:$AQ$2950)),""),ROWS($A$13:$A101))),""),"")</f>
        <v/>
      </c>
      <c r="AW101" s="346">
        <v>33014</v>
      </c>
      <c r="AX101" s="345" t="s">
        <v>352</v>
      </c>
      <c r="AZ101" s="345">
        <v>6.1</v>
      </c>
      <c r="BA101" s="345" t="s">
        <v>352</v>
      </c>
      <c r="BF101" s="347">
        <v>4.03</v>
      </c>
      <c r="BG101" s="347" t="s">
        <v>334</v>
      </c>
      <c r="BH101" s="1790"/>
      <c r="BI101" s="2298">
        <v>33510</v>
      </c>
      <c r="BJ101" s="237" t="s">
        <v>337</v>
      </c>
      <c r="BM101" s="1784"/>
      <c r="BN101" s="345">
        <v>17</v>
      </c>
      <c r="BO101" s="345" t="s">
        <v>306</v>
      </c>
      <c r="BQ101" s="237">
        <v>2102</v>
      </c>
      <c r="BR101" s="237" t="s">
        <v>340</v>
      </c>
      <c r="BT101" s="347">
        <v>644</v>
      </c>
      <c r="BU101" s="347" t="s">
        <v>309</v>
      </c>
      <c r="BW101" s="348" t="str">
        <f t="array" ref="BW101">IFERROR(IF($BW$11="Metro",INDEX($BN$13:$BN$4972,SMALL(IF((County=$BO$13:$BO$4972),MATCH(ROW($BO$13:$BO$4972),ROW($BO$13:$BO$4972)),""),ROWS($A$13:$A101))),INDEX($BQ$13:$BQ$212,SMALL(IF((County=$BR$13:$BR$212),MATCH(ROW($BR$13:$BR$212),ROW($BR$13:$BR$212)),""),ROWS($A$13:$A101)))),"")</f>
        <v/>
      </c>
      <c r="BY101" s="348" t="str">
        <f t="array" ref="BY101">IFERROR(IF($BY$11="Yes",INDEX($BT$13:$BT$2950,SMALL(IF((County=$BU$13:$BU$2950),MATCH(ROW($BU$13:$BU$2950),ROW($BU$13:$BU$2950)),""),ROWS($A$13:$A101))),""),"")</f>
        <v/>
      </c>
      <c r="CA101" s="2298">
        <v>32963</v>
      </c>
      <c r="CB101" s="345" t="s">
        <v>339</v>
      </c>
      <c r="CD101" s="237">
        <v>2.2200000000000002</v>
      </c>
      <c r="CE101" s="237" t="s">
        <v>361</v>
      </c>
      <c r="CG101" s="237">
        <v>9504.02</v>
      </c>
      <c r="CH101" s="237" t="s">
        <v>374</v>
      </c>
      <c r="CJ101" s="347">
        <v>4.04</v>
      </c>
      <c r="CK101" s="347" t="s">
        <v>334</v>
      </c>
      <c r="CL101" s="1789"/>
      <c r="CM101" s="2299"/>
      <c r="CN101" s="345"/>
      <c r="CR101" s="345"/>
      <c r="CS101" s="345"/>
      <c r="CU101" s="345"/>
      <c r="CV101" s="345"/>
      <c r="CX101" s="347"/>
      <c r="CY101" s="347"/>
      <c r="DA101" s="348"/>
      <c r="DC101" s="348"/>
      <c r="DE101" s="1792"/>
      <c r="DF101" s="345"/>
      <c r="DH101" s="237"/>
      <c r="DI101" s="237"/>
      <c r="DK101" s="345"/>
      <c r="DL101" s="345"/>
      <c r="DN101" s="347"/>
      <c r="DO101" s="347"/>
      <c r="DP101" s="2505"/>
      <c r="DU101" s="1329"/>
      <c r="DV101" s="1348" t="s">
        <v>2146</v>
      </c>
      <c r="DW101" s="1488" t="s">
        <v>737</v>
      </c>
      <c r="DX101" s="2862" t="str">
        <f t="shared" si="16"/>
        <v>Dadeland South - Tier 1</v>
      </c>
      <c r="DY101" s="2863"/>
      <c r="DZ101" s="2863"/>
      <c r="EA101" s="844" t="s">
        <v>745</v>
      </c>
      <c r="EB101" s="844" t="s">
        <v>737</v>
      </c>
      <c r="EC101" s="592" t="str">
        <f t="shared" si="17"/>
        <v>Ojus - Tier 1</v>
      </c>
    </row>
    <row r="102" spans="1:133" ht="14.45" customHeight="1">
      <c r="A102" s="346">
        <v>33594</v>
      </c>
      <c r="B102" s="345" t="s">
        <v>337</v>
      </c>
      <c r="E102" s="934"/>
      <c r="F102" s="345">
        <v>107.01</v>
      </c>
      <c r="G102" s="345" t="s">
        <v>318</v>
      </c>
      <c r="L102" s="347">
        <v>666</v>
      </c>
      <c r="M102" s="347" t="s">
        <v>309</v>
      </c>
      <c r="O102" s="348" t="str">
        <f t="array" ref="O102">IFERROR(IF($O$11="Metro",INDEX($F$13:$F$738,SMALL(IF((County=$G$13:$G$738),MATCH(ROW($G$13:$G$738),ROW($G$13:$G$738)),""),ROWS($A$13:A102))),INDEX($I$13:$I$42,SMALL(IF((County=$J$13:$J$42),MATCH(ROW($J$13:$J$42),ROW($J$13:$J$42)),""),ROWS($A$13:A102)))),"")</f>
        <v/>
      </c>
      <c r="Q102" s="348" t="str">
        <f t="array" ref="Q102">IFERROR(IF($Q$11="Yes",INDEX($L$13:$L$2313,SMALL(IF((County=$M$13:$M$2313),MATCH(ROW($M$13:$M$2313),ROW($M$13:$M$2313)),""),ROWS($A$13:A102))),""),"")</f>
        <v/>
      </c>
      <c r="S102" s="346">
        <v>33026</v>
      </c>
      <c r="T102" s="345" t="s">
        <v>310</v>
      </c>
      <c r="V102" s="345">
        <v>8.06</v>
      </c>
      <c r="W102" s="345" t="s">
        <v>352</v>
      </c>
      <c r="AB102" s="347">
        <v>6</v>
      </c>
      <c r="AC102" s="347" t="s">
        <v>318</v>
      </c>
      <c r="AD102" s="1138"/>
      <c r="AE102" s="346">
        <v>33594</v>
      </c>
      <c r="AF102" s="345" t="s">
        <v>337</v>
      </c>
      <c r="AI102" s="934"/>
      <c r="AJ102" s="345">
        <v>4502.0200000000004</v>
      </c>
      <c r="AK102" s="345" t="s">
        <v>316</v>
      </c>
      <c r="AP102" s="347">
        <v>650.01</v>
      </c>
      <c r="AQ102" s="347" t="s">
        <v>309</v>
      </c>
      <c r="AS102" s="348" t="str">
        <f t="array" ref="AS102">IFERROR(IF($AS$11="Metro",INDEX($AJ$13:$AJ$814,SMALL(IF((County=$AK$13:$AK$814),MATCH(ROW($AK$13:$AK$814),ROW($AK$13:$AK$814)),""),ROWS($A$13:$A102))),INDEX($AM$13:$AM$48,SMALL(IF((County=$AN$13:$AN$48),MATCH(ROW($AN$13:$AN$48),ROW($AN$13:$AN$48)),""),ROWS($A$13:$A102)))),"")</f>
        <v/>
      </c>
      <c r="AU102" s="348" t="str">
        <f t="array" ref="AU102">IFERROR(IF($AU$11="Yes",INDEX($AP$13:$AP$2950,SMALL(IF((County=$AQ$13:$AQ$2950),MATCH(ROW($AQ$13:$AQ$2950),ROW($AQ$13:$AQ$2950)),""),ROWS($A$13:$A102))),""),"")</f>
        <v/>
      </c>
      <c r="AW102" s="346">
        <v>33015</v>
      </c>
      <c r="AX102" s="345" t="s">
        <v>352</v>
      </c>
      <c r="AZ102" s="345">
        <v>6.11</v>
      </c>
      <c r="BA102" s="345" t="s">
        <v>352</v>
      </c>
      <c r="BF102" s="347">
        <v>4.03</v>
      </c>
      <c r="BG102" s="347" t="s">
        <v>349</v>
      </c>
      <c r="BH102" s="1790"/>
      <c r="BI102" s="2299">
        <v>33511</v>
      </c>
      <c r="BJ102" s="345" t="s">
        <v>337</v>
      </c>
      <c r="BM102" s="1784"/>
      <c r="BN102" s="345">
        <v>18</v>
      </c>
      <c r="BO102" s="345" t="s">
        <v>306</v>
      </c>
      <c r="BQ102" s="237">
        <v>2103.0100000000002</v>
      </c>
      <c r="BR102" s="237" t="s">
        <v>340</v>
      </c>
      <c r="BT102" s="347">
        <v>646.01</v>
      </c>
      <c r="BU102" s="347" t="s">
        <v>309</v>
      </c>
      <c r="BW102" s="348" t="str">
        <f t="array" ref="BW102">IFERROR(IF($BW$11="Metro",INDEX($BN$13:$BN$4972,SMALL(IF((County=$BO$13:$BO$4972),MATCH(ROW($BO$13:$BO$4972),ROW($BO$13:$BO$4972)),""),ROWS($A$13:$A102))),INDEX($BQ$13:$BQ$212,SMALL(IF((County=$BR$13:$BR$212),MATCH(ROW($BR$13:$BR$212),ROW($BR$13:$BR$212)),""),ROWS($A$13:$A102)))),"")</f>
        <v/>
      </c>
      <c r="BY102" s="348" t="str">
        <f t="array" ref="BY102">IFERROR(IF($BY$11="Yes",INDEX($BT$13:$BT$2950,SMALL(IF((County=$BU$13:$BU$2950),MATCH(ROW($BU$13:$BU$2950),ROW($BU$13:$BU$2950)),""),ROWS($A$13:$A102))),""),"")</f>
        <v/>
      </c>
      <c r="CA102" s="2298">
        <v>32968</v>
      </c>
      <c r="CB102" s="345" t="s">
        <v>339</v>
      </c>
      <c r="CD102" s="237">
        <v>2.23</v>
      </c>
      <c r="CE102" s="237" t="s">
        <v>352</v>
      </c>
      <c r="CG102" s="237">
        <v>9505</v>
      </c>
      <c r="CH102" s="237" t="s">
        <v>366</v>
      </c>
      <c r="CJ102" s="347">
        <v>4.05</v>
      </c>
      <c r="CK102" s="347" t="s">
        <v>349</v>
      </c>
      <c r="CL102" s="1789"/>
      <c r="CM102" s="2299"/>
      <c r="CN102" s="345"/>
      <c r="CR102" s="345"/>
      <c r="CS102" s="345"/>
      <c r="CU102" s="345"/>
      <c r="CV102" s="345"/>
      <c r="CX102" s="347"/>
      <c r="CY102" s="347"/>
      <c r="DA102" s="348"/>
      <c r="DC102" s="348"/>
      <c r="DE102" s="1792"/>
      <c r="DF102" s="345"/>
      <c r="DH102" s="237"/>
      <c r="DI102" s="237"/>
      <c r="DK102" s="345"/>
      <c r="DL102" s="345"/>
      <c r="DN102" s="347"/>
      <c r="DO102" s="347"/>
      <c r="DP102" s="2505"/>
      <c r="DU102" s="1329"/>
      <c r="DV102" s="1486" t="s">
        <v>2000</v>
      </c>
      <c r="DW102" s="1488" t="s">
        <v>737</v>
      </c>
      <c r="DX102" s="2862" t="str">
        <f t="shared" si="16"/>
        <v>Douglas Road - Tier 1</v>
      </c>
      <c r="DY102" s="2863"/>
      <c r="DZ102" s="2863"/>
      <c r="EA102" s="844" t="s">
        <v>746</v>
      </c>
      <c r="EB102" s="844" t="s">
        <v>740</v>
      </c>
      <c r="EC102" s="592" t="str">
        <f t="shared" si="17"/>
        <v>Perrine - Tier 2</v>
      </c>
    </row>
    <row r="103" spans="1:133" ht="14.45" customHeight="1">
      <c r="A103" s="346">
        <v>33596</v>
      </c>
      <c r="B103" s="345" t="s">
        <v>337</v>
      </c>
      <c r="E103" s="934"/>
      <c r="F103" s="345">
        <v>111.03</v>
      </c>
      <c r="G103" s="345" t="s">
        <v>318</v>
      </c>
      <c r="L103" s="347">
        <v>667</v>
      </c>
      <c r="M103" s="347" t="s">
        <v>309</v>
      </c>
      <c r="O103" s="348" t="str">
        <f t="array" ref="O103">IFERROR(IF($O$11="Metro",INDEX($F$13:$F$738,SMALL(IF((County=$G$13:$G$738),MATCH(ROW($G$13:$G$738),ROW($G$13:$G$738)),""),ROWS($A$13:A103))),INDEX($I$13:$I$42,SMALL(IF((County=$J$13:$J$42),MATCH(ROW($J$13:$J$42),ROW($J$13:$J$42)),""),ROWS($A$13:A103)))),"")</f>
        <v/>
      </c>
      <c r="Q103" s="348" t="str">
        <f t="array" ref="Q103">IFERROR(IF($Q$11="Yes",INDEX($L$13:$L$2313,SMALL(IF((County=$M$13:$M$2313),MATCH(ROW($M$13:$M$2313),ROW($M$13:$M$2313)),""),ROWS($A$13:A103))),""),"")</f>
        <v/>
      </c>
      <c r="S103" s="346">
        <v>33027</v>
      </c>
      <c r="T103" s="345" t="s">
        <v>310</v>
      </c>
      <c r="V103" s="345">
        <v>8.07</v>
      </c>
      <c r="W103" s="345" t="s">
        <v>352</v>
      </c>
      <c r="AB103" s="347">
        <v>6.01</v>
      </c>
      <c r="AC103" s="347" t="s">
        <v>368</v>
      </c>
      <c r="AD103" s="1138"/>
      <c r="AE103" s="346">
        <v>33596</v>
      </c>
      <c r="AF103" s="345" t="s">
        <v>337</v>
      </c>
      <c r="AI103" s="934"/>
      <c r="AJ103" s="345">
        <v>4503.05</v>
      </c>
      <c r="AK103" s="345" t="s">
        <v>316</v>
      </c>
      <c r="AP103" s="347">
        <v>650.22</v>
      </c>
      <c r="AQ103" s="347" t="s">
        <v>309</v>
      </c>
      <c r="AS103" s="348" t="str">
        <f t="array" ref="AS103">IFERROR(IF($AS$11="Metro",INDEX($AJ$13:$AJ$814,SMALL(IF((County=$AK$13:$AK$814),MATCH(ROW($AK$13:$AK$814),ROW($AK$13:$AK$814)),""),ROWS($A$13:$A103))),INDEX($AM$13:$AM$48,SMALL(IF((County=$AN$13:$AN$48),MATCH(ROW($AN$13:$AN$48),ROW($AN$13:$AN$48)),""),ROWS($A$13:$A103)))),"")</f>
        <v/>
      </c>
      <c r="AU103" s="348" t="str">
        <f t="array" ref="AU103">IFERROR(IF($AU$11="Yes",INDEX($AP$13:$AP$2950,SMALL(IF((County=$AQ$13:$AQ$2950),MATCH(ROW($AQ$13:$AQ$2950),ROW($AQ$13:$AQ$2950)),""),ROWS($A$13:$A103))),""),"")</f>
        <v/>
      </c>
      <c r="AW103" s="346">
        <v>33016</v>
      </c>
      <c r="AX103" s="345" t="s">
        <v>352</v>
      </c>
      <c r="AZ103" s="345">
        <v>7</v>
      </c>
      <c r="BA103" s="345" t="s">
        <v>344</v>
      </c>
      <c r="BF103" s="347">
        <v>4.04</v>
      </c>
      <c r="BG103" s="347" t="s">
        <v>368</v>
      </c>
      <c r="BH103" s="1790"/>
      <c r="BI103" s="2299">
        <v>33547</v>
      </c>
      <c r="BJ103" s="345" t="s">
        <v>337</v>
      </c>
      <c r="BM103" s="1784"/>
      <c r="BN103" s="345">
        <v>19</v>
      </c>
      <c r="BO103" s="345" t="s">
        <v>306</v>
      </c>
      <c r="BQ103" s="237">
        <v>2103.02</v>
      </c>
      <c r="BR103" s="237" t="s">
        <v>340</v>
      </c>
      <c r="BT103" s="347">
        <v>649.01</v>
      </c>
      <c r="BU103" s="347" t="s">
        <v>309</v>
      </c>
      <c r="BW103" s="348" t="str">
        <f t="array" ref="BW103">IFERROR(IF($BW$11="Metro",INDEX($BN$13:$BN$4972,SMALL(IF((County=$BO$13:$BO$4972),MATCH(ROW($BO$13:$BO$4972),ROW($BO$13:$BO$4972)),""),ROWS($A$13:$A103))),INDEX($BQ$13:$BQ$212,SMALL(IF((County=$BR$13:$BR$212),MATCH(ROW($BR$13:$BR$212),ROW($BR$13:$BR$212)),""),ROWS($A$13:$A103)))),"")</f>
        <v/>
      </c>
      <c r="BY103" s="348" t="str">
        <f t="array" ref="BY103">IFERROR(IF($BY$11="Yes",INDEX($BT$13:$BT$2950,SMALL(IF((County=$BU$13:$BU$2950),MATCH(ROW($BU$13:$BU$2950),ROW($BU$13:$BU$2950)),""),ROWS($A$13:$A103))),""),"")</f>
        <v/>
      </c>
      <c r="CA103" s="1792">
        <v>33009</v>
      </c>
      <c r="CB103" s="345" t="s">
        <v>310</v>
      </c>
      <c r="CD103" s="237">
        <v>2.23</v>
      </c>
      <c r="CE103" s="237" t="s">
        <v>361</v>
      </c>
      <c r="CG103" s="237">
        <v>9506</v>
      </c>
      <c r="CH103" s="237" t="s">
        <v>366</v>
      </c>
      <c r="CJ103" s="347">
        <v>4.05</v>
      </c>
      <c r="CK103" s="347" t="s">
        <v>361</v>
      </c>
      <c r="CL103" s="1789"/>
      <c r="CM103" s="2299"/>
      <c r="CN103" s="345"/>
      <c r="CR103" s="345"/>
      <c r="CS103" s="345"/>
      <c r="CU103" s="345"/>
      <c r="CV103" s="345"/>
      <c r="CX103" s="347"/>
      <c r="CY103" s="347"/>
      <c r="DA103" s="348"/>
      <c r="DC103" s="348"/>
      <c r="DE103" s="1792"/>
      <c r="DF103" s="345"/>
      <c r="DH103" s="237"/>
      <c r="DI103" s="237"/>
      <c r="DK103" s="345"/>
      <c r="DL103" s="345"/>
      <c r="DN103" s="347"/>
      <c r="DO103" s="347"/>
      <c r="DP103" s="2505"/>
      <c r="DU103" s="1329"/>
      <c r="DV103" s="1348" t="s">
        <v>2147</v>
      </c>
      <c r="DW103" s="1488" t="s">
        <v>737</v>
      </c>
      <c r="DX103" s="2862" t="str">
        <f t="shared" si="16"/>
        <v>Dr. Martin Luther King, Jr. Plaza - Tier 1</v>
      </c>
      <c r="DY103" s="2863"/>
      <c r="DZ103" s="2863"/>
      <c r="EA103" s="844" t="s">
        <v>747</v>
      </c>
      <c r="EB103" s="844" t="s">
        <v>740</v>
      </c>
      <c r="EC103" s="592" t="str">
        <f t="shared" si="17"/>
        <v>Princeton - Tier 2</v>
      </c>
    </row>
    <row r="104" spans="1:133" ht="14.45" customHeight="1">
      <c r="A104" s="346">
        <v>33602</v>
      </c>
      <c r="B104" s="345" t="s">
        <v>337</v>
      </c>
      <c r="E104" s="934"/>
      <c r="F104" s="345">
        <v>112.04</v>
      </c>
      <c r="G104" s="345" t="s">
        <v>318</v>
      </c>
      <c r="L104" s="347">
        <v>668</v>
      </c>
      <c r="M104" s="347" t="s">
        <v>309</v>
      </c>
      <c r="O104" s="348" t="str">
        <f t="array" ref="O104">IFERROR(IF($O$11="Metro",INDEX($F$13:$F$738,SMALL(IF((County=$G$13:$G$738),MATCH(ROW($G$13:$G$738),ROW($G$13:$G$738)),""),ROWS($A$13:A104))),INDEX($I$13:$I$42,SMALL(IF((County=$J$13:$J$42),MATCH(ROW($J$13:$J$42),ROW($J$13:$J$42)),""),ROWS($A$13:A104)))),"")</f>
        <v/>
      </c>
      <c r="Q104" s="348" t="str">
        <f t="array" ref="Q104">IFERROR(IF($Q$11="Yes",INDEX($L$13:$L$2313,SMALL(IF((County=$M$13:$M$2313),MATCH(ROW($M$13:$M$2313),ROW($M$13:$M$2313)),""),ROWS($A$13:A104))),""),"")</f>
        <v/>
      </c>
      <c r="S104" s="346">
        <v>33028</v>
      </c>
      <c r="T104" s="345" t="s">
        <v>310</v>
      </c>
      <c r="V104" s="345">
        <v>8.08</v>
      </c>
      <c r="W104" s="345" t="s">
        <v>352</v>
      </c>
      <c r="AB104" s="347">
        <v>6.02</v>
      </c>
      <c r="AC104" s="347" t="s">
        <v>368</v>
      </c>
      <c r="AD104" s="1138"/>
      <c r="AE104" s="346">
        <v>33602</v>
      </c>
      <c r="AF104" s="345" t="s">
        <v>337</v>
      </c>
      <c r="AI104" s="934"/>
      <c r="AJ104" s="345">
        <v>4503.0600000000004</v>
      </c>
      <c r="AK104" s="345" t="s">
        <v>316</v>
      </c>
      <c r="AP104" s="347">
        <v>650.23</v>
      </c>
      <c r="AQ104" s="347" t="s">
        <v>309</v>
      </c>
      <c r="AS104" s="348" t="str">
        <f t="array" ref="AS104">IFERROR(IF($AS$11="Metro",INDEX($AJ$13:$AJ$814,SMALL(IF((County=$AK$13:$AK$814),MATCH(ROW($AK$13:$AK$814),ROW($AK$13:$AK$814)),""),ROWS($A$13:$A104))),INDEX($AM$13:$AM$48,SMALL(IF((County=$AN$13:$AN$48),MATCH(ROW($AN$13:$AN$48),ROW($AN$13:$AN$48)),""),ROWS($A$13:$A104)))),"")</f>
        <v/>
      </c>
      <c r="AU104" s="348" t="str">
        <f t="array" ref="AU104">IFERROR(IF($AU$11="Yes",INDEX($AP$13:$AP$2950,SMALL(IF((County=$AQ$13:$AQ$2950),MATCH(ROW($AQ$13:$AQ$2950),ROW($AQ$13:$AQ$2950)),""),ROWS($A$13:$A104))),""),"")</f>
        <v/>
      </c>
      <c r="AW104" s="346">
        <v>33018</v>
      </c>
      <c r="AX104" s="345" t="s">
        <v>352</v>
      </c>
      <c r="AZ104" s="345">
        <v>7.01</v>
      </c>
      <c r="BA104" s="345" t="s">
        <v>337</v>
      </c>
      <c r="BF104" s="347">
        <v>4.05</v>
      </c>
      <c r="BG104" s="347" t="s">
        <v>349</v>
      </c>
      <c r="BH104" s="1790"/>
      <c r="BI104" s="2299">
        <v>33548</v>
      </c>
      <c r="BJ104" s="345" t="s">
        <v>337</v>
      </c>
      <c r="BM104" s="1784"/>
      <c r="BN104" s="345">
        <v>20</v>
      </c>
      <c r="BO104" s="345" t="s">
        <v>306</v>
      </c>
      <c r="BQ104" s="237">
        <v>2104</v>
      </c>
      <c r="BR104" s="237" t="s">
        <v>340</v>
      </c>
      <c r="BT104" s="347">
        <v>650.01</v>
      </c>
      <c r="BU104" s="347" t="s">
        <v>309</v>
      </c>
      <c r="BW104" s="348" t="str">
        <f t="array" ref="BW104">IFERROR(IF($BW$11="Metro",INDEX($BN$13:$BN$4972,SMALL(IF((County=$BO$13:$BO$4972),MATCH(ROW($BO$13:$BO$4972),ROW($BO$13:$BO$4972)),""),ROWS($A$13:$A104))),INDEX($BQ$13:$BQ$212,SMALL(IF((County=$BR$13:$BR$212),MATCH(ROW($BR$13:$BR$212),ROW($BR$13:$BR$212)),""),ROWS($A$13:$A104)))),"")</f>
        <v/>
      </c>
      <c r="BY104" s="348" t="str">
        <f t="array" ref="BY104">IFERROR(IF($BY$11="Yes",INDEX($BT$13:$BT$2950,SMALL(IF((County=$BU$13:$BU$2950),MATCH(ROW($BU$13:$BU$2950),ROW($BU$13:$BU$2950)),""),ROWS($A$13:$A104))),""),"")</f>
        <v/>
      </c>
      <c r="CA104" s="1792">
        <v>33014</v>
      </c>
      <c r="CB104" s="345" t="s">
        <v>352</v>
      </c>
      <c r="CD104" s="237">
        <v>2.2400000000000002</v>
      </c>
      <c r="CE104" s="237" t="s">
        <v>352</v>
      </c>
      <c r="CG104" s="237">
        <v>9507</v>
      </c>
      <c r="CH104" s="237" t="s">
        <v>366</v>
      </c>
      <c r="CJ104" s="347">
        <v>4.05</v>
      </c>
      <c r="CK104" s="347" t="s">
        <v>368</v>
      </c>
      <c r="CL104" s="1789"/>
      <c r="CM104" s="2299"/>
      <c r="CN104" s="345"/>
      <c r="CR104" s="345"/>
      <c r="CS104" s="345"/>
      <c r="CU104" s="345"/>
      <c r="CV104" s="345"/>
      <c r="CX104" s="347"/>
      <c r="CY104" s="347"/>
      <c r="DA104" s="348"/>
      <c r="DC104" s="348"/>
      <c r="DE104" s="1792"/>
      <c r="DF104" s="345"/>
      <c r="DH104" s="237"/>
      <c r="DI104" s="237"/>
      <c r="DK104" s="345"/>
      <c r="DL104" s="345"/>
      <c r="DN104" s="347"/>
      <c r="DO104" s="347"/>
      <c r="DP104" s="2505"/>
      <c r="DU104" s="1329"/>
      <c r="DV104" s="1348" t="s">
        <v>2148</v>
      </c>
      <c r="DW104" s="1488" t="s">
        <v>737</v>
      </c>
      <c r="DX104" s="2862" t="str">
        <f t="shared" si="16"/>
        <v>Earlington Heights - Tier 1</v>
      </c>
      <c r="DY104" s="2863"/>
      <c r="DZ104" s="2863"/>
    </row>
    <row r="105" spans="1:133" ht="14.45" customHeight="1">
      <c r="A105" s="346">
        <v>33606</v>
      </c>
      <c r="B105" s="345" t="s">
        <v>337</v>
      </c>
      <c r="E105" s="934"/>
      <c r="F105" s="345">
        <v>112.05</v>
      </c>
      <c r="G105" s="345" t="s">
        <v>318</v>
      </c>
      <c r="L105" s="347">
        <v>669</v>
      </c>
      <c r="M105" s="347" t="s">
        <v>309</v>
      </c>
      <c r="O105" s="348" t="str">
        <f t="array" ref="O105">IFERROR(IF($O$11="Metro",INDEX($F$13:$F$738,SMALL(IF((County=$G$13:$G$738),MATCH(ROW($G$13:$G$738),ROW($G$13:$G$738)),""),ROWS($A$13:A105))),INDEX($I$13:$I$42,SMALL(IF((County=$J$13:$J$42),MATCH(ROW($J$13:$J$42),ROW($J$13:$J$42)),""),ROWS($A$13:A105)))),"")</f>
        <v/>
      </c>
      <c r="Q105" s="348" t="str">
        <f t="array" ref="Q105">IFERROR(IF($Q$11="Yes",INDEX($L$13:$L$2313,SMALL(IF((County=$M$13:$M$2313),MATCH(ROW($M$13:$M$2313),ROW($M$13:$M$2313)),""),ROWS($A$13:A105))),""),"")</f>
        <v/>
      </c>
      <c r="S105" s="346">
        <v>33029</v>
      </c>
      <c r="T105" s="345" t="s">
        <v>310</v>
      </c>
      <c r="V105" s="345">
        <v>9.01</v>
      </c>
      <c r="W105" s="345" t="s">
        <v>297</v>
      </c>
      <c r="AB105" s="347">
        <v>6.03</v>
      </c>
      <c r="AC105" s="347" t="s">
        <v>351</v>
      </c>
      <c r="AD105" s="1138"/>
      <c r="AE105" s="346">
        <v>33606</v>
      </c>
      <c r="AF105" s="345" t="s">
        <v>337</v>
      </c>
      <c r="AI105" s="934"/>
      <c r="AJ105" s="345">
        <v>4508</v>
      </c>
      <c r="AK105" s="345" t="s">
        <v>316</v>
      </c>
      <c r="AP105" s="347">
        <v>650.24</v>
      </c>
      <c r="AQ105" s="347" t="s">
        <v>309</v>
      </c>
      <c r="AS105" s="348" t="str">
        <f t="array" ref="AS105">IFERROR(IF($AS$11="Metro",INDEX($AJ$13:$AJ$814,SMALL(IF((County=$AK$13:$AK$814),MATCH(ROW($AK$13:$AK$814),ROW($AK$13:$AK$814)),""),ROWS($A$13:$A105))),INDEX($AM$13:$AM$48,SMALL(IF((County=$AN$13:$AN$48),MATCH(ROW($AN$13:$AN$48),ROW($AN$13:$AN$48)),""),ROWS($A$13:$A105)))),"")</f>
        <v/>
      </c>
      <c r="AU105" s="348" t="str">
        <f t="array" ref="AU105">IFERROR(IF($AU$11="Yes",INDEX($AP$13:$AP$2950,SMALL(IF((County=$AQ$13:$AQ$2950),MATCH(ROW($AQ$13:$AQ$2950),ROW($AQ$13:$AQ$2950)),""),ROWS($A$13:$A105))),""),"")</f>
        <v/>
      </c>
      <c r="AW105" s="346">
        <v>33019</v>
      </c>
      <c r="AX105" s="345" t="s">
        <v>310</v>
      </c>
      <c r="AZ105" s="345">
        <v>7.02</v>
      </c>
      <c r="BA105" s="345" t="s">
        <v>337</v>
      </c>
      <c r="BF105" s="347">
        <v>4.05</v>
      </c>
      <c r="BG105" s="347" t="s">
        <v>352</v>
      </c>
      <c r="BH105" s="1790"/>
      <c r="BI105" s="2298">
        <v>33549</v>
      </c>
      <c r="BJ105" s="237" t="s">
        <v>337</v>
      </c>
      <c r="BM105" s="1784"/>
      <c r="BN105" s="345">
        <v>22</v>
      </c>
      <c r="BO105" s="345" t="s">
        <v>306</v>
      </c>
      <c r="BQ105" s="237">
        <v>2105</v>
      </c>
      <c r="BR105" s="237" t="s">
        <v>340</v>
      </c>
      <c r="BT105" s="347">
        <v>650.22</v>
      </c>
      <c r="BU105" s="347" t="s">
        <v>309</v>
      </c>
      <c r="BW105" s="348" t="str">
        <f t="array" ref="BW105">IFERROR(IF($BW$11="Metro",INDEX($BN$13:$BN$4972,SMALL(IF((County=$BO$13:$BO$4972),MATCH(ROW($BO$13:$BO$4972),ROW($BO$13:$BO$4972)),""),ROWS($A$13:$A105))),INDEX($BQ$13:$BQ$212,SMALL(IF((County=$BR$13:$BR$212),MATCH(ROW($BR$13:$BR$212),ROW($BR$13:$BR$212)),""),ROWS($A$13:$A105)))),"")</f>
        <v/>
      </c>
      <c r="BY105" s="348" t="str">
        <f t="array" ref="BY105">IFERROR(IF($BY$11="Yes",INDEX($BT$13:$BT$2950,SMALL(IF((County=$BU$13:$BU$2950),MATCH(ROW($BU$13:$BU$2950),ROW($BU$13:$BU$2950)),""),ROWS($A$13:$A105))),""),"")</f>
        <v/>
      </c>
      <c r="CA105" s="1792">
        <v>33015</v>
      </c>
      <c r="CB105" s="345" t="s">
        <v>352</v>
      </c>
      <c r="CD105" s="237">
        <v>2.25</v>
      </c>
      <c r="CE105" s="237" t="s">
        <v>352</v>
      </c>
      <c r="CG105" s="237">
        <v>9508</v>
      </c>
      <c r="CH105" s="237" t="s">
        <v>366</v>
      </c>
      <c r="CJ105" s="347">
        <v>4.0599999999999996</v>
      </c>
      <c r="CK105" s="347" t="s">
        <v>349</v>
      </c>
      <c r="CL105" s="1789"/>
      <c r="CM105" s="2299"/>
      <c r="CN105" s="345"/>
      <c r="CR105" s="345"/>
      <c r="CS105" s="345"/>
      <c r="CU105" s="345"/>
      <c r="CV105" s="345"/>
      <c r="CX105" s="347"/>
      <c r="CY105" s="347"/>
      <c r="DA105" s="348"/>
      <c r="DC105" s="348"/>
      <c r="DE105" s="1792"/>
      <c r="DF105" s="345"/>
      <c r="DH105" s="237"/>
      <c r="DI105" s="237"/>
      <c r="DK105" s="345"/>
      <c r="DL105" s="345"/>
      <c r="DN105" s="347"/>
      <c r="DO105" s="347"/>
      <c r="DP105" s="2505"/>
      <c r="DU105" s="1329"/>
      <c r="DV105" s="1348" t="s">
        <v>2149</v>
      </c>
      <c r="DW105" s="1488" t="s">
        <v>737</v>
      </c>
      <c r="DX105" s="2862" t="str">
        <f t="shared" si="16"/>
        <v>Government Center - Tier 1</v>
      </c>
      <c r="DY105" s="2863"/>
      <c r="DZ105" s="2863"/>
    </row>
    <row r="106" spans="1:133" ht="14.45" customHeight="1">
      <c r="A106" s="346">
        <v>33607</v>
      </c>
      <c r="B106" s="345" t="s">
        <v>337</v>
      </c>
      <c r="E106" s="934"/>
      <c r="F106" s="345">
        <v>113.01</v>
      </c>
      <c r="G106" s="345" t="s">
        <v>318</v>
      </c>
      <c r="L106" s="347">
        <v>671</v>
      </c>
      <c r="M106" s="347" t="s">
        <v>309</v>
      </c>
      <c r="O106" s="348" t="str">
        <f t="array" ref="O106">IFERROR(IF($O$11="Metro",INDEX($F$13:$F$738,SMALL(IF((County=$G$13:$G$738),MATCH(ROW($G$13:$G$738),ROW($G$13:$G$738)),""),ROWS($A$13:A106))),INDEX($I$13:$I$42,SMALL(IF((County=$J$13:$J$42),MATCH(ROW($J$13:$J$42),ROW($J$13:$J$42)),""),ROWS($A$13:A106)))),"")</f>
        <v/>
      </c>
      <c r="Q106" s="348" t="str">
        <f t="array" ref="Q106">IFERROR(IF($Q$11="Yes",INDEX($L$13:$L$2313,SMALL(IF((County=$M$13:$M$2313),MATCH(ROW($M$13:$M$2313),ROW($M$13:$M$2313)),""),ROWS($A$13:A106))),""),"")</f>
        <v/>
      </c>
      <c r="S106" s="346">
        <v>33031</v>
      </c>
      <c r="T106" s="345" t="s">
        <v>352</v>
      </c>
      <c r="V106" s="345">
        <v>9.01</v>
      </c>
      <c r="W106" s="345" t="s">
        <v>337</v>
      </c>
      <c r="AB106" s="347">
        <v>6.04</v>
      </c>
      <c r="AC106" s="347" t="s">
        <v>351</v>
      </c>
      <c r="AD106" s="1138"/>
      <c r="AE106" s="346">
        <v>33607</v>
      </c>
      <c r="AF106" s="345" t="s">
        <v>337</v>
      </c>
      <c r="AI106" s="934"/>
      <c r="AJ106" s="345">
        <v>4514</v>
      </c>
      <c r="AK106" s="345" t="s">
        <v>316</v>
      </c>
      <c r="AP106" s="347">
        <v>651.29</v>
      </c>
      <c r="AQ106" s="347" t="s">
        <v>309</v>
      </c>
      <c r="AS106" s="348" t="str">
        <f t="array" ref="AS106">IFERROR(IF($AS$11="Metro",INDEX($AJ$13:$AJ$814,SMALL(IF((County=$AK$13:$AK$814),MATCH(ROW($AK$13:$AK$814),ROW($AK$13:$AK$814)),""),ROWS($A$13:$A106))),INDEX($AM$13:$AM$48,SMALL(IF((County=$AN$13:$AN$48),MATCH(ROW($AN$13:$AN$48),ROW($AN$13:$AN$48)),""),ROWS($A$13:$A106)))),"")</f>
        <v/>
      </c>
      <c r="AU106" s="348" t="str">
        <f t="array" ref="AU106">IFERROR(IF($AU$11="Yes",INDEX($AP$13:$AP$2950,SMALL(IF((County=$AQ$13:$AQ$2950),MATCH(ROW($AQ$13:$AQ$2950),ROW($AQ$13:$AQ$2950)),""),ROWS($A$13:$A106))),""),"")</f>
        <v/>
      </c>
      <c r="AW106" s="346">
        <v>33021</v>
      </c>
      <c r="AX106" s="345" t="s">
        <v>310</v>
      </c>
      <c r="AZ106" s="345">
        <v>7.04</v>
      </c>
      <c r="BA106" s="345" t="s">
        <v>349</v>
      </c>
      <c r="BF106" s="347">
        <v>4.05</v>
      </c>
      <c r="BG106" s="347" t="s">
        <v>361</v>
      </c>
      <c r="BH106" s="1790"/>
      <c r="BI106" s="2299">
        <v>33556</v>
      </c>
      <c r="BJ106" s="345" t="s">
        <v>337</v>
      </c>
      <c r="BM106" s="1784"/>
      <c r="BN106" s="345">
        <v>23</v>
      </c>
      <c r="BO106" s="345" t="s">
        <v>306</v>
      </c>
      <c r="BQ106" s="237">
        <v>2106</v>
      </c>
      <c r="BR106" s="237" t="s">
        <v>340</v>
      </c>
      <c r="BT106" s="347">
        <v>650.23</v>
      </c>
      <c r="BU106" s="347" t="s">
        <v>309</v>
      </c>
      <c r="BW106" s="348" t="str">
        <f t="array" ref="BW106">IFERROR(IF($BW$11="Metro",INDEX($BN$13:$BN$4972,SMALL(IF((County=$BO$13:$BO$4972),MATCH(ROW($BO$13:$BO$4972),ROW($BO$13:$BO$4972)),""),ROWS($A$13:$A106))),INDEX($BQ$13:$BQ$212,SMALL(IF((County=$BR$13:$BR$212),MATCH(ROW($BR$13:$BR$212),ROW($BR$13:$BR$212)),""),ROWS($A$13:$A106)))),"")</f>
        <v/>
      </c>
      <c r="BY106" s="348" t="str">
        <f t="array" ref="BY106">IFERROR(IF($BY$11="Yes",INDEX($BT$13:$BT$2950,SMALL(IF((County=$BU$13:$BU$2950),MATCH(ROW($BU$13:$BU$2950),ROW($BU$13:$BU$2950)),""),ROWS($A$13:$A106))),""),"")</f>
        <v/>
      </c>
      <c r="CA106" s="1792">
        <v>33016</v>
      </c>
      <c r="CB106" s="345" t="s">
        <v>352</v>
      </c>
      <c r="CD106" s="237">
        <v>2.2599999999999998</v>
      </c>
      <c r="CE106" s="237" t="s">
        <v>352</v>
      </c>
      <c r="CG106" s="237">
        <v>9509</v>
      </c>
      <c r="CH106" s="237" t="s">
        <v>366</v>
      </c>
      <c r="CJ106" s="347">
        <v>4.0599999999999996</v>
      </c>
      <c r="CK106" s="347" t="s">
        <v>361</v>
      </c>
      <c r="CL106" s="1789"/>
      <c r="CM106" s="2299"/>
      <c r="CN106" s="345"/>
      <c r="CR106" s="345"/>
      <c r="CS106" s="345"/>
      <c r="CU106" s="345"/>
      <c r="CV106" s="345"/>
      <c r="CX106" s="347"/>
      <c r="CY106" s="347"/>
      <c r="DA106" s="348"/>
      <c r="DC106" s="348"/>
      <c r="DE106" s="1792"/>
      <c r="DF106" s="345"/>
      <c r="DH106" s="237"/>
      <c r="DI106" s="237"/>
      <c r="DK106" s="345"/>
      <c r="DL106" s="345"/>
      <c r="DN106" s="347"/>
      <c r="DO106" s="347"/>
      <c r="DP106" s="2505"/>
      <c r="DU106" s="1329"/>
      <c r="DV106" s="1348" t="s">
        <v>2150</v>
      </c>
      <c r="DW106" s="1488" t="s">
        <v>737</v>
      </c>
      <c r="DX106" s="2862" t="str">
        <f t="shared" si="16"/>
        <v>Hialeah - Tier 1</v>
      </c>
      <c r="DY106" s="2863"/>
      <c r="DZ106" s="2863"/>
      <c r="EA106" s="841" t="s">
        <v>718</v>
      </c>
      <c r="EB106" s="839" t="s">
        <v>696</v>
      </c>
    </row>
    <row r="107" spans="1:133" ht="14.45" customHeight="1">
      <c r="A107" s="346">
        <v>33609</v>
      </c>
      <c r="B107" s="345" t="s">
        <v>337</v>
      </c>
      <c r="E107" s="934"/>
      <c r="F107" s="345">
        <v>113.02</v>
      </c>
      <c r="G107" s="345" t="s">
        <v>318</v>
      </c>
      <c r="L107" s="347">
        <v>681.02</v>
      </c>
      <c r="M107" s="347" t="s">
        <v>309</v>
      </c>
      <c r="O107" s="348" t="str">
        <f t="array" ref="O107">IFERROR(IF($O$11="Metro",INDEX($F$13:$F$738,SMALL(IF((County=$G$13:$G$738),MATCH(ROW($G$13:$G$738),ROW($G$13:$G$738)),""),ROWS($A$13:A107))),INDEX($I$13:$I$42,SMALL(IF((County=$J$13:$J$42),MATCH(ROW($J$13:$J$42),ROW($J$13:$J$42)),""),ROWS($A$13:A107)))),"")</f>
        <v/>
      </c>
      <c r="Q107" s="348" t="str">
        <f t="array" ref="Q107">IFERROR(IF($Q$11="Yes",INDEX($L$13:$L$2313,SMALL(IF((County=$M$13:$M$2313),MATCH(ROW($M$13:$M$2313),ROW($M$13:$M$2313)),""),ROWS($A$13:A107))),""),"")</f>
        <v/>
      </c>
      <c r="S107" s="346">
        <v>33035</v>
      </c>
      <c r="T107" s="345" t="s">
        <v>352</v>
      </c>
      <c r="V107" s="345">
        <v>9.02</v>
      </c>
      <c r="W107" s="345" t="s">
        <v>337</v>
      </c>
      <c r="AB107" s="347">
        <v>6.04</v>
      </c>
      <c r="AC107" s="347" t="s">
        <v>352</v>
      </c>
      <c r="AD107" s="1138"/>
      <c r="AE107" s="346">
        <v>33609</v>
      </c>
      <c r="AF107" s="345" t="s">
        <v>337</v>
      </c>
      <c r="AI107" s="934"/>
      <c r="AJ107" s="345">
        <v>304</v>
      </c>
      <c r="AK107" s="345" t="s">
        <v>317</v>
      </c>
      <c r="AP107" s="347">
        <v>651.29999999999995</v>
      </c>
      <c r="AQ107" s="347" t="s">
        <v>309</v>
      </c>
      <c r="AS107" s="348" t="str">
        <f t="array" ref="AS107">IFERROR(IF($AS$11="Metro",INDEX($AJ$13:$AJ$814,SMALL(IF((County=$AK$13:$AK$814),MATCH(ROW($AK$13:$AK$814),ROW($AK$13:$AK$814)),""),ROWS($A$13:$A107))),INDEX($AM$13:$AM$48,SMALL(IF((County=$AN$13:$AN$48),MATCH(ROW($AN$13:$AN$48),ROW($AN$13:$AN$48)),""),ROWS($A$13:$A107)))),"")</f>
        <v/>
      </c>
      <c r="AU107" s="348" t="str">
        <f t="array" ref="AU107">IFERROR(IF($AU$11="Yes",INDEX($AP$13:$AP$2950,SMALL(IF((County=$AQ$13:$AQ$2950),MATCH(ROW($AQ$13:$AQ$2950),ROW($AQ$13:$AQ$2950)),""),ROWS($A$13:$A107))),""),"")</f>
        <v/>
      </c>
      <c r="AW107" s="346">
        <v>33025</v>
      </c>
      <c r="AX107" s="345" t="s">
        <v>310</v>
      </c>
      <c r="AZ107" s="345">
        <v>7.05</v>
      </c>
      <c r="BA107" s="345" t="s">
        <v>349</v>
      </c>
      <c r="BF107" s="347">
        <v>4.05</v>
      </c>
      <c r="BG107" s="347" t="s">
        <v>368</v>
      </c>
      <c r="BH107" s="1790"/>
      <c r="BI107" s="2298">
        <v>33558</v>
      </c>
      <c r="BJ107" s="237" t="s">
        <v>337</v>
      </c>
      <c r="BM107" s="1784"/>
      <c r="BN107" s="345">
        <v>24</v>
      </c>
      <c r="BO107" s="345" t="s">
        <v>306</v>
      </c>
      <c r="BQ107" s="237">
        <v>2107</v>
      </c>
      <c r="BR107" s="237" t="s">
        <v>340</v>
      </c>
      <c r="BT107" s="347">
        <v>650.24</v>
      </c>
      <c r="BU107" s="347" t="s">
        <v>309</v>
      </c>
      <c r="BW107" s="348" t="str">
        <f t="array" ref="BW107">IFERROR(IF($BW$11="Metro",INDEX($BN$13:$BN$4972,SMALL(IF((County=$BO$13:$BO$4972),MATCH(ROW($BO$13:$BO$4972),ROW($BO$13:$BO$4972)),""),ROWS($A$13:$A107))),INDEX($BQ$13:$BQ$212,SMALL(IF((County=$BR$13:$BR$212),MATCH(ROW($BR$13:$BR$212),ROW($BR$13:$BR$212)),""),ROWS($A$13:$A107)))),"")</f>
        <v/>
      </c>
      <c r="BY107" s="348" t="str">
        <f t="array" ref="BY107">IFERROR(IF($BY$11="Yes",INDEX($BT$13:$BT$2950,SMALL(IF((County=$BU$13:$BU$2950),MATCH(ROW($BU$13:$BU$2950),ROW($BU$13:$BU$2950)),""),ROWS($A$13:$A107))),""),"")</f>
        <v/>
      </c>
      <c r="CA107" s="1792">
        <v>33018</v>
      </c>
      <c r="CB107" s="345" t="s">
        <v>352</v>
      </c>
      <c r="CD107" s="237">
        <v>2.27</v>
      </c>
      <c r="CE107" s="237" t="s">
        <v>352</v>
      </c>
      <c r="CG107" s="237">
        <v>9510</v>
      </c>
      <c r="CH107" s="237" t="s">
        <v>366</v>
      </c>
      <c r="CJ107" s="347">
        <v>4.07</v>
      </c>
      <c r="CK107" s="347" t="s">
        <v>361</v>
      </c>
      <c r="CL107" s="1789"/>
      <c r="CM107" s="2299"/>
      <c r="CN107" s="345"/>
      <c r="CR107" s="345"/>
      <c r="CS107" s="345"/>
      <c r="CU107" s="345"/>
      <c r="CV107" s="345"/>
      <c r="CX107" s="347"/>
      <c r="CY107" s="347"/>
      <c r="DA107" s="348"/>
      <c r="DC107" s="348"/>
      <c r="DE107" s="1792"/>
      <c r="DF107" s="345"/>
      <c r="DH107" s="237"/>
      <c r="DI107" s="237"/>
      <c r="DK107" s="345"/>
      <c r="DL107" s="345"/>
      <c r="DN107" s="347"/>
      <c r="DO107" s="347"/>
      <c r="DP107" s="2505"/>
      <c r="DU107" s="1329"/>
      <c r="DV107" s="1348" t="s">
        <v>2159</v>
      </c>
      <c r="DW107" s="1488" t="s">
        <v>740</v>
      </c>
      <c r="DX107" s="2862" t="str">
        <f t="shared" si="16"/>
        <v>Historic Overtown/Lyric Theatre - Tier 2</v>
      </c>
      <c r="DY107" s="2863"/>
      <c r="DZ107" s="2863"/>
      <c r="EA107" s="842" t="s">
        <v>697</v>
      </c>
      <c r="EB107" s="842" t="s">
        <v>697</v>
      </c>
    </row>
    <row r="108" spans="1:133" ht="14.45" customHeight="1">
      <c r="A108" s="346">
        <v>33611</v>
      </c>
      <c r="B108" s="345" t="s">
        <v>337</v>
      </c>
      <c r="E108" s="934"/>
      <c r="F108" s="345">
        <v>114</v>
      </c>
      <c r="G108" s="345" t="s">
        <v>318</v>
      </c>
      <c r="L108" s="347">
        <v>682</v>
      </c>
      <c r="M108" s="347" t="s">
        <v>309</v>
      </c>
      <c r="O108" s="348" t="str">
        <f t="array" ref="O108">IFERROR(IF($O$11="Metro",INDEX($F$13:$F$738,SMALL(IF((County=$G$13:$G$738),MATCH(ROW($G$13:$G$738),ROW($G$13:$G$738)),""),ROWS($A$13:A108))),INDEX($I$13:$I$42,SMALL(IF((County=$J$13:$J$42),MATCH(ROW($J$13:$J$42),ROW($J$13:$J$42)),""),ROWS($A$13:A108)))),"")</f>
        <v/>
      </c>
      <c r="Q108" s="348" t="str">
        <f t="array" ref="Q108">IFERROR(IF($Q$11="Yes",INDEX($L$13:$L$2313,SMALL(IF((County=$M$13:$M$2313),MATCH(ROW($M$13:$M$2313),ROW($M$13:$M$2313)),""),ROWS($A$13:A108))),""),"")</f>
        <v/>
      </c>
      <c r="S108" s="346">
        <v>33055</v>
      </c>
      <c r="T108" s="345" t="s">
        <v>352</v>
      </c>
      <c r="V108" s="345">
        <v>9.02</v>
      </c>
      <c r="W108" s="345" t="s">
        <v>352</v>
      </c>
      <c r="AB108" s="347">
        <v>6.06</v>
      </c>
      <c r="AC108" s="347" t="s">
        <v>351</v>
      </c>
      <c r="AD108" s="1138"/>
      <c r="AE108" s="346">
        <v>33611</v>
      </c>
      <c r="AF108" s="345" t="s">
        <v>337</v>
      </c>
      <c r="AI108" s="934"/>
      <c r="AJ108" s="345">
        <v>104.2</v>
      </c>
      <c r="AK108" s="345" t="s">
        <v>318</v>
      </c>
      <c r="AP108" s="347">
        <v>651.30999999999995</v>
      </c>
      <c r="AQ108" s="347" t="s">
        <v>309</v>
      </c>
      <c r="AS108" s="348" t="str">
        <f t="array" ref="AS108">IFERROR(IF($AS$11="Metro",INDEX($AJ$13:$AJ$814,SMALL(IF((County=$AK$13:$AK$814),MATCH(ROW($AK$13:$AK$814),ROW($AK$13:$AK$814)),""),ROWS($A$13:$A108))),INDEX($AM$13:$AM$48,SMALL(IF((County=$AN$13:$AN$48),MATCH(ROW($AN$13:$AN$48),ROW($AN$13:$AN$48)),""),ROWS($A$13:$A108)))),"")</f>
        <v/>
      </c>
      <c r="AU108" s="348" t="str">
        <f t="array" ref="AU108">IFERROR(IF($AU$11="Yes",INDEX($AP$13:$AP$2950,SMALL(IF((County=$AQ$13:$AQ$2950),MATCH(ROW($AQ$13:$AQ$2950),ROW($AQ$13:$AQ$2950)),""),ROWS($A$13:$A108))),""),"")</f>
        <v/>
      </c>
      <c r="AW108" s="346">
        <v>33026</v>
      </c>
      <c r="AX108" s="345" t="s">
        <v>310</v>
      </c>
      <c r="AZ108" s="345">
        <v>7.05</v>
      </c>
      <c r="BA108" s="345" t="s">
        <v>352</v>
      </c>
      <c r="BF108" s="347">
        <v>4.0599999999999996</v>
      </c>
      <c r="BG108" s="347" t="s">
        <v>349</v>
      </c>
      <c r="BH108" s="1790"/>
      <c r="BI108" s="2299">
        <v>33559</v>
      </c>
      <c r="BJ108" s="345" t="s">
        <v>337</v>
      </c>
      <c r="BM108" s="1784"/>
      <c r="BN108" s="345">
        <v>25</v>
      </c>
      <c r="BO108" s="345" t="s">
        <v>306</v>
      </c>
      <c r="BQ108" s="237">
        <v>2108</v>
      </c>
      <c r="BR108" s="237" t="s">
        <v>340</v>
      </c>
      <c r="BT108" s="347">
        <v>650.25</v>
      </c>
      <c r="BU108" s="347" t="s">
        <v>309</v>
      </c>
      <c r="BW108" s="348" t="str">
        <f t="array" ref="BW108">IFERROR(IF($BW$11="Metro",INDEX($BN$13:$BN$4972,SMALL(IF((County=$BO$13:$BO$4972),MATCH(ROW($BO$13:$BO$4972),ROW($BO$13:$BO$4972)),""),ROWS($A$13:$A108))),INDEX($BQ$13:$BQ$212,SMALL(IF((County=$BR$13:$BR$212),MATCH(ROW($BR$13:$BR$212),ROW($BR$13:$BR$212)),""),ROWS($A$13:$A108)))),"")</f>
        <v/>
      </c>
      <c r="BY108" s="348" t="str">
        <f t="array" ref="BY108">IFERROR(IF($BY$11="Yes",INDEX($BT$13:$BT$2950,SMALL(IF((County=$BU$13:$BU$2950),MATCH(ROW($BU$13:$BU$2950),ROW($BU$13:$BU$2950)),""),ROWS($A$13:$A108))),""),"")</f>
        <v/>
      </c>
      <c r="CA108" s="1792">
        <v>33019</v>
      </c>
      <c r="CB108" s="345" t="s">
        <v>310</v>
      </c>
      <c r="CD108" s="237">
        <v>2.2799999999999998</v>
      </c>
      <c r="CE108" s="237" t="s">
        <v>352</v>
      </c>
      <c r="CG108" s="237">
        <v>9511</v>
      </c>
      <c r="CH108" s="237" t="s">
        <v>366</v>
      </c>
      <c r="CJ108" s="347">
        <v>4.08</v>
      </c>
      <c r="CK108" s="347" t="s">
        <v>361</v>
      </c>
      <c r="CL108" s="1789"/>
      <c r="CM108" s="2299"/>
      <c r="CN108" s="345"/>
      <c r="CR108" s="345"/>
      <c r="CS108" s="345"/>
      <c r="CU108" s="345"/>
      <c r="CV108" s="345"/>
      <c r="CX108" s="347"/>
      <c r="CY108" s="347"/>
      <c r="DA108" s="348"/>
      <c r="DC108" s="348"/>
      <c r="DE108" s="1792"/>
      <c r="DF108" s="345"/>
      <c r="DH108" s="237"/>
      <c r="DI108" s="237"/>
      <c r="DK108" s="345"/>
      <c r="DL108" s="345"/>
      <c r="DN108" s="347"/>
      <c r="DO108" s="347"/>
      <c r="DP108" s="2505"/>
      <c r="DU108" s="1329"/>
      <c r="DV108" s="1348" t="s">
        <v>2151</v>
      </c>
      <c r="DW108" s="1488" t="s">
        <v>737</v>
      </c>
      <c r="DX108" s="2862" t="str">
        <f t="shared" si="16"/>
        <v>Miami International Airport - Tier 1</v>
      </c>
      <c r="DY108" s="2863"/>
      <c r="DZ108" s="2863"/>
      <c r="EA108" s="842" t="s">
        <v>721</v>
      </c>
      <c r="EB108" s="842" t="s">
        <v>301</v>
      </c>
    </row>
    <row r="109" spans="1:133" ht="14.45" customHeight="1">
      <c r="A109" s="346">
        <v>33615</v>
      </c>
      <c r="B109" s="345" t="s">
        <v>337</v>
      </c>
      <c r="E109" s="934"/>
      <c r="F109" s="345">
        <v>1</v>
      </c>
      <c r="G109" s="345" t="s">
        <v>323</v>
      </c>
      <c r="L109" s="347">
        <v>683</v>
      </c>
      <c r="M109" s="347" t="s">
        <v>309</v>
      </c>
      <c r="O109" s="348" t="str">
        <f t="array" ref="O109">IFERROR(IF($O$11="Metro",INDEX($F$13:$F$738,SMALL(IF((County=$G$13:$G$738),MATCH(ROW($G$13:$G$738),ROW($G$13:$G$738)),""),ROWS($A$13:A109))),INDEX($I$13:$I$42,SMALL(IF((County=$J$13:$J$42),MATCH(ROW($J$13:$J$42),ROW($J$13:$J$42)),""),ROWS($A$13:A109)))),"")</f>
        <v/>
      </c>
      <c r="Q109" s="348" t="str">
        <f t="array" ref="Q109">IFERROR(IF($Q$11="Yes",INDEX($L$13:$L$2313,SMALL(IF((County=$M$13:$M$2313),MATCH(ROW($M$13:$M$2313),ROW($M$13:$M$2313)),""),ROWS($A$13:A109))),""),"")</f>
        <v/>
      </c>
      <c r="S109" s="346">
        <v>33062</v>
      </c>
      <c r="T109" s="345" t="s">
        <v>310</v>
      </c>
      <c r="V109" s="345">
        <v>9.0299999999999994</v>
      </c>
      <c r="W109" s="345" t="s">
        <v>352</v>
      </c>
      <c r="AB109" s="347">
        <v>6.07</v>
      </c>
      <c r="AC109" s="347" t="s">
        <v>351</v>
      </c>
      <c r="AD109" s="1138"/>
      <c r="AE109" s="346">
        <v>33615</v>
      </c>
      <c r="AF109" s="345" t="s">
        <v>337</v>
      </c>
      <c r="AI109" s="934"/>
      <c r="AJ109" s="345">
        <v>107.01</v>
      </c>
      <c r="AK109" s="345" t="s">
        <v>318</v>
      </c>
      <c r="AP109" s="347">
        <v>652.30999999999995</v>
      </c>
      <c r="AQ109" s="347" t="s">
        <v>309</v>
      </c>
      <c r="AS109" s="348" t="str">
        <f t="array" ref="AS109">IFERROR(IF($AS$11="Metro",INDEX($AJ$13:$AJ$814,SMALL(IF((County=$AK$13:$AK$814),MATCH(ROW($AK$13:$AK$814),ROW($AK$13:$AK$814)),""),ROWS($A$13:$A109))),INDEX($AM$13:$AM$48,SMALL(IF((County=$AN$13:$AN$48),MATCH(ROW($AN$13:$AN$48),ROW($AN$13:$AN$48)),""),ROWS($A$13:$A109)))),"")</f>
        <v/>
      </c>
      <c r="AU109" s="348" t="str">
        <f t="array" ref="AU109">IFERROR(IF($AU$11="Yes",INDEX($AP$13:$AP$2950,SMALL(IF((County=$AQ$13:$AQ$2950),MATCH(ROW($AQ$13:$AQ$2950),ROW($AQ$13:$AQ$2950)),""),ROWS($A$13:$A109))),""),"")</f>
        <v/>
      </c>
      <c r="AW109" s="346">
        <v>33027</v>
      </c>
      <c r="AX109" s="345" t="s">
        <v>310</v>
      </c>
      <c r="AZ109" s="345">
        <v>7.1</v>
      </c>
      <c r="BA109" s="345" t="s">
        <v>352</v>
      </c>
      <c r="BF109" s="347">
        <v>4.0599999999999996</v>
      </c>
      <c r="BG109" s="347" t="s">
        <v>361</v>
      </c>
      <c r="BH109" s="1790"/>
      <c r="BI109" s="2298">
        <v>33569</v>
      </c>
      <c r="BJ109" s="237" t="s">
        <v>337</v>
      </c>
      <c r="BM109" s="1784"/>
      <c r="BN109" s="345">
        <v>26.04</v>
      </c>
      <c r="BO109" s="345" t="s">
        <v>306</v>
      </c>
      <c r="BQ109" s="237">
        <v>2109.0100000000002</v>
      </c>
      <c r="BR109" s="237" t="s">
        <v>340</v>
      </c>
      <c r="BT109" s="347">
        <v>651.27</v>
      </c>
      <c r="BU109" s="347" t="s">
        <v>309</v>
      </c>
      <c r="BW109" s="348" t="str">
        <f t="array" ref="BW109">IFERROR(IF($BW$11="Metro",INDEX($BN$13:$BN$4972,SMALL(IF((County=$BO$13:$BO$4972),MATCH(ROW($BO$13:$BO$4972),ROW($BO$13:$BO$4972)),""),ROWS($A$13:$A109))),INDEX($BQ$13:$BQ$212,SMALL(IF((County=$BR$13:$BR$212),MATCH(ROW($BR$13:$BR$212),ROW($BR$13:$BR$212)),""),ROWS($A$13:$A109)))),"")</f>
        <v/>
      </c>
      <c r="BY109" s="348" t="str">
        <f t="array" ref="BY109">IFERROR(IF($BY$11="Yes",INDEX($BT$13:$BT$2950,SMALL(IF((County=$BU$13:$BU$2950),MATCH(ROW($BU$13:$BU$2950),ROW($BU$13:$BU$2950)),""),ROWS($A$13:$A109))),""),"")</f>
        <v/>
      </c>
      <c r="CA109" s="1792">
        <v>33021</v>
      </c>
      <c r="CB109" s="345" t="s">
        <v>310</v>
      </c>
      <c r="CD109" s="237">
        <v>3</v>
      </c>
      <c r="CE109" s="237" t="s">
        <v>323</v>
      </c>
      <c r="CG109" s="237">
        <v>9512</v>
      </c>
      <c r="CH109" s="237" t="s">
        <v>366</v>
      </c>
      <c r="CJ109" s="347">
        <v>4.09</v>
      </c>
      <c r="CK109" s="347" t="s">
        <v>349</v>
      </c>
      <c r="CL109" s="1789"/>
      <c r="CM109" s="2299"/>
      <c r="CN109" s="345"/>
      <c r="CR109" s="345"/>
      <c r="CS109" s="345"/>
      <c r="CU109" s="345"/>
      <c r="CV109" s="345"/>
      <c r="CX109" s="347"/>
      <c r="CY109" s="347"/>
      <c r="DA109" s="348"/>
      <c r="DC109" s="348"/>
      <c r="DE109" s="1792"/>
      <c r="DF109" s="345"/>
      <c r="DH109" s="237"/>
      <c r="DI109" s="237"/>
      <c r="DK109" s="345"/>
      <c r="DL109" s="345"/>
      <c r="DN109" s="347"/>
      <c r="DO109" s="347"/>
      <c r="DP109" s="2505"/>
      <c r="DU109" s="1329"/>
      <c r="DV109" s="1348" t="s">
        <v>2152</v>
      </c>
      <c r="DW109" s="1488" t="s">
        <v>737</v>
      </c>
      <c r="DX109" s="2862" t="str">
        <f t="shared" si="16"/>
        <v>Northside - Tier 1</v>
      </c>
      <c r="DY109" s="2863"/>
      <c r="DZ109" s="2863"/>
      <c r="EA109" s="842" t="s">
        <v>722</v>
      </c>
      <c r="EB109" s="842" t="s">
        <v>459</v>
      </c>
    </row>
    <row r="110" spans="1:133" ht="14.45" customHeight="1">
      <c r="A110" s="346">
        <v>33616</v>
      </c>
      <c r="B110" s="345" t="s">
        <v>337</v>
      </c>
      <c r="E110" s="934"/>
      <c r="F110" s="345">
        <v>2</v>
      </c>
      <c r="G110" s="345" t="s">
        <v>323</v>
      </c>
      <c r="L110" s="347">
        <v>684</v>
      </c>
      <c r="M110" s="347" t="s">
        <v>309</v>
      </c>
      <c r="O110" s="348" t="str">
        <f t="array" ref="O110">IFERROR(IF($O$11="Metro",INDEX($F$13:$F$738,SMALL(IF((County=$G$13:$G$738),MATCH(ROW($G$13:$G$738),ROW($G$13:$G$738)),""),ROWS($A$13:A110))),INDEX($I$13:$I$42,SMALL(IF((County=$J$13:$J$42),MATCH(ROW($J$13:$J$42),ROW($J$13:$J$42)),""),ROWS($A$13:A110)))),"")</f>
        <v/>
      </c>
      <c r="Q110" s="348" t="str">
        <f t="array" ref="Q110">IFERROR(IF($Q$11="Yes",INDEX($L$13:$L$2313,SMALL(IF((County=$M$13:$M$2313),MATCH(ROW($M$13:$M$2313),ROW($M$13:$M$2313)),""),ROWS($A$13:A110))),""),"")</f>
        <v/>
      </c>
      <c r="S110" s="346">
        <v>33063</v>
      </c>
      <c r="T110" s="345" t="s">
        <v>310</v>
      </c>
      <c r="V110" s="345">
        <v>10</v>
      </c>
      <c r="W110" s="345" t="s">
        <v>306</v>
      </c>
      <c r="AB110" s="347">
        <v>6.1</v>
      </c>
      <c r="AC110" s="347" t="s">
        <v>351</v>
      </c>
      <c r="AD110" s="1138"/>
      <c r="AE110" s="346">
        <v>33616</v>
      </c>
      <c r="AF110" s="345" t="s">
        <v>337</v>
      </c>
      <c r="AI110" s="934"/>
      <c r="AJ110" s="345">
        <v>111.03</v>
      </c>
      <c r="AK110" s="345" t="s">
        <v>318</v>
      </c>
      <c r="AP110" s="347">
        <v>652.36</v>
      </c>
      <c r="AQ110" s="347" t="s">
        <v>309</v>
      </c>
      <c r="AS110" s="348" t="str">
        <f t="array" ref="AS110">IFERROR(IF($AS$11="Metro",INDEX($AJ$13:$AJ$814,SMALL(IF((County=$AK$13:$AK$814),MATCH(ROW($AK$13:$AK$814),ROW($AK$13:$AK$814)),""),ROWS($A$13:$A110))),INDEX($AM$13:$AM$48,SMALL(IF((County=$AN$13:$AN$48),MATCH(ROW($AN$13:$AN$48),ROW($AN$13:$AN$48)),""),ROWS($A$13:$A110)))),"")</f>
        <v/>
      </c>
      <c r="AU110" s="348" t="str">
        <f t="array" ref="AU110">IFERROR(IF($AU$11="Yes",INDEX($AP$13:$AP$2950,SMALL(IF((County=$AQ$13:$AQ$2950),MATCH(ROW($AQ$13:$AQ$2950),ROW($AQ$13:$AQ$2950)),""),ROWS($A$13:$A110))),""),"")</f>
        <v/>
      </c>
      <c r="AW110" s="346">
        <v>33028</v>
      </c>
      <c r="AX110" s="345" t="s">
        <v>310</v>
      </c>
      <c r="AZ110" s="345">
        <v>7.11</v>
      </c>
      <c r="BA110" s="345" t="s">
        <v>352</v>
      </c>
      <c r="BF110" s="347">
        <v>4.07</v>
      </c>
      <c r="BG110" s="347" t="s">
        <v>349</v>
      </c>
      <c r="BH110" s="1790"/>
      <c r="BI110" s="2299">
        <v>33572</v>
      </c>
      <c r="BJ110" s="345" t="s">
        <v>337</v>
      </c>
      <c r="BM110" s="1784"/>
      <c r="BN110" s="345">
        <v>26.05</v>
      </c>
      <c r="BO110" s="345" t="s">
        <v>306</v>
      </c>
      <c r="BQ110" s="237">
        <v>2109.02</v>
      </c>
      <c r="BR110" s="237" t="s">
        <v>340</v>
      </c>
      <c r="BT110" s="347">
        <v>651.29</v>
      </c>
      <c r="BU110" s="347" t="s">
        <v>309</v>
      </c>
      <c r="BW110" s="348" t="str">
        <f t="array" ref="BW110">IFERROR(IF($BW$11="Metro",INDEX($BN$13:$BN$4972,SMALL(IF((County=$BO$13:$BO$4972),MATCH(ROW($BO$13:$BO$4972),ROW($BO$13:$BO$4972)),""),ROWS($A$13:$A110))),INDEX($BQ$13:$BQ$212,SMALL(IF((County=$BR$13:$BR$212),MATCH(ROW($BR$13:$BR$212),ROW($BR$13:$BR$212)),""),ROWS($A$13:$A110)))),"")</f>
        <v/>
      </c>
      <c r="BY110" s="348" t="str">
        <f t="array" ref="BY110">IFERROR(IF($BY$11="Yes",INDEX($BT$13:$BT$2950,SMALL(IF((County=$BU$13:$BU$2950),MATCH(ROW($BU$13:$BU$2950),ROW($BU$13:$BU$2950)),""),ROWS($A$13:$A110))),""),"")</f>
        <v/>
      </c>
      <c r="CA110" s="1792">
        <v>33024</v>
      </c>
      <c r="CB110" s="345" t="s">
        <v>310</v>
      </c>
      <c r="CD110" s="237">
        <v>3</v>
      </c>
      <c r="CE110" s="237" t="s">
        <v>325</v>
      </c>
      <c r="CG110" s="237">
        <v>9513</v>
      </c>
      <c r="CH110" s="237" t="s">
        <v>366</v>
      </c>
      <c r="CJ110" s="347">
        <v>4.0999999999999996</v>
      </c>
      <c r="CK110" s="347" t="s">
        <v>361</v>
      </c>
      <c r="CL110" s="1789"/>
      <c r="CM110" s="2299"/>
      <c r="CN110" s="345"/>
      <c r="CR110" s="345"/>
      <c r="CS110" s="345"/>
      <c r="CU110" s="345"/>
      <c r="CV110" s="345"/>
      <c r="CX110" s="347"/>
      <c r="CY110" s="347"/>
      <c r="DA110" s="348"/>
      <c r="DC110" s="348"/>
      <c r="DE110" s="1792"/>
      <c r="DF110" s="345"/>
      <c r="DH110" s="237"/>
      <c r="DI110" s="237"/>
      <c r="DK110" s="345"/>
      <c r="DL110" s="345"/>
      <c r="DN110" s="347"/>
      <c r="DO110" s="347"/>
      <c r="DP110" s="2505"/>
      <c r="DU110" s="1329"/>
      <c r="DV110" s="1348" t="s">
        <v>358</v>
      </c>
      <c r="DW110" s="1488" t="s">
        <v>737</v>
      </c>
      <c r="DX110" s="2862" t="str">
        <f t="shared" si="16"/>
        <v>Okeechobee - Tier 1</v>
      </c>
      <c r="DY110" s="2863"/>
      <c r="DZ110" s="2863"/>
    </row>
    <row r="111" spans="1:133" ht="14.45" customHeight="1">
      <c r="A111" s="346">
        <v>33618</v>
      </c>
      <c r="B111" s="345" t="s">
        <v>337</v>
      </c>
      <c r="E111" s="934"/>
      <c r="F111" s="345">
        <v>3</v>
      </c>
      <c r="G111" s="345" t="s">
        <v>323</v>
      </c>
      <c r="L111" s="347">
        <v>685.01</v>
      </c>
      <c r="M111" s="347" t="s">
        <v>309</v>
      </c>
      <c r="O111" s="348" t="str">
        <f t="array" ref="O111">IFERROR(IF($O$11="Metro",INDEX($F$13:$F$738,SMALL(IF((County=$G$13:$G$738),MATCH(ROW($G$13:$G$738),ROW($G$13:$G$738)),""),ROWS($A$13:A111))),INDEX($I$13:$I$42,SMALL(IF((County=$J$13:$J$42),MATCH(ROW($J$13:$J$42),ROW($J$13:$J$42)),""),ROWS($A$13:A111)))),"")</f>
        <v/>
      </c>
      <c r="Q111" s="348" t="str">
        <f t="array" ref="Q111">IFERROR(IF($Q$11="Yes",INDEX($L$13:$L$2313,SMALL(IF((County=$M$13:$M$2313),MATCH(ROW($M$13:$M$2313),ROW($M$13:$M$2313)),""),ROWS($A$13:A111))),""),"")</f>
        <v/>
      </c>
      <c r="S111" s="346">
        <v>33067</v>
      </c>
      <c r="T111" s="345" t="s">
        <v>310</v>
      </c>
      <c r="V111" s="345">
        <v>10</v>
      </c>
      <c r="W111" s="345" t="s">
        <v>323</v>
      </c>
      <c r="AB111" s="347">
        <v>7</v>
      </c>
      <c r="AC111" s="347" t="s">
        <v>306</v>
      </c>
      <c r="AD111" s="1138"/>
      <c r="AE111" s="346">
        <v>33621</v>
      </c>
      <c r="AF111" s="345" t="s">
        <v>337</v>
      </c>
      <c r="AI111" s="934"/>
      <c r="AJ111" s="345">
        <v>112.04</v>
      </c>
      <c r="AK111" s="345" t="s">
        <v>318</v>
      </c>
      <c r="AP111" s="347">
        <v>661.01</v>
      </c>
      <c r="AQ111" s="347" t="s">
        <v>309</v>
      </c>
      <c r="AS111" s="348" t="str">
        <f t="array" ref="AS111">IFERROR(IF($AS$11="Metro",INDEX($AJ$13:$AJ$814,SMALL(IF((County=$AK$13:$AK$814),MATCH(ROW($AK$13:$AK$814),ROW($AK$13:$AK$814)),""),ROWS($A$13:$A111))),INDEX($AM$13:$AM$48,SMALL(IF((County=$AN$13:$AN$48),MATCH(ROW($AN$13:$AN$48),ROW($AN$13:$AN$48)),""),ROWS($A$13:$A111)))),"")</f>
        <v/>
      </c>
      <c r="AU111" s="348" t="str">
        <f t="array" ref="AU111">IFERROR(IF($AU$11="Yes",INDEX($AP$13:$AP$2950,SMALL(IF((County=$AQ$13:$AQ$2950),MATCH(ROW($AQ$13:$AQ$2950),ROW($AQ$13:$AQ$2950)),""),ROWS($A$13:$A111))),""),"")</f>
        <v/>
      </c>
      <c r="AW111" s="346">
        <v>33029</v>
      </c>
      <c r="AX111" s="345" t="s">
        <v>310</v>
      </c>
      <c r="AZ111" s="345">
        <v>7.12</v>
      </c>
      <c r="BA111" s="345" t="s">
        <v>352</v>
      </c>
      <c r="BF111" s="347">
        <v>4.07</v>
      </c>
      <c r="BG111" s="347" t="s">
        <v>361</v>
      </c>
      <c r="BH111" s="1790"/>
      <c r="BI111" s="2299">
        <v>33573</v>
      </c>
      <c r="BJ111" s="345" t="s">
        <v>337</v>
      </c>
      <c r="BM111" s="1784"/>
      <c r="BN111" s="345">
        <v>26.06</v>
      </c>
      <c r="BO111" s="345" t="s">
        <v>306</v>
      </c>
      <c r="BQ111" s="237">
        <v>2110</v>
      </c>
      <c r="BR111" s="237" t="s">
        <v>340</v>
      </c>
      <c r="BT111" s="347">
        <v>651.30999999999995</v>
      </c>
      <c r="BU111" s="347" t="s">
        <v>309</v>
      </c>
      <c r="BW111" s="348" t="str">
        <f t="array" ref="BW111">IFERROR(IF($BW$11="Metro",INDEX($BN$13:$BN$4972,SMALL(IF((County=$BO$13:$BO$4972),MATCH(ROW($BO$13:$BO$4972),ROW($BO$13:$BO$4972)),""),ROWS($A$13:$A111))),INDEX($BQ$13:$BQ$212,SMALL(IF((County=$BR$13:$BR$212),MATCH(ROW($BR$13:$BR$212),ROW($BR$13:$BR$212)),""),ROWS($A$13:$A111)))),"")</f>
        <v/>
      </c>
      <c r="BY111" s="348" t="str">
        <f t="array" ref="BY111">IFERROR(IF($BY$11="Yes",INDEX($BT$13:$BT$2950,SMALL(IF((County=$BU$13:$BU$2950),MATCH(ROW($BU$13:$BU$2950),ROW($BU$13:$BU$2950)),""),ROWS($A$13:$A111))),""),"")</f>
        <v/>
      </c>
      <c r="CA111" s="1792">
        <v>33025</v>
      </c>
      <c r="CB111" s="345" t="s">
        <v>310</v>
      </c>
      <c r="CD111" s="237">
        <v>3</v>
      </c>
      <c r="CE111" s="237" t="s">
        <v>351</v>
      </c>
      <c r="CG111" s="237">
        <v>9514.01</v>
      </c>
      <c r="CH111" s="237" t="s">
        <v>366</v>
      </c>
      <c r="CJ111" s="347">
        <v>4.1500000000000004</v>
      </c>
      <c r="CK111" s="347" t="s">
        <v>352</v>
      </c>
      <c r="CL111" s="1789"/>
      <c r="CM111" s="2299"/>
      <c r="CN111" s="345"/>
      <c r="CR111" s="345"/>
      <c r="CS111" s="345"/>
      <c r="CU111" s="345"/>
      <c r="CV111" s="345"/>
      <c r="CX111" s="347"/>
      <c r="CY111" s="347"/>
      <c r="DA111" s="348"/>
      <c r="DC111" s="348"/>
      <c r="DE111" s="1792"/>
      <c r="DF111" s="345"/>
      <c r="DH111" s="237"/>
      <c r="DI111" s="237"/>
      <c r="DK111" s="345"/>
      <c r="DL111" s="345"/>
      <c r="DN111" s="347"/>
      <c r="DO111" s="347"/>
      <c r="DP111" s="2505"/>
      <c r="DU111" s="1329"/>
      <c r="DV111" s="1348" t="s">
        <v>2153</v>
      </c>
      <c r="DW111" s="1488" t="s">
        <v>737</v>
      </c>
      <c r="DX111" s="2862" t="str">
        <f t="shared" si="16"/>
        <v>Palmetto - Tier 1</v>
      </c>
      <c r="DY111" s="2863"/>
      <c r="DZ111" s="2863"/>
      <c r="EA111" s="840" t="s">
        <v>708</v>
      </c>
      <c r="EB111" s="839" t="s">
        <v>702</v>
      </c>
    </row>
    <row r="112" spans="1:133" ht="14.45" customHeight="1">
      <c r="A112" s="346">
        <v>33621</v>
      </c>
      <c r="B112" s="345" t="s">
        <v>337</v>
      </c>
      <c r="E112" s="934"/>
      <c r="F112" s="345">
        <v>6</v>
      </c>
      <c r="G112" s="345" t="s">
        <v>323</v>
      </c>
      <c r="L112" s="347">
        <v>685.02</v>
      </c>
      <c r="M112" s="347" t="s">
        <v>309</v>
      </c>
      <c r="O112" s="348" t="str">
        <f t="array" ref="O112">IFERROR(IF($O$11="Metro",INDEX($F$13:$F$738,SMALL(IF((County=$G$13:$G$738),MATCH(ROW($G$13:$G$738),ROW($G$13:$G$738)),""),ROWS($A$13:A112))),INDEX($I$13:$I$42,SMALL(IF((County=$J$13:$J$42),MATCH(ROW($J$13:$J$42),ROW($J$13:$J$42)),""),ROWS($A$13:A112)))),"")</f>
        <v/>
      </c>
      <c r="Q112" s="348" t="str">
        <f t="array" ref="Q112">IFERROR(IF($Q$11="Yes",INDEX($L$13:$L$2313,SMALL(IF((County=$M$13:$M$2313),MATCH(ROW($M$13:$M$2313),ROW($M$13:$M$2313)),""),ROWS($A$13:A112))),""),"")</f>
        <v/>
      </c>
      <c r="S112" s="346">
        <v>33071</v>
      </c>
      <c r="T112" s="345" t="s">
        <v>310</v>
      </c>
      <c r="V112" s="345">
        <v>10</v>
      </c>
      <c r="W112" s="345" t="s">
        <v>368</v>
      </c>
      <c r="AB112" s="347">
        <v>7</v>
      </c>
      <c r="AC112" s="347" t="s">
        <v>323</v>
      </c>
      <c r="AD112" s="1138"/>
      <c r="AE112" s="346">
        <v>33624</v>
      </c>
      <c r="AF112" s="345" t="s">
        <v>337</v>
      </c>
      <c r="AI112" s="934"/>
      <c r="AJ112" s="345">
        <v>112.05</v>
      </c>
      <c r="AK112" s="345" t="s">
        <v>318</v>
      </c>
      <c r="AP112" s="347">
        <v>661.03</v>
      </c>
      <c r="AQ112" s="347" t="s">
        <v>309</v>
      </c>
      <c r="AS112" s="348" t="str">
        <f t="array" ref="AS112">IFERROR(IF($AS$11="Metro",INDEX($AJ$13:$AJ$814,SMALL(IF((County=$AK$13:$AK$814),MATCH(ROW($AK$13:$AK$814),ROW($AK$13:$AK$814)),""),ROWS($A$13:$A112))),INDEX($AM$13:$AM$48,SMALL(IF((County=$AN$13:$AN$48),MATCH(ROW($AN$13:$AN$48),ROW($AN$13:$AN$48)),""),ROWS($A$13:$A112)))),"")</f>
        <v/>
      </c>
      <c r="AU112" s="348" t="str">
        <f t="array" ref="AU112">IFERROR(IF($AU$11="Yes",INDEX($AP$13:$AP$2950,SMALL(IF((County=$AQ$13:$AQ$2950),MATCH(ROW($AQ$13:$AQ$2950),ROW($AQ$13:$AQ$2950)),""),ROWS($A$13:$A112))),""),"")</f>
        <v/>
      </c>
      <c r="AW112" s="346">
        <v>33035</v>
      </c>
      <c r="AX112" s="345" t="s">
        <v>352</v>
      </c>
      <c r="AZ112" s="345">
        <v>7.13</v>
      </c>
      <c r="BA112" s="345" t="s">
        <v>352</v>
      </c>
      <c r="BF112" s="347">
        <v>4.08</v>
      </c>
      <c r="BG112" s="347" t="s">
        <v>361</v>
      </c>
      <c r="BH112" s="1790"/>
      <c r="BI112" s="2299">
        <v>33578</v>
      </c>
      <c r="BJ112" s="345" t="s">
        <v>337</v>
      </c>
      <c r="BM112" s="1784"/>
      <c r="BN112" s="345">
        <v>26.07</v>
      </c>
      <c r="BO112" s="345" t="s">
        <v>306</v>
      </c>
      <c r="BQ112" s="237">
        <v>2111</v>
      </c>
      <c r="BR112" s="237" t="s">
        <v>340</v>
      </c>
      <c r="BT112" s="347">
        <v>652.30999999999995</v>
      </c>
      <c r="BU112" s="347" t="s">
        <v>309</v>
      </c>
      <c r="BW112" s="348" t="str">
        <f t="array" ref="BW112">IFERROR(IF($BW$11="Metro",INDEX($BN$13:$BN$4972,SMALL(IF((County=$BO$13:$BO$4972),MATCH(ROW($BO$13:$BO$4972),ROW($BO$13:$BO$4972)),""),ROWS($A$13:$A112))),INDEX($BQ$13:$BQ$212,SMALL(IF((County=$BR$13:$BR$212),MATCH(ROW($BR$13:$BR$212),ROW($BR$13:$BR$212)),""),ROWS($A$13:$A112)))),"")</f>
        <v/>
      </c>
      <c r="BY112" s="348" t="str">
        <f t="array" ref="BY112">IFERROR(IF($BY$11="Yes",INDEX($BT$13:$BT$2950,SMALL(IF((County=$BU$13:$BU$2950),MATCH(ROW($BU$13:$BU$2950),ROW($BU$13:$BU$2950)),""),ROWS($A$13:$A112))),""),"")</f>
        <v/>
      </c>
      <c r="CA112" s="1792">
        <v>33026</v>
      </c>
      <c r="CB112" s="345" t="s">
        <v>310</v>
      </c>
      <c r="CD112" s="237">
        <v>3</v>
      </c>
      <c r="CE112" s="237" t="s">
        <v>368</v>
      </c>
      <c r="CG112" s="237">
        <v>9514.02</v>
      </c>
      <c r="CH112" s="237" t="s">
        <v>366</v>
      </c>
      <c r="CJ112" s="347">
        <v>4.1900000000000004</v>
      </c>
      <c r="CK112" s="347" t="s">
        <v>352</v>
      </c>
      <c r="CL112" s="1789"/>
      <c r="CM112" s="2299"/>
      <c r="CN112" s="345"/>
      <c r="CR112" s="345"/>
      <c r="CS112" s="345"/>
      <c r="CU112" s="345"/>
      <c r="CV112" s="345"/>
      <c r="CX112" s="347"/>
      <c r="CY112" s="347"/>
      <c r="DA112" s="348"/>
      <c r="DC112" s="348"/>
      <c r="DE112" s="1792"/>
      <c r="DF112" s="345"/>
      <c r="DH112" s="237"/>
      <c r="DI112" s="237"/>
      <c r="DK112" s="345"/>
      <c r="DL112" s="345"/>
      <c r="DN112" s="347"/>
      <c r="DO112" s="347"/>
      <c r="DP112" s="2505"/>
      <c r="DU112" s="1329"/>
      <c r="DV112" s="1348" t="s">
        <v>2154</v>
      </c>
      <c r="DW112" s="1488" t="s">
        <v>737</v>
      </c>
      <c r="DX112" s="2862" t="str">
        <f t="shared" si="16"/>
        <v>Santa Clara - Tier 1</v>
      </c>
      <c r="DY112" s="2863"/>
      <c r="DZ112" s="2863"/>
      <c r="EA112" s="842" t="s">
        <v>697</v>
      </c>
      <c r="EB112" s="842" t="s">
        <v>697</v>
      </c>
    </row>
    <row r="113" spans="1:134" ht="14.45" customHeight="1">
      <c r="A113" s="346">
        <v>33624</v>
      </c>
      <c r="B113" s="345" t="s">
        <v>337</v>
      </c>
      <c r="E113" s="934"/>
      <c r="F113" s="345">
        <v>10</v>
      </c>
      <c r="G113" s="345" t="s">
        <v>323</v>
      </c>
      <c r="L113" s="347">
        <v>686.01</v>
      </c>
      <c r="M113" s="347" t="s">
        <v>309</v>
      </c>
      <c r="O113" s="348" t="str">
        <f t="array" ref="O113">IFERROR(IF($O$11="Metro",INDEX($F$13:$F$738,SMALL(IF((County=$G$13:$G$738),MATCH(ROW($G$13:$G$738),ROW($G$13:$G$738)),""),ROWS($A$13:A113))),INDEX($I$13:$I$42,SMALL(IF((County=$J$13:$J$42),MATCH(ROW($J$13:$J$42),ROW($J$13:$J$42)),""),ROWS($A$13:A113)))),"")</f>
        <v/>
      </c>
      <c r="Q113" s="348" t="str">
        <f t="array" ref="Q113">IFERROR(IF($Q$11="Yes",INDEX($L$13:$L$2313,SMALL(IF((County=$M$13:$M$2313),MATCH(ROW($M$13:$M$2313),ROW($M$13:$M$2313)),""),ROWS($A$13:A113))),""),"")</f>
        <v/>
      </c>
      <c r="S113" s="346">
        <v>33073</v>
      </c>
      <c r="T113" s="345" t="s">
        <v>310</v>
      </c>
      <c r="V113" s="345">
        <v>10.01</v>
      </c>
      <c r="W113" s="345" t="s">
        <v>337</v>
      </c>
      <c r="AB113" s="347">
        <v>7</v>
      </c>
      <c r="AC113" s="347" t="s">
        <v>345</v>
      </c>
      <c r="AD113" s="1138"/>
      <c r="AE113" s="346">
        <v>33625</v>
      </c>
      <c r="AF113" s="345" t="s">
        <v>337</v>
      </c>
      <c r="AI113" s="934"/>
      <c r="AJ113" s="345">
        <v>113.03</v>
      </c>
      <c r="AK113" s="345" t="s">
        <v>318</v>
      </c>
      <c r="AP113" s="347">
        <v>661.04</v>
      </c>
      <c r="AQ113" s="347" t="s">
        <v>309</v>
      </c>
      <c r="AS113" s="348" t="str">
        <f t="array" ref="AS113">IFERROR(IF($AS$11="Metro",INDEX($AJ$13:$AJ$814,SMALL(IF((County=$AK$13:$AK$814),MATCH(ROW($AK$13:$AK$814),ROW($AK$13:$AK$814)),""),ROWS($A$13:$A113))),INDEX($AM$13:$AM$48,SMALL(IF((County=$AN$13:$AN$48),MATCH(ROW($AN$13:$AN$48),ROW($AN$13:$AN$48)),""),ROWS($A$13:$A113)))),"")</f>
        <v/>
      </c>
      <c r="AU113" s="348" t="str">
        <f t="array" ref="AU113">IFERROR(IF($AU$11="Yes",INDEX($AP$13:$AP$2950,SMALL(IF((County=$AQ$13:$AQ$2950),MATCH(ROW($AQ$13:$AQ$2950),ROW($AQ$13:$AQ$2950)),""),ROWS($A$13:$A113))),""),"")</f>
        <v/>
      </c>
      <c r="AW113" s="346">
        <v>33055</v>
      </c>
      <c r="AX113" s="345" t="s">
        <v>352</v>
      </c>
      <c r="AZ113" s="345">
        <v>7.14</v>
      </c>
      <c r="BA113" s="345" t="s">
        <v>352</v>
      </c>
      <c r="BF113" s="347">
        <v>4.0999999999999996</v>
      </c>
      <c r="BG113" s="347" t="s">
        <v>352</v>
      </c>
      <c r="BH113" s="1790"/>
      <c r="BI113" s="2299">
        <v>33579</v>
      </c>
      <c r="BJ113" s="345" t="s">
        <v>337</v>
      </c>
      <c r="BM113" s="1784"/>
      <c r="BN113" s="345">
        <v>26.08</v>
      </c>
      <c r="BO113" s="345" t="s">
        <v>306</v>
      </c>
      <c r="BQ113" s="237">
        <v>9601</v>
      </c>
      <c r="BR113" s="237" t="s">
        <v>342</v>
      </c>
      <c r="BT113" s="347">
        <v>652.36</v>
      </c>
      <c r="BU113" s="347" t="s">
        <v>309</v>
      </c>
      <c r="BW113" s="348" t="str">
        <f t="array" ref="BW113">IFERROR(IF($BW$11="Metro",INDEX($BN$13:$BN$4972,SMALL(IF((County=$BO$13:$BO$4972),MATCH(ROW($BO$13:$BO$4972),ROW($BO$13:$BO$4972)),""),ROWS($A$13:$A113))),INDEX($BQ$13:$BQ$212,SMALL(IF((County=$BR$13:$BR$212),MATCH(ROW($BR$13:$BR$212),ROW($BR$13:$BR$212)),""),ROWS($A$13:$A113)))),"")</f>
        <v/>
      </c>
      <c r="BY113" s="348" t="str">
        <f t="array" ref="BY113">IFERROR(IF($BY$11="Yes",INDEX($BT$13:$BT$2950,SMALL(IF((County=$BU$13:$BU$2950),MATCH(ROW($BU$13:$BU$2950),ROW($BU$13:$BU$2950)),""),ROWS($A$13:$A113))),""),"")</f>
        <v/>
      </c>
      <c r="CA113" s="1792">
        <v>33027</v>
      </c>
      <c r="CB113" s="345" t="s">
        <v>310</v>
      </c>
      <c r="CD113" s="345">
        <v>3.01</v>
      </c>
      <c r="CE113" s="345" t="s">
        <v>297</v>
      </c>
      <c r="CG113" s="237">
        <v>9601</v>
      </c>
      <c r="CH113" s="237" t="s">
        <v>338</v>
      </c>
      <c r="CJ113" s="347">
        <v>5</v>
      </c>
      <c r="CK113" s="347" t="s">
        <v>297</v>
      </c>
      <c r="CL113" s="1789"/>
      <c r="CM113" s="2299"/>
      <c r="CN113" s="345"/>
      <c r="CR113" s="345"/>
      <c r="CS113" s="345"/>
      <c r="CU113" s="345"/>
      <c r="CV113" s="345"/>
      <c r="CX113" s="347"/>
      <c r="CY113" s="347"/>
      <c r="DA113" s="348"/>
      <c r="DC113" s="348"/>
      <c r="DE113" s="1792"/>
      <c r="DF113" s="345"/>
      <c r="DH113" s="237"/>
      <c r="DI113" s="237"/>
      <c r="DK113" s="345"/>
      <c r="DL113" s="345"/>
      <c r="DN113" s="347"/>
      <c r="DO113" s="347"/>
      <c r="DP113" s="2505"/>
      <c r="DU113" s="1329"/>
      <c r="DV113" s="1348" t="s">
        <v>2155</v>
      </c>
      <c r="DW113" s="1488" t="s">
        <v>737</v>
      </c>
      <c r="DX113" s="2862" t="str">
        <f t="shared" si="16"/>
        <v>South Miami - Tier 1</v>
      </c>
      <c r="DY113" s="2863"/>
      <c r="DZ113" s="2863"/>
      <c r="EA113" s="842" t="s">
        <v>711</v>
      </c>
      <c r="EB113" s="842" t="s">
        <v>301</v>
      </c>
    </row>
    <row r="114" spans="1:134" ht="14.45" customHeight="1">
      <c r="A114" s="346">
        <v>33625</v>
      </c>
      <c r="B114" s="345" t="s">
        <v>337</v>
      </c>
      <c r="E114" s="934"/>
      <c r="F114" s="345">
        <v>12</v>
      </c>
      <c r="G114" s="345" t="s">
        <v>323</v>
      </c>
      <c r="L114" s="347">
        <v>686.02</v>
      </c>
      <c r="M114" s="347" t="s">
        <v>309</v>
      </c>
      <c r="O114" s="348" t="str">
        <f t="array" ref="O114">IFERROR(IF($O$11="Metro",INDEX($F$13:$F$738,SMALL(IF((County=$G$13:$G$738),MATCH(ROW($G$13:$G$738),ROW($G$13:$G$738)),""),ROWS($A$13:A114))),INDEX($I$13:$I$42,SMALL(IF((County=$J$13:$J$42),MATCH(ROW($J$13:$J$42),ROW($J$13:$J$42)),""),ROWS($A$13:A114)))),"")</f>
        <v/>
      </c>
      <c r="Q114" s="348" t="str">
        <f t="array" ref="Q114">IFERROR(IF($Q$11="Yes",INDEX($L$13:$L$2313,SMALL(IF((County=$M$13:$M$2313),MATCH(ROW($M$13:$M$2313),ROW($M$13:$M$2313)),""),ROWS($A$13:A114))),""),"")</f>
        <v/>
      </c>
      <c r="S114" s="346">
        <v>33076</v>
      </c>
      <c r="T114" s="345" t="s">
        <v>310</v>
      </c>
      <c r="V114" s="345">
        <v>10.01</v>
      </c>
      <c r="W114" s="345" t="s">
        <v>345</v>
      </c>
      <c r="AB114" s="347">
        <v>7</v>
      </c>
      <c r="AC114" s="347" t="s">
        <v>368</v>
      </c>
      <c r="AD114" s="1138"/>
      <c r="AE114" s="346">
        <v>33626</v>
      </c>
      <c r="AF114" s="345" t="s">
        <v>337</v>
      </c>
      <c r="AI114" s="934"/>
      <c r="AJ114" s="345">
        <v>113.04</v>
      </c>
      <c r="AK114" s="345" t="s">
        <v>318</v>
      </c>
      <c r="AP114" s="347">
        <v>662</v>
      </c>
      <c r="AQ114" s="347" t="s">
        <v>309</v>
      </c>
      <c r="AS114" s="348" t="str">
        <f t="array" ref="AS114">IFERROR(IF($AS$11="Metro",INDEX($AJ$13:$AJ$814,SMALL(IF((County=$AK$13:$AK$814),MATCH(ROW($AK$13:$AK$814),ROW($AK$13:$AK$814)),""),ROWS($A$13:$A114))),INDEX($AM$13:$AM$48,SMALL(IF((County=$AN$13:$AN$48),MATCH(ROW($AN$13:$AN$48),ROW($AN$13:$AN$48)),""),ROWS($A$13:$A114)))),"")</f>
        <v/>
      </c>
      <c r="AU114" s="348" t="str">
        <f t="array" ref="AU114">IFERROR(IF($AU$11="Yes",INDEX($AP$13:$AP$2950,SMALL(IF((County=$AQ$13:$AQ$2950),MATCH(ROW($AQ$13:$AQ$2950),ROW($AQ$13:$AQ$2950)),""),ROWS($A$13:$A114))),""),"")</f>
        <v/>
      </c>
      <c r="AW114" s="346">
        <v>33062</v>
      </c>
      <c r="AX114" s="345" t="s">
        <v>310</v>
      </c>
      <c r="AZ114" s="345">
        <v>7.15</v>
      </c>
      <c r="BA114" s="345" t="s">
        <v>352</v>
      </c>
      <c r="BF114" s="347">
        <v>4.1900000000000004</v>
      </c>
      <c r="BG114" s="347" t="s">
        <v>352</v>
      </c>
      <c r="BH114" s="1790"/>
      <c r="BI114" s="2299">
        <v>33584</v>
      </c>
      <c r="BJ114" s="345" t="s">
        <v>337</v>
      </c>
      <c r="BM114" s="1784"/>
      <c r="BN114" s="345">
        <v>26.09</v>
      </c>
      <c r="BO114" s="345" t="s">
        <v>306</v>
      </c>
      <c r="BQ114" s="237">
        <v>9602.01</v>
      </c>
      <c r="BR114" s="237" t="s">
        <v>342</v>
      </c>
      <c r="BT114" s="347">
        <v>652.38</v>
      </c>
      <c r="BU114" s="347" t="s">
        <v>309</v>
      </c>
      <c r="BW114" s="348" t="str">
        <f t="array" ref="BW114">IFERROR(IF($BW$11="Metro",INDEX($BN$13:$BN$4972,SMALL(IF((County=$BO$13:$BO$4972),MATCH(ROW($BO$13:$BO$4972),ROW($BO$13:$BO$4972)),""),ROWS($A$13:$A114))),INDEX($BQ$13:$BQ$212,SMALL(IF((County=$BR$13:$BR$212),MATCH(ROW($BR$13:$BR$212),ROW($BR$13:$BR$212)),""),ROWS($A$13:$A114)))),"")</f>
        <v/>
      </c>
      <c r="BY114" s="348" t="str">
        <f t="array" ref="BY114">IFERROR(IF($BY$11="Yes",INDEX($BT$13:$BT$2950,SMALL(IF((County=$BU$13:$BU$2950),MATCH(ROW($BU$13:$BU$2950),ROW($BU$13:$BU$2950)),""),ROWS($A$13:$A114))),""),"")</f>
        <v/>
      </c>
      <c r="CA114" s="1792">
        <v>33028</v>
      </c>
      <c r="CB114" s="345" t="s">
        <v>310</v>
      </c>
      <c r="CD114" s="345">
        <v>3.01</v>
      </c>
      <c r="CE114" s="345" t="s">
        <v>306</v>
      </c>
      <c r="CG114" s="237">
        <v>9601</v>
      </c>
      <c r="CH114" s="237" t="s">
        <v>342</v>
      </c>
      <c r="CJ114" s="347">
        <v>5</v>
      </c>
      <c r="CK114" s="347" t="s">
        <v>306</v>
      </c>
      <c r="CL114" s="1789"/>
      <c r="CM114" s="2299"/>
      <c r="CN114" s="345"/>
      <c r="CR114" s="345"/>
      <c r="CS114" s="345"/>
      <c r="CU114" s="345"/>
      <c r="CV114" s="345"/>
      <c r="CX114" s="347"/>
      <c r="CY114" s="347"/>
      <c r="DA114" s="348"/>
      <c r="DC114" s="348"/>
      <c r="DE114" s="1792"/>
      <c r="DF114" s="345"/>
      <c r="DH114" s="237"/>
      <c r="DI114" s="237"/>
      <c r="DK114" s="345"/>
      <c r="DL114" s="345"/>
      <c r="DN114" s="347"/>
      <c r="DO114" s="347"/>
      <c r="DP114" s="2505"/>
      <c r="DT114" s="659"/>
      <c r="DU114" s="2305"/>
      <c r="DV114" s="1348" t="s">
        <v>2156</v>
      </c>
      <c r="DW114" s="1488" t="s">
        <v>737</v>
      </c>
      <c r="DX114" s="2862" t="str">
        <f t="shared" si="16"/>
        <v>Tri-Rail - Tier 1</v>
      </c>
      <c r="DY114" s="2863"/>
      <c r="DZ114" s="2863"/>
      <c r="EA114" s="842" t="s">
        <v>712</v>
      </c>
      <c r="EB114" s="842" t="s">
        <v>459</v>
      </c>
      <c r="EC114" s="660"/>
      <c r="ED114" s="661"/>
    </row>
    <row r="115" spans="1:134" ht="14.45" customHeight="1">
      <c r="A115" s="346">
        <v>33626</v>
      </c>
      <c r="B115" s="345" t="s">
        <v>337</v>
      </c>
      <c r="E115" s="934"/>
      <c r="F115" s="345">
        <v>13</v>
      </c>
      <c r="G115" s="345" t="s">
        <v>323</v>
      </c>
      <c r="L115" s="347">
        <v>691</v>
      </c>
      <c r="M115" s="347" t="s">
        <v>309</v>
      </c>
      <c r="O115" s="348" t="str">
        <f t="array" ref="O115">IFERROR(IF($O$11="Metro",INDEX($F$13:$F$738,SMALL(IF((County=$G$13:$G$738),MATCH(ROW($G$13:$G$738),ROW($G$13:$G$738)),""),ROWS($A$13:A115))),INDEX($I$13:$I$42,SMALL(IF((County=$J$13:$J$42),MATCH(ROW($J$13:$J$42),ROW($J$13:$J$42)),""),ROWS($A$13:A115)))),"")</f>
        <v/>
      </c>
      <c r="Q115" s="348" t="str">
        <f t="array" ref="Q115">IFERROR(IF($Q$11="Yes",INDEX($L$13:$L$2313,SMALL(IF((County=$M$13:$M$2313),MATCH(ROW($M$13:$M$2313),ROW($M$13:$M$2313)),""),ROWS($A$13:A115))),""),"")</f>
        <v/>
      </c>
      <c r="S115" s="346">
        <v>33109</v>
      </c>
      <c r="T115" s="345" t="s">
        <v>352</v>
      </c>
      <c r="V115" s="345">
        <v>10.02</v>
      </c>
      <c r="W115" s="345" t="s">
        <v>337</v>
      </c>
      <c r="AB115" s="347">
        <v>7.02</v>
      </c>
      <c r="AC115" s="347" t="s">
        <v>350</v>
      </c>
      <c r="AD115" s="1138"/>
      <c r="AE115" s="346">
        <v>33629</v>
      </c>
      <c r="AF115" s="345" t="s">
        <v>337</v>
      </c>
      <c r="AI115" s="934"/>
      <c r="AJ115" s="345">
        <v>113.05</v>
      </c>
      <c r="AK115" s="345" t="s">
        <v>318</v>
      </c>
      <c r="AP115" s="347">
        <v>663.01</v>
      </c>
      <c r="AQ115" s="347" t="s">
        <v>309</v>
      </c>
      <c r="AS115" s="348" t="str">
        <f t="array" ref="AS115">IFERROR(IF($AS$11="Metro",INDEX($AJ$13:$AJ$814,SMALL(IF((County=$AK$13:$AK$814),MATCH(ROW($AK$13:$AK$814),ROW($AK$13:$AK$814)),""),ROWS($A$13:$A115))),INDEX($AM$13:$AM$48,SMALL(IF((County=$AN$13:$AN$48),MATCH(ROW($AN$13:$AN$48),ROW($AN$13:$AN$48)),""),ROWS($A$13:$A115)))),"")</f>
        <v/>
      </c>
      <c r="AU115" s="348" t="str">
        <f t="array" ref="AU115">IFERROR(IF($AU$11="Yes",INDEX($AP$13:$AP$2950,SMALL(IF((County=$AQ$13:$AQ$2950),MATCH(ROW($AQ$13:$AQ$2950),ROW($AQ$13:$AQ$2950)),""),ROWS($A$13:$A115))),""),"")</f>
        <v/>
      </c>
      <c r="AW115" s="346">
        <v>33063</v>
      </c>
      <c r="AX115" s="345" t="s">
        <v>310</v>
      </c>
      <c r="AZ115" s="345">
        <v>7.17</v>
      </c>
      <c r="BA115" s="345" t="s">
        <v>352</v>
      </c>
      <c r="BF115" s="347">
        <v>5</v>
      </c>
      <c r="BG115" s="347" t="s">
        <v>297</v>
      </c>
      <c r="BH115" s="1790"/>
      <c r="BI115" s="2298">
        <v>33594</v>
      </c>
      <c r="BJ115" s="237" t="s">
        <v>337</v>
      </c>
      <c r="BM115" s="1784"/>
      <c r="BN115" s="345">
        <v>27.03</v>
      </c>
      <c r="BO115" s="345" t="s">
        <v>306</v>
      </c>
      <c r="BQ115" s="237">
        <v>9602.02</v>
      </c>
      <c r="BR115" s="237" t="s">
        <v>342</v>
      </c>
      <c r="BT115" s="347">
        <v>661.01</v>
      </c>
      <c r="BU115" s="347" t="s">
        <v>309</v>
      </c>
      <c r="BW115" s="348" t="str">
        <f t="array" ref="BW115">IFERROR(IF($BW$11="Metro",INDEX($BN$13:$BN$4972,SMALL(IF((County=$BO$13:$BO$4972),MATCH(ROW($BO$13:$BO$4972),ROW($BO$13:$BO$4972)),""),ROWS($A$13:$A115))),INDEX($BQ$13:$BQ$212,SMALL(IF((County=$BR$13:$BR$212),MATCH(ROW($BR$13:$BR$212),ROW($BR$13:$BR$212)),""),ROWS($A$13:$A115)))),"")</f>
        <v/>
      </c>
      <c r="BY115" s="348" t="str">
        <f t="array" ref="BY115">IFERROR(IF($BY$11="Yes",INDEX($BT$13:$BT$2950,SMALL(IF((County=$BU$13:$BU$2950),MATCH(ROW($BU$13:$BU$2950),ROW($BU$13:$BU$2950)),""),ROWS($A$13:$A115))),""),"")</f>
        <v/>
      </c>
      <c r="CA115" s="1792">
        <v>33029</v>
      </c>
      <c r="CB115" s="345" t="s">
        <v>310</v>
      </c>
      <c r="CD115" s="237">
        <v>3.01</v>
      </c>
      <c r="CE115" s="237" t="s">
        <v>318</v>
      </c>
      <c r="CG115" s="237">
        <v>9601</v>
      </c>
      <c r="CH115" s="237" t="s">
        <v>375</v>
      </c>
      <c r="CJ115" s="347">
        <v>5</v>
      </c>
      <c r="CK115" s="347" t="s">
        <v>318</v>
      </c>
      <c r="CL115" s="1789"/>
      <c r="CM115" s="2299"/>
      <c r="CN115" s="345"/>
      <c r="CR115" s="345"/>
      <c r="CS115" s="345"/>
      <c r="CU115" s="345"/>
      <c r="CV115" s="345"/>
      <c r="CX115" s="347"/>
      <c r="CY115" s="347"/>
      <c r="DA115" s="348"/>
      <c r="DC115" s="348"/>
      <c r="DE115" s="1792"/>
      <c r="DF115" s="345"/>
      <c r="DH115" s="237"/>
      <c r="DI115" s="237"/>
      <c r="DK115" s="345"/>
      <c r="DL115" s="345"/>
      <c r="DN115" s="347"/>
      <c r="DO115" s="347"/>
      <c r="DP115" s="2505"/>
      <c r="DT115" s="658"/>
      <c r="DU115" s="2305"/>
      <c r="DV115" s="1491" t="s">
        <v>2157</v>
      </c>
      <c r="DW115" s="1488" t="s">
        <v>737</v>
      </c>
      <c r="DX115" s="2862" t="str">
        <f t="shared" si="16"/>
        <v>University - Tier 1</v>
      </c>
      <c r="DY115" s="2863"/>
      <c r="DZ115" s="2863"/>
      <c r="EA115" s="842" t="s">
        <v>2834</v>
      </c>
      <c r="EB115" s="842" t="s">
        <v>705</v>
      </c>
      <c r="EC115" s="660"/>
      <c r="ED115" s="661"/>
    </row>
    <row r="116" spans="1:134" ht="14.45" customHeight="1">
      <c r="A116" s="346">
        <v>33629</v>
      </c>
      <c r="B116" s="345" t="s">
        <v>337</v>
      </c>
      <c r="E116" s="934"/>
      <c r="F116" s="345">
        <v>14</v>
      </c>
      <c r="G116" s="345" t="s">
        <v>323</v>
      </c>
      <c r="L116" s="347">
        <v>692</v>
      </c>
      <c r="M116" s="347" t="s">
        <v>309</v>
      </c>
      <c r="O116" s="348" t="str">
        <f t="array" ref="O116">IFERROR(IF($O$11="Metro",INDEX($F$13:$F$738,SMALL(IF((County=$G$13:$G$738),MATCH(ROW($G$13:$G$738),ROW($G$13:$G$738)),""),ROWS($A$13:A116))),INDEX($I$13:$I$42,SMALL(IF((County=$J$13:$J$42),MATCH(ROW($J$13:$J$42),ROW($J$13:$J$42)),""),ROWS($A$13:A116)))),"")</f>
        <v/>
      </c>
      <c r="Q116" s="348" t="str">
        <f t="array" ref="Q116">IFERROR(IF($Q$11="Yes",INDEX($L$13:$L$2313,SMALL(IF((County=$M$13:$M$2313),MATCH(ROW($M$13:$M$2313),ROW($M$13:$M$2313)),""),ROWS($A$13:A116))),""),"")</f>
        <v/>
      </c>
      <c r="S116" s="346">
        <v>33126</v>
      </c>
      <c r="T116" s="345" t="s">
        <v>352</v>
      </c>
      <c r="V116" s="345">
        <v>10.02</v>
      </c>
      <c r="W116" s="345" t="s">
        <v>345</v>
      </c>
      <c r="AB116" s="347">
        <v>7.02</v>
      </c>
      <c r="AC116" s="347" t="s">
        <v>361</v>
      </c>
      <c r="AD116" s="1138"/>
      <c r="AE116" s="346">
        <v>33634</v>
      </c>
      <c r="AF116" s="345" t="s">
        <v>337</v>
      </c>
      <c r="AI116" s="934"/>
      <c r="AJ116" s="345">
        <v>113.06</v>
      </c>
      <c r="AK116" s="345" t="s">
        <v>318</v>
      </c>
      <c r="AP116" s="347">
        <v>663.02</v>
      </c>
      <c r="AQ116" s="347" t="s">
        <v>309</v>
      </c>
      <c r="AS116" s="348" t="str">
        <f t="array" ref="AS116">IFERROR(IF($AS$11="Metro",INDEX($AJ$13:$AJ$814,SMALL(IF((County=$AK$13:$AK$814),MATCH(ROW($AK$13:$AK$814),ROW($AK$13:$AK$814)),""),ROWS($A$13:$A116))),INDEX($AM$13:$AM$48,SMALL(IF((County=$AN$13:$AN$48),MATCH(ROW($AN$13:$AN$48),ROW($AN$13:$AN$48)),""),ROWS($A$13:$A116)))),"")</f>
        <v/>
      </c>
      <c r="AU116" s="348" t="str">
        <f t="array" ref="AU116">IFERROR(IF($AU$11="Yes",INDEX($AP$13:$AP$2950,SMALL(IF((County=$AQ$13:$AQ$2950),MATCH(ROW($AQ$13:$AQ$2950),ROW($AQ$13:$AQ$2950)),""),ROWS($A$13:$A116))),""),"")</f>
        <v/>
      </c>
      <c r="AW116" s="346">
        <v>33067</v>
      </c>
      <c r="AX116" s="345" t="s">
        <v>310</v>
      </c>
      <c r="AZ116" s="345">
        <v>7.18</v>
      </c>
      <c r="BA116" s="345" t="s">
        <v>352</v>
      </c>
      <c r="BF116" s="347">
        <v>5</v>
      </c>
      <c r="BG116" s="347" t="s">
        <v>318</v>
      </c>
      <c r="BH116" s="1790"/>
      <c r="BI116" s="2298">
        <v>33596</v>
      </c>
      <c r="BJ116" s="237" t="s">
        <v>337</v>
      </c>
      <c r="BM116" s="1784"/>
      <c r="BN116" s="345">
        <v>27.06</v>
      </c>
      <c r="BO116" s="345" t="s">
        <v>306</v>
      </c>
      <c r="BQ116" s="237">
        <v>9501</v>
      </c>
      <c r="BR116" s="237" t="s">
        <v>347</v>
      </c>
      <c r="BT116" s="347">
        <v>661.03</v>
      </c>
      <c r="BU116" s="347" t="s">
        <v>309</v>
      </c>
      <c r="BW116" s="348" t="str">
        <f t="array" ref="BW116">IFERROR(IF($BW$11="Metro",INDEX($BN$13:$BN$4972,SMALL(IF((County=$BO$13:$BO$4972),MATCH(ROW($BO$13:$BO$4972),ROW($BO$13:$BO$4972)),""),ROWS($A$13:$A116))),INDEX($BQ$13:$BQ$212,SMALL(IF((County=$BR$13:$BR$212),MATCH(ROW($BR$13:$BR$212),ROW($BR$13:$BR$212)),""),ROWS($A$13:$A116)))),"")</f>
        <v/>
      </c>
      <c r="BY116" s="348" t="str">
        <f t="array" ref="BY116">IFERROR(IF($BY$11="Yes",INDEX($BT$13:$BT$2950,SMALL(IF((County=$BU$13:$BU$2950),MATCH(ROW($BU$13:$BU$2950),ROW($BU$13:$BU$2950)),""),ROWS($A$13:$A116))),""),"")</f>
        <v/>
      </c>
      <c r="CA116" s="1792">
        <v>33035</v>
      </c>
      <c r="CB116" s="345" t="s">
        <v>352</v>
      </c>
      <c r="CD116" s="237">
        <v>3.01</v>
      </c>
      <c r="CE116" s="237" t="s">
        <v>337</v>
      </c>
      <c r="CG116" s="237">
        <v>9601.01</v>
      </c>
      <c r="CH116" s="237" t="s">
        <v>331</v>
      </c>
      <c r="CJ116" s="347">
        <v>5</v>
      </c>
      <c r="CK116" s="347" t="s">
        <v>325</v>
      </c>
      <c r="CL116" s="1789"/>
      <c r="CM116" s="2299"/>
      <c r="CN116" s="345"/>
      <c r="CR116" s="345"/>
      <c r="CS116" s="345"/>
      <c r="CU116" s="345"/>
      <c r="CV116" s="345"/>
      <c r="CX116" s="347"/>
      <c r="CY116" s="347"/>
      <c r="DA116" s="348"/>
      <c r="DC116" s="348"/>
      <c r="DE116" s="1792"/>
      <c r="DF116" s="345"/>
      <c r="DH116" s="237"/>
      <c r="DI116" s="237"/>
      <c r="DK116" s="345"/>
      <c r="DL116" s="345"/>
      <c r="DN116" s="347"/>
      <c r="DO116" s="347"/>
      <c r="DP116" s="2505"/>
      <c r="DU116" s="1490"/>
      <c r="DV116" s="1486" t="s">
        <v>2001</v>
      </c>
      <c r="DW116" s="1488" t="s">
        <v>737</v>
      </c>
      <c r="DX116" s="2862" t="str">
        <f t="shared" si="16"/>
        <v>Vizcaya - Tier 1</v>
      </c>
      <c r="DY116" s="2863"/>
      <c r="DZ116" s="2863"/>
      <c r="EA116" s="1490"/>
      <c r="EB116" s="660"/>
      <c r="EC116" s="660"/>
      <c r="ED116" s="661"/>
    </row>
    <row r="117" spans="1:134" ht="14.45" customHeight="1">
      <c r="A117" s="346">
        <v>33634</v>
      </c>
      <c r="B117" s="345" t="s">
        <v>337</v>
      </c>
      <c r="E117" s="934"/>
      <c r="F117" s="345">
        <v>15</v>
      </c>
      <c r="G117" s="345" t="s">
        <v>323</v>
      </c>
      <c r="L117" s="347">
        <v>693</v>
      </c>
      <c r="M117" s="347" t="s">
        <v>309</v>
      </c>
      <c r="O117" s="348" t="str">
        <f t="array" ref="O117">IFERROR(IF($O$11="Metro",INDEX($F$13:$F$738,SMALL(IF((County=$G$13:$G$738),MATCH(ROW($G$13:$G$738),ROW($G$13:$G$738)),""),ROWS($A$13:A117))),INDEX($I$13:$I$42,SMALL(IF((County=$J$13:$J$42),MATCH(ROW($J$13:$J$42),ROW($J$13:$J$42)),""),ROWS($A$13:A117)))),"")</f>
        <v/>
      </c>
      <c r="Q117" s="348" t="str">
        <f t="array" ref="Q117">IFERROR(IF($Q$11="Yes",INDEX($L$13:$L$2313,SMALL(IF((County=$M$13:$M$2313),MATCH(ROW($M$13:$M$2313),ROW($M$13:$M$2313)),""),ROWS($A$13:A117))),""),"")</f>
        <v/>
      </c>
      <c r="S117" s="346">
        <v>33129</v>
      </c>
      <c r="T117" s="345" t="s">
        <v>352</v>
      </c>
      <c r="V117" s="345">
        <v>10.02</v>
      </c>
      <c r="W117" s="345" t="s">
        <v>352</v>
      </c>
      <c r="AB117" s="347">
        <v>7.03</v>
      </c>
      <c r="AC117" s="347" t="s">
        <v>361</v>
      </c>
      <c r="AD117" s="1138"/>
      <c r="AE117" s="346">
        <v>33635</v>
      </c>
      <c r="AF117" s="345" t="s">
        <v>337</v>
      </c>
      <c r="AI117" s="934"/>
      <c r="AJ117" s="345">
        <v>114</v>
      </c>
      <c r="AK117" s="345" t="s">
        <v>318</v>
      </c>
      <c r="AP117" s="347">
        <v>664</v>
      </c>
      <c r="AQ117" s="347" t="s">
        <v>309</v>
      </c>
      <c r="AS117" s="348" t="str">
        <f t="array" ref="AS117">IFERROR(IF($AS$11="Metro",INDEX($AJ$13:$AJ$814,SMALL(IF((County=$AK$13:$AK$814),MATCH(ROW($AK$13:$AK$814),ROW($AK$13:$AK$814)),""),ROWS($A$13:$A117))),INDEX($AM$13:$AM$48,SMALL(IF((County=$AN$13:$AN$48),MATCH(ROW($AN$13:$AN$48),ROW($AN$13:$AN$48)),""),ROWS($A$13:$A117)))),"")</f>
        <v/>
      </c>
      <c r="AU117" s="348" t="str">
        <f t="array" ref="AU117">IFERROR(IF($AU$11="Yes",INDEX($AP$13:$AP$2950,SMALL(IF((County=$AQ$13:$AQ$2950),MATCH(ROW($AQ$13:$AQ$2950),ROW($AQ$13:$AQ$2950)),""),ROWS($A$13:$A117))),""),"")</f>
        <v/>
      </c>
      <c r="AW117" s="346">
        <v>33068</v>
      </c>
      <c r="AX117" s="345" t="s">
        <v>310</v>
      </c>
      <c r="AZ117" s="345">
        <v>7.19</v>
      </c>
      <c r="BA117" s="345" t="s">
        <v>352</v>
      </c>
      <c r="BF117" s="347">
        <v>5</v>
      </c>
      <c r="BG117" s="347" t="s">
        <v>325</v>
      </c>
      <c r="BH117" s="1790"/>
      <c r="BI117" s="2298">
        <v>33602</v>
      </c>
      <c r="BJ117" s="237" t="s">
        <v>337</v>
      </c>
      <c r="BM117" s="1784"/>
      <c r="BN117" s="345">
        <v>27.07</v>
      </c>
      <c r="BO117" s="345" t="s">
        <v>306</v>
      </c>
      <c r="BQ117" s="237">
        <v>9502.01</v>
      </c>
      <c r="BR117" s="237" t="s">
        <v>347</v>
      </c>
      <c r="BT117" s="347">
        <v>661.04</v>
      </c>
      <c r="BU117" s="347" t="s">
        <v>309</v>
      </c>
      <c r="BW117" s="348" t="str">
        <f t="array" ref="BW117">IFERROR(IF($BW$11="Metro",INDEX($BN$13:$BN$4972,SMALL(IF((County=$BO$13:$BO$4972),MATCH(ROW($BO$13:$BO$4972),ROW($BO$13:$BO$4972)),""),ROWS($A$13:$A117))),INDEX($BQ$13:$BQ$212,SMALL(IF((County=$BR$13:$BR$212),MATCH(ROW($BR$13:$BR$212),ROW($BR$13:$BR$212)),""),ROWS($A$13:$A117)))),"")</f>
        <v/>
      </c>
      <c r="BY117" s="348" t="str">
        <f t="array" ref="BY117">IFERROR(IF($BY$11="Yes",INDEX($BT$13:$BT$2950,SMALL(IF((County=$BU$13:$BU$2950),MATCH(ROW($BU$13:$BU$2950),ROW($BU$13:$BU$2950)),""),ROWS($A$13:$A117))),""),"")</f>
        <v/>
      </c>
      <c r="CA117" s="1792">
        <v>33055</v>
      </c>
      <c r="CB117" s="345" t="s">
        <v>352</v>
      </c>
      <c r="CD117" s="237">
        <v>3.01</v>
      </c>
      <c r="CE117" s="237" t="s">
        <v>345</v>
      </c>
      <c r="CG117" s="237">
        <v>9601.01</v>
      </c>
      <c r="CH117" s="237" t="s">
        <v>332</v>
      </c>
      <c r="CJ117" s="347">
        <v>5</v>
      </c>
      <c r="CK117" s="347" t="s">
        <v>337</v>
      </c>
      <c r="CL117" s="1789"/>
      <c r="CM117" s="2299"/>
      <c r="CN117" s="345"/>
      <c r="CR117" s="345"/>
      <c r="CS117" s="345"/>
      <c r="CU117" s="345"/>
      <c r="CV117" s="345"/>
      <c r="CX117" s="347"/>
      <c r="CY117" s="347"/>
      <c r="DA117" s="348"/>
      <c r="DC117" s="348"/>
      <c r="DE117" s="1792"/>
      <c r="DF117" s="345"/>
      <c r="DH117" s="237"/>
      <c r="DI117" s="237"/>
      <c r="DK117" s="345"/>
      <c r="DL117" s="345"/>
      <c r="DN117" s="347"/>
      <c r="DO117" s="347"/>
      <c r="DP117" s="2505"/>
      <c r="DU117" s="1490"/>
      <c r="DV117" s="1490"/>
      <c r="DW117" s="1490"/>
      <c r="DX117" s="1490"/>
      <c r="DY117" s="1490"/>
      <c r="DZ117" s="661"/>
      <c r="EA117" s="1490"/>
      <c r="EB117" s="660"/>
      <c r="EC117" s="660"/>
      <c r="ED117" s="661"/>
    </row>
    <row r="118" spans="1:134" ht="14.45" customHeight="1">
      <c r="A118" s="346">
        <v>33635</v>
      </c>
      <c r="B118" s="345" t="s">
        <v>337</v>
      </c>
      <c r="E118" s="934"/>
      <c r="F118" s="345">
        <v>16</v>
      </c>
      <c r="G118" s="345" t="s">
        <v>323</v>
      </c>
      <c r="L118" s="347">
        <v>694</v>
      </c>
      <c r="M118" s="347" t="s">
        <v>309</v>
      </c>
      <c r="O118" s="348" t="str">
        <f t="array" ref="O118">IFERROR(IF($O$11="Metro",INDEX($F$13:$F$738,SMALL(IF((County=$G$13:$G$738),MATCH(ROW($G$13:$G$738),ROW($G$13:$G$738)),""),ROWS($A$13:A118))),INDEX($I$13:$I$42,SMALL(IF((County=$J$13:$J$42),MATCH(ROW($J$13:$J$42),ROW($J$13:$J$42)),""),ROWS($A$13:A118)))),"")</f>
        <v/>
      </c>
      <c r="Q118" s="348" t="str">
        <f t="array" ref="Q118">IFERROR(IF($Q$11="Yes",INDEX($L$13:$L$2313,SMALL(IF((County=$M$13:$M$2313),MATCH(ROW($M$13:$M$2313),ROW($M$13:$M$2313)),""),ROWS($A$13:A118))),""),"")</f>
        <v/>
      </c>
      <c r="S118" s="346">
        <v>33131</v>
      </c>
      <c r="T118" s="345" t="s">
        <v>352</v>
      </c>
      <c r="V118" s="345">
        <v>10.029999999999999</v>
      </c>
      <c r="W118" s="345" t="s">
        <v>352</v>
      </c>
      <c r="AB118" s="347">
        <v>8</v>
      </c>
      <c r="AC118" s="347" t="s">
        <v>323</v>
      </c>
      <c r="AD118" s="1138"/>
      <c r="AE118" s="346">
        <v>33647</v>
      </c>
      <c r="AF118" s="345" t="s">
        <v>337</v>
      </c>
      <c r="AI118" s="934"/>
      <c r="AJ118" s="345">
        <v>1.01</v>
      </c>
      <c r="AK118" s="345" t="s">
        <v>323</v>
      </c>
      <c r="AP118" s="347">
        <v>665</v>
      </c>
      <c r="AQ118" s="347" t="s">
        <v>309</v>
      </c>
      <c r="AS118" s="348" t="str">
        <f t="array" ref="AS118">IFERROR(IF($AS$11="Metro",INDEX($AJ$13:$AJ$814,SMALL(IF((County=$AK$13:$AK$814),MATCH(ROW($AK$13:$AK$814),ROW($AK$13:$AK$814)),""),ROWS($A$13:$A118))),INDEX($AM$13:$AM$48,SMALL(IF((County=$AN$13:$AN$48),MATCH(ROW($AN$13:$AN$48),ROW($AN$13:$AN$48)),""),ROWS($A$13:$A118)))),"")</f>
        <v/>
      </c>
      <c r="AU118" s="348" t="str">
        <f t="array" ref="AU118">IFERROR(IF($AU$11="Yes",INDEX($AP$13:$AP$2950,SMALL(IF((County=$AQ$13:$AQ$2950),MATCH(ROW($AQ$13:$AQ$2950),ROW($AQ$13:$AQ$2950)),""),ROWS($A$13:$A118))),""),"")</f>
        <v/>
      </c>
      <c r="AW118" s="346">
        <v>33071</v>
      </c>
      <c r="AX118" s="345" t="s">
        <v>310</v>
      </c>
      <c r="AZ118" s="345">
        <v>7.2</v>
      </c>
      <c r="BA118" s="345" t="s">
        <v>352</v>
      </c>
      <c r="BF118" s="347">
        <v>5</v>
      </c>
      <c r="BG118" s="347" t="s">
        <v>337</v>
      </c>
      <c r="BH118" s="1790"/>
      <c r="BI118" s="2299">
        <v>33606</v>
      </c>
      <c r="BJ118" s="345" t="s">
        <v>337</v>
      </c>
      <c r="BM118" s="1784"/>
      <c r="BN118" s="345">
        <v>27.08</v>
      </c>
      <c r="BO118" s="345" t="s">
        <v>306</v>
      </c>
      <c r="BQ118" s="237">
        <v>9502.02</v>
      </c>
      <c r="BR118" s="237" t="s">
        <v>347</v>
      </c>
      <c r="BT118" s="347">
        <v>662</v>
      </c>
      <c r="BU118" s="347" t="s">
        <v>309</v>
      </c>
      <c r="BW118" s="348" t="str">
        <f t="array" ref="BW118">IFERROR(IF($BW$11="Metro",INDEX($BN$13:$BN$4972,SMALL(IF((County=$BO$13:$BO$4972),MATCH(ROW($BO$13:$BO$4972),ROW($BO$13:$BO$4972)),""),ROWS($A$13:$A118))),INDEX($BQ$13:$BQ$212,SMALL(IF((County=$BR$13:$BR$212),MATCH(ROW($BR$13:$BR$212),ROW($BR$13:$BR$212)),""),ROWS($A$13:$A118)))),"")</f>
        <v/>
      </c>
      <c r="BY118" s="348" t="str">
        <f t="array" ref="BY118">IFERROR(IF($BY$11="Yes",INDEX($BT$13:$BT$2950,SMALL(IF((County=$BU$13:$BU$2950),MATCH(ROW($BU$13:$BU$2950),ROW($BU$13:$BU$2950)),""),ROWS($A$13:$A118))),""),"")</f>
        <v/>
      </c>
      <c r="CA118" s="1792">
        <v>33056</v>
      </c>
      <c r="CB118" s="345" t="s">
        <v>352</v>
      </c>
      <c r="CD118" s="237">
        <v>3.01</v>
      </c>
      <c r="CE118" s="237" t="s">
        <v>361</v>
      </c>
      <c r="CG118" s="237">
        <v>9601.02</v>
      </c>
      <c r="CH118" s="237" t="s">
        <v>331</v>
      </c>
      <c r="CJ118" s="347">
        <v>5.01</v>
      </c>
      <c r="CK118" s="347" t="s">
        <v>351</v>
      </c>
      <c r="CL118" s="1789"/>
      <c r="CM118" s="2299"/>
      <c r="CN118" s="345"/>
      <c r="CR118" s="345"/>
      <c r="CS118" s="345"/>
      <c r="CU118" s="345"/>
      <c r="CV118" s="345"/>
      <c r="CX118" s="347"/>
      <c r="CY118" s="347"/>
      <c r="DA118" s="348"/>
      <c r="DC118" s="348"/>
      <c r="DE118" s="1792"/>
      <c r="DF118" s="345"/>
      <c r="DH118" s="237"/>
      <c r="DI118" s="237"/>
      <c r="DK118" s="345"/>
      <c r="DL118" s="345"/>
      <c r="DN118" s="347"/>
      <c r="DO118" s="347"/>
      <c r="DP118" s="2505"/>
      <c r="DT118" s="659"/>
      <c r="DU118" s="1490"/>
      <c r="DV118" s="1490"/>
      <c r="DW118" s="1490"/>
      <c r="DX118" s="1490"/>
      <c r="DY118" s="1490"/>
      <c r="DZ118" s="661"/>
      <c r="EA118" s="1490"/>
      <c r="EB118" s="660"/>
      <c r="EC118" s="660"/>
      <c r="ED118" s="661"/>
    </row>
    <row r="119" spans="1:134" ht="14.45" customHeight="1">
      <c r="A119" s="346">
        <v>33637</v>
      </c>
      <c r="B119" s="345" t="s">
        <v>337</v>
      </c>
      <c r="E119" s="934"/>
      <c r="F119" s="345">
        <v>25.01</v>
      </c>
      <c r="G119" s="345" t="s">
        <v>323</v>
      </c>
      <c r="L119" s="347">
        <v>698.01</v>
      </c>
      <c r="M119" s="347" t="s">
        <v>309</v>
      </c>
      <c r="O119" s="348" t="str">
        <f t="array" ref="O119">IFERROR(IF($O$11="Metro",INDEX($F$13:$F$738,SMALL(IF((County=$G$13:$G$738),MATCH(ROW($G$13:$G$738),ROW($G$13:$G$738)),""),ROWS($A$13:A119))),INDEX($I$13:$I$42,SMALL(IF((County=$J$13:$J$42),MATCH(ROW($J$13:$J$42),ROW($J$13:$J$42)),""),ROWS($A$13:A119)))),"")</f>
        <v/>
      </c>
      <c r="Q119" s="348" t="str">
        <f t="array" ref="Q119">IFERROR(IF($Q$11="Yes",INDEX($L$13:$L$2313,SMALL(IF((County=$M$13:$M$2313),MATCH(ROW($M$13:$M$2313),ROW($M$13:$M$2313)),""),ROWS($A$13:A119))),""),"")</f>
        <v/>
      </c>
      <c r="S119" s="346">
        <v>33132</v>
      </c>
      <c r="T119" s="345" t="s">
        <v>352</v>
      </c>
      <c r="V119" s="345">
        <v>10.039999999999999</v>
      </c>
      <c r="W119" s="345" t="s">
        <v>352</v>
      </c>
      <c r="AB119" s="347">
        <v>8</v>
      </c>
      <c r="AC119" s="347" t="s">
        <v>325</v>
      </c>
      <c r="AD119" s="1138"/>
      <c r="AE119" s="346">
        <v>32963</v>
      </c>
      <c r="AF119" s="345" t="s">
        <v>339</v>
      </c>
      <c r="AI119" s="934"/>
      <c r="AJ119" s="345">
        <v>1.02</v>
      </c>
      <c r="AK119" s="345" t="s">
        <v>323</v>
      </c>
      <c r="AP119" s="347">
        <v>666</v>
      </c>
      <c r="AQ119" s="347" t="s">
        <v>309</v>
      </c>
      <c r="AS119" s="348" t="str">
        <f t="array" ref="AS119">IFERROR(IF($AS$11="Metro",INDEX($AJ$13:$AJ$814,SMALL(IF((County=$AK$13:$AK$814),MATCH(ROW($AK$13:$AK$814),ROW($AK$13:$AK$814)),""),ROWS($A$13:$A119))),INDEX($AM$13:$AM$48,SMALL(IF((County=$AN$13:$AN$48),MATCH(ROW($AN$13:$AN$48),ROW($AN$13:$AN$48)),""),ROWS($A$13:$A119)))),"")</f>
        <v/>
      </c>
      <c r="AU119" s="348" t="str">
        <f t="array" ref="AU119">IFERROR(IF($AU$11="Yes",INDEX($AP$13:$AP$2950,SMALL(IF((County=$AQ$13:$AQ$2950),MATCH(ROW($AQ$13:$AQ$2950),ROW($AQ$13:$AQ$2950)),""),ROWS($A$13:$A119))),""),"")</f>
        <v/>
      </c>
      <c r="AW119" s="346">
        <v>33073</v>
      </c>
      <c r="AX119" s="345" t="s">
        <v>310</v>
      </c>
      <c r="AZ119" s="345">
        <v>8</v>
      </c>
      <c r="BA119" s="345" t="s">
        <v>337</v>
      </c>
      <c r="BF119" s="347">
        <v>5.01</v>
      </c>
      <c r="BG119" s="347" t="s">
        <v>368</v>
      </c>
      <c r="BH119" s="1790"/>
      <c r="BI119" s="2299">
        <v>33607</v>
      </c>
      <c r="BJ119" s="345" t="s">
        <v>337</v>
      </c>
      <c r="BM119" s="1784"/>
      <c r="BN119" s="345">
        <v>27.09</v>
      </c>
      <c r="BO119" s="345" t="s">
        <v>306</v>
      </c>
      <c r="BQ119" s="237">
        <v>9800</v>
      </c>
      <c r="BR119" s="237" t="s">
        <v>347</v>
      </c>
      <c r="BT119" s="347">
        <v>663.01</v>
      </c>
      <c r="BU119" s="347" t="s">
        <v>309</v>
      </c>
      <c r="BW119" s="348" t="str">
        <f t="array" ref="BW119">IFERROR(IF($BW$11="Metro",INDEX($BN$13:$BN$4972,SMALL(IF((County=$BO$13:$BO$4972),MATCH(ROW($BO$13:$BO$4972),ROW($BO$13:$BO$4972)),""),ROWS($A$13:$A119))),INDEX($BQ$13:$BQ$212,SMALL(IF((County=$BR$13:$BR$212),MATCH(ROW($BR$13:$BR$212),ROW($BR$13:$BR$212)),""),ROWS($A$13:$A119)))),"")</f>
        <v/>
      </c>
      <c r="BY119" s="348" t="str">
        <f t="array" ref="BY119">IFERROR(IF($BY$11="Yes",INDEX($BT$13:$BT$2950,SMALL(IF((County=$BU$13:$BU$2950),MATCH(ROW($BU$13:$BU$2950),ROW($BU$13:$BU$2950)),""),ROWS($A$13:$A119))),""),"")</f>
        <v/>
      </c>
      <c r="CA119" s="1792">
        <v>33062</v>
      </c>
      <c r="CB119" s="345" t="s">
        <v>310</v>
      </c>
      <c r="CD119" s="345">
        <v>3.02</v>
      </c>
      <c r="CE119" s="345" t="s">
        <v>297</v>
      </c>
      <c r="CG119" s="237">
        <v>9601.02</v>
      </c>
      <c r="CH119" s="237" t="s">
        <v>332</v>
      </c>
      <c r="CJ119" s="347">
        <v>5.01</v>
      </c>
      <c r="CK119" s="347" t="s">
        <v>368</v>
      </c>
      <c r="CL119" s="1789"/>
      <c r="CM119" s="2299"/>
      <c r="CN119" s="345"/>
      <c r="CR119" s="345"/>
      <c r="CS119" s="345"/>
      <c r="CU119" s="345"/>
      <c r="CV119" s="345"/>
      <c r="CX119" s="347"/>
      <c r="CY119" s="347"/>
      <c r="DA119" s="348"/>
      <c r="DC119" s="348"/>
      <c r="DE119" s="1792"/>
      <c r="DF119" s="345"/>
      <c r="DH119" s="237"/>
      <c r="DI119" s="237"/>
      <c r="DK119" s="345"/>
      <c r="DL119" s="345"/>
      <c r="DN119" s="347"/>
      <c r="DO119" s="347"/>
      <c r="DP119" s="2505"/>
      <c r="DT119" s="659"/>
      <c r="DU119" s="1490"/>
      <c r="DV119" s="1490"/>
      <c r="DW119" s="1490"/>
      <c r="DX119" s="1490"/>
      <c r="DY119" s="1490"/>
      <c r="DZ119" s="661"/>
      <c r="EA119" s="1490"/>
      <c r="EB119" s="660"/>
      <c r="EC119" s="660"/>
      <c r="ED119" s="661"/>
    </row>
    <row r="120" spans="1:134" ht="14.45" customHeight="1">
      <c r="A120" s="346">
        <v>33647</v>
      </c>
      <c r="B120" s="345" t="s">
        <v>337</v>
      </c>
      <c r="E120" s="934"/>
      <c r="F120" s="345">
        <v>26</v>
      </c>
      <c r="G120" s="345" t="s">
        <v>323</v>
      </c>
      <c r="L120" s="347">
        <v>699.01</v>
      </c>
      <c r="M120" s="347" t="s">
        <v>309</v>
      </c>
      <c r="O120" s="348" t="str">
        <f t="array" ref="O120">IFERROR(IF($O$11="Metro",INDEX($F$13:$F$738,SMALL(IF((County=$G$13:$G$738),MATCH(ROW($G$13:$G$738),ROW($G$13:$G$738)),""),ROWS($A$13:A120))),INDEX($I$13:$I$42,SMALL(IF((County=$J$13:$J$42),MATCH(ROW($J$13:$J$42),ROW($J$13:$J$42)),""),ROWS($A$13:A120)))),"")</f>
        <v/>
      </c>
      <c r="Q120" s="348" t="str">
        <f t="array" ref="Q120">IFERROR(IF($Q$11="Yes",INDEX($L$13:$L$2313,SMALL(IF((County=$M$13:$M$2313),MATCH(ROW($M$13:$M$2313),ROW($M$13:$M$2313)),""),ROWS($A$13:A120))),""),"")</f>
        <v/>
      </c>
      <c r="S120" s="346">
        <v>33133</v>
      </c>
      <c r="T120" s="345" t="s">
        <v>352</v>
      </c>
      <c r="V120" s="345">
        <v>10.050000000000001</v>
      </c>
      <c r="W120" s="345" t="s">
        <v>352</v>
      </c>
      <c r="AB120" s="347">
        <v>8</v>
      </c>
      <c r="AC120" s="347" t="s">
        <v>344</v>
      </c>
      <c r="AD120" s="1138"/>
      <c r="AE120" s="346">
        <v>32968</v>
      </c>
      <c r="AF120" s="345" t="s">
        <v>339</v>
      </c>
      <c r="AI120" s="934"/>
      <c r="AJ120" s="345">
        <v>2</v>
      </c>
      <c r="AK120" s="345" t="s">
        <v>323</v>
      </c>
      <c r="AP120" s="347">
        <v>667</v>
      </c>
      <c r="AQ120" s="347" t="s">
        <v>309</v>
      </c>
      <c r="AS120" s="348" t="str">
        <f t="array" ref="AS120">IFERROR(IF($AS$11="Metro",INDEX($AJ$13:$AJ$814,SMALL(IF((County=$AK$13:$AK$814),MATCH(ROW($AK$13:$AK$814),ROW($AK$13:$AK$814)),""),ROWS($A$13:$A120))),INDEX($AM$13:$AM$48,SMALL(IF((County=$AN$13:$AN$48),MATCH(ROW($AN$13:$AN$48),ROW($AN$13:$AN$48)),""),ROWS($A$13:$A120)))),"")</f>
        <v/>
      </c>
      <c r="AU120" s="348" t="str">
        <f t="array" ref="AU120">IFERROR(IF($AU$11="Yes",INDEX($AP$13:$AP$2950,SMALL(IF((County=$AQ$13:$AQ$2950),MATCH(ROW($AQ$13:$AQ$2950),ROW($AQ$13:$AQ$2950)),""),ROWS($A$13:$A120))),""),"")</f>
        <v/>
      </c>
      <c r="AW120" s="346">
        <v>33076</v>
      </c>
      <c r="AX120" s="345" t="s">
        <v>310</v>
      </c>
      <c r="AZ120" s="345">
        <v>8.0299999999999994</v>
      </c>
      <c r="BA120" s="345" t="s">
        <v>306</v>
      </c>
      <c r="BF120" s="347">
        <v>5.0199999999999996</v>
      </c>
      <c r="BG120" s="347" t="s">
        <v>351</v>
      </c>
      <c r="BH120" s="1790"/>
      <c r="BI120" s="2298">
        <v>33609</v>
      </c>
      <c r="BJ120" s="237" t="s">
        <v>337</v>
      </c>
      <c r="BM120" s="1784"/>
      <c r="BN120" s="345">
        <v>27.1</v>
      </c>
      <c r="BO120" s="345" t="s">
        <v>306</v>
      </c>
      <c r="BQ120" s="237">
        <v>1101</v>
      </c>
      <c r="BR120" s="237" t="s">
        <v>348</v>
      </c>
      <c r="BT120" s="347">
        <v>663.02</v>
      </c>
      <c r="BU120" s="347" t="s">
        <v>309</v>
      </c>
      <c r="BW120" s="348" t="str">
        <f t="array" ref="BW120">IFERROR(IF($BW$11="Metro",INDEX($BN$13:$BN$4972,SMALL(IF((County=$BO$13:$BO$4972),MATCH(ROW($BO$13:$BO$4972),ROW($BO$13:$BO$4972)),""),ROWS($A$13:$A120))),INDEX($BQ$13:$BQ$212,SMALL(IF((County=$BR$13:$BR$212),MATCH(ROW($BR$13:$BR$212),ROW($BR$13:$BR$212)),""),ROWS($A$13:$A120)))),"")</f>
        <v/>
      </c>
      <c r="BY120" s="348" t="str">
        <f t="array" ref="BY120">IFERROR(IF($BY$11="Yes",INDEX($BT$13:$BT$2950,SMALL(IF((County=$BU$13:$BU$2950),MATCH(ROW($BU$13:$BU$2950),ROW($BU$13:$BU$2950)),""),ROWS($A$13:$A120))),""),"")</f>
        <v/>
      </c>
      <c r="CA120" s="1792">
        <v>33063</v>
      </c>
      <c r="CB120" s="345" t="s">
        <v>310</v>
      </c>
      <c r="CD120" s="345">
        <v>3.02</v>
      </c>
      <c r="CE120" s="345" t="s">
        <v>306</v>
      </c>
      <c r="CG120" s="237">
        <v>9601.0300000000007</v>
      </c>
      <c r="CH120" s="237" t="s">
        <v>332</v>
      </c>
      <c r="CJ120" s="347">
        <v>5.0199999999999996</v>
      </c>
      <c r="CK120" s="347" t="s">
        <v>351</v>
      </c>
      <c r="CL120" s="1789"/>
      <c r="CM120" s="2299"/>
      <c r="CN120" s="345"/>
      <c r="CR120" s="345"/>
      <c r="CS120" s="345"/>
      <c r="CU120" s="345"/>
      <c r="CV120" s="345"/>
      <c r="CX120" s="347"/>
      <c r="CY120" s="347"/>
      <c r="DA120" s="348"/>
      <c r="DC120" s="348"/>
      <c r="DE120" s="1792"/>
      <c r="DF120" s="345"/>
      <c r="DH120" s="237"/>
      <c r="DI120" s="237"/>
      <c r="DK120" s="345"/>
      <c r="DL120" s="345"/>
      <c r="DN120" s="347"/>
      <c r="DO120" s="347"/>
      <c r="DP120" s="2505"/>
      <c r="DT120" s="658"/>
      <c r="DU120" s="1490"/>
      <c r="DV120" s="1490"/>
      <c r="DW120" s="1490"/>
      <c r="DX120" s="1490"/>
      <c r="DY120" s="1490"/>
      <c r="DZ120" s="1490"/>
      <c r="EA120" s="1490"/>
      <c r="EB120" s="660"/>
      <c r="EC120" s="660"/>
      <c r="ED120" s="661"/>
    </row>
    <row r="121" spans="1:134" ht="14.45" customHeight="1">
      <c r="A121" s="346">
        <v>32963</v>
      </c>
      <c r="B121" s="345" t="s">
        <v>339</v>
      </c>
      <c r="E121" s="934"/>
      <c r="F121" s="345">
        <v>27.01</v>
      </c>
      <c r="G121" s="345" t="s">
        <v>323</v>
      </c>
      <c r="L121" s="347">
        <v>712</v>
      </c>
      <c r="M121" s="347" t="s">
        <v>309</v>
      </c>
      <c r="O121" s="348" t="str">
        <f t="array" ref="O121">IFERROR(IF($O$11="Metro",INDEX($F$13:$F$738,SMALL(IF((County=$G$13:$G$738),MATCH(ROW($G$13:$G$738),ROW($G$13:$G$738)),""),ROWS($A$13:A121))),INDEX($I$13:$I$42,SMALL(IF((County=$J$13:$J$42),MATCH(ROW($J$13:$J$42),ROW($J$13:$J$42)),""),ROWS($A$13:A121)))),"")</f>
        <v/>
      </c>
      <c r="Q121" s="348" t="str">
        <f t="array" ref="Q121">IFERROR(IF($Q$11="Yes",INDEX($L$13:$L$2313,SMALL(IF((County=$M$13:$M$2313),MATCH(ROW($M$13:$M$2313),ROW($M$13:$M$2313)),""),ROWS($A$13:A121))),""),"")</f>
        <v/>
      </c>
      <c r="S121" s="346">
        <v>33134</v>
      </c>
      <c r="T121" s="345" t="s">
        <v>352</v>
      </c>
      <c r="V121" s="345">
        <v>10.06</v>
      </c>
      <c r="W121" s="345" t="s">
        <v>352</v>
      </c>
      <c r="AB121" s="347">
        <v>8</v>
      </c>
      <c r="AC121" s="347" t="s">
        <v>345</v>
      </c>
      <c r="AD121" s="1138"/>
      <c r="AE121" s="346">
        <v>32102</v>
      </c>
      <c r="AF121" s="345" t="s">
        <v>343</v>
      </c>
      <c r="AI121" s="934"/>
      <c r="AJ121" s="345">
        <v>3</v>
      </c>
      <c r="AK121" s="345" t="s">
        <v>323</v>
      </c>
      <c r="AP121" s="347">
        <v>668</v>
      </c>
      <c r="AQ121" s="347" t="s">
        <v>309</v>
      </c>
      <c r="AS121" s="348" t="str">
        <f t="array" ref="AS121">IFERROR(IF($AS$11="Metro",INDEX($AJ$13:$AJ$814,SMALL(IF((County=$AK$13:$AK$814),MATCH(ROW($AK$13:$AK$814),ROW($AK$13:$AK$814)),""),ROWS($A$13:$A121))),INDEX($AM$13:$AM$48,SMALL(IF((County=$AN$13:$AN$48),MATCH(ROW($AN$13:$AN$48),ROW($AN$13:$AN$48)),""),ROWS($A$13:$A121)))),"")</f>
        <v/>
      </c>
      <c r="AU121" s="348" t="str">
        <f t="array" ref="AU121">IFERROR(IF($AU$11="Yes",INDEX($AP$13:$AP$2950,SMALL(IF((County=$AQ$13:$AQ$2950),MATCH(ROW($AQ$13:$AQ$2950),ROW($AQ$13:$AQ$2950)),""),ROWS($A$13:$A121))),""),"")</f>
        <v/>
      </c>
      <c r="AW121" s="346">
        <v>33109</v>
      </c>
      <c r="AX121" s="345" t="s">
        <v>352</v>
      </c>
      <c r="AZ121" s="345">
        <v>8.0399999999999991</v>
      </c>
      <c r="BA121" s="345" t="s">
        <v>352</v>
      </c>
      <c r="BF121" s="347">
        <v>5.0199999999999996</v>
      </c>
      <c r="BG121" s="347" t="s">
        <v>368</v>
      </c>
      <c r="BH121" s="1790"/>
      <c r="BI121" s="2298">
        <v>33611</v>
      </c>
      <c r="BJ121" s="237" t="s">
        <v>337</v>
      </c>
      <c r="BM121" s="1784"/>
      <c r="BN121" s="345">
        <v>27.11</v>
      </c>
      <c r="BO121" s="345" t="s">
        <v>306</v>
      </c>
      <c r="BQ121" s="237">
        <v>1102</v>
      </c>
      <c r="BR121" s="237" t="s">
        <v>348</v>
      </c>
      <c r="BT121" s="347">
        <v>664</v>
      </c>
      <c r="BU121" s="347" t="s">
        <v>309</v>
      </c>
      <c r="BW121" s="348" t="str">
        <f t="array" ref="BW121">IFERROR(IF($BW$11="Metro",INDEX($BN$13:$BN$4972,SMALL(IF((County=$BO$13:$BO$4972),MATCH(ROW($BO$13:$BO$4972),ROW($BO$13:$BO$4972)),""),ROWS($A$13:$A121))),INDEX($BQ$13:$BQ$212,SMALL(IF((County=$BR$13:$BR$212),MATCH(ROW($BR$13:$BR$212),ROW($BR$13:$BR$212)),""),ROWS($A$13:$A121)))),"")</f>
        <v/>
      </c>
      <c r="BY121" s="348" t="str">
        <f t="array" ref="BY121">IFERROR(IF($BY$11="Yes",INDEX($BT$13:$BT$2950,SMALL(IF((County=$BU$13:$BU$2950),MATCH(ROW($BU$13:$BU$2950),ROW($BU$13:$BU$2950)),""),ROWS($A$13:$A121))),""),"")</f>
        <v/>
      </c>
      <c r="CA121" s="1792">
        <v>33064</v>
      </c>
      <c r="CB121" s="345" t="s">
        <v>310</v>
      </c>
      <c r="CD121" s="237">
        <v>3.02</v>
      </c>
      <c r="CE121" s="237" t="s">
        <v>318</v>
      </c>
      <c r="CG121" s="237">
        <v>9602</v>
      </c>
      <c r="CH121" s="237" t="s">
        <v>331</v>
      </c>
      <c r="CJ121" s="347">
        <v>5.0199999999999996</v>
      </c>
      <c r="CK121" s="347" t="s">
        <v>368</v>
      </c>
      <c r="CL121" s="1789"/>
      <c r="CM121" s="2299"/>
      <c r="CN121" s="345"/>
      <c r="CR121" s="345"/>
      <c r="CS121" s="345"/>
      <c r="CU121" s="345"/>
      <c r="CV121" s="345"/>
      <c r="CX121" s="347"/>
      <c r="CY121" s="347"/>
      <c r="DA121" s="348"/>
      <c r="DC121" s="348"/>
      <c r="DE121" s="1792"/>
      <c r="DF121" s="345"/>
      <c r="DH121" s="237"/>
      <c r="DI121" s="237"/>
      <c r="DK121" s="345"/>
      <c r="DL121" s="345"/>
      <c r="DN121" s="347"/>
      <c r="DO121" s="347"/>
      <c r="DP121" s="2505"/>
      <c r="DT121" s="659"/>
      <c r="DU121" s="1490"/>
      <c r="DV121" s="1490"/>
      <c r="DW121" s="1490"/>
      <c r="DX121" s="1490"/>
      <c r="DY121" s="1490"/>
      <c r="DZ121" s="1490"/>
      <c r="EA121" s="1490"/>
      <c r="EB121" s="660"/>
      <c r="EC121" s="660"/>
      <c r="ED121" s="661"/>
    </row>
    <row r="122" spans="1:134" ht="14.45" customHeight="1">
      <c r="A122" s="346">
        <v>32968</v>
      </c>
      <c r="B122" s="345" t="s">
        <v>339</v>
      </c>
      <c r="E122" s="934"/>
      <c r="F122" s="345">
        <v>27.02</v>
      </c>
      <c r="G122" s="345" t="s">
        <v>323</v>
      </c>
      <c r="L122" s="347">
        <v>713.01</v>
      </c>
      <c r="M122" s="347" t="s">
        <v>309</v>
      </c>
      <c r="O122" s="348" t="str">
        <f t="array" ref="O122">IFERROR(IF($O$11="Metro",INDEX($F$13:$F$738,SMALL(IF((County=$G$13:$G$738),MATCH(ROW($G$13:$G$738),ROW($G$13:$G$738)),""),ROWS($A$13:A122))),INDEX($I$13:$I$42,SMALL(IF((County=$J$13:$J$42),MATCH(ROW($J$13:$J$42),ROW($J$13:$J$42)),""),ROWS($A$13:A122)))),"")</f>
        <v/>
      </c>
      <c r="Q122" s="348" t="str">
        <f t="array" ref="Q122">IFERROR(IF($Q$11="Yes",INDEX($L$13:$L$2313,SMALL(IF((County=$M$13:$M$2313),MATCH(ROW($M$13:$M$2313),ROW($M$13:$M$2313)),""),ROWS($A$13:A122))),""),"")</f>
        <v/>
      </c>
      <c r="S122" s="346">
        <v>33137</v>
      </c>
      <c r="T122" s="345" t="s">
        <v>352</v>
      </c>
      <c r="V122" s="345">
        <v>11</v>
      </c>
      <c r="W122" s="345" t="s">
        <v>306</v>
      </c>
      <c r="AB122" s="347">
        <v>8.01</v>
      </c>
      <c r="AC122" s="347" t="s">
        <v>350</v>
      </c>
      <c r="AD122" s="1138"/>
      <c r="AE122" s="346">
        <v>32735</v>
      </c>
      <c r="AF122" s="345" t="s">
        <v>343</v>
      </c>
      <c r="AI122" s="934"/>
      <c r="AJ122" s="345">
        <v>6</v>
      </c>
      <c r="AK122" s="345" t="s">
        <v>323</v>
      </c>
      <c r="AP122" s="347">
        <v>669</v>
      </c>
      <c r="AQ122" s="347" t="s">
        <v>309</v>
      </c>
      <c r="AS122" s="348" t="str">
        <f t="array" ref="AS122">IFERROR(IF($AS$11="Metro",INDEX($AJ$13:$AJ$814,SMALL(IF((County=$AK$13:$AK$814),MATCH(ROW($AK$13:$AK$814),ROW($AK$13:$AK$814)),""),ROWS($A$13:$A122))),INDEX($AM$13:$AM$48,SMALL(IF((County=$AN$13:$AN$48),MATCH(ROW($AN$13:$AN$48),ROW($AN$13:$AN$48)),""),ROWS($A$13:$A122)))),"")</f>
        <v/>
      </c>
      <c r="AU122" s="348" t="str">
        <f t="array" ref="AU122">IFERROR(IF($AU$11="Yes",INDEX($AP$13:$AP$2950,SMALL(IF((County=$AQ$13:$AQ$2950),MATCH(ROW($AQ$13:$AQ$2950),ROW($AQ$13:$AQ$2950)),""),ROWS($A$13:$A122))),""),"")</f>
        <v/>
      </c>
      <c r="AW122" s="346">
        <v>33126</v>
      </c>
      <c r="AX122" s="345" t="s">
        <v>352</v>
      </c>
      <c r="AZ122" s="345">
        <v>8.0500000000000007</v>
      </c>
      <c r="BA122" s="345" t="s">
        <v>352</v>
      </c>
      <c r="BF122" s="347">
        <v>5.03</v>
      </c>
      <c r="BG122" s="347" t="s">
        <v>349</v>
      </c>
      <c r="BH122" s="1790"/>
      <c r="BI122" s="2298">
        <v>33614</v>
      </c>
      <c r="BJ122" s="237" t="s">
        <v>337</v>
      </c>
      <c r="BM122" s="1784"/>
      <c r="BN122" s="345">
        <v>27.12</v>
      </c>
      <c r="BO122" s="345" t="s">
        <v>306</v>
      </c>
      <c r="BQ122" s="237">
        <v>1103.01</v>
      </c>
      <c r="BR122" s="237" t="s">
        <v>348</v>
      </c>
      <c r="BT122" s="347">
        <v>665</v>
      </c>
      <c r="BU122" s="347" t="s">
        <v>309</v>
      </c>
      <c r="BW122" s="348" t="str">
        <f t="array" ref="BW122">IFERROR(IF($BW$11="Metro",INDEX($BN$13:$BN$4972,SMALL(IF((County=$BO$13:$BO$4972),MATCH(ROW($BO$13:$BO$4972),ROW($BO$13:$BO$4972)),""),ROWS($A$13:$A122))),INDEX($BQ$13:$BQ$212,SMALL(IF((County=$BR$13:$BR$212),MATCH(ROW($BR$13:$BR$212),ROW($BR$13:$BR$212)),""),ROWS($A$13:$A122)))),"")</f>
        <v/>
      </c>
      <c r="BY122" s="348" t="str">
        <f t="array" ref="BY122">IFERROR(IF($BY$11="Yes",INDEX($BT$13:$BT$2950,SMALL(IF((County=$BU$13:$BU$2950),MATCH(ROW($BU$13:$BU$2950),ROW($BU$13:$BU$2950)),""),ROWS($A$13:$A122))),""),"")</f>
        <v/>
      </c>
      <c r="CA122" s="1792">
        <v>33065</v>
      </c>
      <c r="CB122" s="345" t="s">
        <v>310</v>
      </c>
      <c r="CD122" s="237">
        <v>3.02</v>
      </c>
      <c r="CE122" s="237" t="s">
        <v>337</v>
      </c>
      <c r="CG122" s="237">
        <v>9602.01</v>
      </c>
      <c r="CH122" s="237" t="s">
        <v>332</v>
      </c>
      <c r="CJ122" s="347">
        <v>5.03</v>
      </c>
      <c r="CK122" s="347" t="s">
        <v>349</v>
      </c>
      <c r="CL122" s="1789"/>
      <c r="CM122" s="2299"/>
      <c r="CN122" s="345"/>
      <c r="CR122" s="345"/>
      <c r="CS122" s="345"/>
      <c r="CU122" s="345"/>
      <c r="CV122" s="345"/>
      <c r="CX122" s="347"/>
      <c r="CY122" s="347"/>
      <c r="DA122" s="348"/>
      <c r="DC122" s="348"/>
      <c r="DE122" s="1792"/>
      <c r="DF122" s="345"/>
      <c r="DH122" s="237"/>
      <c r="DI122" s="237"/>
      <c r="DK122" s="345"/>
      <c r="DL122" s="345"/>
      <c r="DN122" s="347"/>
      <c r="DO122" s="347"/>
      <c r="DP122" s="2505"/>
      <c r="DT122" s="659"/>
      <c r="DU122" s="1490"/>
      <c r="DV122" s="1490"/>
      <c r="DW122" s="1490"/>
      <c r="DX122" s="1490"/>
      <c r="DY122" s="1490"/>
      <c r="DZ122" s="1490"/>
      <c r="EA122" s="1490"/>
      <c r="EB122" s="660"/>
      <c r="EC122" s="660"/>
      <c r="ED122" s="661"/>
    </row>
    <row r="123" spans="1:134" ht="14.45" customHeight="1">
      <c r="A123" s="346">
        <v>32735</v>
      </c>
      <c r="B123" s="345" t="s">
        <v>343</v>
      </c>
      <c r="E123" s="934"/>
      <c r="F123" s="345">
        <v>28.01</v>
      </c>
      <c r="G123" s="345" t="s">
        <v>323</v>
      </c>
      <c r="L123" s="347">
        <v>713.34</v>
      </c>
      <c r="M123" s="347" t="s">
        <v>309</v>
      </c>
      <c r="O123" s="348" t="str">
        <f t="array" ref="O123">IFERROR(IF($O$11="Metro",INDEX($F$13:$F$738,SMALL(IF((County=$G$13:$G$738),MATCH(ROW($G$13:$G$738),ROW($G$13:$G$738)),""),ROWS($A$13:A123))),INDEX($I$13:$I$42,SMALL(IF((County=$J$13:$J$42),MATCH(ROW($J$13:$J$42),ROW($J$13:$J$42)),""),ROWS($A$13:A123)))),"")</f>
        <v/>
      </c>
      <c r="Q123" s="348" t="str">
        <f t="array" ref="Q123">IFERROR(IF($Q$11="Yes",INDEX($L$13:$L$2313,SMALL(IF((County=$M$13:$M$2313),MATCH(ROW($M$13:$M$2313),ROW($M$13:$M$2313)),""),ROWS($A$13:A123))),""),"")</f>
        <v/>
      </c>
      <c r="S123" s="346">
        <v>33139</v>
      </c>
      <c r="T123" s="345" t="s">
        <v>352</v>
      </c>
      <c r="V123" s="345">
        <v>11.01</v>
      </c>
      <c r="W123" s="345" t="s">
        <v>344</v>
      </c>
      <c r="AB123" s="347">
        <v>8.01</v>
      </c>
      <c r="AC123" s="347" t="s">
        <v>368</v>
      </c>
      <c r="AD123" s="1138"/>
      <c r="AE123" s="346">
        <v>32776</v>
      </c>
      <c r="AF123" s="345" t="s">
        <v>343</v>
      </c>
      <c r="AI123" s="934"/>
      <c r="AJ123" s="345">
        <v>10</v>
      </c>
      <c r="AK123" s="345" t="s">
        <v>323</v>
      </c>
      <c r="AP123" s="347">
        <v>671</v>
      </c>
      <c r="AQ123" s="347" t="s">
        <v>309</v>
      </c>
      <c r="AS123" s="348" t="str">
        <f t="array" ref="AS123">IFERROR(IF($AS$11="Metro",INDEX($AJ$13:$AJ$814,SMALL(IF((County=$AK$13:$AK$814),MATCH(ROW($AK$13:$AK$814),ROW($AK$13:$AK$814)),""),ROWS($A$13:$A123))),INDEX($AM$13:$AM$48,SMALL(IF((County=$AN$13:$AN$48),MATCH(ROW($AN$13:$AN$48),ROW($AN$13:$AN$48)),""),ROWS($A$13:$A123)))),"")</f>
        <v/>
      </c>
      <c r="AU123" s="348" t="str">
        <f t="array" ref="AU123">IFERROR(IF($AU$11="Yes",INDEX($AP$13:$AP$2950,SMALL(IF((County=$AQ$13:$AQ$2950),MATCH(ROW($AQ$13:$AQ$2950),ROW($AQ$13:$AQ$2950)),""),ROWS($A$13:$A123))),""),"")</f>
        <v/>
      </c>
      <c r="AW123" s="346">
        <v>33129</v>
      </c>
      <c r="AX123" s="345" t="s">
        <v>352</v>
      </c>
      <c r="AZ123" s="345">
        <v>8.06</v>
      </c>
      <c r="BA123" s="345" t="s">
        <v>297</v>
      </c>
      <c r="BF123" s="347">
        <v>5.05</v>
      </c>
      <c r="BG123" s="347" t="s">
        <v>361</v>
      </c>
      <c r="BH123" s="1790"/>
      <c r="BI123" s="2298">
        <v>33615</v>
      </c>
      <c r="BJ123" s="237" t="s">
        <v>337</v>
      </c>
      <c r="BM123" s="1784"/>
      <c r="BN123" s="345">
        <v>27.13</v>
      </c>
      <c r="BO123" s="345" t="s">
        <v>306</v>
      </c>
      <c r="BQ123" s="237">
        <v>1103.02</v>
      </c>
      <c r="BR123" s="237" t="s">
        <v>348</v>
      </c>
      <c r="BT123" s="347">
        <v>666</v>
      </c>
      <c r="BU123" s="347" t="s">
        <v>309</v>
      </c>
      <c r="BW123" s="348" t="str">
        <f t="array" ref="BW123">IFERROR(IF($BW$11="Metro",INDEX($BN$13:$BN$4972,SMALL(IF((County=$BO$13:$BO$4972),MATCH(ROW($BO$13:$BO$4972),ROW($BO$13:$BO$4972)),""),ROWS($A$13:$A123))),INDEX($BQ$13:$BQ$212,SMALL(IF((County=$BR$13:$BR$212),MATCH(ROW($BR$13:$BR$212),ROW($BR$13:$BR$212)),""),ROWS($A$13:$A123)))),"")</f>
        <v/>
      </c>
      <c r="BY123" s="348" t="str">
        <f t="array" ref="BY123">IFERROR(IF($BY$11="Yes",INDEX($BT$13:$BT$2950,SMALL(IF((County=$BU$13:$BU$2950),MATCH(ROW($BU$13:$BU$2950),ROW($BU$13:$BU$2950)),""),ROWS($A$13:$A123))),""),"")</f>
        <v/>
      </c>
      <c r="CA123" s="1792">
        <v>33067</v>
      </c>
      <c r="CB123" s="345" t="s">
        <v>310</v>
      </c>
      <c r="CD123" s="237">
        <v>3.02</v>
      </c>
      <c r="CE123" s="237" t="s">
        <v>345</v>
      </c>
      <c r="CG123" s="237">
        <v>9602.01</v>
      </c>
      <c r="CH123" s="237" t="s">
        <v>338</v>
      </c>
      <c r="CJ123" s="347">
        <v>5.05</v>
      </c>
      <c r="CK123" s="347" t="s">
        <v>361</v>
      </c>
      <c r="CL123" s="1789"/>
      <c r="CM123" s="2299"/>
      <c r="CN123" s="345"/>
      <c r="CR123" s="345"/>
      <c r="CS123" s="345"/>
      <c r="CU123" s="345"/>
      <c r="CV123" s="345"/>
      <c r="CX123" s="347"/>
      <c r="CY123" s="347"/>
      <c r="DA123" s="348"/>
      <c r="DC123" s="348"/>
      <c r="DE123" s="1792"/>
      <c r="DF123" s="345"/>
      <c r="DH123" s="237"/>
      <c r="DI123" s="237"/>
      <c r="DK123" s="345"/>
      <c r="DL123" s="345"/>
      <c r="DN123" s="347"/>
      <c r="DO123" s="347"/>
      <c r="DP123" s="2505"/>
      <c r="DT123" s="659"/>
      <c r="DU123" s="1490"/>
      <c r="DV123" s="1490"/>
      <c r="DW123" s="1490"/>
      <c r="DX123" s="1490"/>
      <c r="DY123" s="1490"/>
      <c r="DZ123" s="1490"/>
      <c r="EA123" s="1490"/>
      <c r="EB123" s="660"/>
      <c r="EC123" s="660"/>
      <c r="ED123" s="661"/>
    </row>
    <row r="124" spans="1:134" ht="14.45" customHeight="1">
      <c r="A124" s="346">
        <v>32776</v>
      </c>
      <c r="B124" s="345" t="s">
        <v>343</v>
      </c>
      <c r="E124" s="934"/>
      <c r="F124" s="345">
        <v>28.02</v>
      </c>
      <c r="G124" s="345" t="s">
        <v>323</v>
      </c>
      <c r="L124" s="347">
        <v>713.35</v>
      </c>
      <c r="M124" s="347" t="s">
        <v>309</v>
      </c>
      <c r="O124" s="348" t="str">
        <f t="array" ref="O124">IFERROR(IF($O$11="Metro",INDEX($F$13:$F$738,SMALL(IF((County=$G$13:$G$738),MATCH(ROW($G$13:$G$738),ROW($G$13:$G$738)),""),ROWS($A$13:A124))),INDEX($I$13:$I$42,SMALL(IF((County=$J$13:$J$42),MATCH(ROW($J$13:$J$42),ROW($J$13:$J$42)),""),ROWS($A$13:A124)))),"")</f>
        <v/>
      </c>
      <c r="Q124" s="348" t="str">
        <f t="array" ref="Q124">IFERROR(IF($Q$11="Yes",INDEX($L$13:$L$2313,SMALL(IF((County=$M$13:$M$2313),MATCH(ROW($M$13:$M$2313),ROW($M$13:$M$2313)),""),ROWS($A$13:A124))),""),"")</f>
        <v/>
      </c>
      <c r="S124" s="346">
        <v>33140</v>
      </c>
      <c r="T124" s="345" t="s">
        <v>352</v>
      </c>
      <c r="V124" s="345">
        <v>11.01</v>
      </c>
      <c r="W124" s="345" t="s">
        <v>345</v>
      </c>
      <c r="AB124" s="347">
        <v>8.02</v>
      </c>
      <c r="AC124" s="347" t="s">
        <v>350</v>
      </c>
      <c r="AD124" s="1138"/>
      <c r="AE124" s="346">
        <v>34711</v>
      </c>
      <c r="AF124" s="345" t="s">
        <v>343</v>
      </c>
      <c r="AI124" s="934"/>
      <c r="AJ124" s="345">
        <v>12</v>
      </c>
      <c r="AK124" s="345" t="s">
        <v>323</v>
      </c>
      <c r="AP124" s="347">
        <v>681.01</v>
      </c>
      <c r="AQ124" s="347" t="s">
        <v>309</v>
      </c>
      <c r="AS124" s="348" t="str">
        <f t="array" ref="AS124">IFERROR(IF($AS$11="Metro",INDEX($AJ$13:$AJ$814,SMALL(IF((County=$AK$13:$AK$814),MATCH(ROW($AK$13:$AK$814),ROW($AK$13:$AK$814)),""),ROWS($A$13:$A124))),INDEX($AM$13:$AM$48,SMALL(IF((County=$AN$13:$AN$48),MATCH(ROW($AN$13:$AN$48),ROW($AN$13:$AN$48)),""),ROWS($A$13:$A124)))),"")</f>
        <v/>
      </c>
      <c r="AU124" s="348" t="str">
        <f t="array" ref="AU124">IFERROR(IF($AU$11="Yes",INDEX($AP$13:$AP$2950,SMALL(IF((County=$AQ$13:$AQ$2950),MATCH(ROW($AQ$13:$AQ$2950),ROW($AQ$13:$AQ$2950)),""),ROWS($A$13:$A124))),""),"")</f>
        <v/>
      </c>
      <c r="AW124" s="346">
        <v>33131</v>
      </c>
      <c r="AX124" s="345" t="s">
        <v>352</v>
      </c>
      <c r="AZ124" s="345">
        <v>8.06</v>
      </c>
      <c r="BA124" s="345" t="s">
        <v>352</v>
      </c>
      <c r="BF124" s="347">
        <v>5.07</v>
      </c>
      <c r="BG124" s="347" t="s">
        <v>361</v>
      </c>
      <c r="BH124" s="1790"/>
      <c r="BI124" s="2298">
        <v>33616</v>
      </c>
      <c r="BJ124" s="237" t="s">
        <v>337</v>
      </c>
      <c r="BM124" s="1784"/>
      <c r="BN124" s="345">
        <v>9900</v>
      </c>
      <c r="BO124" s="345" t="s">
        <v>306</v>
      </c>
      <c r="BQ124" s="237">
        <v>1104</v>
      </c>
      <c r="BR124" s="237" t="s">
        <v>348</v>
      </c>
      <c r="BT124" s="347">
        <v>667</v>
      </c>
      <c r="BU124" s="347" t="s">
        <v>309</v>
      </c>
      <c r="BW124" s="348" t="str">
        <f t="array" ref="BW124">IFERROR(IF($BW$11="Metro",INDEX($BN$13:$BN$4972,SMALL(IF((County=$BO$13:$BO$4972),MATCH(ROW($BO$13:$BO$4972),ROW($BO$13:$BO$4972)),""),ROWS($A$13:$A124))),INDEX($BQ$13:$BQ$212,SMALL(IF((County=$BR$13:$BR$212),MATCH(ROW($BR$13:$BR$212),ROW($BR$13:$BR$212)),""),ROWS($A$13:$A124)))),"")</f>
        <v/>
      </c>
      <c r="BY124" s="348" t="str">
        <f t="array" ref="BY124">IFERROR(IF($BY$11="Yes",INDEX($BT$13:$BT$2950,SMALL(IF((County=$BU$13:$BU$2950),MATCH(ROW($BU$13:$BU$2950),ROW($BU$13:$BU$2950)),""),ROWS($A$13:$A124))),""),"")</f>
        <v/>
      </c>
      <c r="CA124" s="1792">
        <v>33068</v>
      </c>
      <c r="CB124" s="345" t="s">
        <v>310</v>
      </c>
      <c r="CD124" s="237">
        <v>3.02</v>
      </c>
      <c r="CE124" s="237" t="s">
        <v>350</v>
      </c>
      <c r="CG124" s="237">
        <v>9602.01</v>
      </c>
      <c r="CH124" s="237" t="s">
        <v>342</v>
      </c>
      <c r="CJ124" s="347">
        <v>5.07</v>
      </c>
      <c r="CK124" s="347" t="s">
        <v>361</v>
      </c>
      <c r="CL124" s="1789"/>
      <c r="CM124" s="2299"/>
      <c r="CN124" s="345"/>
      <c r="CR124" s="345"/>
      <c r="CS124" s="345"/>
      <c r="CU124" s="345"/>
      <c r="CV124" s="345"/>
      <c r="CX124" s="347"/>
      <c r="CY124" s="347"/>
      <c r="DA124" s="348"/>
      <c r="DC124" s="348"/>
      <c r="DE124" s="1792"/>
      <c r="DF124" s="345"/>
      <c r="DH124" s="237"/>
      <c r="DI124" s="237"/>
      <c r="DK124" s="345"/>
      <c r="DL124" s="345"/>
      <c r="DN124" s="347"/>
      <c r="DO124" s="347"/>
      <c r="DP124" s="2505"/>
      <c r="DT124" s="659"/>
      <c r="DU124" s="1490"/>
      <c r="DV124" s="1490"/>
      <c r="DW124" s="1490"/>
      <c r="DX124" s="1490"/>
      <c r="DY124" s="1490"/>
      <c r="DZ124" s="661"/>
      <c r="EA124" s="1490"/>
      <c r="EB124" s="660"/>
      <c r="EC124" s="660"/>
      <c r="ED124" s="661"/>
    </row>
    <row r="125" spans="1:134" ht="14.45" customHeight="1">
      <c r="A125" s="346">
        <v>34711</v>
      </c>
      <c r="B125" s="345" t="s">
        <v>343</v>
      </c>
      <c r="E125" s="934"/>
      <c r="F125" s="345">
        <v>29.01</v>
      </c>
      <c r="G125" s="345" t="s">
        <v>323</v>
      </c>
      <c r="L125" s="347">
        <v>713.38</v>
      </c>
      <c r="M125" s="347" t="s">
        <v>309</v>
      </c>
      <c r="O125" s="348" t="str">
        <f t="array" ref="O125">IFERROR(IF($O$11="Metro",INDEX($F$13:$F$738,SMALL(IF((County=$G$13:$G$738),MATCH(ROW($G$13:$G$738),ROW($G$13:$G$738)),""),ROWS($A$13:A125))),INDEX($I$13:$I$42,SMALL(IF((County=$J$13:$J$42),MATCH(ROW($J$13:$J$42),ROW($J$13:$J$42)),""),ROWS($A$13:A125)))),"")</f>
        <v/>
      </c>
      <c r="Q125" s="348" t="str">
        <f t="array" ref="Q125">IFERROR(IF($Q$11="Yes",INDEX($L$13:$L$2313,SMALL(IF((County=$M$13:$M$2313),MATCH(ROW($M$13:$M$2313),ROW($M$13:$M$2313)),""),ROWS($A$13:A125))),""),"")</f>
        <v/>
      </c>
      <c r="S125" s="346">
        <v>33141</v>
      </c>
      <c r="T125" s="345" t="s">
        <v>352</v>
      </c>
      <c r="V125" s="345">
        <v>11.02</v>
      </c>
      <c r="W125" s="345" t="s">
        <v>344</v>
      </c>
      <c r="AB125" s="347">
        <v>8.02</v>
      </c>
      <c r="AC125" s="347" t="s">
        <v>361</v>
      </c>
      <c r="AD125" s="1138"/>
      <c r="AE125" s="346">
        <v>34714</v>
      </c>
      <c r="AF125" s="345" t="s">
        <v>343</v>
      </c>
      <c r="AI125" s="934"/>
      <c r="AJ125" s="345">
        <v>13</v>
      </c>
      <c r="AK125" s="345" t="s">
        <v>323</v>
      </c>
      <c r="AP125" s="347">
        <v>681.02</v>
      </c>
      <c r="AQ125" s="347" t="s">
        <v>309</v>
      </c>
      <c r="AS125" s="348" t="str">
        <f t="array" ref="AS125">IFERROR(IF($AS$11="Metro",INDEX($AJ$13:$AJ$814,SMALL(IF((County=$AK$13:$AK$814),MATCH(ROW($AK$13:$AK$814),ROW($AK$13:$AK$814)),""),ROWS($A$13:$A125))),INDEX($AM$13:$AM$48,SMALL(IF((County=$AN$13:$AN$48),MATCH(ROW($AN$13:$AN$48),ROW($AN$13:$AN$48)),""),ROWS($A$13:$A125)))),"")</f>
        <v/>
      </c>
      <c r="AU125" s="348" t="str">
        <f t="array" ref="AU125">IFERROR(IF($AU$11="Yes",INDEX($AP$13:$AP$2950,SMALL(IF((County=$AQ$13:$AQ$2950),MATCH(ROW($AQ$13:$AQ$2950),ROW($AQ$13:$AQ$2950)),""),ROWS($A$13:$A125))),""),"")</f>
        <v/>
      </c>
      <c r="AW125" s="346">
        <v>33132</v>
      </c>
      <c r="AX125" s="345" t="s">
        <v>352</v>
      </c>
      <c r="AZ125" s="345">
        <v>8.07</v>
      </c>
      <c r="BA125" s="345" t="s">
        <v>352</v>
      </c>
      <c r="BF125" s="347">
        <v>5.09</v>
      </c>
      <c r="BG125" s="347" t="s">
        <v>361</v>
      </c>
      <c r="BH125" s="1790"/>
      <c r="BI125" s="2298">
        <v>33617</v>
      </c>
      <c r="BJ125" s="237" t="s">
        <v>337</v>
      </c>
      <c r="BM125" s="1784"/>
      <c r="BN125" s="345">
        <v>601.03</v>
      </c>
      <c r="BO125" s="345" t="s">
        <v>309</v>
      </c>
      <c r="BQ125" s="237">
        <v>9704</v>
      </c>
      <c r="BR125" s="237" t="s">
        <v>354</v>
      </c>
      <c r="BT125" s="347">
        <v>668</v>
      </c>
      <c r="BU125" s="347" t="s">
        <v>309</v>
      </c>
      <c r="BW125" s="348" t="str">
        <f t="array" ref="BW125">IFERROR(IF($BW$11="Metro",INDEX($BN$13:$BN$4972,SMALL(IF((County=$BO$13:$BO$4972),MATCH(ROW($BO$13:$BO$4972),ROW($BO$13:$BO$4972)),""),ROWS($A$13:$A125))),INDEX($BQ$13:$BQ$212,SMALL(IF((County=$BR$13:$BR$212),MATCH(ROW($BR$13:$BR$212),ROW($BR$13:$BR$212)),""),ROWS($A$13:$A125)))),"")</f>
        <v/>
      </c>
      <c r="BY125" s="348" t="str">
        <f t="array" ref="BY125">IFERROR(IF($BY$11="Yes",INDEX($BT$13:$BT$2950,SMALL(IF((County=$BU$13:$BU$2950),MATCH(ROW($BU$13:$BU$2950),ROW($BU$13:$BU$2950)),""),ROWS($A$13:$A125))),""),"")</f>
        <v/>
      </c>
      <c r="CA125" s="1792">
        <v>33069</v>
      </c>
      <c r="CB125" s="345" t="s">
        <v>310</v>
      </c>
      <c r="CD125" s="237">
        <v>3.02</v>
      </c>
      <c r="CE125" s="237" t="s">
        <v>352</v>
      </c>
      <c r="CG125" s="237">
        <v>9602.01</v>
      </c>
      <c r="CH125" s="237" t="s">
        <v>375</v>
      </c>
      <c r="CJ125" s="347">
        <v>5.09</v>
      </c>
      <c r="CK125" s="347" t="s">
        <v>361</v>
      </c>
      <c r="CL125" s="1789"/>
      <c r="CM125" s="2299"/>
      <c r="CN125" s="345"/>
      <c r="CR125" s="345"/>
      <c r="CS125" s="345"/>
      <c r="CU125" s="345"/>
      <c r="CV125" s="345"/>
      <c r="CX125" s="347"/>
      <c r="CY125" s="347"/>
      <c r="DA125" s="348"/>
      <c r="DC125" s="348"/>
      <c r="DE125" s="1792"/>
      <c r="DF125" s="345"/>
      <c r="DH125" s="237"/>
      <c r="DI125" s="237"/>
      <c r="DK125" s="345"/>
      <c r="DL125" s="345"/>
      <c r="DN125" s="347"/>
      <c r="DO125" s="347"/>
      <c r="DP125" s="2505"/>
      <c r="DT125" s="659"/>
      <c r="DU125" s="1490"/>
      <c r="DV125" s="1490"/>
      <c r="DW125" s="1490"/>
      <c r="DX125" s="1490"/>
      <c r="DY125" s="1490"/>
      <c r="DZ125" s="1490"/>
      <c r="EA125" s="1490"/>
      <c r="EB125" s="660"/>
      <c r="EC125" s="660"/>
      <c r="ED125" s="661"/>
    </row>
    <row r="126" spans="1:134" ht="14.45" customHeight="1">
      <c r="A126" s="346">
        <v>34714</v>
      </c>
      <c r="B126" s="345" t="s">
        <v>343</v>
      </c>
      <c r="E126" s="934"/>
      <c r="F126" s="345">
        <v>29.02</v>
      </c>
      <c r="G126" s="345" t="s">
        <v>323</v>
      </c>
      <c r="L126" s="347">
        <v>713.39</v>
      </c>
      <c r="M126" s="347" t="s">
        <v>309</v>
      </c>
      <c r="O126" s="348" t="str">
        <f t="array" ref="O126">IFERROR(IF($O$11="Metro",INDEX($F$13:$F$738,SMALL(IF((County=$G$13:$G$738),MATCH(ROW($G$13:$G$738),ROW($G$13:$G$738)),""),ROWS($A$13:A126))),INDEX($I$13:$I$42,SMALL(IF((County=$J$13:$J$42),MATCH(ROW($J$13:$J$42),ROW($J$13:$J$42)),""),ROWS($A$13:A126)))),"")</f>
        <v/>
      </c>
      <c r="Q126" s="348" t="str">
        <f t="array" ref="Q126">IFERROR(IF($Q$11="Yes",INDEX($L$13:$L$2313,SMALL(IF((County=$M$13:$M$2313),MATCH(ROW($M$13:$M$2313),ROW($M$13:$M$2313)),""),ROWS($A$13:A126))),""),"")</f>
        <v/>
      </c>
      <c r="S126" s="346">
        <v>33143</v>
      </c>
      <c r="T126" s="345" t="s">
        <v>352</v>
      </c>
      <c r="V126" s="345">
        <v>11.02</v>
      </c>
      <c r="W126" s="345" t="s">
        <v>368</v>
      </c>
      <c r="AB126" s="347">
        <v>8.02</v>
      </c>
      <c r="AC126" s="347" t="s">
        <v>368</v>
      </c>
      <c r="AD126" s="1138"/>
      <c r="AE126" s="346">
        <v>34715</v>
      </c>
      <c r="AF126" s="345" t="s">
        <v>343</v>
      </c>
      <c r="AI126" s="934"/>
      <c r="AJ126" s="345">
        <v>14.01</v>
      </c>
      <c r="AK126" s="345" t="s">
        <v>323</v>
      </c>
      <c r="AP126" s="347">
        <v>684</v>
      </c>
      <c r="AQ126" s="347" t="s">
        <v>309</v>
      </c>
      <c r="AS126" s="348" t="str">
        <f t="array" ref="AS126">IFERROR(IF($AS$11="Metro",INDEX($AJ$13:$AJ$814,SMALL(IF((County=$AK$13:$AK$814),MATCH(ROW($AK$13:$AK$814),ROW($AK$13:$AK$814)),""),ROWS($A$13:$A126))),INDEX($AM$13:$AM$48,SMALL(IF((County=$AN$13:$AN$48),MATCH(ROW($AN$13:$AN$48),ROW($AN$13:$AN$48)),""),ROWS($A$13:$A126)))),"")</f>
        <v/>
      </c>
      <c r="AU126" s="348" t="str">
        <f t="array" ref="AU126">IFERROR(IF($AU$11="Yes",INDEX($AP$13:$AP$2950,SMALL(IF((County=$AQ$13:$AQ$2950),MATCH(ROW($AQ$13:$AQ$2950),ROW($AQ$13:$AQ$2950)),""),ROWS($A$13:$A126))),""),"")</f>
        <v/>
      </c>
      <c r="AW126" s="346">
        <v>33133</v>
      </c>
      <c r="AX126" s="345" t="s">
        <v>352</v>
      </c>
      <c r="AZ126" s="345">
        <v>8.08</v>
      </c>
      <c r="BA126" s="345" t="s">
        <v>297</v>
      </c>
      <c r="BF126" s="347">
        <v>5.13</v>
      </c>
      <c r="BG126" s="347" t="s">
        <v>361</v>
      </c>
      <c r="BH126" s="1790"/>
      <c r="BI126" s="2298">
        <v>33618</v>
      </c>
      <c r="BJ126" s="237" t="s">
        <v>337</v>
      </c>
      <c r="BM126" s="1784"/>
      <c r="BN126" s="345">
        <v>601.04</v>
      </c>
      <c r="BO126" s="345" t="s">
        <v>309</v>
      </c>
      <c r="BQ126" s="237">
        <v>9705</v>
      </c>
      <c r="BR126" s="237" t="s">
        <v>354</v>
      </c>
      <c r="BT126" s="347">
        <v>669</v>
      </c>
      <c r="BU126" s="347" t="s">
        <v>309</v>
      </c>
      <c r="BW126" s="348" t="str">
        <f t="array" ref="BW126">IFERROR(IF($BW$11="Metro",INDEX($BN$13:$BN$4972,SMALL(IF((County=$BO$13:$BO$4972),MATCH(ROW($BO$13:$BO$4972),ROW($BO$13:$BO$4972)),""),ROWS($A$13:$A126))),INDEX($BQ$13:$BQ$212,SMALL(IF((County=$BR$13:$BR$212),MATCH(ROW($BR$13:$BR$212),ROW($BR$13:$BR$212)),""),ROWS($A$13:$A126)))),"")</f>
        <v/>
      </c>
      <c r="BY126" s="348" t="str">
        <f t="array" ref="BY126">IFERROR(IF($BY$11="Yes",INDEX($BT$13:$BT$2950,SMALL(IF((County=$BU$13:$BU$2950),MATCH(ROW($BU$13:$BU$2950),ROW($BU$13:$BU$2950)),""),ROWS($A$13:$A126))),""),"")</f>
        <v/>
      </c>
      <c r="CA126" s="1792">
        <v>33071</v>
      </c>
      <c r="CB126" s="345" t="s">
        <v>310</v>
      </c>
      <c r="CD126" s="237">
        <v>3.03</v>
      </c>
      <c r="CE126" s="237" t="s">
        <v>344</v>
      </c>
      <c r="CG126" s="237">
        <v>9602.02</v>
      </c>
      <c r="CH126" s="237" t="s">
        <v>332</v>
      </c>
      <c r="CJ126" s="347">
        <v>5.12</v>
      </c>
      <c r="CK126" s="347" t="s">
        <v>361</v>
      </c>
      <c r="CL126" s="1789"/>
      <c r="CM126" s="2299"/>
      <c r="CN126" s="345"/>
      <c r="CR126" s="345"/>
      <c r="CS126" s="345"/>
      <c r="CU126" s="345"/>
      <c r="CV126" s="345"/>
      <c r="CX126" s="347"/>
      <c r="CY126" s="347"/>
      <c r="DA126" s="348"/>
      <c r="DC126" s="348"/>
      <c r="DE126" s="1792"/>
      <c r="DF126" s="345"/>
      <c r="DH126" s="237"/>
      <c r="DI126" s="237"/>
      <c r="DK126" s="345"/>
      <c r="DL126" s="345"/>
      <c r="DN126" s="347"/>
      <c r="DO126" s="347"/>
      <c r="DP126" s="2505"/>
      <c r="DT126" s="659"/>
      <c r="DU126" s="1490"/>
      <c r="DV126" s="1490"/>
      <c r="DW126" s="1490"/>
      <c r="DX126" s="1490"/>
      <c r="DY126" s="1490"/>
      <c r="DZ126" s="661"/>
      <c r="EA126" s="1490"/>
      <c r="EB126" s="660"/>
      <c r="EC126" s="660"/>
      <c r="ED126" s="661"/>
    </row>
    <row r="127" spans="1:134" ht="14.45" customHeight="1">
      <c r="A127" s="346">
        <v>34715</v>
      </c>
      <c r="B127" s="345" t="s">
        <v>343</v>
      </c>
      <c r="E127" s="934"/>
      <c r="F127" s="345">
        <v>104.02</v>
      </c>
      <c r="G127" s="345" t="s">
        <v>323</v>
      </c>
      <c r="L127" s="347">
        <v>713.4</v>
      </c>
      <c r="M127" s="347" t="s">
        <v>309</v>
      </c>
      <c r="O127" s="348" t="str">
        <f t="array" ref="O127">IFERROR(IF($O$11="Metro",INDEX($F$13:$F$738,SMALL(IF((County=$G$13:$G$738),MATCH(ROW($G$13:$G$738),ROW($G$13:$G$738)),""),ROWS($A$13:A127))),INDEX($I$13:$I$42,SMALL(IF((County=$J$13:$J$42),MATCH(ROW($J$13:$J$42),ROW($J$13:$J$42)),""),ROWS($A$13:A127)))),"")</f>
        <v/>
      </c>
      <c r="Q127" s="348" t="str">
        <f t="array" ref="Q127">IFERROR(IF($Q$11="Yes",INDEX($L$13:$L$2313,SMALL(IF((County=$M$13:$M$2313),MATCH(ROW($M$13:$M$2313),ROW($M$13:$M$2313)),""),ROWS($A$13:A127))),""),"")</f>
        <v/>
      </c>
      <c r="S127" s="346">
        <v>33145</v>
      </c>
      <c r="T127" s="345" t="s">
        <v>352</v>
      </c>
      <c r="V127" s="345">
        <v>11.03</v>
      </c>
      <c r="W127" s="345" t="s">
        <v>352</v>
      </c>
      <c r="AB127" s="347">
        <v>8.0299999999999994</v>
      </c>
      <c r="AC127" s="347" t="s">
        <v>361</v>
      </c>
      <c r="AD127" s="1138"/>
      <c r="AE127" s="346">
        <v>34736</v>
      </c>
      <c r="AF127" s="345" t="s">
        <v>343</v>
      </c>
      <c r="AI127" s="934"/>
      <c r="AJ127" s="345">
        <v>14.02</v>
      </c>
      <c r="AK127" s="345" t="s">
        <v>323</v>
      </c>
      <c r="AP127" s="347">
        <v>685.01</v>
      </c>
      <c r="AQ127" s="347" t="s">
        <v>309</v>
      </c>
      <c r="AS127" s="348" t="str">
        <f t="array" ref="AS127">IFERROR(IF($AS$11="Metro",INDEX($AJ$13:$AJ$814,SMALL(IF((County=$AK$13:$AK$814),MATCH(ROW($AK$13:$AK$814),ROW($AK$13:$AK$814)),""),ROWS($A$13:$A127))),INDEX($AM$13:$AM$48,SMALL(IF((County=$AN$13:$AN$48),MATCH(ROW($AN$13:$AN$48),ROW($AN$13:$AN$48)),""),ROWS($A$13:$A127)))),"")</f>
        <v/>
      </c>
      <c r="AU127" s="348" t="str">
        <f t="array" ref="AU127">IFERROR(IF($AU$11="Yes",INDEX($AP$13:$AP$2950,SMALL(IF((County=$AQ$13:$AQ$2950),MATCH(ROW($AQ$13:$AQ$2950),ROW($AQ$13:$AQ$2950)),""),ROWS($A$13:$A127))),""),"")</f>
        <v/>
      </c>
      <c r="AW127" s="346">
        <v>33134</v>
      </c>
      <c r="AX127" s="345" t="s">
        <v>352</v>
      </c>
      <c r="AZ127" s="345">
        <v>8.08</v>
      </c>
      <c r="BA127" s="345" t="s">
        <v>352</v>
      </c>
      <c r="BF127" s="347">
        <v>6</v>
      </c>
      <c r="BG127" s="347" t="s">
        <v>306</v>
      </c>
      <c r="BH127" s="1790"/>
      <c r="BI127" s="2298">
        <v>33619</v>
      </c>
      <c r="BJ127" s="237" t="s">
        <v>337</v>
      </c>
      <c r="BM127" s="1784"/>
      <c r="BN127" s="345">
        <v>601.04999999999995</v>
      </c>
      <c r="BO127" s="345" t="s">
        <v>309</v>
      </c>
      <c r="BQ127" s="237">
        <v>9706</v>
      </c>
      <c r="BR127" s="237" t="s">
        <v>354</v>
      </c>
      <c r="BT127" s="347">
        <v>671</v>
      </c>
      <c r="BU127" s="347" t="s">
        <v>309</v>
      </c>
      <c r="BW127" s="348" t="str">
        <f t="array" ref="BW127">IFERROR(IF($BW$11="Metro",INDEX($BN$13:$BN$4972,SMALL(IF((County=$BO$13:$BO$4972),MATCH(ROW($BO$13:$BO$4972),ROW($BO$13:$BO$4972)),""),ROWS($A$13:$A127))),INDEX($BQ$13:$BQ$212,SMALL(IF((County=$BR$13:$BR$212),MATCH(ROW($BR$13:$BR$212),ROW($BR$13:$BR$212)),""),ROWS($A$13:$A127)))),"")</f>
        <v/>
      </c>
      <c r="BY127" s="348" t="str">
        <f t="array" ref="BY127">IFERROR(IF($BY$11="Yes",INDEX($BT$13:$BT$2950,SMALL(IF((County=$BU$13:$BU$2950),MATCH(ROW($BU$13:$BU$2950),ROW($BU$13:$BU$2950)),""),ROWS($A$13:$A127))),""),"")</f>
        <v/>
      </c>
      <c r="CA127" s="1792">
        <v>33073</v>
      </c>
      <c r="CB127" s="345" t="s">
        <v>310</v>
      </c>
      <c r="CD127" s="237">
        <v>3.03</v>
      </c>
      <c r="CE127" s="237" t="s">
        <v>345</v>
      </c>
      <c r="CG127" s="237">
        <v>9602.02</v>
      </c>
      <c r="CH127" s="237" t="s">
        <v>338</v>
      </c>
      <c r="CJ127" s="347">
        <v>5.13</v>
      </c>
      <c r="CK127" s="347" t="s">
        <v>361</v>
      </c>
      <c r="CL127" s="1789"/>
      <c r="CM127" s="2299"/>
      <c r="CN127" s="345"/>
      <c r="CR127" s="345"/>
      <c r="CS127" s="345"/>
      <c r="CU127" s="345"/>
      <c r="CV127" s="345"/>
      <c r="CX127" s="347"/>
      <c r="CY127" s="347"/>
      <c r="DA127" s="348"/>
      <c r="DC127" s="348"/>
      <c r="DE127" s="1792"/>
      <c r="DF127" s="345"/>
      <c r="DH127" s="237"/>
      <c r="DI127" s="237"/>
      <c r="DK127" s="345"/>
      <c r="DL127" s="345"/>
      <c r="DN127" s="347"/>
      <c r="DO127" s="347"/>
      <c r="DP127" s="2505"/>
      <c r="DT127" s="659"/>
      <c r="DU127" s="1490"/>
      <c r="DV127" s="1490"/>
      <c r="DW127" s="1490"/>
      <c r="DX127" s="1490"/>
      <c r="DY127" s="1490"/>
      <c r="DZ127" s="661"/>
      <c r="EA127" s="1490"/>
      <c r="EB127" s="660"/>
      <c r="EC127" s="660"/>
      <c r="ED127" s="661"/>
    </row>
    <row r="128" spans="1:134" ht="14.45" customHeight="1">
      <c r="A128" s="346">
        <v>34736</v>
      </c>
      <c r="B128" s="345" t="s">
        <v>343</v>
      </c>
      <c r="E128" s="934"/>
      <c r="F128" s="345">
        <v>108</v>
      </c>
      <c r="G128" s="345" t="s">
        <v>323</v>
      </c>
      <c r="L128" s="347">
        <v>715</v>
      </c>
      <c r="M128" s="347" t="s">
        <v>309</v>
      </c>
      <c r="O128" s="348" t="str">
        <f t="array" ref="O128">IFERROR(IF($O$11="Metro",INDEX($F$13:$F$738,SMALL(IF((County=$G$13:$G$738),MATCH(ROW($G$13:$G$738),ROW($G$13:$G$738)),""),ROWS($A$13:A128))),INDEX($I$13:$I$42,SMALL(IF((County=$J$13:$J$42),MATCH(ROW($J$13:$J$42),ROW($J$13:$J$42)),""),ROWS($A$13:A128)))),"")</f>
        <v/>
      </c>
      <c r="Q128" s="348" t="str">
        <f t="array" ref="Q128">IFERROR(IF($Q$11="Yes",INDEX($L$13:$L$2313,SMALL(IF((County=$M$13:$M$2313),MATCH(ROW($M$13:$M$2313),ROW($M$13:$M$2313)),""),ROWS($A$13:A128))),""),"")</f>
        <v/>
      </c>
      <c r="S128" s="346">
        <v>33146</v>
      </c>
      <c r="T128" s="345" t="s">
        <v>352</v>
      </c>
      <c r="V128" s="345">
        <v>12</v>
      </c>
      <c r="W128" s="345" t="s">
        <v>323</v>
      </c>
      <c r="AB128" s="347">
        <v>8.0399999999999991</v>
      </c>
      <c r="AC128" s="347" t="s">
        <v>306</v>
      </c>
      <c r="AD128" s="1138"/>
      <c r="AE128" s="346">
        <v>34737</v>
      </c>
      <c r="AF128" s="345" t="s">
        <v>343</v>
      </c>
      <c r="AI128" s="934"/>
      <c r="AJ128" s="345">
        <v>15</v>
      </c>
      <c r="AK128" s="345" t="s">
        <v>323</v>
      </c>
      <c r="AP128" s="347">
        <v>685.02</v>
      </c>
      <c r="AQ128" s="347" t="s">
        <v>309</v>
      </c>
      <c r="AS128" s="348" t="str">
        <f t="array" ref="AS128">IFERROR(IF($AS$11="Metro",INDEX($AJ$13:$AJ$814,SMALL(IF((County=$AK$13:$AK$814),MATCH(ROW($AK$13:$AK$814),ROW($AK$13:$AK$814)),""),ROWS($A$13:$A128))),INDEX($AM$13:$AM$48,SMALL(IF((County=$AN$13:$AN$48),MATCH(ROW($AN$13:$AN$48),ROW($AN$13:$AN$48)),""),ROWS($A$13:$A128)))),"")</f>
        <v/>
      </c>
      <c r="AU128" s="348" t="str">
        <f t="array" ref="AU128">IFERROR(IF($AU$11="Yes",INDEX($AP$13:$AP$2950,SMALL(IF((County=$AQ$13:$AQ$2950),MATCH(ROW($AQ$13:$AQ$2950),ROW($AQ$13:$AQ$2950)),""),ROWS($A$13:$A128))),""),"")</f>
        <v/>
      </c>
      <c r="AW128" s="346">
        <v>33137</v>
      </c>
      <c r="AX128" s="345" t="s">
        <v>352</v>
      </c>
      <c r="AZ128" s="345">
        <v>9.01</v>
      </c>
      <c r="BA128" s="345" t="s">
        <v>297</v>
      </c>
      <c r="BF128" s="347">
        <v>6</v>
      </c>
      <c r="BG128" s="347" t="s">
        <v>318</v>
      </c>
      <c r="BH128" s="1790"/>
      <c r="BI128" s="2298">
        <v>33621</v>
      </c>
      <c r="BJ128" s="237" t="s">
        <v>337</v>
      </c>
      <c r="BM128" s="1784"/>
      <c r="BN128" s="345">
        <v>601.05999999999995</v>
      </c>
      <c r="BO128" s="345" t="s">
        <v>309</v>
      </c>
      <c r="BQ128" s="237">
        <v>9707</v>
      </c>
      <c r="BR128" s="237" t="s">
        <v>354</v>
      </c>
      <c r="BT128" s="347">
        <v>681.01</v>
      </c>
      <c r="BU128" s="347" t="s">
        <v>309</v>
      </c>
      <c r="BW128" s="348" t="str">
        <f t="array" ref="BW128">IFERROR(IF($BW$11="Metro",INDEX($BN$13:$BN$4972,SMALL(IF((County=$BO$13:$BO$4972),MATCH(ROW($BO$13:$BO$4972),ROW($BO$13:$BO$4972)),""),ROWS($A$13:$A128))),INDEX($BQ$13:$BQ$212,SMALL(IF((County=$BR$13:$BR$212),MATCH(ROW($BR$13:$BR$212),ROW($BR$13:$BR$212)),""),ROWS($A$13:$A128)))),"")</f>
        <v/>
      </c>
      <c r="BY128" s="348" t="str">
        <f t="array" ref="BY128">IFERROR(IF($BY$11="Yes",INDEX($BT$13:$BT$2950,SMALL(IF((County=$BU$13:$BU$2950),MATCH(ROW($BU$13:$BU$2950),ROW($BU$13:$BU$2950)),""),ROWS($A$13:$A128))),""),"")</f>
        <v/>
      </c>
      <c r="CA128" s="1792">
        <v>33076</v>
      </c>
      <c r="CB128" s="345" t="s">
        <v>310</v>
      </c>
      <c r="CD128" s="237">
        <v>3.03</v>
      </c>
      <c r="CE128" s="237" t="s">
        <v>350</v>
      </c>
      <c r="CG128" s="237">
        <v>9602.02</v>
      </c>
      <c r="CH128" s="237" t="s">
        <v>342</v>
      </c>
      <c r="CJ128" s="347">
        <v>6</v>
      </c>
      <c r="CK128" s="347" t="s">
        <v>318</v>
      </c>
      <c r="CL128" s="1789"/>
      <c r="CM128" s="2299"/>
      <c r="CN128" s="345"/>
      <c r="CR128" s="345"/>
      <c r="CS128" s="345"/>
      <c r="CU128" s="345"/>
      <c r="CV128" s="345"/>
      <c r="CX128" s="347"/>
      <c r="CY128" s="347"/>
      <c r="DA128" s="348"/>
      <c r="DC128" s="348"/>
      <c r="DE128" s="1792"/>
      <c r="DF128" s="345"/>
      <c r="DH128" s="237"/>
      <c r="DI128" s="237"/>
      <c r="DK128" s="345"/>
      <c r="DL128" s="345"/>
      <c r="DN128" s="347"/>
      <c r="DO128" s="347"/>
      <c r="DP128" s="2505"/>
      <c r="DT128" s="659"/>
      <c r="DU128" s="1490"/>
      <c r="DV128" s="1490"/>
      <c r="DW128" s="1490"/>
      <c r="DX128" s="1490"/>
      <c r="DY128" s="1490"/>
      <c r="DZ128" s="661"/>
      <c r="EA128" s="1490"/>
      <c r="EB128" s="660"/>
      <c r="EC128" s="660"/>
      <c r="ED128" s="661"/>
    </row>
    <row r="129" spans="1:134" ht="14.45" customHeight="1">
      <c r="A129" s="346">
        <v>33908</v>
      </c>
      <c r="B129" s="345" t="s">
        <v>344</v>
      </c>
      <c r="E129" s="934"/>
      <c r="F129" s="345">
        <v>110</v>
      </c>
      <c r="G129" s="345" t="s">
        <v>323</v>
      </c>
      <c r="L129" s="347">
        <v>101.02</v>
      </c>
      <c r="M129" s="347" t="s">
        <v>310</v>
      </c>
      <c r="O129" s="348" t="str">
        <f t="array" ref="O129">IFERROR(IF($O$11="Metro",INDEX($F$13:$F$738,SMALL(IF((County=$G$13:$G$738),MATCH(ROW($G$13:$G$738),ROW($G$13:$G$738)),""),ROWS($A$13:A129))),INDEX($I$13:$I$42,SMALL(IF((County=$J$13:$J$42),MATCH(ROW($J$13:$J$42),ROW($J$13:$J$42)),""),ROWS($A$13:A129)))),"")</f>
        <v/>
      </c>
      <c r="Q129" s="348" t="str">
        <f t="array" ref="Q129">IFERROR(IF($Q$11="Yes",INDEX($L$13:$L$2313,SMALL(IF((County=$M$13:$M$2313),MATCH(ROW($M$13:$M$2313),ROW($M$13:$M$2313)),""),ROWS($A$13:A129))),""),"")</f>
        <v/>
      </c>
      <c r="S129" s="346">
        <v>33149</v>
      </c>
      <c r="T129" s="345" t="s">
        <v>352</v>
      </c>
      <c r="V129" s="345">
        <v>12</v>
      </c>
      <c r="W129" s="345" t="s">
        <v>337</v>
      </c>
      <c r="AB129" s="347">
        <v>8.0399999999999991</v>
      </c>
      <c r="AC129" s="347" t="s">
        <v>349</v>
      </c>
      <c r="AD129" s="1138"/>
      <c r="AE129" s="346">
        <v>33908</v>
      </c>
      <c r="AF129" s="345" t="s">
        <v>344</v>
      </c>
      <c r="AI129" s="934"/>
      <c r="AJ129" s="345">
        <v>16</v>
      </c>
      <c r="AK129" s="345" t="s">
        <v>323</v>
      </c>
      <c r="AP129" s="347">
        <v>686.01</v>
      </c>
      <c r="AQ129" s="347" t="s">
        <v>309</v>
      </c>
      <c r="AS129" s="348" t="str">
        <f t="array" ref="AS129">IFERROR(IF($AS$11="Metro",INDEX($AJ$13:$AJ$814,SMALL(IF((County=$AK$13:$AK$814),MATCH(ROW($AK$13:$AK$814),ROW($AK$13:$AK$814)),""),ROWS($A$13:$A129))),INDEX($AM$13:$AM$48,SMALL(IF((County=$AN$13:$AN$48),MATCH(ROW($AN$13:$AN$48),ROW($AN$13:$AN$48)),""),ROWS($A$13:$A129)))),"")</f>
        <v/>
      </c>
      <c r="AU129" s="348" t="str">
        <f t="array" ref="AU129">IFERROR(IF($AU$11="Yes",INDEX($AP$13:$AP$2950,SMALL(IF((County=$AQ$13:$AQ$2950),MATCH(ROW($AQ$13:$AQ$2950),ROW($AQ$13:$AQ$2950)),""),ROWS($A$13:$A129))),""),"")</f>
        <v/>
      </c>
      <c r="AW129" s="346">
        <v>33139</v>
      </c>
      <c r="AX129" s="345" t="s">
        <v>352</v>
      </c>
      <c r="AZ129" s="345">
        <v>9.01</v>
      </c>
      <c r="BA129" s="345" t="s">
        <v>337</v>
      </c>
      <c r="BF129" s="347">
        <v>6</v>
      </c>
      <c r="BG129" s="347" t="s">
        <v>361</v>
      </c>
      <c r="BH129" s="1790"/>
      <c r="BI129" s="2298">
        <v>33624</v>
      </c>
      <c r="BJ129" s="237" t="s">
        <v>337</v>
      </c>
      <c r="BM129" s="1784"/>
      <c r="BN129" s="345">
        <v>602.01</v>
      </c>
      <c r="BO129" s="345" t="s">
        <v>309</v>
      </c>
      <c r="BQ129" s="237">
        <v>9708</v>
      </c>
      <c r="BR129" s="237" t="s">
        <v>354</v>
      </c>
      <c r="BT129" s="347">
        <v>681.02</v>
      </c>
      <c r="BU129" s="347" t="s">
        <v>309</v>
      </c>
      <c r="BW129" s="348" t="str">
        <f t="array" ref="BW129">IFERROR(IF($BW$11="Metro",INDEX($BN$13:$BN$4972,SMALL(IF((County=$BO$13:$BO$4972),MATCH(ROW($BO$13:$BO$4972),ROW($BO$13:$BO$4972)),""),ROWS($A$13:$A129))),INDEX($BQ$13:$BQ$212,SMALL(IF((County=$BR$13:$BR$212),MATCH(ROW($BR$13:$BR$212),ROW($BR$13:$BR$212)),""),ROWS($A$13:$A129)))),"")</f>
        <v/>
      </c>
      <c r="BY129" s="348" t="str">
        <f t="array" ref="BY129">IFERROR(IF($BY$11="Yes",INDEX($BT$13:$BT$2950,SMALL(IF((County=$BU$13:$BU$2950),MATCH(ROW($BU$13:$BU$2950),ROW($BU$13:$BU$2950)),""),ROWS($A$13:$A129))),""),"")</f>
        <v/>
      </c>
      <c r="CA129" s="1792">
        <v>33109</v>
      </c>
      <c r="CB129" s="345" t="s">
        <v>352</v>
      </c>
      <c r="CD129" s="237">
        <v>3.03</v>
      </c>
      <c r="CE129" s="237" t="s">
        <v>361</v>
      </c>
      <c r="CG129" s="237">
        <v>9602.02</v>
      </c>
      <c r="CH129" s="237" t="s">
        <v>375</v>
      </c>
      <c r="CJ129" s="347">
        <v>6</v>
      </c>
      <c r="CK129" s="347" t="s">
        <v>361</v>
      </c>
      <c r="CL129" s="1789"/>
      <c r="CM129" s="2299"/>
      <c r="CN129" s="345"/>
      <c r="CR129" s="345"/>
      <c r="CS129" s="345"/>
      <c r="CU129" s="345"/>
      <c r="CV129" s="345"/>
      <c r="CX129" s="347"/>
      <c r="CY129" s="347"/>
      <c r="DA129" s="348"/>
      <c r="DC129" s="348"/>
      <c r="DE129" s="1792"/>
      <c r="DF129" s="345"/>
      <c r="DH129" s="237"/>
      <c r="DI129" s="237"/>
      <c r="DK129" s="345"/>
      <c r="DL129" s="345"/>
      <c r="DN129" s="347"/>
      <c r="DO129" s="347"/>
      <c r="DP129" s="2505"/>
      <c r="DT129" s="658"/>
      <c r="DU129" s="1490"/>
      <c r="DV129" s="1490"/>
      <c r="DW129" s="1490"/>
      <c r="DX129" s="1490"/>
      <c r="DY129" s="1490"/>
      <c r="DZ129" s="1490"/>
      <c r="EA129" s="1490"/>
      <c r="EB129" s="660"/>
      <c r="EC129" s="660"/>
      <c r="ED129" s="661"/>
    </row>
    <row r="130" spans="1:134" ht="14.45" customHeight="1">
      <c r="A130" s="346">
        <v>33909</v>
      </c>
      <c r="B130" s="345" t="s">
        <v>344</v>
      </c>
      <c r="E130" s="934"/>
      <c r="F130" s="345">
        <v>111</v>
      </c>
      <c r="G130" s="345" t="s">
        <v>323</v>
      </c>
      <c r="L130" s="347">
        <v>101.03</v>
      </c>
      <c r="M130" s="347" t="s">
        <v>310</v>
      </c>
      <c r="O130" s="348" t="str">
        <f t="array" ref="O130">IFERROR(IF($O$11="Metro",INDEX($F$13:$F$738,SMALL(IF((County=$G$13:$G$738),MATCH(ROW($G$13:$G$738),ROW($G$13:$G$738)),""),ROWS($A$13:A130))),INDEX($I$13:$I$42,SMALL(IF((County=$J$13:$J$42),MATCH(ROW($J$13:$J$42),ROW($J$13:$J$42)),""),ROWS($A$13:A130)))),"")</f>
        <v/>
      </c>
      <c r="Q130" s="348" t="str">
        <f t="array" ref="Q130">IFERROR(IF($Q$11="Yes",INDEX($L$13:$L$2313,SMALL(IF((County=$M$13:$M$2313),MATCH(ROW($M$13:$M$2313),ROW($M$13:$M$2313)),""),ROWS($A$13:A130))),""),"")</f>
        <v/>
      </c>
      <c r="S130" s="346">
        <v>33154</v>
      </c>
      <c r="T130" s="345" t="s">
        <v>352</v>
      </c>
      <c r="V130" s="345">
        <v>12</v>
      </c>
      <c r="W130" s="345" t="s">
        <v>345</v>
      </c>
      <c r="AB130" s="347">
        <v>8.0399999999999991</v>
      </c>
      <c r="AC130" s="347" t="s">
        <v>361</v>
      </c>
      <c r="AD130" s="1138"/>
      <c r="AE130" s="346">
        <v>33912</v>
      </c>
      <c r="AF130" s="345" t="s">
        <v>344</v>
      </c>
      <c r="AI130" s="934"/>
      <c r="AJ130" s="345">
        <v>25.01</v>
      </c>
      <c r="AK130" s="345" t="s">
        <v>323</v>
      </c>
      <c r="AP130" s="347">
        <v>686.04</v>
      </c>
      <c r="AQ130" s="347" t="s">
        <v>309</v>
      </c>
      <c r="AS130" s="348" t="str">
        <f t="array" ref="AS130">IFERROR(IF($AS$11="Metro",INDEX($AJ$13:$AJ$814,SMALL(IF((County=$AK$13:$AK$814),MATCH(ROW($AK$13:$AK$814),ROW($AK$13:$AK$814)),""),ROWS($A$13:$A130))),INDEX($AM$13:$AM$48,SMALL(IF((County=$AN$13:$AN$48),MATCH(ROW($AN$13:$AN$48),ROW($AN$13:$AN$48)),""),ROWS($A$13:$A130)))),"")</f>
        <v/>
      </c>
      <c r="AU130" s="348" t="str">
        <f t="array" ref="AU130">IFERROR(IF($AU$11="Yes",INDEX($AP$13:$AP$2950,SMALL(IF((County=$AQ$13:$AQ$2950),MATCH(ROW($AQ$13:$AQ$2950),ROW($AQ$13:$AQ$2950)),""),ROWS($A$13:$A130))),""),"")</f>
        <v/>
      </c>
      <c r="AW130" s="346">
        <v>33140</v>
      </c>
      <c r="AX130" s="345" t="s">
        <v>352</v>
      </c>
      <c r="AZ130" s="345">
        <v>9.02</v>
      </c>
      <c r="BA130" s="345" t="s">
        <v>337</v>
      </c>
      <c r="BF130" s="347">
        <v>6.01</v>
      </c>
      <c r="BG130" s="347" t="s">
        <v>352</v>
      </c>
      <c r="BH130" s="1790"/>
      <c r="BI130" s="2298">
        <v>33625</v>
      </c>
      <c r="BJ130" s="237" t="s">
        <v>337</v>
      </c>
      <c r="BM130" s="1784"/>
      <c r="BN130" s="345">
        <v>602.02</v>
      </c>
      <c r="BO130" s="345" t="s">
        <v>309</v>
      </c>
      <c r="BQ130" s="237">
        <v>9709</v>
      </c>
      <c r="BR130" s="237" t="s">
        <v>354</v>
      </c>
      <c r="BT130" s="347">
        <v>684</v>
      </c>
      <c r="BU130" s="347" t="s">
        <v>309</v>
      </c>
      <c r="BW130" s="348" t="str">
        <f t="array" ref="BW130">IFERROR(IF($BW$11="Metro",INDEX($BN$13:$BN$4972,SMALL(IF((County=$BO$13:$BO$4972),MATCH(ROW($BO$13:$BO$4972),ROW($BO$13:$BO$4972)),""),ROWS($A$13:$A130))),INDEX($BQ$13:$BQ$212,SMALL(IF((County=$BR$13:$BR$212),MATCH(ROW($BR$13:$BR$212),ROW($BR$13:$BR$212)),""),ROWS($A$13:$A130)))),"")</f>
        <v/>
      </c>
      <c r="BY130" s="348" t="str">
        <f t="array" ref="BY130">IFERROR(IF($BY$11="Yes",INDEX($BT$13:$BT$2950,SMALL(IF((County=$BU$13:$BU$2950),MATCH(ROW($BU$13:$BU$2950),ROW($BU$13:$BU$2950)),""),ROWS($A$13:$A130))),""),"")</f>
        <v/>
      </c>
      <c r="CA130" s="1792">
        <v>33126</v>
      </c>
      <c r="CB130" s="345" t="s">
        <v>352</v>
      </c>
      <c r="CD130" s="237">
        <v>3.04</v>
      </c>
      <c r="CE130" s="237" t="s">
        <v>344</v>
      </c>
      <c r="CG130" s="237">
        <v>9603</v>
      </c>
      <c r="CH130" s="237" t="s">
        <v>332</v>
      </c>
      <c r="CJ130" s="347">
        <v>6.01</v>
      </c>
      <c r="CK130" s="347" t="s">
        <v>352</v>
      </c>
      <c r="CL130" s="1789"/>
      <c r="CM130" s="2299"/>
      <c r="CN130" s="345"/>
      <c r="CR130" s="345"/>
      <c r="CS130" s="345"/>
      <c r="CU130" s="345"/>
      <c r="CV130" s="345"/>
      <c r="CX130" s="347"/>
      <c r="CY130" s="347"/>
      <c r="DA130" s="348"/>
      <c r="DC130" s="348"/>
      <c r="DE130" s="1792"/>
      <c r="DF130" s="345"/>
      <c r="DH130" s="237"/>
      <c r="DI130" s="237"/>
      <c r="DK130" s="345"/>
      <c r="DL130" s="345"/>
      <c r="DN130" s="347"/>
      <c r="DO130" s="347"/>
      <c r="DP130" s="2505"/>
      <c r="DT130" s="658"/>
      <c r="DU130" s="1490"/>
      <c r="DV130" s="1490"/>
      <c r="DW130" s="1490"/>
      <c r="DX130" s="1490"/>
      <c r="DY130" s="1490"/>
      <c r="DZ130" s="661"/>
      <c r="EA130" s="1490"/>
      <c r="EB130" s="660"/>
      <c r="EC130" s="660"/>
      <c r="ED130" s="661"/>
    </row>
    <row r="131" spans="1:134" ht="14.45" customHeight="1">
      <c r="A131" s="346">
        <v>33912</v>
      </c>
      <c r="B131" s="345" t="s">
        <v>344</v>
      </c>
      <c r="E131" s="934"/>
      <c r="F131" s="345">
        <v>112</v>
      </c>
      <c r="G131" s="345" t="s">
        <v>323</v>
      </c>
      <c r="L131" s="347">
        <v>101.04</v>
      </c>
      <c r="M131" s="347" t="s">
        <v>310</v>
      </c>
      <c r="O131" s="348" t="str">
        <f t="array" ref="O131">IFERROR(IF($O$11="Metro",INDEX($F$13:$F$738,SMALL(IF((County=$G$13:$G$738),MATCH(ROW($G$13:$G$738),ROW($G$13:$G$738)),""),ROWS($A$13:A131))),INDEX($I$13:$I$42,SMALL(IF((County=$J$13:$J$42),MATCH(ROW($J$13:$J$42),ROW($J$13:$J$42)),""),ROWS($A$13:A131)))),"")</f>
        <v/>
      </c>
      <c r="Q131" s="348" t="str">
        <f t="array" ref="Q131">IFERROR(IF($Q$11="Yes",INDEX($L$13:$L$2313,SMALL(IF((County=$M$13:$M$2313),MATCH(ROW($M$13:$M$2313),ROW($M$13:$M$2313)),""),ROWS($A$13:A131))),""),"")</f>
        <v/>
      </c>
      <c r="S131" s="346">
        <v>33155</v>
      </c>
      <c r="T131" s="345" t="s">
        <v>352</v>
      </c>
      <c r="V131" s="345">
        <v>12</v>
      </c>
      <c r="W131" s="345" t="s">
        <v>351</v>
      </c>
      <c r="AB131" s="347">
        <v>8.0500000000000007</v>
      </c>
      <c r="AC131" s="347" t="s">
        <v>349</v>
      </c>
      <c r="AD131" s="1138"/>
      <c r="AE131" s="346">
        <v>33913</v>
      </c>
      <c r="AF131" s="345" t="s">
        <v>344</v>
      </c>
      <c r="AI131" s="934"/>
      <c r="AJ131" s="345">
        <v>26</v>
      </c>
      <c r="AK131" s="345" t="s">
        <v>323</v>
      </c>
      <c r="AP131" s="347">
        <v>691</v>
      </c>
      <c r="AQ131" s="347" t="s">
        <v>309</v>
      </c>
      <c r="AS131" s="348" t="str">
        <f t="array" ref="AS131">IFERROR(IF($AS$11="Metro",INDEX($AJ$13:$AJ$814,SMALL(IF((County=$AK$13:$AK$814),MATCH(ROW($AK$13:$AK$814),ROW($AK$13:$AK$814)),""),ROWS($A$13:$A131))),INDEX($AM$13:$AM$48,SMALL(IF((County=$AN$13:$AN$48),MATCH(ROW($AN$13:$AN$48),ROW($AN$13:$AN$48)),""),ROWS($A$13:$A131)))),"")</f>
        <v/>
      </c>
      <c r="AU131" s="348" t="str">
        <f t="array" ref="AU131">IFERROR(IF($AU$11="Yes",INDEX($AP$13:$AP$2950,SMALL(IF((County=$AQ$13:$AQ$2950),MATCH(ROW($AQ$13:$AQ$2950),ROW($AQ$13:$AQ$2950)),""),ROWS($A$13:$A131))),""),"")</f>
        <v/>
      </c>
      <c r="AW131" s="346">
        <v>33141</v>
      </c>
      <c r="AX131" s="345" t="s">
        <v>352</v>
      </c>
      <c r="AZ131" s="345">
        <v>9.0299999999999994</v>
      </c>
      <c r="BA131" s="345" t="s">
        <v>352</v>
      </c>
      <c r="BF131" s="347">
        <v>6.01</v>
      </c>
      <c r="BG131" s="347" t="s">
        <v>368</v>
      </c>
      <c r="BH131" s="1790"/>
      <c r="BI131" s="2298">
        <v>33626</v>
      </c>
      <c r="BJ131" s="237" t="s">
        <v>337</v>
      </c>
      <c r="BM131" s="1784"/>
      <c r="BN131" s="345">
        <v>603.01</v>
      </c>
      <c r="BO131" s="345" t="s">
        <v>309</v>
      </c>
      <c r="BQ131" s="237">
        <v>9710.01</v>
      </c>
      <c r="BR131" s="237" t="s">
        <v>354</v>
      </c>
      <c r="BT131" s="347">
        <v>685.01</v>
      </c>
      <c r="BU131" s="347" t="s">
        <v>309</v>
      </c>
      <c r="BW131" s="348" t="str">
        <f t="array" ref="BW131">IFERROR(IF($BW$11="Metro",INDEX($BN$13:$BN$4972,SMALL(IF((County=$BO$13:$BO$4972),MATCH(ROW($BO$13:$BO$4972),ROW($BO$13:$BO$4972)),""),ROWS($A$13:$A131))),INDEX($BQ$13:$BQ$212,SMALL(IF((County=$BR$13:$BR$212),MATCH(ROW($BR$13:$BR$212),ROW($BR$13:$BR$212)),""),ROWS($A$13:$A131)))),"")</f>
        <v/>
      </c>
      <c r="BY131" s="348" t="str">
        <f t="array" ref="BY131">IFERROR(IF($BY$11="Yes",INDEX($BT$13:$BT$2950,SMALL(IF((County=$BU$13:$BU$2950),MATCH(ROW($BU$13:$BU$2950),ROW($BU$13:$BU$2950)),""),ROWS($A$13:$A131))),""),"")</f>
        <v/>
      </c>
      <c r="CA131" s="1792">
        <v>33129</v>
      </c>
      <c r="CB131" s="345" t="s">
        <v>352</v>
      </c>
      <c r="CD131" s="237">
        <v>3.04</v>
      </c>
      <c r="CE131" s="237" t="s">
        <v>349</v>
      </c>
      <c r="CG131" s="237">
        <v>9603</v>
      </c>
      <c r="CH131" s="237" t="s">
        <v>338</v>
      </c>
      <c r="CJ131" s="347">
        <v>6.01</v>
      </c>
      <c r="CK131" s="347" t="s">
        <v>368</v>
      </c>
      <c r="CL131" s="1789"/>
      <c r="CM131" s="2299"/>
      <c r="CN131" s="345"/>
      <c r="CR131" s="345"/>
      <c r="CS131" s="345"/>
      <c r="CU131" s="345"/>
      <c r="CV131" s="345"/>
      <c r="CX131" s="347"/>
      <c r="CY131" s="347"/>
      <c r="DA131" s="348"/>
      <c r="DC131" s="348"/>
      <c r="DE131" s="1792"/>
      <c r="DF131" s="345"/>
      <c r="DH131" s="237"/>
      <c r="DI131" s="237"/>
      <c r="DK131" s="345"/>
      <c r="DL131" s="345"/>
      <c r="DN131" s="347"/>
      <c r="DO131" s="347"/>
      <c r="DP131" s="2505"/>
      <c r="DT131" s="662"/>
      <c r="DU131" s="1490"/>
      <c r="DV131" s="1490"/>
      <c r="DW131" s="1490"/>
      <c r="DX131" s="1490"/>
      <c r="DY131" s="1490"/>
      <c r="DZ131" s="661"/>
      <c r="EA131" s="1490"/>
      <c r="EB131" s="660"/>
      <c r="EC131" s="660"/>
      <c r="ED131" s="661"/>
    </row>
    <row r="132" spans="1:134" ht="14.45" customHeight="1">
      <c r="A132" s="346">
        <v>33913</v>
      </c>
      <c r="B132" s="345" t="s">
        <v>344</v>
      </c>
      <c r="E132" s="934"/>
      <c r="F132" s="345">
        <v>113</v>
      </c>
      <c r="G132" s="345" t="s">
        <v>323</v>
      </c>
      <c r="L132" s="347">
        <v>103.08</v>
      </c>
      <c r="M132" s="347" t="s">
        <v>310</v>
      </c>
      <c r="O132" s="348" t="str">
        <f t="array" ref="O132">IFERROR(IF($O$11="Metro",INDEX($F$13:$F$738,SMALL(IF((County=$G$13:$G$738),MATCH(ROW($G$13:$G$738),ROW($G$13:$G$738)),""),ROWS($A$13:A132))),INDEX($I$13:$I$42,SMALL(IF((County=$J$13:$J$42),MATCH(ROW($J$13:$J$42),ROW($J$13:$J$42)),""),ROWS($A$13:A132)))),"")</f>
        <v/>
      </c>
      <c r="Q132" s="348" t="str">
        <f t="array" ref="Q132">IFERROR(IF($Q$11="Yes",INDEX($L$13:$L$2313,SMALL(IF((County=$M$13:$M$2313),MATCH(ROW($M$13:$M$2313),ROW($M$13:$M$2313)),""),ROWS($A$13:A132))),""),"")</f>
        <v/>
      </c>
      <c r="S132" s="346">
        <v>33156</v>
      </c>
      <c r="T132" s="345" t="s">
        <v>352</v>
      </c>
      <c r="V132" s="345">
        <v>12.03</v>
      </c>
      <c r="W132" s="345" t="s">
        <v>352</v>
      </c>
      <c r="AB132" s="347">
        <v>8.07</v>
      </c>
      <c r="AC132" s="347" t="s">
        <v>349</v>
      </c>
      <c r="AD132" s="1138"/>
      <c r="AE132" s="346">
        <v>33921</v>
      </c>
      <c r="AF132" s="345" t="s">
        <v>344</v>
      </c>
      <c r="AI132" s="934"/>
      <c r="AJ132" s="345">
        <v>27.01</v>
      </c>
      <c r="AK132" s="345" t="s">
        <v>323</v>
      </c>
      <c r="AP132" s="347">
        <v>692</v>
      </c>
      <c r="AQ132" s="347" t="s">
        <v>309</v>
      </c>
      <c r="AS132" s="348" t="str">
        <f t="array" ref="AS132">IFERROR(IF($AS$11="Metro",INDEX($AJ$13:$AJ$814,SMALL(IF((County=$AK$13:$AK$814),MATCH(ROW($AK$13:$AK$814),ROW($AK$13:$AK$814)),""),ROWS($A$13:$A132))),INDEX($AM$13:$AM$48,SMALL(IF((County=$AN$13:$AN$48),MATCH(ROW($AN$13:$AN$48),ROW($AN$13:$AN$48)),""),ROWS($A$13:$A132)))),"")</f>
        <v/>
      </c>
      <c r="AU132" s="348" t="str">
        <f t="array" ref="AU132">IFERROR(IF($AU$11="Yes",INDEX($AP$13:$AP$2950,SMALL(IF((County=$AQ$13:$AQ$2950),MATCH(ROW($AQ$13:$AQ$2950),ROW($AQ$13:$AQ$2950)),""),ROWS($A$13:$A132))),""),"")</f>
        <v/>
      </c>
      <c r="AW132" s="346">
        <v>33143</v>
      </c>
      <c r="AX132" s="345" t="s">
        <v>352</v>
      </c>
      <c r="AZ132" s="345">
        <v>9.0399999999999991</v>
      </c>
      <c r="BA132" s="345" t="s">
        <v>352</v>
      </c>
      <c r="BF132" s="347">
        <v>6.02</v>
      </c>
      <c r="BG132" s="347" t="s">
        <v>352</v>
      </c>
      <c r="BH132" s="1790"/>
      <c r="BI132" s="2298">
        <v>33629</v>
      </c>
      <c r="BJ132" s="237" t="s">
        <v>337</v>
      </c>
      <c r="BM132" s="1784"/>
      <c r="BN132" s="345">
        <v>603.02</v>
      </c>
      <c r="BO132" s="345" t="s">
        <v>309</v>
      </c>
      <c r="BQ132" s="237">
        <v>9710.02</v>
      </c>
      <c r="BR132" s="237" t="s">
        <v>354</v>
      </c>
      <c r="BT132" s="347">
        <v>685.02</v>
      </c>
      <c r="BU132" s="347" t="s">
        <v>309</v>
      </c>
      <c r="BW132" s="348" t="str">
        <f t="array" ref="BW132">IFERROR(IF($BW$11="Metro",INDEX($BN$13:$BN$4972,SMALL(IF((County=$BO$13:$BO$4972),MATCH(ROW($BO$13:$BO$4972),ROW($BO$13:$BO$4972)),""),ROWS($A$13:$A132))),INDEX($BQ$13:$BQ$212,SMALL(IF((County=$BR$13:$BR$212),MATCH(ROW($BR$13:$BR$212),ROW($BR$13:$BR$212)),""),ROWS($A$13:$A132)))),"")</f>
        <v/>
      </c>
      <c r="BY132" s="348" t="str">
        <f t="array" ref="BY132">IFERROR(IF($BY$11="Yes",INDEX($BT$13:$BT$2950,SMALL(IF((County=$BU$13:$BU$2950),MATCH(ROW($BU$13:$BU$2950),ROW($BU$13:$BU$2950)),""),ROWS($A$13:$A132))),""),"")</f>
        <v/>
      </c>
      <c r="CA132" s="1792">
        <v>33131</v>
      </c>
      <c r="CB132" s="345" t="s">
        <v>352</v>
      </c>
      <c r="CD132" s="237">
        <v>3.04</v>
      </c>
      <c r="CE132" s="237" t="s">
        <v>350</v>
      </c>
      <c r="CG132" s="237">
        <v>9603</v>
      </c>
      <c r="CH132" s="237" t="s">
        <v>375</v>
      </c>
      <c r="CJ132" s="347">
        <v>6.02</v>
      </c>
      <c r="CK132" s="347" t="s">
        <v>352</v>
      </c>
      <c r="CL132" s="1789"/>
      <c r="CM132" s="2299"/>
      <c r="CN132" s="345"/>
      <c r="CR132" s="345"/>
      <c r="CS132" s="345"/>
      <c r="CU132" s="345"/>
      <c r="CV132" s="345"/>
      <c r="CX132" s="347"/>
      <c r="CY132" s="347"/>
      <c r="DA132" s="348"/>
      <c r="DC132" s="348"/>
      <c r="DE132" s="1792"/>
      <c r="DF132" s="345"/>
      <c r="DH132" s="237"/>
      <c r="DI132" s="237"/>
      <c r="DK132" s="345"/>
      <c r="DL132" s="345"/>
      <c r="DN132" s="347"/>
      <c r="DO132" s="347"/>
      <c r="DP132" s="2505"/>
      <c r="DT132" s="659"/>
      <c r="DU132" s="1490"/>
      <c r="DV132" s="1490"/>
      <c r="DW132" s="1490"/>
      <c r="DX132" s="1490"/>
      <c r="DY132" s="1490"/>
      <c r="DZ132" s="661"/>
      <c r="EA132" s="1490"/>
      <c r="EB132" s="660"/>
      <c r="EC132" s="660"/>
      <c r="ED132" s="661"/>
    </row>
    <row r="133" spans="1:134" ht="14.45" customHeight="1">
      <c r="A133" s="346">
        <v>33914</v>
      </c>
      <c r="B133" s="345" t="s">
        <v>344</v>
      </c>
      <c r="E133" s="934"/>
      <c r="F133" s="345">
        <v>114</v>
      </c>
      <c r="G133" s="345" t="s">
        <v>323</v>
      </c>
      <c r="L133" s="347">
        <v>104.01</v>
      </c>
      <c r="M133" s="347" t="s">
        <v>310</v>
      </c>
      <c r="O133" s="348" t="str">
        <f t="array" ref="O133">IFERROR(IF($O$11="Metro",INDEX($F$13:$F$738,SMALL(IF((County=$G$13:$G$738),MATCH(ROW($G$13:$G$738),ROW($G$13:$G$738)),""),ROWS($A$13:A133))),INDEX($I$13:$I$42,SMALL(IF((County=$J$13:$J$42),MATCH(ROW($J$13:$J$42),ROW($J$13:$J$42)),""),ROWS($A$13:A133)))),"")</f>
        <v/>
      </c>
      <c r="Q133" s="348" t="str">
        <f t="array" ref="Q133">IFERROR(IF($Q$11="Yes",INDEX($L$13:$L$2313,SMALL(IF((County=$M$13:$M$2313),MATCH(ROW($M$13:$M$2313),ROW($M$13:$M$2313)),""),ROWS($A$13:A133))),""),"")</f>
        <v/>
      </c>
      <c r="S133" s="346">
        <v>33158</v>
      </c>
      <c r="T133" s="345" t="s">
        <v>352</v>
      </c>
      <c r="V133" s="345">
        <v>13</v>
      </c>
      <c r="W133" s="345" t="s">
        <v>323</v>
      </c>
      <c r="AB133" s="347">
        <v>8.08</v>
      </c>
      <c r="AC133" s="347" t="s">
        <v>349</v>
      </c>
      <c r="AD133" s="1138"/>
      <c r="AE133" s="346">
        <v>33924</v>
      </c>
      <c r="AF133" s="345" t="s">
        <v>344</v>
      </c>
      <c r="AI133" s="934"/>
      <c r="AJ133" s="345">
        <v>27.02</v>
      </c>
      <c r="AK133" s="345" t="s">
        <v>323</v>
      </c>
      <c r="AP133" s="347">
        <v>693</v>
      </c>
      <c r="AQ133" s="347" t="s">
        <v>309</v>
      </c>
      <c r="AS133" s="348" t="str">
        <f t="array" ref="AS133">IFERROR(IF($AS$11="Metro",INDEX($AJ$13:$AJ$814,SMALL(IF((County=$AK$13:$AK$814),MATCH(ROW($AK$13:$AK$814),ROW($AK$13:$AK$814)),""),ROWS($A$13:$A133))),INDEX($AM$13:$AM$48,SMALL(IF((County=$AN$13:$AN$48),MATCH(ROW($AN$13:$AN$48),ROW($AN$13:$AN$48)),""),ROWS($A$13:$A133)))),"")</f>
        <v/>
      </c>
      <c r="AU133" s="348" t="str">
        <f t="array" ref="AU133">IFERROR(IF($AU$11="Yes",INDEX($AP$13:$AP$2950,SMALL(IF((County=$AQ$13:$AQ$2950),MATCH(ROW($AQ$13:$AQ$2950),ROW($AQ$13:$AQ$2950)),""),ROWS($A$13:$A133))),""),"")</f>
        <v/>
      </c>
      <c r="AW133" s="346">
        <v>33144</v>
      </c>
      <c r="AX133" s="345" t="s">
        <v>352</v>
      </c>
      <c r="AZ133" s="345">
        <v>9.06</v>
      </c>
      <c r="BA133" s="345" t="s">
        <v>352</v>
      </c>
      <c r="BF133" s="347">
        <v>6.02</v>
      </c>
      <c r="BG133" s="347" t="s">
        <v>368</v>
      </c>
      <c r="BH133" s="1790"/>
      <c r="BI133" s="2298">
        <v>33634</v>
      </c>
      <c r="BJ133" s="237" t="s">
        <v>337</v>
      </c>
      <c r="BM133" s="1784"/>
      <c r="BN133" s="345">
        <v>604</v>
      </c>
      <c r="BO133" s="345" t="s">
        <v>309</v>
      </c>
      <c r="BQ133" s="237">
        <v>9711</v>
      </c>
      <c r="BR133" s="237" t="s">
        <v>354</v>
      </c>
      <c r="BT133" s="347">
        <v>686.01</v>
      </c>
      <c r="BU133" s="347" t="s">
        <v>309</v>
      </c>
      <c r="BW133" s="348" t="str">
        <f t="array" ref="BW133">IFERROR(IF($BW$11="Metro",INDEX($BN$13:$BN$4972,SMALL(IF((County=$BO$13:$BO$4972),MATCH(ROW($BO$13:$BO$4972),ROW($BO$13:$BO$4972)),""),ROWS($A$13:$A133))),INDEX($BQ$13:$BQ$212,SMALL(IF((County=$BR$13:$BR$212),MATCH(ROW($BR$13:$BR$212),ROW($BR$13:$BR$212)),""),ROWS($A$13:$A133)))),"")</f>
        <v/>
      </c>
      <c r="BY133" s="348" t="str">
        <f t="array" ref="BY133">IFERROR(IF($BY$11="Yes",INDEX($BT$13:$BT$2950,SMALL(IF((County=$BU$13:$BU$2950),MATCH(ROW($BU$13:$BU$2950),ROW($BU$13:$BU$2950)),""),ROWS($A$13:$A133))),""),"")</f>
        <v/>
      </c>
      <c r="CA133" s="1792">
        <v>33132</v>
      </c>
      <c r="CB133" s="345" t="s">
        <v>352</v>
      </c>
      <c r="CD133" s="237">
        <v>3.04</v>
      </c>
      <c r="CE133" s="237" t="s">
        <v>361</v>
      </c>
      <c r="CG133" s="237">
        <v>9603.01</v>
      </c>
      <c r="CH133" s="237" t="s">
        <v>331</v>
      </c>
      <c r="CJ133" s="347">
        <v>6.02</v>
      </c>
      <c r="CK133" s="347" t="s">
        <v>368</v>
      </c>
      <c r="CL133" s="1789"/>
      <c r="CM133" s="2299"/>
      <c r="CN133" s="345"/>
      <c r="CR133" s="345"/>
      <c r="CS133" s="345"/>
      <c r="CU133" s="345"/>
      <c r="CV133" s="345"/>
      <c r="CX133" s="347"/>
      <c r="CY133" s="347"/>
      <c r="DA133" s="348"/>
      <c r="DC133" s="348"/>
      <c r="DE133" s="1792"/>
      <c r="DF133" s="345"/>
      <c r="DH133" s="237"/>
      <c r="DI133" s="237"/>
      <c r="DK133" s="345"/>
      <c r="DL133" s="345"/>
      <c r="DN133" s="347"/>
      <c r="DO133" s="347"/>
      <c r="DP133" s="2505"/>
      <c r="DT133" s="659"/>
      <c r="DU133" s="1490"/>
      <c r="DV133" s="1490"/>
      <c r="DW133" s="1490"/>
      <c r="DX133" s="1490"/>
      <c r="DY133" s="1490"/>
      <c r="DZ133" s="1490"/>
      <c r="EA133" s="1490"/>
      <c r="EB133" s="660"/>
      <c r="EC133" s="660"/>
      <c r="ED133" s="661"/>
    </row>
    <row r="134" spans="1:134" ht="14.45" customHeight="1">
      <c r="A134" s="346">
        <v>33919</v>
      </c>
      <c r="B134" s="345" t="s">
        <v>344</v>
      </c>
      <c r="E134" s="934"/>
      <c r="F134" s="345">
        <v>115</v>
      </c>
      <c r="G134" s="345" t="s">
        <v>323</v>
      </c>
      <c r="L134" s="347">
        <v>104.06</v>
      </c>
      <c r="M134" s="347" t="s">
        <v>310</v>
      </c>
      <c r="O134" s="348" t="str">
        <f t="array" ref="O134">IFERROR(IF($O$11="Metro",INDEX($F$13:$F$738,SMALL(IF((County=$G$13:$G$738),MATCH(ROW($G$13:$G$738),ROW($G$13:$G$738)),""),ROWS($A$13:A134))),INDEX($I$13:$I$42,SMALL(IF((County=$J$13:$J$42),MATCH(ROW($J$13:$J$42),ROW($J$13:$J$42)),""),ROWS($A$13:A134)))),"")</f>
        <v/>
      </c>
      <c r="Q134" s="348" t="str">
        <f t="array" ref="Q134">IFERROR(IF($Q$11="Yes",INDEX($L$13:$L$2313,SMALL(IF((County=$M$13:$M$2313),MATCH(ROW($M$13:$M$2313),ROW($M$13:$M$2313)),""),ROWS($A$13:A134))),""),"")</f>
        <v/>
      </c>
      <c r="S134" s="346">
        <v>33160</v>
      </c>
      <c r="T134" s="345" t="s">
        <v>352</v>
      </c>
      <c r="V134" s="345">
        <v>13</v>
      </c>
      <c r="W134" s="345" t="s">
        <v>325</v>
      </c>
      <c r="AB134" s="347">
        <v>8.09</v>
      </c>
      <c r="AC134" s="347" t="s">
        <v>349</v>
      </c>
      <c r="AD134" s="1138"/>
      <c r="AE134" s="346">
        <v>33928</v>
      </c>
      <c r="AF134" s="345" t="s">
        <v>344</v>
      </c>
      <c r="AI134" s="934"/>
      <c r="AJ134" s="345">
        <v>28.01</v>
      </c>
      <c r="AK134" s="345" t="s">
        <v>323</v>
      </c>
      <c r="AP134" s="347">
        <v>694</v>
      </c>
      <c r="AQ134" s="347" t="s">
        <v>309</v>
      </c>
      <c r="AS134" s="348" t="str">
        <f t="array" ref="AS134">IFERROR(IF($AS$11="Metro",INDEX($AJ$13:$AJ$814,SMALL(IF((County=$AK$13:$AK$814),MATCH(ROW($AK$13:$AK$814),ROW($AK$13:$AK$814)),""),ROWS($A$13:$A134))),INDEX($AM$13:$AM$48,SMALL(IF((County=$AN$13:$AN$48),MATCH(ROW($AN$13:$AN$48),ROW($AN$13:$AN$48)),""),ROWS($A$13:$A134)))),"")</f>
        <v/>
      </c>
      <c r="AU134" s="348" t="str">
        <f t="array" ref="AU134">IFERROR(IF($AU$11="Yes",INDEX($AP$13:$AP$2950,SMALL(IF((County=$AQ$13:$AQ$2950),MATCH(ROW($AQ$13:$AQ$2950),ROW($AQ$13:$AQ$2950)),""),ROWS($A$13:$A134))),""),"")</f>
        <v/>
      </c>
      <c r="AW134" s="346">
        <v>33145</v>
      </c>
      <c r="AX134" s="345" t="s">
        <v>352</v>
      </c>
      <c r="AZ134" s="345">
        <v>9.07</v>
      </c>
      <c r="BA134" s="345" t="s">
        <v>352</v>
      </c>
      <c r="BF134" s="347">
        <v>6.03</v>
      </c>
      <c r="BG134" s="347" t="s">
        <v>351</v>
      </c>
      <c r="BH134" s="1790"/>
      <c r="BI134" s="2298">
        <v>33635</v>
      </c>
      <c r="BJ134" s="237" t="s">
        <v>337</v>
      </c>
      <c r="BM134" s="1784"/>
      <c r="BN134" s="345">
        <v>605</v>
      </c>
      <c r="BO134" s="345" t="s">
        <v>309</v>
      </c>
      <c r="BQ134" s="237">
        <v>9712</v>
      </c>
      <c r="BR134" s="237" t="s">
        <v>354</v>
      </c>
      <c r="BT134" s="347">
        <v>686.04</v>
      </c>
      <c r="BU134" s="347" t="s">
        <v>309</v>
      </c>
      <c r="BW134" s="348" t="str">
        <f t="array" ref="BW134">IFERROR(IF($BW$11="Metro",INDEX($BN$13:$BN$4972,SMALL(IF((County=$BO$13:$BO$4972),MATCH(ROW($BO$13:$BO$4972),ROW($BO$13:$BO$4972)),""),ROWS($A$13:$A134))),INDEX($BQ$13:$BQ$212,SMALL(IF((County=$BR$13:$BR$212),MATCH(ROW($BR$13:$BR$212),ROW($BR$13:$BR$212)),""),ROWS($A$13:$A134)))),"")</f>
        <v/>
      </c>
      <c r="BY134" s="348" t="str">
        <f t="array" ref="BY134">IFERROR(IF($BY$11="Yes",INDEX($BT$13:$BT$2950,SMALL(IF((County=$BU$13:$BU$2950),MATCH(ROW($BU$13:$BU$2950),ROW($BU$13:$BU$2950)),""),ROWS($A$13:$A134))),""),"")</f>
        <v/>
      </c>
      <c r="CA134" s="1792">
        <v>33133</v>
      </c>
      <c r="CB134" s="345" t="s">
        <v>352</v>
      </c>
      <c r="CD134" s="237">
        <v>3.05</v>
      </c>
      <c r="CE134" s="237" t="s">
        <v>344</v>
      </c>
      <c r="CG134" s="237">
        <v>9603.02</v>
      </c>
      <c r="CH134" s="237" t="s">
        <v>331</v>
      </c>
      <c r="CJ134" s="347">
        <v>6.03</v>
      </c>
      <c r="CK134" s="347" t="s">
        <v>351</v>
      </c>
      <c r="CL134" s="1789"/>
      <c r="CM134" s="2299"/>
      <c r="CN134" s="345"/>
      <c r="CR134" s="345"/>
      <c r="CS134" s="345"/>
      <c r="CU134" s="345"/>
      <c r="CV134" s="345"/>
      <c r="CX134" s="347"/>
      <c r="CY134" s="347"/>
      <c r="DA134" s="348"/>
      <c r="DC134" s="348"/>
      <c r="DE134" s="1792"/>
      <c r="DF134" s="345"/>
      <c r="DH134" s="237"/>
      <c r="DI134" s="237"/>
      <c r="DK134" s="345"/>
      <c r="DL134" s="345"/>
      <c r="DN134" s="347"/>
      <c r="DO134" s="347"/>
      <c r="DP134" s="2505"/>
      <c r="DT134" s="663"/>
      <c r="DU134" s="1490"/>
      <c r="DV134" s="1490"/>
      <c r="DW134" s="1490"/>
      <c r="DX134" s="1490"/>
      <c r="DY134" s="1490"/>
      <c r="DZ134" s="1490"/>
      <c r="EA134" s="1490"/>
      <c r="EB134" s="660"/>
      <c r="EC134" s="660"/>
      <c r="ED134" s="661"/>
    </row>
    <row r="135" spans="1:134" ht="14.45" customHeight="1">
      <c r="A135" s="346">
        <v>33921</v>
      </c>
      <c r="B135" s="345" t="s">
        <v>344</v>
      </c>
      <c r="E135" s="934"/>
      <c r="F135" s="345">
        <v>116</v>
      </c>
      <c r="G135" s="345" t="s">
        <v>323</v>
      </c>
      <c r="L135" s="347">
        <v>105.02</v>
      </c>
      <c r="M135" s="347" t="s">
        <v>310</v>
      </c>
      <c r="O135" s="348" t="str">
        <f t="array" ref="O135">IFERROR(IF($O$11="Metro",INDEX($F$13:$F$738,SMALL(IF((County=$G$13:$G$738),MATCH(ROW($G$13:$G$738),ROW($G$13:$G$738)),""),ROWS($A$13:A135))),INDEX($I$13:$I$42,SMALL(IF((County=$J$13:$J$42),MATCH(ROW($J$13:$J$42),ROW($J$13:$J$42)),""),ROWS($A$13:A135)))),"")</f>
        <v/>
      </c>
      <c r="Q135" s="348" t="str">
        <f t="array" ref="Q135">IFERROR(IF($Q$11="Yes",INDEX($L$13:$L$2313,SMALL(IF((County=$M$13:$M$2313),MATCH(ROW($M$13:$M$2313),ROW($M$13:$M$2313)),""),ROWS($A$13:A135))),""),"")</f>
        <v/>
      </c>
      <c r="S135" s="346">
        <v>33165</v>
      </c>
      <c r="T135" s="345" t="s">
        <v>352</v>
      </c>
      <c r="V135" s="345">
        <v>13.01</v>
      </c>
      <c r="W135" s="345" t="s">
        <v>352</v>
      </c>
      <c r="AB135" s="347">
        <v>8.1</v>
      </c>
      <c r="AC135" s="347" t="s">
        <v>349</v>
      </c>
      <c r="AD135" s="1138"/>
      <c r="AE135" s="346">
        <v>33957</v>
      </c>
      <c r="AF135" s="345" t="s">
        <v>344</v>
      </c>
      <c r="AI135" s="934"/>
      <c r="AJ135" s="345">
        <v>28.02</v>
      </c>
      <c r="AK135" s="345" t="s">
        <v>323</v>
      </c>
      <c r="AP135" s="347">
        <v>698.01</v>
      </c>
      <c r="AQ135" s="347" t="s">
        <v>309</v>
      </c>
      <c r="AS135" s="348" t="str">
        <f t="array" ref="AS135">IFERROR(IF($AS$11="Metro",INDEX($AJ$13:$AJ$814,SMALL(IF((County=$AK$13:$AK$814),MATCH(ROW($AK$13:$AK$814),ROW($AK$13:$AK$814)),""),ROWS($A$13:$A135))),INDEX($AM$13:$AM$48,SMALL(IF((County=$AN$13:$AN$48),MATCH(ROW($AN$13:$AN$48),ROW($AN$13:$AN$48)),""),ROWS($A$13:$A135)))),"")</f>
        <v/>
      </c>
      <c r="AU135" s="348" t="str">
        <f t="array" ref="AU135">IFERROR(IF($AU$11="Yes",INDEX($AP$13:$AP$2950,SMALL(IF((County=$AQ$13:$AQ$2950),MATCH(ROW($AQ$13:$AQ$2950),ROW($AQ$13:$AQ$2950)),""),ROWS($A$13:$A135))),""),"")</f>
        <v/>
      </c>
      <c r="AW135" s="346">
        <v>33146</v>
      </c>
      <c r="AX135" s="345" t="s">
        <v>352</v>
      </c>
      <c r="AZ135" s="345">
        <v>9.08</v>
      </c>
      <c r="BA135" s="345" t="s">
        <v>352</v>
      </c>
      <c r="BF135" s="347">
        <v>6.03</v>
      </c>
      <c r="BG135" s="347" t="s">
        <v>352</v>
      </c>
      <c r="BH135" s="1790"/>
      <c r="BI135" s="2298">
        <v>33637</v>
      </c>
      <c r="BJ135" s="237" t="s">
        <v>337</v>
      </c>
      <c r="BM135" s="1784"/>
      <c r="BN135" s="345">
        <v>606</v>
      </c>
      <c r="BO135" s="345" t="s">
        <v>309</v>
      </c>
      <c r="BQ135" s="237">
        <v>9713</v>
      </c>
      <c r="BR135" s="237" t="s">
        <v>354</v>
      </c>
      <c r="BT135" s="347">
        <v>691</v>
      </c>
      <c r="BU135" s="347" t="s">
        <v>309</v>
      </c>
      <c r="BW135" s="348" t="str">
        <f t="array" ref="BW135">IFERROR(IF($BW$11="Metro",INDEX($BN$13:$BN$4972,SMALL(IF((County=$BO$13:$BO$4972),MATCH(ROW($BO$13:$BO$4972),ROW($BO$13:$BO$4972)),""),ROWS($A$13:$A135))),INDEX($BQ$13:$BQ$212,SMALL(IF((County=$BR$13:$BR$212),MATCH(ROW($BR$13:$BR$212),ROW($BR$13:$BR$212)),""),ROWS($A$13:$A135)))),"")</f>
        <v/>
      </c>
      <c r="BY135" s="348" t="str">
        <f t="array" ref="BY135">IFERROR(IF($BY$11="Yes",INDEX($BT$13:$BT$2950,SMALL(IF((County=$BU$13:$BU$2950),MATCH(ROW($BU$13:$BU$2950),ROW($BU$13:$BU$2950)),""),ROWS($A$13:$A135))),""),"")</f>
        <v/>
      </c>
      <c r="CA135" s="1792">
        <v>33134</v>
      </c>
      <c r="CB135" s="345" t="s">
        <v>352</v>
      </c>
      <c r="CD135" s="237">
        <v>3.05</v>
      </c>
      <c r="CE135" s="237" t="s">
        <v>349</v>
      </c>
      <c r="CG135" s="237">
        <v>9604.01</v>
      </c>
      <c r="CH135" s="237" t="s">
        <v>338</v>
      </c>
      <c r="CJ135" s="347">
        <v>6.03</v>
      </c>
      <c r="CK135" s="347" t="s">
        <v>352</v>
      </c>
      <c r="CL135" s="1789"/>
      <c r="CM135" s="2299"/>
      <c r="CN135" s="345"/>
      <c r="CR135" s="345"/>
      <c r="CS135" s="345"/>
      <c r="CU135" s="345"/>
      <c r="CV135" s="345"/>
      <c r="CX135" s="347"/>
      <c r="CY135" s="347"/>
      <c r="DA135" s="348"/>
      <c r="DC135" s="348"/>
      <c r="DE135" s="1792"/>
      <c r="DF135" s="345"/>
      <c r="DH135" s="237"/>
      <c r="DI135" s="237"/>
      <c r="DK135" s="345"/>
      <c r="DL135" s="345"/>
      <c r="DN135" s="347"/>
      <c r="DO135" s="347"/>
      <c r="DP135" s="2505"/>
      <c r="DT135" s="663"/>
      <c r="DU135" s="1490"/>
      <c r="DV135" s="1490"/>
      <c r="DW135" s="1490"/>
      <c r="DX135" s="1490"/>
      <c r="DY135" s="1490"/>
      <c r="DZ135" s="1490"/>
      <c r="EA135" s="1490"/>
      <c r="EB135" s="660"/>
      <c r="EC135" s="660"/>
      <c r="ED135" s="661"/>
    </row>
    <row r="136" spans="1:134" ht="14.45" customHeight="1">
      <c r="A136" s="346">
        <v>33924</v>
      </c>
      <c r="B136" s="345" t="s">
        <v>344</v>
      </c>
      <c r="E136" s="934"/>
      <c r="F136" s="345">
        <v>118</v>
      </c>
      <c r="G136" s="345" t="s">
        <v>323</v>
      </c>
      <c r="L136" s="347">
        <v>105.03</v>
      </c>
      <c r="M136" s="347" t="s">
        <v>310</v>
      </c>
      <c r="O136" s="348" t="str">
        <f t="array" ref="O136">IFERROR(IF($O$11="Metro",INDEX($F$13:$F$738,SMALL(IF((County=$G$13:$G$738),MATCH(ROW($G$13:$G$738),ROW($G$13:$G$738)),""),ROWS($A$13:A136))),INDEX($I$13:$I$42,SMALL(IF((County=$J$13:$J$42),MATCH(ROW($J$13:$J$42),ROW($J$13:$J$42)),""),ROWS($A$13:A136)))),"")</f>
        <v/>
      </c>
      <c r="Q136" s="348" t="str">
        <f t="array" ref="Q136">IFERROR(IF($Q$11="Yes",INDEX($L$13:$L$2313,SMALL(IF((County=$M$13:$M$2313),MATCH(ROW($M$13:$M$2313),ROW($M$13:$M$2313)),""),ROWS($A$13:A136))),""),"")</f>
        <v/>
      </c>
      <c r="S136" s="346">
        <v>33172</v>
      </c>
      <c r="T136" s="345" t="s">
        <v>352</v>
      </c>
      <c r="V136" s="345">
        <v>13.01</v>
      </c>
      <c r="W136" s="345" t="s">
        <v>361</v>
      </c>
      <c r="AB136" s="347">
        <v>9</v>
      </c>
      <c r="AC136" s="347" t="s">
        <v>325</v>
      </c>
      <c r="AD136" s="1138"/>
      <c r="AE136" s="346">
        <v>33965</v>
      </c>
      <c r="AF136" s="345" t="s">
        <v>344</v>
      </c>
      <c r="AI136" s="934"/>
      <c r="AJ136" s="345">
        <v>29.01</v>
      </c>
      <c r="AK136" s="345" t="s">
        <v>323</v>
      </c>
      <c r="AP136" s="347">
        <v>698.02</v>
      </c>
      <c r="AQ136" s="347" t="s">
        <v>309</v>
      </c>
      <c r="AS136" s="348" t="str">
        <f t="array" ref="AS136">IFERROR(IF($AS$11="Metro",INDEX($AJ$13:$AJ$814,SMALL(IF((County=$AK$13:$AK$814),MATCH(ROW($AK$13:$AK$814),ROW($AK$13:$AK$814)),""),ROWS($A$13:$A136))),INDEX($AM$13:$AM$48,SMALL(IF((County=$AN$13:$AN$48),MATCH(ROW($AN$13:$AN$48),ROW($AN$13:$AN$48)),""),ROWS($A$13:$A136)))),"")</f>
        <v/>
      </c>
      <c r="AU136" s="348" t="str">
        <f t="array" ref="AU136">IFERROR(IF($AU$11="Yes",INDEX($AP$13:$AP$2950,SMALL(IF((County=$AQ$13:$AQ$2950),MATCH(ROW($AQ$13:$AQ$2950),ROW($AQ$13:$AQ$2950)),""),ROWS($A$13:$A136))),""),"")</f>
        <v/>
      </c>
      <c r="AW136" s="346">
        <v>33149</v>
      </c>
      <c r="AX136" s="345" t="s">
        <v>352</v>
      </c>
      <c r="AZ136" s="345">
        <v>10</v>
      </c>
      <c r="BA136" s="345" t="s">
        <v>306</v>
      </c>
      <c r="BF136" s="347">
        <v>6.04</v>
      </c>
      <c r="BG136" s="347" t="s">
        <v>351</v>
      </c>
      <c r="BH136" s="1790"/>
      <c r="BI136" s="2298">
        <v>33647</v>
      </c>
      <c r="BJ136" s="237" t="s">
        <v>337</v>
      </c>
      <c r="BM136" s="1784"/>
      <c r="BN136" s="345">
        <v>607</v>
      </c>
      <c r="BO136" s="345" t="s">
        <v>309</v>
      </c>
      <c r="BQ136" s="237">
        <v>9714.01</v>
      </c>
      <c r="BR136" s="237" t="s">
        <v>354</v>
      </c>
      <c r="BT136" s="347">
        <v>694</v>
      </c>
      <c r="BU136" s="347" t="s">
        <v>309</v>
      </c>
      <c r="BW136" s="348" t="str">
        <f t="array" ref="BW136">IFERROR(IF($BW$11="Metro",INDEX($BN$13:$BN$4972,SMALL(IF((County=$BO$13:$BO$4972),MATCH(ROW($BO$13:$BO$4972),ROW($BO$13:$BO$4972)),""),ROWS($A$13:$A136))),INDEX($BQ$13:$BQ$212,SMALL(IF((County=$BR$13:$BR$212),MATCH(ROW($BR$13:$BR$212),ROW($BR$13:$BR$212)),""),ROWS($A$13:$A136)))),"")</f>
        <v/>
      </c>
      <c r="BY136" s="348" t="str">
        <f t="array" ref="BY136">IFERROR(IF($BY$11="Yes",INDEX($BT$13:$BT$2950,SMALL(IF((County=$BU$13:$BU$2950),MATCH(ROW($BU$13:$BU$2950),ROW($BU$13:$BU$2950)),""),ROWS($A$13:$A136))),""),"")</f>
        <v/>
      </c>
      <c r="CA136" s="1792">
        <v>33137</v>
      </c>
      <c r="CB136" s="345" t="s">
        <v>352</v>
      </c>
      <c r="CD136" s="237">
        <v>3.06</v>
      </c>
      <c r="CE136" s="237" t="s">
        <v>344</v>
      </c>
      <c r="CG136" s="237">
        <v>9604.02</v>
      </c>
      <c r="CH136" s="237" t="s">
        <v>338</v>
      </c>
      <c r="CJ136" s="347">
        <v>6.04</v>
      </c>
      <c r="CK136" s="347" t="s">
        <v>351</v>
      </c>
      <c r="CL136" s="1789"/>
      <c r="CM136" s="2299"/>
      <c r="CN136" s="345"/>
      <c r="CR136" s="345"/>
      <c r="CS136" s="345"/>
      <c r="CU136" s="345"/>
      <c r="CV136" s="345"/>
      <c r="CX136" s="347"/>
      <c r="CY136" s="347"/>
      <c r="DA136" s="348"/>
      <c r="DC136" s="348"/>
      <c r="DE136" s="1792"/>
      <c r="DF136" s="345"/>
      <c r="DH136" s="237"/>
      <c r="DI136" s="237"/>
      <c r="DK136" s="345"/>
      <c r="DL136" s="345"/>
      <c r="DN136" s="347"/>
      <c r="DO136" s="347"/>
      <c r="DP136" s="2505"/>
      <c r="DT136" s="663"/>
      <c r="DU136" s="1490"/>
      <c r="DV136" s="1490"/>
      <c r="DW136" s="1490"/>
      <c r="DX136" s="1490"/>
      <c r="DY136" s="1490"/>
      <c r="DZ136" s="1490"/>
      <c r="EA136" s="1490"/>
      <c r="EB136" s="660"/>
      <c r="EC136" s="660"/>
      <c r="ED136" s="661"/>
    </row>
    <row r="137" spans="1:134" ht="14.45" customHeight="1">
      <c r="A137" s="346">
        <v>33928</v>
      </c>
      <c r="B137" s="345" t="s">
        <v>344</v>
      </c>
      <c r="E137" s="934"/>
      <c r="F137" s="345">
        <v>121</v>
      </c>
      <c r="G137" s="345" t="s">
        <v>323</v>
      </c>
      <c r="L137" s="347">
        <v>105.04</v>
      </c>
      <c r="M137" s="347" t="s">
        <v>310</v>
      </c>
      <c r="O137" s="348" t="str">
        <f t="array" ref="O137">IFERROR(IF($O$11="Metro",INDEX($F$13:$F$738,SMALL(IF((County=$G$13:$G$738),MATCH(ROW($G$13:$G$738),ROW($G$13:$G$738)),""),ROWS($A$13:A137))),INDEX($I$13:$I$42,SMALL(IF((County=$J$13:$J$42),MATCH(ROW($J$13:$J$42),ROW($J$13:$J$42)),""),ROWS($A$13:A137)))),"")</f>
        <v/>
      </c>
      <c r="Q137" s="348" t="str">
        <f t="array" ref="Q137">IFERROR(IF($Q$11="Yes",INDEX($L$13:$L$2313,SMALL(IF((County=$M$13:$M$2313),MATCH(ROW($M$13:$M$2313),ROW($M$13:$M$2313)),""),ROWS($A$13:A137))),""),"")</f>
        <v/>
      </c>
      <c r="S137" s="346">
        <v>33173</v>
      </c>
      <c r="T137" s="345" t="s">
        <v>352</v>
      </c>
      <c r="V137" s="345">
        <v>13.02</v>
      </c>
      <c r="W137" s="345" t="s">
        <v>361</v>
      </c>
      <c r="AB137" s="347">
        <v>9</v>
      </c>
      <c r="AC137" s="347" t="s">
        <v>344</v>
      </c>
      <c r="AD137" s="1138"/>
      <c r="AE137" s="346">
        <v>33967</v>
      </c>
      <c r="AF137" s="345" t="s">
        <v>344</v>
      </c>
      <c r="AI137" s="934"/>
      <c r="AJ137" s="345">
        <v>29.02</v>
      </c>
      <c r="AK137" s="345" t="s">
        <v>323</v>
      </c>
      <c r="AP137" s="347">
        <v>699.04</v>
      </c>
      <c r="AQ137" s="347" t="s">
        <v>309</v>
      </c>
      <c r="AS137" s="348" t="str">
        <f t="array" ref="AS137">IFERROR(IF($AS$11="Metro",INDEX($AJ$13:$AJ$814,SMALL(IF((County=$AK$13:$AK$814),MATCH(ROW($AK$13:$AK$814),ROW($AK$13:$AK$814)),""),ROWS($A$13:$A137))),INDEX($AM$13:$AM$48,SMALL(IF((County=$AN$13:$AN$48),MATCH(ROW($AN$13:$AN$48),ROW($AN$13:$AN$48)),""),ROWS($A$13:$A137)))),"")</f>
        <v/>
      </c>
      <c r="AU137" s="348" t="str">
        <f t="array" ref="AU137">IFERROR(IF($AU$11="Yes",INDEX($AP$13:$AP$2950,SMALL(IF((County=$AQ$13:$AQ$2950),MATCH(ROW($AQ$13:$AQ$2950),ROW($AQ$13:$AQ$2950)),""),ROWS($A$13:$A137))),""),"")</f>
        <v/>
      </c>
      <c r="AW137" s="346">
        <v>33154</v>
      </c>
      <c r="AX137" s="345" t="s">
        <v>352</v>
      </c>
      <c r="AZ137" s="345">
        <v>10</v>
      </c>
      <c r="BA137" s="345" t="s">
        <v>323</v>
      </c>
      <c r="BF137" s="347">
        <v>6.05</v>
      </c>
      <c r="BG137" s="347" t="s">
        <v>350</v>
      </c>
      <c r="BH137" s="1790"/>
      <c r="BI137" s="2298">
        <v>32963</v>
      </c>
      <c r="BJ137" s="237" t="s">
        <v>339</v>
      </c>
      <c r="BM137" s="1784"/>
      <c r="BN137" s="345">
        <v>610.01</v>
      </c>
      <c r="BO137" s="345" t="s">
        <v>309</v>
      </c>
      <c r="BQ137" s="237">
        <v>9714.02</v>
      </c>
      <c r="BR137" s="237" t="s">
        <v>354</v>
      </c>
      <c r="BT137" s="347">
        <v>697</v>
      </c>
      <c r="BU137" s="347" t="s">
        <v>309</v>
      </c>
      <c r="BW137" s="348" t="str">
        <f t="array" ref="BW137">IFERROR(IF($BW$11="Metro",INDEX($BN$13:$BN$4972,SMALL(IF((County=$BO$13:$BO$4972),MATCH(ROW($BO$13:$BO$4972),ROW($BO$13:$BO$4972)),""),ROWS($A$13:$A137))),INDEX($BQ$13:$BQ$212,SMALL(IF((County=$BR$13:$BR$212),MATCH(ROW($BR$13:$BR$212),ROW($BR$13:$BR$212)),""),ROWS($A$13:$A137)))),"")</f>
        <v/>
      </c>
      <c r="BY137" s="348" t="str">
        <f t="array" ref="BY137">IFERROR(IF($BY$11="Yes",INDEX($BT$13:$BT$2950,SMALL(IF((County=$BU$13:$BU$2950),MATCH(ROW($BU$13:$BU$2950),ROW($BU$13:$BU$2950)),""),ROWS($A$13:$A137))),""),"")</f>
        <v/>
      </c>
      <c r="CA137" s="1792">
        <v>33139</v>
      </c>
      <c r="CB137" s="345" t="s">
        <v>352</v>
      </c>
      <c r="CD137" s="237">
        <v>3.06</v>
      </c>
      <c r="CE137" s="237" t="s">
        <v>352</v>
      </c>
      <c r="CG137" s="237">
        <v>9604.0300000000007</v>
      </c>
      <c r="CH137" s="237" t="s">
        <v>338</v>
      </c>
      <c r="CJ137" s="347">
        <v>6.05</v>
      </c>
      <c r="CK137" s="347" t="s">
        <v>350</v>
      </c>
      <c r="CL137" s="1789"/>
      <c r="CM137" s="2299"/>
      <c r="CN137" s="345"/>
      <c r="CR137" s="345"/>
      <c r="CS137" s="345"/>
      <c r="CU137" s="345"/>
      <c r="CV137" s="345"/>
      <c r="CX137" s="347"/>
      <c r="CY137" s="347"/>
      <c r="DA137" s="348"/>
      <c r="DC137" s="348"/>
      <c r="DE137" s="1792"/>
      <c r="DF137" s="345"/>
      <c r="DH137" s="237"/>
      <c r="DI137" s="237"/>
      <c r="DK137" s="345"/>
      <c r="DL137" s="345"/>
      <c r="DN137" s="347"/>
      <c r="DO137" s="347"/>
      <c r="DP137" s="2505"/>
      <c r="DT137" s="663"/>
      <c r="DU137" s="1490"/>
      <c r="DV137" s="1490"/>
      <c r="DW137" s="1490"/>
      <c r="DX137" s="1490"/>
      <c r="DY137" s="1490"/>
      <c r="DZ137" s="1490"/>
      <c r="EA137" s="1490"/>
      <c r="EB137" s="663"/>
      <c r="EC137" s="663"/>
      <c r="ED137" s="663"/>
    </row>
    <row r="138" spans="1:134" ht="14.45" customHeight="1">
      <c r="A138" s="346">
        <v>33957</v>
      </c>
      <c r="B138" s="345" t="s">
        <v>344</v>
      </c>
      <c r="E138" s="934"/>
      <c r="F138" s="345">
        <v>122</v>
      </c>
      <c r="G138" s="345" t="s">
        <v>323</v>
      </c>
      <c r="L138" s="347">
        <v>106.01</v>
      </c>
      <c r="M138" s="347" t="s">
        <v>310</v>
      </c>
      <c r="O138" s="348" t="str">
        <f t="array" ref="O138">IFERROR(IF($O$11="Metro",INDEX($F$13:$F$738,SMALL(IF((County=$G$13:$G$738),MATCH(ROW($G$13:$G$738),ROW($G$13:$G$738)),""),ROWS($A$13:A138))),INDEX($I$13:$I$42,SMALL(IF((County=$J$13:$J$42),MATCH(ROW($J$13:$J$42),ROW($J$13:$J$42)),""),ROWS($A$13:A138)))),"")</f>
        <v/>
      </c>
      <c r="Q138" s="348" t="str">
        <f t="array" ref="Q138">IFERROR(IF($Q$11="Yes",INDEX($L$13:$L$2313,SMALL(IF((County=$M$13:$M$2313),MATCH(ROW($M$13:$M$2313),ROW($M$13:$M$2313)),""),ROWS($A$13:A138))),""),"")</f>
        <v/>
      </c>
      <c r="S138" s="346">
        <v>33175</v>
      </c>
      <c r="T138" s="345" t="s">
        <v>352</v>
      </c>
      <c r="V138" s="345">
        <v>14</v>
      </c>
      <c r="W138" s="345" t="s">
        <v>323</v>
      </c>
      <c r="AB138" s="347">
        <v>9</v>
      </c>
      <c r="AC138" s="347" t="s">
        <v>368</v>
      </c>
      <c r="AD138" s="1138"/>
      <c r="AE138" s="346">
        <v>33991</v>
      </c>
      <c r="AF138" s="345" t="s">
        <v>344</v>
      </c>
      <c r="AI138" s="934"/>
      <c r="AJ138" s="345">
        <v>104.02</v>
      </c>
      <c r="AK138" s="345" t="s">
        <v>323</v>
      </c>
      <c r="AP138" s="347">
        <v>699.07</v>
      </c>
      <c r="AQ138" s="347" t="s">
        <v>309</v>
      </c>
      <c r="AS138" s="348" t="str">
        <f t="array" ref="AS138">IFERROR(IF($AS$11="Metro",INDEX($AJ$13:$AJ$814,SMALL(IF((County=$AK$13:$AK$814),MATCH(ROW($AK$13:$AK$814),ROW($AK$13:$AK$814)),""),ROWS($A$13:$A138))),INDEX($AM$13:$AM$48,SMALL(IF((County=$AN$13:$AN$48),MATCH(ROW($AN$13:$AN$48),ROW($AN$13:$AN$48)),""),ROWS($A$13:$A138)))),"")</f>
        <v/>
      </c>
      <c r="AU138" s="348" t="str">
        <f t="array" ref="AU138">IFERROR(IF($AU$11="Yes",INDEX($AP$13:$AP$2950,SMALL(IF((County=$AQ$13:$AQ$2950),MATCH(ROW($AQ$13:$AQ$2950),ROW($AQ$13:$AQ$2950)),""),ROWS($A$13:$A138))),""),"")</f>
        <v/>
      </c>
      <c r="AW138" s="346">
        <v>33155</v>
      </c>
      <c r="AX138" s="345" t="s">
        <v>352</v>
      </c>
      <c r="AZ138" s="345">
        <v>10</v>
      </c>
      <c r="BA138" s="345" t="s">
        <v>368</v>
      </c>
      <c r="BF138" s="347">
        <v>6.05</v>
      </c>
      <c r="BG138" s="347" t="s">
        <v>352</v>
      </c>
      <c r="BH138" s="1790"/>
      <c r="BI138" s="2298">
        <v>32968</v>
      </c>
      <c r="BJ138" s="237" t="s">
        <v>339</v>
      </c>
      <c r="BM138" s="1784"/>
      <c r="BN138" s="345">
        <v>610.02</v>
      </c>
      <c r="BO138" s="345" t="s">
        <v>309</v>
      </c>
      <c r="BQ138" s="237">
        <v>9715.01</v>
      </c>
      <c r="BR138" s="237" t="s">
        <v>354</v>
      </c>
      <c r="BT138" s="347">
        <v>698.01</v>
      </c>
      <c r="BU138" s="347" t="s">
        <v>309</v>
      </c>
      <c r="BW138" s="348" t="str">
        <f t="array" ref="BW138">IFERROR(IF($BW$11="Metro",INDEX($BN$13:$BN$4972,SMALL(IF((County=$BO$13:$BO$4972),MATCH(ROW($BO$13:$BO$4972),ROW($BO$13:$BO$4972)),""),ROWS($A$13:$A138))),INDEX($BQ$13:$BQ$212,SMALL(IF((County=$BR$13:$BR$212),MATCH(ROW($BR$13:$BR$212),ROW($BR$13:$BR$212)),""),ROWS($A$13:$A138)))),"")</f>
        <v/>
      </c>
      <c r="BY138" s="348" t="str">
        <f t="array" ref="BY138">IFERROR(IF($BY$11="Yes",INDEX($BT$13:$BT$2950,SMALL(IF((County=$BU$13:$BU$2950),MATCH(ROW($BU$13:$BU$2950),ROW($BU$13:$BU$2950)),""),ROWS($A$13:$A138))),""),"")</f>
        <v/>
      </c>
      <c r="CA138" s="1792">
        <v>33140</v>
      </c>
      <c r="CB138" s="345" t="s">
        <v>352</v>
      </c>
      <c r="CD138" s="237">
        <v>3.07</v>
      </c>
      <c r="CE138" s="237" t="s">
        <v>349</v>
      </c>
      <c r="CG138" s="237">
        <v>9701</v>
      </c>
      <c r="CH138" s="237" t="s">
        <v>373</v>
      </c>
      <c r="CJ138" s="347">
        <v>6.05</v>
      </c>
      <c r="CK138" s="347" t="s">
        <v>352</v>
      </c>
      <c r="CL138" s="1789"/>
      <c r="CM138" s="2299"/>
      <c r="CN138" s="345"/>
      <c r="CR138" s="345"/>
      <c r="CS138" s="345"/>
      <c r="CU138" s="345"/>
      <c r="CV138" s="345"/>
      <c r="CX138" s="347"/>
      <c r="CY138" s="347"/>
      <c r="DA138" s="348"/>
      <c r="DC138" s="348"/>
      <c r="DE138" s="1792"/>
      <c r="DF138" s="345"/>
      <c r="DH138" s="237"/>
      <c r="DI138" s="237"/>
      <c r="DK138" s="345"/>
      <c r="DL138" s="345"/>
      <c r="DN138" s="347"/>
      <c r="DO138" s="347"/>
      <c r="DP138" s="2505"/>
      <c r="DT138" s="663"/>
      <c r="DU138" s="1490"/>
      <c r="DV138" s="1490"/>
      <c r="DW138" s="1490"/>
      <c r="DX138" s="1490"/>
      <c r="DY138" s="1490"/>
      <c r="DZ138" s="1490"/>
      <c r="EA138" s="1490"/>
      <c r="EB138" s="663"/>
      <c r="EC138" s="663"/>
      <c r="ED138" s="663"/>
    </row>
    <row r="139" spans="1:134" ht="14.45" customHeight="1">
      <c r="A139" s="346">
        <v>33965</v>
      </c>
      <c r="B139" s="345" t="s">
        <v>344</v>
      </c>
      <c r="E139" s="934"/>
      <c r="F139" s="345">
        <v>125</v>
      </c>
      <c r="G139" s="345" t="s">
        <v>323</v>
      </c>
      <c r="L139" s="347">
        <v>106.03</v>
      </c>
      <c r="M139" s="347" t="s">
        <v>310</v>
      </c>
      <c r="O139" s="348" t="str">
        <f t="array" ref="O139">IFERROR(IF($O$11="Metro",INDEX($F$13:$F$738,SMALL(IF((County=$G$13:$G$738),MATCH(ROW($G$13:$G$738),ROW($G$13:$G$738)),""),ROWS($A$13:A139))),INDEX($I$13:$I$42,SMALL(IF((County=$J$13:$J$42),MATCH(ROW($J$13:$J$42),ROW($J$13:$J$42)),""),ROWS($A$13:A139)))),"")</f>
        <v/>
      </c>
      <c r="Q139" s="348" t="str">
        <f t="array" ref="Q139">IFERROR(IF($Q$11="Yes",INDEX($L$13:$L$2313,SMALL(IF((County=$M$13:$M$2313),MATCH(ROW($M$13:$M$2313),ROW($M$13:$M$2313)),""),ROWS($A$13:A139))),""),"")</f>
        <v/>
      </c>
      <c r="S139" s="346">
        <v>33176</v>
      </c>
      <c r="T139" s="345" t="s">
        <v>352</v>
      </c>
      <c r="V139" s="345">
        <v>14</v>
      </c>
      <c r="W139" s="345" t="s">
        <v>337</v>
      </c>
      <c r="AB139" s="347">
        <v>9.01</v>
      </c>
      <c r="AC139" s="347" t="s">
        <v>345</v>
      </c>
      <c r="AD139" s="1138"/>
      <c r="AE139" s="346">
        <v>33993</v>
      </c>
      <c r="AF139" s="345" t="s">
        <v>344</v>
      </c>
      <c r="AI139" s="934"/>
      <c r="AJ139" s="345">
        <v>107</v>
      </c>
      <c r="AK139" s="345" t="s">
        <v>323</v>
      </c>
      <c r="AP139" s="347">
        <v>711</v>
      </c>
      <c r="AQ139" s="347" t="s">
        <v>309</v>
      </c>
      <c r="AS139" s="348" t="str">
        <f t="array" ref="AS139">IFERROR(IF($AS$11="Metro",INDEX($AJ$13:$AJ$814,SMALL(IF((County=$AK$13:$AK$814),MATCH(ROW($AK$13:$AK$814),ROW($AK$13:$AK$814)),""),ROWS($A$13:$A139))),INDEX($AM$13:$AM$48,SMALL(IF((County=$AN$13:$AN$48),MATCH(ROW($AN$13:$AN$48),ROW($AN$13:$AN$48)),""),ROWS($A$13:$A139)))),"")</f>
        <v/>
      </c>
      <c r="AU139" s="348" t="str">
        <f t="array" ref="AU139">IFERROR(IF($AU$11="Yes",INDEX($AP$13:$AP$2950,SMALL(IF((County=$AQ$13:$AQ$2950),MATCH(ROW($AQ$13:$AQ$2950),ROW($AQ$13:$AQ$2950)),""),ROWS($A$13:$A139))),""),"")</f>
        <v/>
      </c>
      <c r="AW139" s="346">
        <v>33156</v>
      </c>
      <c r="AX139" s="345" t="s">
        <v>352</v>
      </c>
      <c r="AZ139" s="345">
        <v>10.01</v>
      </c>
      <c r="BA139" s="345" t="s">
        <v>337</v>
      </c>
      <c r="BF139" s="347">
        <v>6.06</v>
      </c>
      <c r="BG139" s="347" t="s">
        <v>351</v>
      </c>
      <c r="BH139" s="1790"/>
      <c r="BI139" s="1792">
        <v>32102</v>
      </c>
      <c r="BJ139" s="237" t="s">
        <v>343</v>
      </c>
      <c r="BM139" s="1784"/>
      <c r="BN139" s="345">
        <v>611</v>
      </c>
      <c r="BO139" s="345" t="s">
        <v>309</v>
      </c>
      <c r="BQ139" s="237">
        <v>9715.02</v>
      </c>
      <c r="BR139" s="237" t="s">
        <v>354</v>
      </c>
      <c r="BT139" s="347">
        <v>698.02</v>
      </c>
      <c r="BU139" s="347" t="s">
        <v>309</v>
      </c>
      <c r="BW139" s="348" t="str">
        <f t="array" ref="BW139">IFERROR(IF($BW$11="Metro",INDEX($BN$13:$BN$4972,SMALL(IF((County=$BO$13:$BO$4972),MATCH(ROW($BO$13:$BO$4972),ROW($BO$13:$BO$4972)),""),ROWS($A$13:$A139))),INDEX($BQ$13:$BQ$212,SMALL(IF((County=$BR$13:$BR$212),MATCH(ROW($BR$13:$BR$212),ROW($BR$13:$BR$212)),""),ROWS($A$13:$A139)))),"")</f>
        <v/>
      </c>
      <c r="BY139" s="348" t="str">
        <f t="array" ref="BY139">IFERROR(IF($BY$11="Yes",INDEX($BT$13:$BT$2950,SMALL(IF((County=$BU$13:$BU$2950),MATCH(ROW($BU$13:$BU$2950),ROW($BU$13:$BU$2950)),""),ROWS($A$13:$A139))),""),"")</f>
        <v/>
      </c>
      <c r="CA139" s="1792">
        <v>33141</v>
      </c>
      <c r="CB139" s="345" t="s">
        <v>352</v>
      </c>
      <c r="CD139" s="237">
        <v>3.07</v>
      </c>
      <c r="CE139" s="237" t="s">
        <v>352</v>
      </c>
      <c r="CG139" s="345">
        <v>9701.01</v>
      </c>
      <c r="CH139" s="345" t="s">
        <v>322</v>
      </c>
      <c r="CJ139" s="347">
        <v>6.06</v>
      </c>
      <c r="CK139" s="347" t="s">
        <v>351</v>
      </c>
      <c r="CL139" s="1789"/>
      <c r="CM139" s="2299"/>
      <c r="CN139" s="345"/>
      <c r="CR139" s="345"/>
      <c r="CS139" s="345"/>
      <c r="CU139" s="345"/>
      <c r="CV139" s="345"/>
      <c r="CX139" s="347"/>
      <c r="CY139" s="347"/>
      <c r="DA139" s="348"/>
      <c r="DC139" s="348"/>
      <c r="DE139" s="1792"/>
      <c r="DF139" s="345"/>
      <c r="DH139" s="237"/>
      <c r="DI139" s="237"/>
      <c r="DK139" s="345"/>
      <c r="DL139" s="345"/>
      <c r="DN139" s="347"/>
      <c r="DO139" s="347"/>
      <c r="DP139" s="2505"/>
      <c r="DT139" s="663"/>
      <c r="DU139" s="1490"/>
      <c r="DV139" s="1490"/>
      <c r="DW139" s="1490"/>
      <c r="DX139" s="1490"/>
      <c r="DY139" s="1490"/>
      <c r="DZ139" s="1490"/>
      <c r="EA139" s="1490"/>
      <c r="EB139" s="663"/>
      <c r="EC139" s="663"/>
      <c r="ED139" s="663"/>
    </row>
    <row r="140" spans="1:134" ht="14.45" customHeight="1">
      <c r="A140" s="346">
        <v>33967</v>
      </c>
      <c r="B140" s="345" t="s">
        <v>344</v>
      </c>
      <c r="E140" s="934"/>
      <c r="F140" s="345">
        <v>126.01</v>
      </c>
      <c r="G140" s="345" t="s">
        <v>323</v>
      </c>
      <c r="L140" s="347">
        <v>106.04</v>
      </c>
      <c r="M140" s="347" t="s">
        <v>310</v>
      </c>
      <c r="O140" s="348" t="str">
        <f t="array" ref="O140">IFERROR(IF($O$11="Metro",INDEX($F$13:$F$738,SMALL(IF((County=$G$13:$G$738),MATCH(ROW($G$13:$G$738),ROW($G$13:$G$738)),""),ROWS($A$13:A140))),INDEX($I$13:$I$42,SMALL(IF((County=$J$13:$J$42),MATCH(ROW($J$13:$J$42),ROW($J$13:$J$42)),""),ROWS($A$13:A140)))),"")</f>
        <v/>
      </c>
      <c r="Q140" s="348" t="str">
        <f t="array" ref="Q140">IFERROR(IF($Q$11="Yes",INDEX($L$13:$L$2313,SMALL(IF((County=$M$13:$M$2313),MATCH(ROW($M$13:$M$2313),ROW($M$13:$M$2313)),""),ROWS($A$13:A140))),""),"")</f>
        <v/>
      </c>
      <c r="S140" s="346">
        <v>33178</v>
      </c>
      <c r="T140" s="345" t="s">
        <v>352</v>
      </c>
      <c r="V140" s="345">
        <v>14.01</v>
      </c>
      <c r="W140" s="345" t="s">
        <v>345</v>
      </c>
      <c r="AB140" s="347">
        <v>9.01</v>
      </c>
      <c r="AC140" s="347" t="s">
        <v>349</v>
      </c>
      <c r="AD140" s="1138"/>
      <c r="AE140" s="346">
        <v>32312</v>
      </c>
      <c r="AF140" s="345" t="s">
        <v>345</v>
      </c>
      <c r="AI140" s="934"/>
      <c r="AJ140" s="345">
        <v>108</v>
      </c>
      <c r="AK140" s="345" t="s">
        <v>323</v>
      </c>
      <c r="AP140" s="347">
        <v>712.01</v>
      </c>
      <c r="AQ140" s="347" t="s">
        <v>309</v>
      </c>
      <c r="AS140" s="348" t="str">
        <f t="array" ref="AS140">IFERROR(IF($AS$11="Metro",INDEX($AJ$13:$AJ$814,SMALL(IF((County=$AK$13:$AK$814),MATCH(ROW($AK$13:$AK$814),ROW($AK$13:$AK$814)),""),ROWS($A$13:$A140))),INDEX($AM$13:$AM$48,SMALL(IF((County=$AN$13:$AN$48),MATCH(ROW($AN$13:$AN$48),ROW($AN$13:$AN$48)),""),ROWS($A$13:$A140)))),"")</f>
        <v/>
      </c>
      <c r="AU140" s="348" t="str">
        <f t="array" ref="AU140">IFERROR(IF($AU$11="Yes",INDEX($AP$13:$AP$2950,SMALL(IF((County=$AQ$13:$AQ$2950),MATCH(ROW($AQ$13:$AQ$2950),ROW($AQ$13:$AQ$2950)),""),ROWS($A$13:$A140))),""),"")</f>
        <v/>
      </c>
      <c r="AW140" s="346">
        <v>33158</v>
      </c>
      <c r="AX140" s="345" t="s">
        <v>352</v>
      </c>
      <c r="AZ140" s="345">
        <v>10.01</v>
      </c>
      <c r="BA140" s="345" t="s">
        <v>345</v>
      </c>
      <c r="BF140" s="347">
        <v>6.07</v>
      </c>
      <c r="BG140" s="347" t="s">
        <v>351</v>
      </c>
      <c r="BH140" s="1790"/>
      <c r="BI140" s="2298">
        <v>32735</v>
      </c>
      <c r="BJ140" s="237" t="s">
        <v>343</v>
      </c>
      <c r="BM140" s="1784"/>
      <c r="BN140" s="345">
        <v>612.01</v>
      </c>
      <c r="BO140" s="345" t="s">
        <v>309</v>
      </c>
      <c r="BQ140" s="237">
        <v>9716</v>
      </c>
      <c r="BR140" s="237" t="s">
        <v>354</v>
      </c>
      <c r="BT140" s="347">
        <v>699.03</v>
      </c>
      <c r="BU140" s="347" t="s">
        <v>309</v>
      </c>
      <c r="BW140" s="348" t="str">
        <f t="array" ref="BW140">IFERROR(IF($BW$11="Metro",INDEX($BN$13:$BN$4972,SMALL(IF((County=$BO$13:$BO$4972),MATCH(ROW($BO$13:$BO$4972),ROW($BO$13:$BO$4972)),""),ROWS($A$13:$A140))),INDEX($BQ$13:$BQ$212,SMALL(IF((County=$BR$13:$BR$212),MATCH(ROW($BR$13:$BR$212),ROW($BR$13:$BR$212)),""),ROWS($A$13:$A140)))),"")</f>
        <v/>
      </c>
      <c r="BY140" s="348" t="str">
        <f t="array" ref="BY140">IFERROR(IF($BY$11="Yes",INDEX($BT$13:$BT$2950,SMALL(IF((County=$BU$13:$BU$2950),MATCH(ROW($BU$13:$BU$2950),ROW($BU$13:$BU$2950)),""),ROWS($A$13:$A140))),""),"")</f>
        <v/>
      </c>
      <c r="CA140" s="1792">
        <v>33143</v>
      </c>
      <c r="CB140" s="345" t="s">
        <v>352</v>
      </c>
      <c r="CD140" s="237">
        <v>3.08</v>
      </c>
      <c r="CE140" s="237" t="s">
        <v>352</v>
      </c>
      <c r="CG140" s="237">
        <v>9701.01</v>
      </c>
      <c r="CH140" s="237" t="s">
        <v>327</v>
      </c>
      <c r="CJ140" s="347">
        <v>6.07</v>
      </c>
      <c r="CK140" s="347" t="s">
        <v>351</v>
      </c>
      <c r="CL140" s="1789"/>
      <c r="CM140" s="2299"/>
      <c r="CN140" s="345"/>
      <c r="CR140" s="345"/>
      <c r="CS140" s="345"/>
      <c r="CU140" s="345"/>
      <c r="CV140" s="345"/>
      <c r="CX140" s="347"/>
      <c r="CY140" s="347"/>
      <c r="DA140" s="348"/>
      <c r="DC140" s="348"/>
      <c r="DE140" s="1792"/>
      <c r="DF140" s="345"/>
      <c r="DH140" s="237"/>
      <c r="DI140" s="237"/>
      <c r="DK140" s="345"/>
      <c r="DL140" s="345"/>
      <c r="DN140" s="347"/>
      <c r="DO140" s="347"/>
      <c r="DP140" s="2505"/>
      <c r="DT140" s="663"/>
      <c r="DU140" s="1490"/>
      <c r="DV140" s="1490"/>
      <c r="DW140" s="1490"/>
      <c r="DX140" s="1490"/>
      <c r="DY140" s="1490"/>
      <c r="DZ140" s="1490"/>
      <c r="EA140" s="1490"/>
      <c r="EB140" s="663"/>
      <c r="EC140" s="663"/>
      <c r="ED140" s="663"/>
    </row>
    <row r="141" spans="1:134" ht="14.45" customHeight="1">
      <c r="A141" s="346">
        <v>33991</v>
      </c>
      <c r="B141" s="345" t="s">
        <v>344</v>
      </c>
      <c r="E141" s="934"/>
      <c r="F141" s="345">
        <v>134.02000000000001</v>
      </c>
      <c r="G141" s="345" t="s">
        <v>323</v>
      </c>
      <c r="L141" s="347">
        <v>106.05</v>
      </c>
      <c r="M141" s="347" t="s">
        <v>310</v>
      </c>
      <c r="O141" s="348" t="str">
        <f t="array" ref="O141">IFERROR(IF($O$11="Metro",INDEX($F$13:$F$738,SMALL(IF((County=$G$13:$G$738),MATCH(ROW($G$13:$G$738),ROW($G$13:$G$738)),""),ROWS($A$13:A141))),INDEX($I$13:$I$42,SMALL(IF((County=$J$13:$J$42),MATCH(ROW($J$13:$J$42),ROW($J$13:$J$42)),""),ROWS($A$13:A141)))),"")</f>
        <v/>
      </c>
      <c r="Q141" s="348" t="str">
        <f t="array" ref="Q141">IFERROR(IF($Q$11="Yes",INDEX($L$13:$L$2313,SMALL(IF((County=$M$13:$M$2313),MATCH(ROW($M$13:$M$2313),ROW($M$13:$M$2313)),""),ROWS($A$13:A141))),""),"")</f>
        <v/>
      </c>
      <c r="S141" s="346">
        <v>33180</v>
      </c>
      <c r="T141" s="345" t="s">
        <v>352</v>
      </c>
      <c r="V141" s="345">
        <v>14.01</v>
      </c>
      <c r="W141" s="345" t="s">
        <v>350</v>
      </c>
      <c r="AB141" s="347">
        <v>9.01</v>
      </c>
      <c r="AC141" s="347" t="s">
        <v>351</v>
      </c>
      <c r="AD141" s="1138"/>
      <c r="AE141" s="346">
        <v>32317</v>
      </c>
      <c r="AF141" s="345" t="s">
        <v>345</v>
      </c>
      <c r="AI141" s="934"/>
      <c r="AJ141" s="345">
        <v>110</v>
      </c>
      <c r="AK141" s="345" t="s">
        <v>323</v>
      </c>
      <c r="AP141" s="347">
        <v>712.03</v>
      </c>
      <c r="AQ141" s="347" t="s">
        <v>309</v>
      </c>
      <c r="AS141" s="348" t="str">
        <f t="array" ref="AS141">IFERROR(IF($AS$11="Metro",INDEX($AJ$13:$AJ$814,SMALL(IF((County=$AK$13:$AK$814),MATCH(ROW($AK$13:$AK$814),ROW($AK$13:$AK$814)),""),ROWS($A$13:$A141))),INDEX($AM$13:$AM$48,SMALL(IF((County=$AN$13:$AN$48),MATCH(ROW($AN$13:$AN$48),ROW($AN$13:$AN$48)),""),ROWS($A$13:$A141)))),"")</f>
        <v/>
      </c>
      <c r="AU141" s="348" t="str">
        <f t="array" ref="AU141">IFERROR(IF($AU$11="Yes",INDEX($AP$13:$AP$2950,SMALL(IF((County=$AQ$13:$AQ$2950),MATCH(ROW($AQ$13:$AQ$2950),ROW($AQ$13:$AQ$2950)),""),ROWS($A$13:$A141))),""),"")</f>
        <v/>
      </c>
      <c r="AW141" s="346">
        <v>33160</v>
      </c>
      <c r="AX141" s="345" t="s">
        <v>352</v>
      </c>
      <c r="AZ141" s="345">
        <v>10.02</v>
      </c>
      <c r="BA141" s="345" t="s">
        <v>337</v>
      </c>
      <c r="BF141" s="347">
        <v>6.1</v>
      </c>
      <c r="BG141" s="347" t="s">
        <v>351</v>
      </c>
      <c r="BH141" s="1790"/>
      <c r="BI141" s="2298">
        <v>32776</v>
      </c>
      <c r="BJ141" s="237" t="s">
        <v>343</v>
      </c>
      <c r="BM141" s="1784"/>
      <c r="BN141" s="345">
        <v>612.02</v>
      </c>
      <c r="BO141" s="345" t="s">
        <v>309</v>
      </c>
      <c r="BQ141" s="237">
        <v>9717</v>
      </c>
      <c r="BR141" s="237" t="s">
        <v>354</v>
      </c>
      <c r="BT141" s="347">
        <v>699.04</v>
      </c>
      <c r="BU141" s="347" t="s">
        <v>309</v>
      </c>
      <c r="BW141" s="348" t="str">
        <f t="array" ref="BW141">IFERROR(IF($BW$11="Metro",INDEX($BN$13:$BN$4972,SMALL(IF((County=$BO$13:$BO$4972),MATCH(ROW($BO$13:$BO$4972),ROW($BO$13:$BO$4972)),""),ROWS($A$13:$A141))),INDEX($BQ$13:$BQ$212,SMALL(IF((County=$BR$13:$BR$212),MATCH(ROW($BR$13:$BR$212),ROW($BR$13:$BR$212)),""),ROWS($A$13:$A141)))),"")</f>
        <v/>
      </c>
      <c r="BY141" s="348" t="str">
        <f t="array" ref="BY141">IFERROR(IF($BY$11="Yes",INDEX($BT$13:$BT$2950,SMALL(IF((County=$BU$13:$BU$2950),MATCH(ROW($BU$13:$BU$2950),ROW($BU$13:$BU$2950)),""),ROWS($A$13:$A141))),""),"")</f>
        <v/>
      </c>
      <c r="CA141" s="1792">
        <v>33144</v>
      </c>
      <c r="CB141" s="345" t="s">
        <v>352</v>
      </c>
      <c r="CD141" s="237">
        <v>3.09</v>
      </c>
      <c r="CE141" s="237" t="s">
        <v>349</v>
      </c>
      <c r="CG141" s="237">
        <v>9701.01</v>
      </c>
      <c r="CH141" s="237" t="s">
        <v>333</v>
      </c>
      <c r="CJ141" s="347">
        <v>6.1</v>
      </c>
      <c r="CK141" s="347" t="s">
        <v>351</v>
      </c>
      <c r="CL141" s="1789"/>
      <c r="CM141" s="2299"/>
      <c r="CN141" s="345"/>
      <c r="CR141" s="345"/>
      <c r="CS141" s="345"/>
      <c r="CU141" s="345"/>
      <c r="CV141" s="345"/>
      <c r="CX141" s="347"/>
      <c r="CY141" s="347"/>
      <c r="DA141" s="348"/>
      <c r="DC141" s="348"/>
      <c r="DE141" s="1792"/>
      <c r="DF141" s="345"/>
      <c r="DH141" s="237"/>
      <c r="DI141" s="237"/>
      <c r="DK141" s="345"/>
      <c r="DL141" s="345"/>
      <c r="DN141" s="347"/>
      <c r="DO141" s="347"/>
      <c r="DP141" s="2505"/>
      <c r="DT141" s="663"/>
      <c r="DU141" s="1490"/>
      <c r="DV141" s="1490"/>
      <c r="DW141" s="1490"/>
      <c r="DX141" s="1490"/>
      <c r="DY141" s="1490"/>
      <c r="DZ141" s="1490"/>
      <c r="EA141" s="1490"/>
      <c r="EB141" s="663"/>
      <c r="EC141" s="663"/>
      <c r="ED141" s="663"/>
    </row>
    <row r="142" spans="1:134" ht="14.45" customHeight="1">
      <c r="A142" s="346">
        <v>33993</v>
      </c>
      <c r="B142" s="345" t="s">
        <v>344</v>
      </c>
      <c r="E142" s="934"/>
      <c r="F142" s="345">
        <v>148</v>
      </c>
      <c r="G142" s="345" t="s">
        <v>323</v>
      </c>
      <c r="L142" s="347">
        <v>106.06</v>
      </c>
      <c r="M142" s="347" t="s">
        <v>310</v>
      </c>
      <c r="O142" s="348" t="str">
        <f t="array" ref="O142">IFERROR(IF($O$11="Metro",INDEX($F$13:$F$738,SMALL(IF((County=$G$13:$G$738),MATCH(ROW($G$13:$G$738),ROW($G$13:$G$738)),""),ROWS($A$13:A142))),INDEX($I$13:$I$42,SMALL(IF((County=$J$13:$J$42),MATCH(ROW($J$13:$J$42),ROW($J$13:$J$42)),""),ROWS($A$13:A142)))),"")</f>
        <v/>
      </c>
      <c r="Q142" s="348" t="str">
        <f t="array" ref="Q142">IFERROR(IF($Q$11="Yes",INDEX($L$13:$L$2313,SMALL(IF((County=$M$13:$M$2313),MATCH(ROW($M$13:$M$2313),ROW($M$13:$M$2313)),""),ROWS($A$13:A142))),""),"")</f>
        <v/>
      </c>
      <c r="S142" s="346">
        <v>33182</v>
      </c>
      <c r="T142" s="345" t="s">
        <v>352</v>
      </c>
      <c r="V142" s="345">
        <v>14.01</v>
      </c>
      <c r="W142" s="345" t="s">
        <v>352</v>
      </c>
      <c r="AB142" s="347">
        <v>9.02</v>
      </c>
      <c r="AC142" s="347" t="s">
        <v>349</v>
      </c>
      <c r="AD142" s="1138"/>
      <c r="AE142" s="346">
        <v>34201</v>
      </c>
      <c r="AF142" s="345" t="s">
        <v>349</v>
      </c>
      <c r="AI142" s="934"/>
      <c r="AJ142" s="345">
        <v>111</v>
      </c>
      <c r="AK142" s="345" t="s">
        <v>323</v>
      </c>
      <c r="AP142" s="347">
        <v>712.05</v>
      </c>
      <c r="AQ142" s="347" t="s">
        <v>309</v>
      </c>
      <c r="AS142" s="348" t="str">
        <f t="array" ref="AS142">IFERROR(IF($AS$11="Metro",INDEX($AJ$13:$AJ$814,SMALL(IF((County=$AK$13:$AK$814),MATCH(ROW($AK$13:$AK$814),ROW($AK$13:$AK$814)),""),ROWS($A$13:$A148))),INDEX($AM$13:$AM$48,SMALL(IF((County=$AN$13:$AN$48),MATCH(ROW($AN$13:$AN$48),ROW($AN$13:$AN$48)),""),ROWS($A$13:$A148)))),"")</f>
        <v/>
      </c>
      <c r="AU142" s="348" t="str">
        <f t="array" ref="AU142">IFERROR(IF($AU$11="Yes",INDEX($AP$13:$AP$2950,SMALL(IF((County=$AQ$13:$AQ$2950),MATCH(ROW($AQ$13:$AQ$2950),ROW($AQ$13:$AQ$2950)),""),ROWS($A$13:$A142))),""),"")</f>
        <v/>
      </c>
      <c r="AW142" s="346">
        <v>33165</v>
      </c>
      <c r="AX142" s="345" t="s">
        <v>352</v>
      </c>
      <c r="AZ142" s="345">
        <v>10.029999999999999</v>
      </c>
      <c r="BA142" s="345" t="s">
        <v>352</v>
      </c>
      <c r="BF142" s="347">
        <v>6.12</v>
      </c>
      <c r="BG142" s="347" t="s">
        <v>352</v>
      </c>
      <c r="BH142" s="1790"/>
      <c r="BI142" s="2298">
        <v>34711</v>
      </c>
      <c r="BJ142" s="237" t="s">
        <v>343</v>
      </c>
      <c r="BM142" s="1784"/>
      <c r="BN142" s="345">
        <v>621.05999999999995</v>
      </c>
      <c r="BO142" s="345" t="s">
        <v>309</v>
      </c>
      <c r="BQ142" s="237">
        <v>9718</v>
      </c>
      <c r="BR142" s="237" t="s">
        <v>354</v>
      </c>
      <c r="BT142" s="347">
        <v>699.07</v>
      </c>
      <c r="BU142" s="347" t="s">
        <v>309</v>
      </c>
      <c r="BW142" s="348" t="str">
        <f t="array" ref="BW142">IFERROR(IF($BW$11="Metro",INDEX($BN$13:$BN$4972,SMALL(IF((County=$BO$13:$BO$4972),MATCH(ROW($BO$13:$BO$4972),ROW($BO$13:$BO$4972)),""),ROWS($A$13:$A142))),INDEX($BQ$13:$BQ$212,SMALL(IF((County=$BR$13:$BR$212),MATCH(ROW($BR$13:$BR$212),ROW($BR$13:$BR$212)),""),ROWS($A$13:$A142)))),"")</f>
        <v/>
      </c>
      <c r="BY142" s="348" t="str">
        <f t="array" ref="BY142">IFERROR(IF($BY$11="Yes",INDEX($BT$13:$BT$2950,SMALL(IF((County=$BU$13:$BU$2950),MATCH(ROW($BU$13:$BU$2950),ROW($BU$13:$BU$2950)),""),ROWS($A$13:$A142))),""),"")</f>
        <v/>
      </c>
      <c r="CA142" s="1792">
        <v>33145</v>
      </c>
      <c r="CB142" s="345" t="s">
        <v>352</v>
      </c>
      <c r="CD142" s="237">
        <v>3.09</v>
      </c>
      <c r="CE142" s="237" t="s">
        <v>352</v>
      </c>
      <c r="CG142" s="237">
        <v>9701.02</v>
      </c>
      <c r="CH142" s="237" t="s">
        <v>327</v>
      </c>
      <c r="CJ142" s="347">
        <v>6.1</v>
      </c>
      <c r="CK142" s="347" t="s">
        <v>352</v>
      </c>
      <c r="CL142" s="1789"/>
      <c r="CM142" s="2299"/>
      <c r="CN142" s="345"/>
      <c r="CR142" s="345"/>
      <c r="CS142" s="345"/>
      <c r="CU142" s="345"/>
      <c r="CV142" s="345"/>
      <c r="CX142" s="347"/>
      <c r="CY142" s="347"/>
      <c r="DA142" s="348"/>
      <c r="DC142" s="348"/>
      <c r="DE142" s="1792"/>
      <c r="DF142" s="345"/>
      <c r="DH142" s="237"/>
      <c r="DI142" s="237"/>
      <c r="DK142" s="345"/>
      <c r="DL142" s="345"/>
      <c r="DN142" s="347"/>
      <c r="DO142" s="347"/>
      <c r="DP142" s="2505"/>
      <c r="DT142" s="663"/>
      <c r="DU142" s="1490"/>
      <c r="DV142" s="1490"/>
      <c r="DW142" s="1490"/>
      <c r="DX142" s="1490"/>
      <c r="DY142" s="1490"/>
      <c r="DZ142" s="1490"/>
      <c r="EA142" s="1490"/>
      <c r="EB142" s="663"/>
      <c r="EC142" s="663"/>
      <c r="ED142" s="663"/>
    </row>
    <row r="143" spans="1:134" ht="14.45" customHeight="1">
      <c r="A143" s="346">
        <v>34134</v>
      </c>
      <c r="B143" s="345" t="s">
        <v>344</v>
      </c>
      <c r="E143" s="934"/>
      <c r="F143" s="345">
        <v>155.01</v>
      </c>
      <c r="G143" s="345" t="s">
        <v>323</v>
      </c>
      <c r="L143" s="347">
        <v>106.07</v>
      </c>
      <c r="M143" s="347" t="s">
        <v>310</v>
      </c>
      <c r="O143" s="348" t="str">
        <f t="array" ref="O143">IFERROR(IF($O$11="Metro",INDEX($F$13:$F$738,SMALL(IF((County=$G$13:$G$738),MATCH(ROW($G$13:$G$738),ROW($G$13:$G$738)),""),ROWS($A$13:A143))),INDEX($I$13:$I$42,SMALL(IF((County=$J$13:$J$42),MATCH(ROW($J$13:$J$42),ROW($J$13:$J$42)),""),ROWS($A$13:A143)))),"")</f>
        <v/>
      </c>
      <c r="Q143" s="348" t="str">
        <f t="array" ref="Q143">IFERROR(IF($Q$11="Yes",INDEX($L$13:$L$2313,SMALL(IF((County=$M$13:$M$2313),MATCH(ROW($M$13:$M$2313),ROW($M$13:$M$2313)),""),ROWS($A$13:A143))),""),"")</f>
        <v/>
      </c>
      <c r="S143" s="346">
        <v>33183</v>
      </c>
      <c r="T143" s="345" t="s">
        <v>352</v>
      </c>
      <c r="V143" s="345">
        <v>14.02</v>
      </c>
      <c r="W143" s="345" t="s">
        <v>345</v>
      </c>
      <c r="AB143" s="347">
        <v>9.02</v>
      </c>
      <c r="AC143" s="347" t="s">
        <v>350</v>
      </c>
      <c r="AD143" s="1138"/>
      <c r="AE143" s="346">
        <v>34202</v>
      </c>
      <c r="AF143" s="345" t="s">
        <v>349</v>
      </c>
      <c r="AI143" s="934"/>
      <c r="AJ143" s="345">
        <v>112</v>
      </c>
      <c r="AK143" s="345" t="s">
        <v>323</v>
      </c>
      <c r="AP143" s="347">
        <v>713.35</v>
      </c>
      <c r="AQ143" s="347" t="s">
        <v>309</v>
      </c>
      <c r="AS143" s="348" t="str">
        <f t="array" ref="AS143">IFERROR(IF($AS$11="Metro",INDEX($AJ$13:$AJ$814,SMALL(IF((County=$AK$13:$AK$814),MATCH(ROW($AK$13:$AK$814),ROW($AK$13:$AK$814)),""),ROWS($A$13:$A143))),INDEX($AM$13:$AM$48,SMALL(IF((County=$AN$13:$AN$48),MATCH(ROW($AN$13:$AN$48),ROW($AN$13:$AN$48)),""),ROWS($A$13:$A143)))),"")</f>
        <v/>
      </c>
      <c r="AU143" s="348" t="str">
        <f t="array" ref="AU143">IFERROR(IF($AU$11="Yes",INDEX($AP$13:$AP$2950,SMALL(IF((County=$AQ$13:$AQ$2950),MATCH(ROW($AQ$13:$AQ$2950),ROW($AQ$13:$AQ$2950)),""),ROWS($A$13:$A143))),""),"")</f>
        <v/>
      </c>
      <c r="AW143" s="346">
        <v>33168</v>
      </c>
      <c r="AX143" s="345" t="s">
        <v>352</v>
      </c>
      <c r="AZ143" s="345">
        <v>10.039999999999999</v>
      </c>
      <c r="BA143" s="345" t="s">
        <v>352</v>
      </c>
      <c r="BF143" s="347">
        <v>7</v>
      </c>
      <c r="BG143" s="347" t="s">
        <v>306</v>
      </c>
      <c r="BH143" s="1790"/>
      <c r="BI143" s="2298">
        <v>34714</v>
      </c>
      <c r="BJ143" s="237" t="s">
        <v>343</v>
      </c>
      <c r="BM143" s="1784"/>
      <c r="BN143" s="345">
        <v>621.08000000000004</v>
      </c>
      <c r="BO143" s="345" t="s">
        <v>309</v>
      </c>
      <c r="BQ143" s="237">
        <v>9719</v>
      </c>
      <c r="BR143" s="237" t="s">
        <v>354</v>
      </c>
      <c r="BT143" s="347">
        <v>711</v>
      </c>
      <c r="BU143" s="347" t="s">
        <v>309</v>
      </c>
      <c r="BW143" s="348" t="str">
        <f t="array" ref="BW143">IFERROR(IF($BW$11="Metro",INDEX($BN$13:$BN$4972,SMALL(IF((County=$BO$13:$BO$4972),MATCH(ROW($BO$13:$BO$4972),ROW($BO$13:$BO$4972)),""),ROWS($A$13:$A143))),INDEX($BQ$13:$BQ$212,SMALL(IF((County=$BR$13:$BR$212),MATCH(ROW($BR$13:$BR$212),ROW($BR$13:$BR$212)),""),ROWS($A$13:$A143)))),"")</f>
        <v/>
      </c>
      <c r="BY143" s="348" t="str">
        <f t="array" ref="BY143">IFERROR(IF($BY$11="Yes",INDEX($BT$13:$BT$2950,SMALL(IF((County=$BU$13:$BU$2950),MATCH(ROW($BU$13:$BU$2950),ROW($BU$13:$BU$2950)),""),ROWS($A$13:$A143))),""),"")</f>
        <v/>
      </c>
      <c r="CA143" s="1792">
        <v>33146</v>
      </c>
      <c r="CB143" s="345" t="s">
        <v>352</v>
      </c>
      <c r="CD143" s="237">
        <v>3.1</v>
      </c>
      <c r="CE143" s="237" t="s">
        <v>349</v>
      </c>
      <c r="CG143" s="237">
        <v>9701.02</v>
      </c>
      <c r="CH143" s="237" t="s">
        <v>333</v>
      </c>
      <c r="CJ143" s="347">
        <v>6.12</v>
      </c>
      <c r="CK143" s="347" t="s">
        <v>352</v>
      </c>
      <c r="CL143" s="1789"/>
      <c r="CM143" s="2299"/>
      <c r="CN143" s="345"/>
      <c r="CR143" s="345"/>
      <c r="CS143" s="345"/>
      <c r="CU143" s="345"/>
      <c r="CV143" s="345"/>
      <c r="CX143" s="347"/>
      <c r="CY143" s="347"/>
      <c r="DA143" s="348"/>
      <c r="DC143" s="348"/>
      <c r="DE143" s="1792"/>
      <c r="DF143" s="345"/>
      <c r="DH143" s="237"/>
      <c r="DI143" s="237"/>
      <c r="DK143" s="345"/>
      <c r="DL143" s="345"/>
      <c r="DN143" s="347"/>
      <c r="DO143" s="347"/>
      <c r="DP143" s="2505"/>
      <c r="DT143" s="663"/>
      <c r="DU143" s="1490"/>
      <c r="DV143" s="1490"/>
      <c r="DW143" s="1490"/>
      <c r="DX143" s="1490"/>
      <c r="DY143" s="1490"/>
      <c r="DZ143" s="1490"/>
      <c r="EA143" s="1490"/>
      <c r="EB143" s="663"/>
      <c r="EC143" s="663"/>
      <c r="ED143" s="663"/>
    </row>
    <row r="144" spans="1:134" ht="14.45" customHeight="1">
      <c r="A144" s="346">
        <v>34135</v>
      </c>
      <c r="B144" s="345" t="s">
        <v>344</v>
      </c>
      <c r="E144" s="934"/>
      <c r="F144" s="345">
        <v>155.02000000000001</v>
      </c>
      <c r="G144" s="345" t="s">
        <v>323</v>
      </c>
      <c r="L144" s="347">
        <v>106.09</v>
      </c>
      <c r="M144" s="347" t="s">
        <v>310</v>
      </c>
      <c r="O144" s="348" t="str">
        <f t="array" ref="O144">IFERROR(IF($O$11="Metro",INDEX($F$13:$F$738,SMALL(IF((County=$G$13:$G$738),MATCH(ROW($G$13:$G$738),ROW($G$13:$G$738)),""),ROWS($A$13:A144))),INDEX($I$13:$I$42,SMALL(IF((County=$J$13:$J$42),MATCH(ROW($J$13:$J$42),ROW($J$13:$J$42)),""),ROWS($A$13:A144)))),"")</f>
        <v/>
      </c>
      <c r="Q144" s="348" t="str">
        <f t="array" ref="Q144">IFERROR(IF($Q$11="Yes",INDEX($L$13:$L$2313,SMALL(IF((County=$M$13:$M$2313),MATCH(ROW($M$13:$M$2313),ROW($M$13:$M$2313)),""),ROWS($A$13:A144))),""),"")</f>
        <v/>
      </c>
      <c r="S144" s="346">
        <v>33184</v>
      </c>
      <c r="T144" s="345" t="s">
        <v>352</v>
      </c>
      <c r="V144" s="345">
        <v>14.02</v>
      </c>
      <c r="W144" s="345" t="s">
        <v>352</v>
      </c>
      <c r="AB144" s="347">
        <v>9.02</v>
      </c>
      <c r="AC144" s="347" t="s">
        <v>361</v>
      </c>
      <c r="AD144" s="1138"/>
      <c r="AE144" s="346">
        <v>34211</v>
      </c>
      <c r="AF144" s="345" t="s">
        <v>349</v>
      </c>
      <c r="AI144" s="934"/>
      <c r="AJ144" s="345">
        <v>113</v>
      </c>
      <c r="AK144" s="345" t="s">
        <v>323</v>
      </c>
      <c r="AP144" s="347">
        <v>713.39</v>
      </c>
      <c r="AQ144" s="347" t="s">
        <v>309</v>
      </c>
      <c r="AS144" s="348" t="str">
        <f t="array" ref="AS144">IFERROR(IF($AS$11="Metro",INDEX($AJ$13:$AJ$814,SMALL(IF((County=$AK$13:$AK$814),MATCH(ROW($AK$13:$AK$814),ROW($AK$13:$AK$814)),""),ROWS($A$13:$A144))),INDEX($AM$13:$AM$48,SMALL(IF((County=$AN$13:$AN$48),MATCH(ROW($AN$13:$AN$48),ROW($AN$13:$AN$48)),""),ROWS($A$13:$A144)))),"")</f>
        <v/>
      </c>
      <c r="AU144" s="348" t="str">
        <f t="array" ref="AU144">IFERROR(IF($AU$11="Yes",INDEX($AP$13:$AP$2950,SMALL(IF((County=$AQ$13:$AQ$2950),MATCH(ROW($AQ$13:$AQ$2950),ROW($AQ$13:$AQ$2950)),""),ROWS($A$13:$A144))),""),"")</f>
        <v/>
      </c>
      <c r="AW144" s="346">
        <v>33172</v>
      </c>
      <c r="AX144" s="345" t="s">
        <v>352</v>
      </c>
      <c r="AZ144" s="345">
        <v>10.050000000000001</v>
      </c>
      <c r="BA144" s="345" t="s">
        <v>352</v>
      </c>
      <c r="BF144" s="347">
        <v>7</v>
      </c>
      <c r="BG144" s="347" t="s">
        <v>323</v>
      </c>
      <c r="BH144" s="1790"/>
      <c r="BI144" s="2298">
        <v>34715</v>
      </c>
      <c r="BJ144" s="237" t="s">
        <v>343</v>
      </c>
      <c r="BM144" s="1784"/>
      <c r="BN144" s="345">
        <v>621.09</v>
      </c>
      <c r="BO144" s="345" t="s">
        <v>309</v>
      </c>
      <c r="BQ144" s="237">
        <v>9720</v>
      </c>
      <c r="BR144" s="237" t="s">
        <v>354</v>
      </c>
      <c r="BT144" s="347">
        <v>712.01</v>
      </c>
      <c r="BU144" s="347" t="s">
        <v>309</v>
      </c>
      <c r="BW144" s="348" t="str">
        <f t="array" ref="BW144">IFERROR(IF($BW$11="Metro",INDEX($BN$13:$BN$4972,SMALL(IF((County=$BO$13:$BO$4972),MATCH(ROW($BO$13:$BO$4972),ROW($BO$13:$BO$4972)),""),ROWS($A$13:$A144))),INDEX($BQ$13:$BQ$212,SMALL(IF((County=$BR$13:$BR$212),MATCH(ROW($BR$13:$BR$212),ROW($BR$13:$BR$212)),""),ROWS($A$13:$A144)))),"")</f>
        <v/>
      </c>
      <c r="BY144" s="348" t="str">
        <f t="array" ref="BY144">IFERROR(IF($BY$11="Yes",INDEX($BT$13:$BT$2950,SMALL(IF((County=$BU$13:$BU$2950),MATCH(ROW($BU$13:$BU$2950),ROW($BU$13:$BU$2950)),""),ROWS($A$13:$A144))),""),"")</f>
        <v/>
      </c>
      <c r="CA144" s="1792">
        <v>33149</v>
      </c>
      <c r="CB144" s="345" t="s">
        <v>352</v>
      </c>
      <c r="CD144" s="237">
        <v>3.1</v>
      </c>
      <c r="CE144" s="237" t="s">
        <v>352</v>
      </c>
      <c r="CG144" s="237">
        <v>9701.02</v>
      </c>
      <c r="CH144" s="237" t="s">
        <v>379</v>
      </c>
      <c r="CJ144" s="347">
        <v>7</v>
      </c>
      <c r="CK144" s="347" t="s">
        <v>306</v>
      </c>
      <c r="CL144" s="1789"/>
      <c r="CM144" s="2299"/>
      <c r="CN144" s="345"/>
      <c r="CR144" s="345"/>
      <c r="CS144" s="345"/>
      <c r="CU144" s="345"/>
      <c r="CV144" s="345"/>
      <c r="CX144" s="347"/>
      <c r="CY144" s="347"/>
      <c r="DA144" s="348"/>
      <c r="DC144" s="348"/>
      <c r="DE144" s="1792"/>
      <c r="DF144" s="345"/>
      <c r="DH144" s="237"/>
      <c r="DI144" s="237"/>
      <c r="DK144" s="345"/>
      <c r="DL144" s="345"/>
      <c r="DN144" s="347"/>
      <c r="DO144" s="347"/>
      <c r="DP144" s="2505"/>
      <c r="DT144" s="663"/>
      <c r="DU144" s="1490"/>
      <c r="DV144" s="1490"/>
      <c r="DW144" s="1490"/>
      <c r="DX144" s="1490"/>
      <c r="DY144" s="1490"/>
      <c r="DZ144" s="1490"/>
      <c r="EA144" s="1490"/>
      <c r="EB144" s="663"/>
      <c r="EC144" s="663"/>
      <c r="ED144" s="663"/>
    </row>
    <row r="145" spans="1:134" ht="14.45" customHeight="1">
      <c r="A145" s="346">
        <v>32317</v>
      </c>
      <c r="B145" s="345" t="s">
        <v>345</v>
      </c>
      <c r="E145" s="934"/>
      <c r="F145" s="345">
        <v>159.25</v>
      </c>
      <c r="G145" s="345" t="s">
        <v>323</v>
      </c>
      <c r="L145" s="347">
        <v>106.1</v>
      </c>
      <c r="M145" s="347" t="s">
        <v>310</v>
      </c>
      <c r="O145" s="348" t="str">
        <f t="array" ref="O145">IFERROR(IF($O$11="Metro",INDEX($F$13:$F$738,SMALL(IF((County=$G$13:$G$738),MATCH(ROW($G$13:$G$738),ROW($G$13:$G$738)),""),ROWS($A$13:A145))),INDEX($I$13:$I$42,SMALL(IF((County=$J$13:$J$42),MATCH(ROW($J$13:$J$42),ROW($J$13:$J$42)),""),ROWS($A$13:A145)))),"")</f>
        <v/>
      </c>
      <c r="Q145" s="348" t="str">
        <f t="array" ref="Q145">IFERROR(IF($Q$11="Yes",INDEX($L$13:$L$2313,SMALL(IF((County=$M$13:$M$2313),MATCH(ROW($M$13:$M$2313),ROW($M$13:$M$2313)),""),ROWS($A$13:A145))),""),"")</f>
        <v/>
      </c>
      <c r="S145" s="346">
        <v>33185</v>
      </c>
      <c r="T145" s="345" t="s">
        <v>352</v>
      </c>
      <c r="V145" s="345">
        <v>14.02</v>
      </c>
      <c r="W145" s="345" t="s">
        <v>361</v>
      </c>
      <c r="AB145" s="347">
        <v>9.0299999999999994</v>
      </c>
      <c r="AC145" s="347" t="s">
        <v>345</v>
      </c>
      <c r="AD145" s="1138"/>
      <c r="AE145" s="346">
        <v>34212</v>
      </c>
      <c r="AF145" s="345" t="s">
        <v>349</v>
      </c>
      <c r="AI145" s="934"/>
      <c r="AJ145" s="345">
        <v>114</v>
      </c>
      <c r="AK145" s="345" t="s">
        <v>323</v>
      </c>
      <c r="AP145" s="347">
        <v>713.43</v>
      </c>
      <c r="AQ145" s="347" t="s">
        <v>309</v>
      </c>
      <c r="AS145" s="348" t="str">
        <f t="array" ref="AS145">IFERROR(IF($AS$11="Metro",INDEX($AJ$13:$AJ$814,SMALL(IF((County=$AK$13:$AK$814),MATCH(ROW($AK$13:$AK$814),ROW($AK$13:$AK$814)),""),ROWS($A$13:$A145))),INDEX($AM$13:$AM$48,SMALL(IF((County=$AN$13:$AN$48),MATCH(ROW($AN$13:$AN$48),ROW($AN$13:$AN$48)),""),ROWS($A$13:$A145)))),"")</f>
        <v/>
      </c>
      <c r="AU145" s="348" t="str">
        <f t="array" ref="AU145">IFERROR(IF($AU$11="Yes",INDEX($AP$13:$AP$2950,SMALL(IF((County=$AQ$13:$AQ$2950),MATCH(ROW($AQ$13:$AQ$2950),ROW($AQ$13:$AQ$2950)),""),ROWS($A$13:$A145))),""),"")</f>
        <v/>
      </c>
      <c r="AW145" s="346">
        <v>33173</v>
      </c>
      <c r="AX145" s="345" t="s">
        <v>352</v>
      </c>
      <c r="AZ145" s="345">
        <v>10.06</v>
      </c>
      <c r="BA145" s="345" t="s">
        <v>352</v>
      </c>
      <c r="BF145" s="347">
        <v>7</v>
      </c>
      <c r="BG145" s="347" t="s">
        <v>345</v>
      </c>
      <c r="BH145" s="1790"/>
      <c r="BI145" s="2298">
        <v>34736</v>
      </c>
      <c r="BJ145" s="237" t="s">
        <v>343</v>
      </c>
      <c r="BM145" s="1784"/>
      <c r="BN145" s="345">
        <v>621.1</v>
      </c>
      <c r="BO145" s="345" t="s">
        <v>309</v>
      </c>
      <c r="BQ145" s="237">
        <v>9721</v>
      </c>
      <c r="BR145" s="237" t="s">
        <v>354</v>
      </c>
      <c r="BT145" s="347">
        <v>712.02</v>
      </c>
      <c r="BU145" s="347" t="s">
        <v>309</v>
      </c>
      <c r="BW145" s="348" t="str">
        <f t="array" ref="BW145">IFERROR(IF($BW$11="Metro",INDEX($BN$13:$BN$4972,SMALL(IF((County=$BO$13:$BO$4972),MATCH(ROW($BO$13:$BO$4972),ROW($BO$13:$BO$4972)),""),ROWS($A$13:$A145))),INDEX($BQ$13:$BQ$212,SMALL(IF((County=$BR$13:$BR$212),MATCH(ROW($BR$13:$BR$212),ROW($BR$13:$BR$212)),""),ROWS($A$13:$A145)))),"")</f>
        <v/>
      </c>
      <c r="BY145" s="348" t="str">
        <f t="array" ref="BY145">IFERROR(IF($BY$11="Yes",INDEX($BT$13:$BT$2950,SMALL(IF((County=$BU$13:$BU$2950),MATCH(ROW($BU$13:$BU$2950),ROW($BU$13:$BU$2950)),""),ROWS($A$13:$A145))),""),"")</f>
        <v/>
      </c>
      <c r="CA145" s="1792">
        <v>33154</v>
      </c>
      <c r="CB145" s="345" t="s">
        <v>352</v>
      </c>
      <c r="CD145" s="237">
        <v>3.11</v>
      </c>
      <c r="CE145" s="237" t="s">
        <v>349</v>
      </c>
      <c r="CG145" s="345">
        <v>9701.0300000000007</v>
      </c>
      <c r="CH145" s="345" t="s">
        <v>322</v>
      </c>
      <c r="CJ145" s="347">
        <v>7</v>
      </c>
      <c r="CK145" s="347" t="s">
        <v>323</v>
      </c>
      <c r="CL145" s="1789"/>
      <c r="CM145" s="2299"/>
      <c r="CN145" s="345"/>
      <c r="CR145" s="345"/>
      <c r="CS145" s="345"/>
      <c r="CU145" s="345"/>
      <c r="CV145" s="345"/>
      <c r="CX145" s="347"/>
      <c r="CY145" s="347"/>
      <c r="DA145" s="348"/>
      <c r="DC145" s="348"/>
      <c r="DE145" s="1792"/>
      <c r="DF145" s="345"/>
      <c r="DH145" s="237"/>
      <c r="DI145" s="237"/>
      <c r="DK145" s="345"/>
      <c r="DL145" s="345"/>
      <c r="DN145" s="347"/>
      <c r="DO145" s="347"/>
      <c r="DP145" s="2505"/>
      <c r="DT145" s="663"/>
      <c r="DU145" s="663"/>
      <c r="DV145" s="663"/>
      <c r="DW145" s="663"/>
      <c r="DX145" s="663"/>
      <c r="DY145" s="663"/>
      <c r="DZ145" s="663"/>
      <c r="EA145" s="663"/>
      <c r="EB145" s="663"/>
      <c r="EC145" s="663"/>
      <c r="ED145" s="663"/>
    </row>
    <row r="146" spans="1:134" ht="14.45" customHeight="1">
      <c r="A146" s="346">
        <v>34201</v>
      </c>
      <c r="B146" s="345" t="s">
        <v>349</v>
      </c>
      <c r="E146" s="934"/>
      <c r="F146" s="345">
        <v>160</v>
      </c>
      <c r="G146" s="345" t="s">
        <v>323</v>
      </c>
      <c r="L146" s="347">
        <v>106.11</v>
      </c>
      <c r="M146" s="347" t="s">
        <v>310</v>
      </c>
      <c r="O146" s="348" t="str">
        <f t="array" ref="O146">IFERROR(IF($O$11="Metro",INDEX($F$13:$F$738,SMALL(IF((County=$G$13:$G$738),MATCH(ROW($G$13:$G$738),ROW($G$13:$G$738)),""),ROWS($A$13:A146))),INDEX($I$13:$I$42,SMALL(IF((County=$J$13:$J$42),MATCH(ROW($J$13:$J$42),ROW($J$13:$J$42)),""),ROWS($A$13:A146)))),"")</f>
        <v/>
      </c>
      <c r="Q146" s="348" t="str">
        <f t="array" ref="Q146">IFERROR(IF($Q$11="Yes",INDEX($L$13:$L$2313,SMALL(IF((County=$M$13:$M$2313),MATCH(ROW($M$13:$M$2313),ROW($M$13:$M$2313)),""),ROWS($A$13:A146))),""),"")</f>
        <v/>
      </c>
      <c r="S146" s="346">
        <v>33186</v>
      </c>
      <c r="T146" s="345" t="s">
        <v>352</v>
      </c>
      <c r="V146" s="345">
        <v>14.03</v>
      </c>
      <c r="W146" s="345" t="s">
        <v>361</v>
      </c>
      <c r="AB146" s="347">
        <v>9.0299999999999994</v>
      </c>
      <c r="AC146" s="347" t="s">
        <v>361</v>
      </c>
      <c r="AD146" s="1138"/>
      <c r="AE146" s="346">
        <v>34216</v>
      </c>
      <c r="AF146" s="345" t="s">
        <v>349</v>
      </c>
      <c r="AI146" s="934"/>
      <c r="AJ146" s="345">
        <v>115</v>
      </c>
      <c r="AK146" s="345" t="s">
        <v>323</v>
      </c>
      <c r="AP146" s="347">
        <v>713.44</v>
      </c>
      <c r="AQ146" s="347" t="s">
        <v>309</v>
      </c>
      <c r="AS146" s="348" t="str">
        <f t="array" ref="AS146">IFERROR(IF($AS$11="Metro",INDEX($AJ$13:$AJ$814,SMALL(IF((County=$AK$13:$AK$814),MATCH(ROW($AK$13:$AK$814),ROW($AK$13:$AK$814)),""),ROWS($A$13:$A146))),INDEX($AM$13:$AM$48,SMALL(IF((County=$AN$13:$AN$48),MATCH(ROW($AN$13:$AN$48),ROW($AN$13:$AN$48)),""),ROWS($A$13:$A146)))),"")</f>
        <v/>
      </c>
      <c r="AU146" s="348" t="str">
        <f t="array" ref="AU146">IFERROR(IF($AU$11="Yes",INDEX($AP$13:$AP$2950,SMALL(IF((County=$AQ$13:$AQ$2950),MATCH(ROW($AQ$13:$AQ$2950),ROW($AQ$13:$AQ$2950)),""),ROWS($A$13:$A146))),""),"")</f>
        <v/>
      </c>
      <c r="AW146" s="346">
        <v>33174</v>
      </c>
      <c r="AX146" s="345" t="s">
        <v>352</v>
      </c>
      <c r="AZ146" s="345">
        <v>10.07</v>
      </c>
      <c r="BA146" s="345" t="s">
        <v>352</v>
      </c>
      <c r="BF146" s="347">
        <v>7</v>
      </c>
      <c r="BG146" s="347" t="s">
        <v>368</v>
      </c>
      <c r="BH146" s="1790"/>
      <c r="BI146" s="2298">
        <v>34737</v>
      </c>
      <c r="BJ146" s="237" t="s">
        <v>343</v>
      </c>
      <c r="BM146" s="1784"/>
      <c r="BN146" s="345">
        <v>621.11</v>
      </c>
      <c r="BO146" s="345" t="s">
        <v>309</v>
      </c>
      <c r="BQ146" s="237">
        <v>9722</v>
      </c>
      <c r="BR146" s="237" t="s">
        <v>354</v>
      </c>
      <c r="BT146" s="347">
        <v>712.03</v>
      </c>
      <c r="BU146" s="347" t="s">
        <v>309</v>
      </c>
      <c r="BW146" s="348" t="str">
        <f t="array" ref="BW146">IFERROR(IF($BW$11="Metro",INDEX($BN$13:$BN$4972,SMALL(IF((County=$BO$13:$BO$4972),MATCH(ROW($BO$13:$BO$4972),ROW($BO$13:$BO$4972)),""),ROWS($A$13:$A146))),INDEX($BQ$13:$BQ$212,SMALL(IF((County=$BR$13:$BR$212),MATCH(ROW($BR$13:$BR$212),ROW($BR$13:$BR$212)),""),ROWS($A$13:$A146)))),"")</f>
        <v/>
      </c>
      <c r="BY146" s="348" t="str">
        <f t="array" ref="BY146">IFERROR(IF($BY$11="Yes",INDEX($BT$13:$BT$2950,SMALL(IF((County=$BU$13:$BU$2950),MATCH(ROW($BU$13:$BU$2950),ROW($BU$13:$BU$2950)),""),ROWS($A$13:$A146))),""),"")</f>
        <v/>
      </c>
      <c r="CA146" s="1792">
        <v>33155</v>
      </c>
      <c r="CB146" s="345" t="s">
        <v>352</v>
      </c>
      <c r="CD146" s="237">
        <v>3.11</v>
      </c>
      <c r="CE146" s="237" t="s">
        <v>352</v>
      </c>
      <c r="CG146" s="237">
        <v>9701.0300000000007</v>
      </c>
      <c r="CH146" s="237" t="s">
        <v>379</v>
      </c>
      <c r="CJ146" s="347">
        <v>7</v>
      </c>
      <c r="CK146" s="347" t="s">
        <v>345</v>
      </c>
      <c r="CL146" s="1789"/>
      <c r="CM146" s="2299"/>
      <c r="CN146" s="345"/>
      <c r="CR146" s="345"/>
      <c r="CS146" s="345"/>
      <c r="CU146" s="345"/>
      <c r="CV146" s="345"/>
      <c r="CX146" s="347"/>
      <c r="CY146" s="347"/>
      <c r="DA146" s="348"/>
      <c r="DC146" s="348"/>
      <c r="DE146" s="1792"/>
      <c r="DF146" s="345"/>
      <c r="DH146" s="237"/>
      <c r="DI146" s="237"/>
      <c r="DK146" s="345"/>
      <c r="DL146" s="345"/>
      <c r="DN146" s="347"/>
      <c r="DO146" s="347"/>
      <c r="DP146" s="2505"/>
      <c r="DT146" s="663"/>
      <c r="DU146" s="663"/>
      <c r="DV146" s="663"/>
      <c r="DW146" s="663"/>
      <c r="DX146" s="663"/>
      <c r="DY146" s="663"/>
      <c r="DZ146" s="663"/>
      <c r="EA146" s="663"/>
      <c r="EB146" s="663"/>
      <c r="EC146" s="663"/>
      <c r="ED146" s="663"/>
    </row>
    <row r="147" spans="1:134" ht="14.45" customHeight="1">
      <c r="A147" s="346">
        <v>34202</v>
      </c>
      <c r="B147" s="345" t="s">
        <v>349</v>
      </c>
      <c r="E147" s="934"/>
      <c r="F147" s="345">
        <v>163</v>
      </c>
      <c r="G147" s="345" t="s">
        <v>323</v>
      </c>
      <c r="L147" s="347">
        <v>106.12</v>
      </c>
      <c r="M147" s="347" t="s">
        <v>310</v>
      </c>
      <c r="O147" s="348" t="str">
        <f t="array" ref="O147">IFERROR(IF($O$11="Metro",INDEX($F$13:$F$738,SMALL(IF((County=$G$13:$G$738),MATCH(ROW($G$13:$G$738),ROW($G$13:$G$738)),""),ROWS($A$13:A147))),INDEX($I$13:$I$42,SMALL(IF((County=$J$13:$J$42),MATCH(ROW($J$13:$J$42),ROW($J$13:$J$42)),""),ROWS($A$13:A147)))),"")</f>
        <v/>
      </c>
      <c r="Q147" s="348" t="str">
        <f t="array" ref="Q147">IFERROR(IF($Q$11="Yes",INDEX($L$13:$L$2313,SMALL(IF((County=$M$13:$M$2313),MATCH(ROW($M$13:$M$2313),ROW($M$13:$M$2313)),""),ROWS($A$13:A147))),""),"")</f>
        <v/>
      </c>
      <c r="S147" s="346">
        <v>33187</v>
      </c>
      <c r="T147" s="345" t="s">
        <v>352</v>
      </c>
      <c r="V147" s="345">
        <v>14.04</v>
      </c>
      <c r="W147" s="345" t="s">
        <v>361</v>
      </c>
      <c r="AB147" s="347">
        <v>9.0399999999999991</v>
      </c>
      <c r="AC147" s="347" t="s">
        <v>345</v>
      </c>
      <c r="AD147" s="1138"/>
      <c r="AE147" s="346">
        <v>34217</v>
      </c>
      <c r="AF147" s="345" t="s">
        <v>349</v>
      </c>
      <c r="AI147" s="934"/>
      <c r="AJ147" s="345">
        <v>116</v>
      </c>
      <c r="AK147" s="345" t="s">
        <v>323</v>
      </c>
      <c r="AP147" s="347">
        <v>713.46</v>
      </c>
      <c r="AQ147" s="347" t="s">
        <v>309</v>
      </c>
      <c r="AS147" s="348" t="str">
        <f t="array" ref="AS147">IFERROR(IF($AS$11="Metro",INDEX($AJ$13:$AJ$814,SMALL(IF((County=$AK$13:$AK$814),MATCH(ROW($AK$13:$AK$814),ROW($AK$13:$AK$814)),""),ROWS($A$13:$A147))),INDEX($AM$13:$AM$48,SMALL(IF((County=$AN$13:$AN$48),MATCH(ROW($AN$13:$AN$48),ROW($AN$13:$AN$48)),""),ROWS($A$13:$A147)))),"")</f>
        <v/>
      </c>
      <c r="AU147" s="348" t="str">
        <f t="array" ref="AU147">IFERROR(IF($AU$11="Yes",INDEX($AP$13:$AP$2950,SMALL(IF((County=$AQ$13:$AQ$2950),MATCH(ROW($AQ$13:$AQ$2950),ROW($AQ$13:$AQ$2950)),""),ROWS($A$13:$A147))),""),"")</f>
        <v/>
      </c>
      <c r="AW147" s="346">
        <v>33175</v>
      </c>
      <c r="AX147" s="345" t="s">
        <v>352</v>
      </c>
      <c r="AZ147" s="345">
        <v>10.08</v>
      </c>
      <c r="BA147" s="345" t="s">
        <v>352</v>
      </c>
      <c r="BF147" s="347">
        <v>7.02</v>
      </c>
      <c r="BG147" s="347" t="s">
        <v>361</v>
      </c>
      <c r="BH147" s="1790"/>
      <c r="BI147" s="2298">
        <v>33908</v>
      </c>
      <c r="BJ147" s="237" t="s">
        <v>344</v>
      </c>
      <c r="BM147" s="1784"/>
      <c r="BN147" s="345">
        <v>621.12</v>
      </c>
      <c r="BO147" s="345" t="s">
        <v>309</v>
      </c>
      <c r="BQ147" s="237">
        <v>9724</v>
      </c>
      <c r="BR147" s="237" t="s">
        <v>354</v>
      </c>
      <c r="BT147" s="347">
        <v>712.05</v>
      </c>
      <c r="BU147" s="347" t="s">
        <v>309</v>
      </c>
      <c r="BW147" s="348" t="str">
        <f t="array" ref="BW147">IFERROR(IF($BW$11="Metro",INDEX($BN$13:$BN$4972,SMALL(IF((County=$BO$13:$BO$4972),MATCH(ROW($BO$13:$BO$4972),ROW($BO$13:$BO$4972)),""),ROWS($A$13:$A147))),INDEX($BQ$13:$BQ$212,SMALL(IF((County=$BR$13:$BR$212),MATCH(ROW($BR$13:$BR$212),ROW($BR$13:$BR$212)),""),ROWS($A$13:$A147)))),"")</f>
        <v/>
      </c>
      <c r="BY147" s="348" t="str">
        <f t="array" ref="BY147">IFERROR(IF($BY$11="Yes",INDEX($BT$13:$BT$2950,SMALL(IF((County=$BU$13:$BU$2950),MATCH(ROW($BU$13:$BU$2950),ROW($BU$13:$BU$2950)),""),ROWS($A$13:$A147))),""),"")</f>
        <v/>
      </c>
      <c r="CA147" s="1792">
        <v>33156</v>
      </c>
      <c r="CB147" s="345" t="s">
        <v>352</v>
      </c>
      <c r="CD147" s="237">
        <v>3.12</v>
      </c>
      <c r="CE147" s="237" t="s">
        <v>349</v>
      </c>
      <c r="CG147" s="345">
        <v>9701.0400000000009</v>
      </c>
      <c r="CH147" s="345" t="s">
        <v>322</v>
      </c>
      <c r="CJ147" s="347">
        <v>7</v>
      </c>
      <c r="CK147" s="347" t="s">
        <v>368</v>
      </c>
      <c r="CL147" s="1789"/>
      <c r="CM147" s="2299"/>
      <c r="CN147" s="345"/>
      <c r="CR147" s="345"/>
      <c r="CS147" s="345"/>
      <c r="CU147" s="345"/>
      <c r="CV147" s="345"/>
      <c r="CX147" s="347"/>
      <c r="CY147" s="347"/>
      <c r="DA147" s="348"/>
      <c r="DC147" s="348"/>
      <c r="DE147" s="1792"/>
      <c r="DF147" s="345"/>
      <c r="DH147" s="237"/>
      <c r="DI147" s="237"/>
      <c r="DK147" s="345"/>
      <c r="DL147" s="345"/>
      <c r="DN147" s="347"/>
      <c r="DO147" s="347"/>
      <c r="DP147" s="2505"/>
      <c r="DT147" s="663"/>
      <c r="DU147" s="663"/>
      <c r="DV147" s="663"/>
      <c r="DW147" s="663"/>
      <c r="DX147" s="663"/>
      <c r="DY147" s="663"/>
      <c r="DZ147" s="663"/>
      <c r="EA147" s="663"/>
      <c r="EB147" s="663"/>
      <c r="EC147" s="663"/>
      <c r="ED147" s="663"/>
    </row>
    <row r="148" spans="1:134" ht="14.45" customHeight="1">
      <c r="A148" s="346">
        <v>34211</v>
      </c>
      <c r="B148" s="345" t="s">
        <v>349</v>
      </c>
      <c r="E148" s="934"/>
      <c r="F148" s="345">
        <v>166.01</v>
      </c>
      <c r="G148" s="345" t="s">
        <v>323</v>
      </c>
      <c r="L148" s="347">
        <v>109.01</v>
      </c>
      <c r="M148" s="347" t="s">
        <v>310</v>
      </c>
      <c r="O148" s="348" t="str">
        <f t="array" ref="O148">IFERROR(IF($O$11="Metro",INDEX($F$13:$F$738,SMALL(IF((County=$G$13:$G$738),MATCH(ROW($G$13:$G$738),ROW($G$13:$G$738)),""),ROWS($A$13:A148))),INDEX($I$13:$I$42,SMALL(IF((County=$J$13:$J$42),MATCH(ROW($J$13:$J$42),ROW($J$13:$J$42)),""),ROWS($A$13:A148)))),"")</f>
        <v/>
      </c>
      <c r="Q148" s="348" t="str">
        <f t="array" ref="Q148">IFERROR(IF($Q$11="Yes",INDEX($L$13:$L$2313,SMALL(IF((County=$M$13:$M$2313),MATCH(ROW($M$13:$M$2313),ROW($M$13:$M$2313)),""),ROWS($A$13:A148))),""),"")</f>
        <v/>
      </c>
      <c r="S148" s="346">
        <v>33193</v>
      </c>
      <c r="T148" s="345" t="s">
        <v>352</v>
      </c>
      <c r="V148" s="345">
        <v>14.07</v>
      </c>
      <c r="W148" s="345" t="s">
        <v>351</v>
      </c>
      <c r="AB148" s="347">
        <v>9.0399999999999991</v>
      </c>
      <c r="AC148" s="347" t="s">
        <v>361</v>
      </c>
      <c r="AD148" s="1138"/>
      <c r="AE148" s="346">
        <v>34219</v>
      </c>
      <c r="AF148" s="345" t="s">
        <v>349</v>
      </c>
      <c r="AI148" s="934"/>
      <c r="AJ148" s="345">
        <v>118</v>
      </c>
      <c r="AK148" s="345" t="s">
        <v>323</v>
      </c>
      <c r="AP148" s="347">
        <v>713.49</v>
      </c>
      <c r="AQ148" s="347" t="s">
        <v>309</v>
      </c>
      <c r="AS148" s="348" t="str">
        <f t="array" ref="AS148">IFERROR(IF($AS$11="Metro",INDEX($AJ$13:$AJ$814,SMALL(IF((County=$AK$13:$AK$814),MATCH(ROW($AK$13:$AK$814),ROW($AK$13:$AK$814)),""),ROWS($A$13:$A148))),INDEX($AM$13:$AM$48,SMALL(IF((County=$AN$13:$AN$48),MATCH(ROW($AN$13:$AN$48),ROW($AN$13:$AN$48)),""),ROWS($A$13:$A148)))),"")</f>
        <v/>
      </c>
      <c r="AU148" s="348" t="str">
        <f t="array" ref="AU148">IFERROR(IF($AU$11="Yes",INDEX($AP$13:$AP$2950,SMALL(IF((County=$AQ$13:$AQ$2950),MATCH(ROW($AQ$13:$AQ$2950),ROW($AQ$13:$AQ$2950)),""),ROWS($A$13:$A148))),""),"")</f>
        <v/>
      </c>
      <c r="AW148" s="346">
        <v>33176</v>
      </c>
      <c r="AX148" s="345" t="s">
        <v>352</v>
      </c>
      <c r="AZ148" s="345">
        <v>11</v>
      </c>
      <c r="BA148" s="345" t="s">
        <v>306</v>
      </c>
      <c r="BF148" s="347">
        <v>7.03</v>
      </c>
      <c r="BG148" s="347" t="s">
        <v>361</v>
      </c>
      <c r="BH148" s="1790"/>
      <c r="BI148" s="2298">
        <v>33909</v>
      </c>
      <c r="BJ148" s="237" t="s">
        <v>344</v>
      </c>
      <c r="BM148" s="1784"/>
      <c r="BN148" s="345">
        <v>621.13</v>
      </c>
      <c r="BO148" s="345" t="s">
        <v>309</v>
      </c>
      <c r="BQ148" s="237">
        <v>9725</v>
      </c>
      <c r="BR148" s="237" t="s">
        <v>354</v>
      </c>
      <c r="BT148" s="347">
        <v>713.37</v>
      </c>
      <c r="BU148" s="347" t="s">
        <v>309</v>
      </c>
      <c r="BW148" s="348" t="str">
        <f t="array" ref="BW148">IFERROR(IF($BW$11="Metro",INDEX($BN$13:$BN$4972,SMALL(IF((County=$BO$13:$BO$4972),MATCH(ROW($BO$13:$BO$4972),ROW($BO$13:$BO$4972)),""),ROWS($A$13:$A148))),INDEX($BQ$13:$BQ$212,SMALL(IF((County=$BR$13:$BR$212),MATCH(ROW($BR$13:$BR$212),ROW($BR$13:$BR$212)),""),ROWS($A$13:$A148)))),"")</f>
        <v/>
      </c>
      <c r="BY148" s="348" t="str">
        <f t="array" ref="BY148">IFERROR(IF($BY$11="Yes",INDEX($BT$13:$BT$2950,SMALL(IF((County=$BU$13:$BU$2950),MATCH(ROW($BU$13:$BU$2950),ROW($BU$13:$BU$2950)),""),ROWS($A$13:$A148))),""),"")</f>
        <v/>
      </c>
      <c r="CA148" s="1792">
        <v>33158</v>
      </c>
      <c r="CB148" s="345" t="s">
        <v>352</v>
      </c>
      <c r="CD148" s="237">
        <v>3.12</v>
      </c>
      <c r="CE148" s="237" t="s">
        <v>352</v>
      </c>
      <c r="CG148" s="237">
        <v>9701.0400000000009</v>
      </c>
      <c r="CH148" s="237" t="s">
        <v>379</v>
      </c>
      <c r="CJ148" s="347">
        <v>7.01</v>
      </c>
      <c r="CK148" s="347" t="s">
        <v>351</v>
      </c>
      <c r="CL148" s="1789"/>
      <c r="CM148" s="2299"/>
      <c r="CN148" s="345"/>
      <c r="CR148" s="345"/>
      <c r="CS148" s="345"/>
      <c r="CU148" s="345"/>
      <c r="CV148" s="345"/>
      <c r="CX148" s="347"/>
      <c r="CY148" s="347"/>
      <c r="DA148" s="348"/>
      <c r="DC148" s="348"/>
      <c r="DE148" s="1792"/>
      <c r="DF148" s="345"/>
      <c r="DH148" s="237"/>
      <c r="DI148" s="237"/>
      <c r="DK148" s="345"/>
      <c r="DL148" s="345"/>
      <c r="DN148" s="347"/>
      <c r="DO148" s="347"/>
      <c r="DP148" s="2505"/>
      <c r="DT148" s="663"/>
      <c r="DU148" s="663"/>
      <c r="DV148" s="663"/>
      <c r="DW148" s="663"/>
      <c r="DX148" s="663"/>
      <c r="DY148" s="663"/>
      <c r="DZ148" s="663"/>
      <c r="EA148" s="663"/>
      <c r="EB148" s="663"/>
      <c r="EC148" s="663"/>
      <c r="ED148" s="663"/>
    </row>
    <row r="149" spans="1:134" ht="14.45" customHeight="1">
      <c r="A149" s="346">
        <v>34212</v>
      </c>
      <c r="B149" s="345" t="s">
        <v>349</v>
      </c>
      <c r="E149" s="934"/>
      <c r="F149" s="345">
        <v>172</v>
      </c>
      <c r="G149" s="345" t="s">
        <v>323</v>
      </c>
      <c r="L149" s="347">
        <v>109.02</v>
      </c>
      <c r="M149" s="347" t="s">
        <v>310</v>
      </c>
      <c r="O149" s="348" t="str">
        <f t="array" ref="O149">IFERROR(IF($O$11="Metro",INDEX($F$13:$F$738,SMALL(IF((County=$G$13:$G$738),MATCH(ROW($G$13:$G$738),ROW($G$13:$G$738)),""),ROWS($A$13:A149))),INDEX($I$13:$I$42,SMALL(IF((County=$J$13:$J$42),MATCH(ROW($J$13:$J$42),ROW($J$13:$J$42)),""),ROWS($A$13:A149)))),"")</f>
        <v/>
      </c>
      <c r="Q149" s="348" t="str">
        <f t="array" ref="Q149">IFERROR(IF($Q$11="Yes",INDEX($L$13:$L$2313,SMALL(IF((County=$M$13:$M$2313),MATCH(ROW($M$13:$M$2313),ROW($M$13:$M$2313)),""),ROWS($A$13:A149))),""),"")</f>
        <v/>
      </c>
      <c r="S149" s="346">
        <v>33194</v>
      </c>
      <c r="T149" s="345" t="s">
        <v>352</v>
      </c>
      <c r="V149" s="345">
        <v>15</v>
      </c>
      <c r="W149" s="345" t="s">
        <v>323</v>
      </c>
      <c r="AB149" s="347">
        <v>9.0500000000000007</v>
      </c>
      <c r="AC149" s="347" t="s">
        <v>345</v>
      </c>
      <c r="AD149" s="1138"/>
      <c r="AE149" s="346">
        <v>34243</v>
      </c>
      <c r="AF149" s="345" t="s">
        <v>349</v>
      </c>
      <c r="AI149" s="934"/>
      <c r="AJ149" s="345">
        <v>121</v>
      </c>
      <c r="AK149" s="345" t="s">
        <v>323</v>
      </c>
      <c r="AP149" s="347">
        <v>713.5</v>
      </c>
      <c r="AQ149" s="347" t="s">
        <v>309</v>
      </c>
      <c r="AS149" s="348" t="str">
        <f t="array" ref="AS149">IFERROR(IF($AS$11="Metro",INDEX($AJ$13:$AJ$814,SMALL(IF((County=$AK$13:$AK$814),MATCH(ROW($AK$13:$AK$814),ROW($AK$13:$AK$814)),""),ROWS($A$13:$A149))),INDEX($AM$13:$AM$48,SMALL(IF((County=$AN$13:$AN$48),MATCH(ROW($AN$13:$AN$48),ROW($AN$13:$AN$48)),""),ROWS($A$13:$A149)))),"")</f>
        <v/>
      </c>
      <c r="AU149" s="348" t="str">
        <f t="array" ref="AU149">IFERROR(IF($AU$11="Yes",INDEX($AP$13:$AP$2950,SMALL(IF((County=$AQ$13:$AQ$2950),MATCH(ROW($AQ$13:$AQ$2950),ROW($AQ$13:$AQ$2950)),""),ROWS($A$13:$A149))),""),"")</f>
        <v/>
      </c>
      <c r="AW149" s="346">
        <v>33178</v>
      </c>
      <c r="AX149" s="345" t="s">
        <v>352</v>
      </c>
      <c r="AZ149" s="345">
        <v>11.01</v>
      </c>
      <c r="BA149" s="345" t="s">
        <v>344</v>
      </c>
      <c r="BF149" s="347">
        <v>7.04</v>
      </c>
      <c r="BG149" s="347" t="s">
        <v>350</v>
      </c>
      <c r="BH149" s="1790"/>
      <c r="BI149" s="2298">
        <v>33912</v>
      </c>
      <c r="BJ149" s="237" t="s">
        <v>344</v>
      </c>
      <c r="BM149" s="1784"/>
      <c r="BN149" s="345">
        <v>621.14</v>
      </c>
      <c r="BO149" s="345" t="s">
        <v>309</v>
      </c>
      <c r="BQ149" s="237">
        <v>9727</v>
      </c>
      <c r="BR149" s="237" t="s">
        <v>354</v>
      </c>
      <c r="BT149" s="347">
        <v>713.43</v>
      </c>
      <c r="BU149" s="347" t="s">
        <v>309</v>
      </c>
      <c r="BW149" s="348" t="str">
        <f t="array" ref="BW149">IFERROR(IF($BW$11="Metro",INDEX($BN$13:$BN$4972,SMALL(IF((County=$BO$13:$BO$4972),MATCH(ROW($BO$13:$BO$4972),ROW($BO$13:$BO$4972)),""),ROWS($A$13:$A149))),INDEX($BQ$13:$BQ$212,SMALL(IF((County=$BR$13:$BR$212),MATCH(ROW($BR$13:$BR$212),ROW($BR$13:$BR$212)),""),ROWS($A$13:$A149)))),"")</f>
        <v/>
      </c>
      <c r="BY149" s="348" t="str">
        <f t="array" ref="BY149">IFERROR(IF($BY$11="Yes",INDEX($BT$13:$BT$2950,SMALL(IF((County=$BU$13:$BU$2950),MATCH(ROW($BU$13:$BU$2950),ROW($BU$13:$BU$2950)),""),ROWS($A$13:$A149))),""),"")</f>
        <v/>
      </c>
      <c r="CA149" s="1792">
        <v>33160</v>
      </c>
      <c r="CB149" s="345" t="s">
        <v>352</v>
      </c>
      <c r="CD149" s="237">
        <v>3.13</v>
      </c>
      <c r="CE149" s="237" t="s">
        <v>349</v>
      </c>
      <c r="CG149" s="237">
        <v>9702</v>
      </c>
      <c r="CH149" s="237" t="s">
        <v>327</v>
      </c>
      <c r="CJ149" s="347">
        <v>7.02</v>
      </c>
      <c r="CK149" s="347" t="s">
        <v>361</v>
      </c>
      <c r="CL149" s="1789"/>
      <c r="CM149" s="2299"/>
      <c r="CN149" s="345"/>
      <c r="CR149" s="345"/>
      <c r="CS149" s="345"/>
      <c r="CU149" s="345"/>
      <c r="CV149" s="345"/>
      <c r="CX149" s="347"/>
      <c r="CY149" s="347"/>
      <c r="DA149" s="348"/>
      <c r="DC149" s="348"/>
      <c r="DE149" s="1792"/>
      <c r="DF149" s="345"/>
      <c r="DH149" s="237"/>
      <c r="DI149" s="237"/>
      <c r="DK149" s="345"/>
      <c r="DL149" s="345"/>
      <c r="DN149" s="347"/>
      <c r="DO149" s="347"/>
      <c r="DP149" s="2505"/>
      <c r="DT149" s="663"/>
      <c r="DU149" s="663"/>
      <c r="DV149" s="663"/>
      <c r="DW149" s="663"/>
      <c r="DX149" s="663"/>
      <c r="DY149" s="663"/>
      <c r="DZ149" s="663"/>
      <c r="EA149" s="663"/>
      <c r="EB149" s="663"/>
      <c r="EC149" s="663"/>
      <c r="ED149" s="663"/>
    </row>
    <row r="150" spans="1:134" ht="14.45" customHeight="1">
      <c r="A150" s="346">
        <v>34216</v>
      </c>
      <c r="B150" s="345" t="s">
        <v>349</v>
      </c>
      <c r="E150" s="934"/>
      <c r="F150" s="345">
        <v>174</v>
      </c>
      <c r="G150" s="345" t="s">
        <v>323</v>
      </c>
      <c r="L150" s="347">
        <v>110</v>
      </c>
      <c r="M150" s="347" t="s">
        <v>310</v>
      </c>
      <c r="O150" s="348" t="str">
        <f t="array" ref="O150">IFERROR(IF($O$11="Metro",INDEX($F$13:$F$738,SMALL(IF((County=$G$13:$G$738),MATCH(ROW($G$13:$G$738),ROW($G$13:$G$738)),""),ROWS($A$13:A150))),INDEX($I$13:$I$42,SMALL(IF((County=$J$13:$J$42),MATCH(ROW($J$13:$J$42),ROW($J$13:$J$42)),""),ROWS($A$13:A150)))),"")</f>
        <v/>
      </c>
      <c r="Q150" s="348" t="str">
        <f t="array" ref="Q150">IFERROR(IF($Q$11="Yes",INDEX($L$13:$L$2313,SMALL(IF((County=$M$13:$M$2313),MATCH(ROW($M$13:$M$2313),ROW($M$13:$M$2313)),""),ROWS($A$13:A150))),""),"")</f>
        <v/>
      </c>
      <c r="S150" s="346">
        <v>33196</v>
      </c>
      <c r="T150" s="345" t="s">
        <v>352</v>
      </c>
      <c r="V150" s="345">
        <v>15</v>
      </c>
      <c r="W150" s="345" t="s">
        <v>325</v>
      </c>
      <c r="AB150" s="347">
        <v>9.0500000000000007</v>
      </c>
      <c r="AC150" s="347" t="s">
        <v>361</v>
      </c>
      <c r="AD150" s="1138"/>
      <c r="AE150" s="346">
        <v>34251</v>
      </c>
      <c r="AF150" s="345" t="s">
        <v>349</v>
      </c>
      <c r="AI150" s="934"/>
      <c r="AJ150" s="345">
        <v>122.01</v>
      </c>
      <c r="AK150" s="345" t="s">
        <v>323</v>
      </c>
      <c r="AP150" s="347">
        <v>713.53</v>
      </c>
      <c r="AQ150" s="347" t="s">
        <v>309</v>
      </c>
      <c r="AS150" s="348" t="str">
        <f t="array" ref="AS150">IFERROR(IF($AS$11="Metro",INDEX($AJ$13:$AJ$814,SMALL(IF((County=$AK$13:$AK$814),MATCH(ROW($AK$13:$AK$814),ROW($AK$13:$AK$814)),""),ROWS($A$13:$A150))),INDEX($AM$13:$AM$48,SMALL(IF((County=$AN$13:$AN$48),MATCH(ROW($AN$13:$AN$48),ROW($AN$13:$AN$48)),""),ROWS($A$13:$A150)))),"")</f>
        <v/>
      </c>
      <c r="AU150" s="348" t="str">
        <f t="array" ref="AU150">IFERROR(IF($AU$11="Yes",INDEX($AP$13:$AP$2950,SMALL(IF((County=$AQ$13:$AQ$2950),MATCH(ROW($AQ$13:$AQ$2950),ROW($AQ$13:$AQ$2950)),""),ROWS($A$13:$A150))),""),"")</f>
        <v/>
      </c>
      <c r="AW150" s="346">
        <v>33179</v>
      </c>
      <c r="AX150" s="345" t="s">
        <v>352</v>
      </c>
      <c r="AZ150" s="345">
        <v>11.01</v>
      </c>
      <c r="BA150" s="345" t="s">
        <v>345</v>
      </c>
      <c r="BF150" s="347">
        <v>7.05</v>
      </c>
      <c r="BG150" s="347" t="s">
        <v>350</v>
      </c>
      <c r="BH150" s="1790"/>
      <c r="BI150" s="2298">
        <v>33913</v>
      </c>
      <c r="BJ150" s="237" t="s">
        <v>344</v>
      </c>
      <c r="BM150" s="1784"/>
      <c r="BN150" s="345">
        <v>621.15</v>
      </c>
      <c r="BO150" s="345" t="s">
        <v>309</v>
      </c>
      <c r="BQ150" s="237">
        <v>9728</v>
      </c>
      <c r="BR150" s="237" t="s">
        <v>354</v>
      </c>
      <c r="BT150" s="347">
        <v>713.46</v>
      </c>
      <c r="BU150" s="347" t="s">
        <v>309</v>
      </c>
      <c r="BW150" s="348" t="str">
        <f t="array" ref="BW150">IFERROR(IF($BW$11="Metro",INDEX($BN$13:$BN$4972,SMALL(IF((County=$BO$13:$BO$4972),MATCH(ROW($BO$13:$BO$4972),ROW($BO$13:$BO$4972)),""),ROWS($A$13:$A150))),INDEX($BQ$13:$BQ$212,SMALL(IF((County=$BR$13:$BR$212),MATCH(ROW($BR$13:$BR$212),ROW($BR$13:$BR$212)),""),ROWS($A$13:$A150)))),"")</f>
        <v/>
      </c>
      <c r="BY150" s="348" t="str">
        <f t="array" ref="BY150">IFERROR(IF($BY$11="Yes",INDEX($BT$13:$BT$2950,SMALL(IF((County=$BU$13:$BU$2950),MATCH(ROW($BU$13:$BU$2950),ROW($BU$13:$BU$2950)),""),ROWS($A$13:$A150))),""),"")</f>
        <v/>
      </c>
      <c r="CA150" s="1792">
        <v>33165</v>
      </c>
      <c r="CB150" s="345" t="s">
        <v>352</v>
      </c>
      <c r="CD150" s="237">
        <v>3.14</v>
      </c>
      <c r="CE150" s="237" t="s">
        <v>349</v>
      </c>
      <c r="CG150" s="237">
        <v>9702</v>
      </c>
      <c r="CH150" s="237" t="s">
        <v>373</v>
      </c>
      <c r="CJ150" s="347">
        <v>7.03</v>
      </c>
      <c r="CK150" s="347" t="s">
        <v>361</v>
      </c>
      <c r="CL150" s="1789"/>
      <c r="CM150" s="2299"/>
      <c r="CN150" s="345"/>
      <c r="CR150" s="345"/>
      <c r="CS150" s="345"/>
      <c r="CU150" s="345"/>
      <c r="CV150" s="345"/>
      <c r="CX150" s="347"/>
      <c r="CY150" s="347"/>
      <c r="DA150" s="348"/>
      <c r="DC150" s="348"/>
      <c r="DE150" s="1792"/>
      <c r="DF150" s="345"/>
      <c r="DH150" s="237"/>
      <c r="DI150" s="237"/>
      <c r="DK150" s="345"/>
      <c r="DL150" s="345"/>
      <c r="DN150" s="347"/>
      <c r="DO150" s="347"/>
      <c r="DP150" s="2505"/>
      <c r="DT150" s="663"/>
      <c r="DU150" s="663"/>
      <c r="DV150" s="663"/>
      <c r="DW150" s="663"/>
      <c r="DX150" s="663"/>
      <c r="DY150" s="663"/>
      <c r="DZ150" s="663"/>
      <c r="EA150" s="663"/>
      <c r="EB150" s="663"/>
      <c r="EC150" s="663"/>
      <c r="ED150" s="663"/>
    </row>
    <row r="151" spans="1:134" ht="14.45" customHeight="1">
      <c r="A151" s="346">
        <v>34217</v>
      </c>
      <c r="B151" s="345" t="s">
        <v>349</v>
      </c>
      <c r="E151" s="934"/>
      <c r="F151" s="345">
        <v>3</v>
      </c>
      <c r="G151" s="345" t="s">
        <v>325</v>
      </c>
      <c r="L151" s="347">
        <v>202.04</v>
      </c>
      <c r="M151" s="347" t="s">
        <v>310</v>
      </c>
      <c r="O151" s="348" t="str">
        <f t="array" ref="O151">IFERROR(IF($O$11="Metro",INDEX($F$13:$F$738,SMALL(IF((County=$G$13:$G$738),MATCH(ROW($G$13:$G$738),ROW($G$13:$G$738)),""),ROWS($A$13:A151))),INDEX($I$13:$I$42,SMALL(IF((County=$J$13:$J$42),MATCH(ROW($J$13:$J$42),ROW($J$13:$J$42)),""),ROWS($A$13:A151)))),"")</f>
        <v/>
      </c>
      <c r="Q151" s="348" t="str">
        <f t="array" ref="Q151">IFERROR(IF($Q$11="Yes",INDEX($L$13:$L$2313,SMALL(IF((County=$M$13:$M$2313),MATCH(ROW($M$13:$M$2313),ROW($M$13:$M$2313)),""),ROWS($A$13:A151))),""),"")</f>
        <v/>
      </c>
      <c r="S151" s="346">
        <v>33301</v>
      </c>
      <c r="T151" s="345" t="s">
        <v>310</v>
      </c>
      <c r="V151" s="345">
        <v>15</v>
      </c>
      <c r="W151" s="345" t="s">
        <v>350</v>
      </c>
      <c r="AB151" s="347">
        <v>10</v>
      </c>
      <c r="AC151" s="347" t="s">
        <v>297</v>
      </c>
      <c r="AD151" s="1138"/>
      <c r="AE151" s="346">
        <v>32133</v>
      </c>
      <c r="AF151" s="345" t="s">
        <v>350</v>
      </c>
      <c r="AI151" s="934"/>
      <c r="AJ151" s="345">
        <v>122.02</v>
      </c>
      <c r="AK151" s="345" t="s">
        <v>323</v>
      </c>
      <c r="AP151" s="347">
        <v>713.54</v>
      </c>
      <c r="AQ151" s="347" t="s">
        <v>309</v>
      </c>
      <c r="AS151" s="348" t="str">
        <f t="array" ref="AS151">IFERROR(IF($AS$11="Metro",INDEX($AJ$13:$AJ$814,SMALL(IF((County=$AK$13:$AK$814),MATCH(ROW($AK$13:$AK$814),ROW($AK$13:$AK$814)),""),ROWS($A$13:$A151))),INDEX($AM$13:$AM$48,SMALL(IF((County=$AN$13:$AN$48),MATCH(ROW($AN$13:$AN$48),ROW($AN$13:$AN$48)),""),ROWS($A$13:$A151)))),"")</f>
        <v/>
      </c>
      <c r="AU151" s="348" t="str">
        <f t="array" ref="AU151">IFERROR(IF($AU$11="Yes",INDEX($AP$13:$AP$2950,SMALL(IF((County=$AQ$13:$AQ$2950),MATCH(ROW($AQ$13:$AQ$2950),ROW($AQ$13:$AQ$2950)),""),ROWS($A$13:$A151))),""),"")</f>
        <v/>
      </c>
      <c r="AW151" s="346">
        <v>33180</v>
      </c>
      <c r="AX151" s="345" t="s">
        <v>352</v>
      </c>
      <c r="AZ151" s="345">
        <v>11.02</v>
      </c>
      <c r="BA151" s="345" t="s">
        <v>368</v>
      </c>
      <c r="BF151" s="347">
        <v>7.06</v>
      </c>
      <c r="BG151" s="347" t="s">
        <v>350</v>
      </c>
      <c r="BH151" s="1790"/>
      <c r="BI151" s="2298">
        <v>33921</v>
      </c>
      <c r="BJ151" s="237" t="s">
        <v>344</v>
      </c>
      <c r="BM151" s="1784"/>
      <c r="BN151" s="345">
        <v>623.01</v>
      </c>
      <c r="BO151" s="345" t="s">
        <v>309</v>
      </c>
      <c r="BQ151" s="237">
        <v>9800</v>
      </c>
      <c r="BR151" s="237" t="s">
        <v>354</v>
      </c>
      <c r="BT151" s="347">
        <v>713.5</v>
      </c>
      <c r="BU151" s="347" t="s">
        <v>309</v>
      </c>
      <c r="BW151" s="348" t="str">
        <f t="array" ref="BW151">IFERROR(IF($BW$11="Metro",INDEX($BN$13:$BN$4972,SMALL(IF((County=$BO$13:$BO$4972),MATCH(ROW($BO$13:$BO$4972),ROW($BO$13:$BO$4972)),""),ROWS($A$13:$A151))),INDEX($BQ$13:$BQ$212,SMALL(IF((County=$BR$13:$BR$212),MATCH(ROW($BR$13:$BR$212),ROW($BR$13:$BR$212)),""),ROWS($A$13:$A151)))),"")</f>
        <v/>
      </c>
      <c r="BY151" s="348" t="str">
        <f t="array" ref="BY151">IFERROR(IF($BY$11="Yes",INDEX($BT$13:$BT$2950,SMALL(IF((County=$BU$13:$BU$2950),MATCH(ROW($BU$13:$BU$2950),ROW($BU$13:$BU$2950)),""),ROWS($A$13:$A151))),""),"")</f>
        <v/>
      </c>
      <c r="CA151" s="1792">
        <v>33166</v>
      </c>
      <c r="CB151" s="345" t="s">
        <v>352</v>
      </c>
      <c r="CD151" s="345">
        <v>4</v>
      </c>
      <c r="CE151" s="345" t="s">
        <v>297</v>
      </c>
      <c r="CG151" s="237">
        <v>9702</v>
      </c>
      <c r="CH151" s="237" t="s">
        <v>379</v>
      </c>
      <c r="CJ151" s="347">
        <v>7.04</v>
      </c>
      <c r="CK151" s="347" t="s">
        <v>350</v>
      </c>
      <c r="CL151" s="1789"/>
      <c r="CM151" s="2299"/>
      <c r="CN151" s="345"/>
      <c r="CR151" s="345"/>
      <c r="CS151" s="345"/>
      <c r="CU151" s="345"/>
      <c r="CV151" s="345"/>
      <c r="CX151" s="347"/>
      <c r="CY151" s="347"/>
      <c r="DA151" s="348"/>
      <c r="DC151" s="348"/>
      <c r="DE151" s="1792"/>
      <c r="DF151" s="345"/>
      <c r="DH151" s="237"/>
      <c r="DI151" s="237"/>
      <c r="DK151" s="345"/>
      <c r="DL151" s="345"/>
      <c r="DN151" s="347"/>
      <c r="DO151" s="347"/>
      <c r="DP151" s="2505"/>
      <c r="DT151" s="663"/>
      <c r="DU151" s="663"/>
      <c r="DV151" s="663"/>
      <c r="DW151" s="663"/>
      <c r="DX151" s="663"/>
      <c r="DY151" s="663"/>
      <c r="DZ151" s="663"/>
      <c r="EA151" s="663"/>
      <c r="EB151" s="663"/>
      <c r="EC151" s="663"/>
      <c r="ED151" s="663"/>
    </row>
    <row r="152" spans="1:134" ht="14.45" customHeight="1">
      <c r="A152" s="346">
        <v>34219</v>
      </c>
      <c r="B152" s="345" t="s">
        <v>349</v>
      </c>
      <c r="E152" s="934"/>
      <c r="F152" s="345">
        <v>4</v>
      </c>
      <c r="G152" s="345" t="s">
        <v>325</v>
      </c>
      <c r="L152" s="347">
        <v>202.05</v>
      </c>
      <c r="M152" s="347" t="s">
        <v>310</v>
      </c>
      <c r="O152" s="348" t="str">
        <f t="array" ref="O152">IFERROR(IF($O$11="Metro",INDEX($F$13:$F$738,SMALL(IF((County=$G$13:$G$738),MATCH(ROW($G$13:$G$738),ROW($G$13:$G$738)),""),ROWS($A$13:A152))),INDEX($I$13:$I$42,SMALL(IF((County=$J$13:$J$42),MATCH(ROW($J$13:$J$42),ROW($J$13:$J$42)),""),ROWS($A$13:A152)))),"")</f>
        <v/>
      </c>
      <c r="Q152" s="348" t="str">
        <f t="array" ref="Q152">IFERROR(IF($Q$11="Yes",INDEX($L$13:$L$2313,SMALL(IF((County=$M$13:$M$2313),MATCH(ROW($M$13:$M$2313),ROW($M$13:$M$2313)),""),ROWS($A$13:A152))),""),"")</f>
        <v/>
      </c>
      <c r="S152" s="346">
        <v>33308</v>
      </c>
      <c r="T152" s="345" t="s">
        <v>310</v>
      </c>
      <c r="V152" s="345">
        <v>15.01</v>
      </c>
      <c r="W152" s="345" t="s">
        <v>352</v>
      </c>
      <c r="AB152" s="347">
        <v>10</v>
      </c>
      <c r="AC152" s="347" t="s">
        <v>344</v>
      </c>
      <c r="AD152" s="1138"/>
      <c r="AE152" s="346">
        <v>32195</v>
      </c>
      <c r="AF152" s="345" t="s">
        <v>350</v>
      </c>
      <c r="AI152" s="934"/>
      <c r="AJ152" s="345">
        <v>126.01</v>
      </c>
      <c r="AK152" s="345" t="s">
        <v>323</v>
      </c>
      <c r="AP152" s="347">
        <v>714.01</v>
      </c>
      <c r="AQ152" s="347" t="s">
        <v>309</v>
      </c>
      <c r="AS152" s="348" t="str">
        <f t="array" ref="AS152">IFERROR(IF($AS$11="Metro",INDEX($AJ$13:$AJ$814,SMALL(IF((County=$AK$13:$AK$814),MATCH(ROW($AK$13:$AK$814),ROW($AK$13:$AK$814)),""),ROWS($A$13:$A152))),INDEX($AM$13:$AM$48,SMALL(IF((County=$AN$13:$AN$48),MATCH(ROW($AN$13:$AN$48),ROW($AN$13:$AN$48)),""),ROWS($A$13:$A152)))),"")</f>
        <v/>
      </c>
      <c r="AU152" s="348" t="str">
        <f t="array" ref="AU152">IFERROR(IF($AU$11="Yes",INDEX($AP$13:$AP$2950,SMALL(IF((County=$AQ$13:$AQ$2950),MATCH(ROW($AQ$13:$AQ$2950),ROW($AQ$13:$AQ$2950)),""),ROWS($A$13:$A152))),""),"")</f>
        <v/>
      </c>
      <c r="AW152" s="346">
        <v>33182</v>
      </c>
      <c r="AX152" s="345" t="s">
        <v>352</v>
      </c>
      <c r="AZ152" s="345">
        <v>11.03</v>
      </c>
      <c r="BA152" s="345" t="s">
        <v>344</v>
      </c>
      <c r="BF152" s="347">
        <v>7.07</v>
      </c>
      <c r="BG152" s="347" t="s">
        <v>350</v>
      </c>
      <c r="BH152" s="1790"/>
      <c r="BI152" s="2298">
        <v>33924</v>
      </c>
      <c r="BJ152" s="237" t="s">
        <v>344</v>
      </c>
      <c r="BM152" s="1784"/>
      <c r="BN152" s="345">
        <v>623.02</v>
      </c>
      <c r="BO152" s="345" t="s">
        <v>309</v>
      </c>
      <c r="BQ152" s="237">
        <v>9801</v>
      </c>
      <c r="BR152" s="237" t="s">
        <v>354</v>
      </c>
      <c r="BT152" s="347">
        <v>713.52</v>
      </c>
      <c r="BU152" s="347" t="s">
        <v>309</v>
      </c>
      <c r="BW152" s="348" t="str">
        <f t="array" ref="BW152">IFERROR(IF($BW$11="Metro",INDEX($BN$13:$BN$4972,SMALL(IF((County=$BO$13:$BO$4972),MATCH(ROW($BO$13:$BO$4972),ROW($BO$13:$BO$4972)),""),ROWS($A$13:$A152))),INDEX($BQ$13:$BQ$212,SMALL(IF((County=$BR$13:$BR$212),MATCH(ROW($BR$13:$BR$212),ROW($BR$13:$BR$212)),""),ROWS($A$13:$A152)))),"")</f>
        <v/>
      </c>
      <c r="BY152" s="348" t="str">
        <f t="array" ref="BY152">IFERROR(IF($BY$11="Yes",INDEX($BT$13:$BT$2950,SMALL(IF((County=$BU$13:$BU$2950),MATCH(ROW($BU$13:$BU$2950),ROW($BU$13:$BU$2950)),""),ROWS($A$13:$A152))),""),"")</f>
        <v/>
      </c>
      <c r="CA152" s="1792">
        <v>33172</v>
      </c>
      <c r="CB152" s="345" t="s">
        <v>352</v>
      </c>
      <c r="CD152" s="237">
        <v>4</v>
      </c>
      <c r="CE152" s="237" t="s">
        <v>325</v>
      </c>
      <c r="CG152" s="345">
        <v>9702.01</v>
      </c>
      <c r="CH152" s="345" t="s">
        <v>322</v>
      </c>
      <c r="CJ152" s="347">
        <v>7.05</v>
      </c>
      <c r="CK152" s="347" t="s">
        <v>350</v>
      </c>
      <c r="CL152" s="1789"/>
      <c r="CM152" s="2299"/>
      <c r="CN152" s="345"/>
      <c r="CR152" s="345"/>
      <c r="CS152" s="345"/>
      <c r="CU152" s="345"/>
      <c r="CV152" s="345"/>
      <c r="CX152" s="347"/>
      <c r="CY152" s="347"/>
      <c r="DA152" s="348"/>
      <c r="DC152" s="348"/>
      <c r="DE152" s="1792"/>
      <c r="DF152" s="345"/>
      <c r="DH152" s="237"/>
      <c r="DI152" s="237"/>
      <c r="DK152" s="345"/>
      <c r="DL152" s="345"/>
      <c r="DN152" s="347"/>
      <c r="DO152" s="347"/>
      <c r="DP152" s="2505"/>
      <c r="DT152" s="663"/>
      <c r="DU152" s="663"/>
      <c r="DV152" s="663"/>
      <c r="DW152" s="663"/>
      <c r="DX152" s="663"/>
      <c r="DY152" s="663"/>
      <c r="DZ152" s="663"/>
      <c r="EA152" s="663"/>
      <c r="EB152" s="663"/>
      <c r="EC152" s="663"/>
      <c r="ED152" s="663"/>
    </row>
    <row r="153" spans="1:134" ht="14.45" customHeight="1">
      <c r="A153" s="346">
        <v>34243</v>
      </c>
      <c r="B153" s="345" t="s">
        <v>349</v>
      </c>
      <c r="E153" s="934"/>
      <c r="F153" s="345">
        <v>6</v>
      </c>
      <c r="G153" s="345" t="s">
        <v>325</v>
      </c>
      <c r="L153" s="347">
        <v>203.09</v>
      </c>
      <c r="M153" s="347" t="s">
        <v>310</v>
      </c>
      <c r="O153" s="348" t="str">
        <f t="array" ref="O153">IFERROR(IF($O$11="Metro",INDEX($F$13:$F$738,SMALL(IF((County=$G$13:$G$738),MATCH(ROW($G$13:$G$738),ROW($G$13:$G$738)),""),ROWS($A$13:A153))),INDEX($I$13:$I$42,SMALL(IF((County=$J$13:$J$42),MATCH(ROW($J$13:$J$42),ROW($J$13:$J$42)),""),ROWS($A$13:A153)))),"")</f>
        <v/>
      </c>
      <c r="Q153" s="348" t="str">
        <f t="array" ref="Q153">IFERROR(IF($Q$11="Yes",INDEX($L$13:$L$2313,SMALL(IF((County=$M$13:$M$2313),MATCH(ROW($M$13:$M$2313),ROW($M$13:$M$2313)),""),ROWS($A$13:A153))),""),"")</f>
        <v/>
      </c>
      <c r="S153" s="346">
        <v>33321</v>
      </c>
      <c r="T153" s="345" t="s">
        <v>310</v>
      </c>
      <c r="V153" s="345">
        <v>15.02</v>
      </c>
      <c r="W153" s="345" t="s">
        <v>344</v>
      </c>
      <c r="AB153" s="347">
        <v>10.01</v>
      </c>
      <c r="AC153" s="347" t="s">
        <v>325</v>
      </c>
      <c r="AD153" s="1138"/>
      <c r="AE153" s="346">
        <v>34472</v>
      </c>
      <c r="AF153" s="345" t="s">
        <v>350</v>
      </c>
      <c r="AI153" s="934"/>
      <c r="AJ153" s="345">
        <v>134.02000000000001</v>
      </c>
      <c r="AK153" s="345" t="s">
        <v>323</v>
      </c>
      <c r="AP153" s="347">
        <v>715</v>
      </c>
      <c r="AQ153" s="347" t="s">
        <v>309</v>
      </c>
      <c r="AS153" s="348" t="str">
        <f t="array" ref="AS153">IFERROR(IF($AS$11="Metro",INDEX($AJ$13:$AJ$814,SMALL(IF((County=$AK$13:$AK$814),MATCH(ROW($AK$13:$AK$814),ROW($AK$13:$AK$814)),""),ROWS($A$13:$A153))),INDEX($AM$13:$AM$48,SMALL(IF((County=$AN$13:$AN$48),MATCH(ROW($AN$13:$AN$48),ROW($AN$13:$AN$48)),""),ROWS($A$13:$A153)))),"")</f>
        <v/>
      </c>
      <c r="AU153" s="348" t="str">
        <f t="array" ref="AU153">IFERROR(IF($AU$11="Yes",INDEX($AP$13:$AP$2950,SMALL(IF((County=$AQ$13:$AQ$2950),MATCH(ROW($AQ$13:$AQ$2950),ROW($AQ$13:$AQ$2950)),""),ROWS($A$13:$A153))),""),"")</f>
        <v/>
      </c>
      <c r="AW153" s="346">
        <v>33183</v>
      </c>
      <c r="AX153" s="345" t="s">
        <v>352</v>
      </c>
      <c r="AZ153" s="345">
        <v>11.03</v>
      </c>
      <c r="BA153" s="345" t="s">
        <v>352</v>
      </c>
      <c r="BF153" s="347">
        <v>7.18</v>
      </c>
      <c r="BG153" s="347" t="s">
        <v>352</v>
      </c>
      <c r="BH153" s="1790"/>
      <c r="BI153" s="2298">
        <v>33928</v>
      </c>
      <c r="BJ153" s="237" t="s">
        <v>344</v>
      </c>
      <c r="BM153" s="1784"/>
      <c r="BN153" s="345">
        <v>624.01</v>
      </c>
      <c r="BO153" s="345" t="s">
        <v>309</v>
      </c>
      <c r="BQ153" s="237">
        <v>9900</v>
      </c>
      <c r="BR153" s="237" t="s">
        <v>354</v>
      </c>
      <c r="BT153" s="347">
        <v>713.53</v>
      </c>
      <c r="BU153" s="347" t="s">
        <v>309</v>
      </c>
      <c r="BW153" s="348" t="str">
        <f t="array" ref="BW153">IFERROR(IF($BW$11="Metro",INDEX($BN$13:$BN$4972,SMALL(IF((County=$BO$13:$BO$4972),MATCH(ROW($BO$13:$BO$4972),ROW($BO$13:$BO$4972)),""),ROWS($A$13:$A153))),INDEX($BQ$13:$BQ$212,SMALL(IF((County=$BR$13:$BR$212),MATCH(ROW($BR$13:$BR$212),ROW($BR$13:$BR$212)),""),ROWS($A$13:$A153)))),"")</f>
        <v/>
      </c>
      <c r="BY153" s="348" t="str">
        <f t="array" ref="BY153">IFERROR(IF($BY$11="Yes",INDEX($BT$13:$BT$2950,SMALL(IF((County=$BU$13:$BU$2950),MATCH(ROW($BU$13:$BU$2950),ROW($BU$13:$BU$2950)),""),ROWS($A$13:$A153))),""),"")</f>
        <v/>
      </c>
      <c r="CA153" s="1792">
        <v>33173</v>
      </c>
      <c r="CB153" s="345" t="s">
        <v>352</v>
      </c>
      <c r="CD153" s="237">
        <v>4</v>
      </c>
      <c r="CE153" s="237" t="s">
        <v>345</v>
      </c>
      <c r="CG153" s="237">
        <v>9702.01</v>
      </c>
      <c r="CH153" s="237" t="s">
        <v>333</v>
      </c>
      <c r="CJ153" s="347">
        <v>7.06</v>
      </c>
      <c r="CK153" s="347" t="s">
        <v>350</v>
      </c>
      <c r="CL153" s="1789"/>
      <c r="CM153" s="2299"/>
      <c r="CN153" s="345"/>
      <c r="CR153" s="345"/>
      <c r="CS153" s="345"/>
      <c r="CU153" s="345"/>
      <c r="CV153" s="345"/>
      <c r="CX153" s="347"/>
      <c r="CY153" s="347"/>
      <c r="DA153" s="348"/>
      <c r="DC153" s="348"/>
      <c r="DE153" s="1792"/>
      <c r="DF153" s="345"/>
      <c r="DH153" s="237"/>
      <c r="DI153" s="237"/>
      <c r="DK153" s="345"/>
      <c r="DL153" s="345"/>
      <c r="DN153" s="347"/>
      <c r="DO153" s="347"/>
      <c r="DP153" s="2505"/>
      <c r="DT153" s="663"/>
      <c r="DU153" s="663"/>
      <c r="DV153" s="663"/>
      <c r="DW153" s="663"/>
      <c r="DX153" s="663"/>
      <c r="DY153" s="663"/>
      <c r="DZ153" s="663"/>
      <c r="EA153" s="663"/>
      <c r="EB153" s="663"/>
      <c r="EC153" s="663"/>
      <c r="ED153" s="663"/>
    </row>
    <row r="154" spans="1:134" ht="14.45" customHeight="1">
      <c r="A154" s="346">
        <v>34251</v>
      </c>
      <c r="B154" s="345" t="s">
        <v>349</v>
      </c>
      <c r="E154" s="934"/>
      <c r="F154" s="345">
        <v>13</v>
      </c>
      <c r="G154" s="345" t="s">
        <v>325</v>
      </c>
      <c r="L154" s="347">
        <v>203.12</v>
      </c>
      <c r="M154" s="347" t="s">
        <v>310</v>
      </c>
      <c r="O154" s="348" t="str">
        <f t="array" ref="O154">IFERROR(IF($O$11="Metro",INDEX($F$13:$F$738,SMALL(IF((County=$G$13:$G$738),MATCH(ROW($G$13:$G$738),ROW($G$13:$G$738)),""),ROWS($A$13:A154))),INDEX($I$13:$I$42,SMALL(IF((County=$J$13:$J$42),MATCH(ROW($J$13:$J$42),ROW($J$13:$J$42)),""),ROWS($A$13:A154)))),"")</f>
        <v/>
      </c>
      <c r="Q154" s="348" t="str">
        <f t="array" ref="Q154">IFERROR(IF($Q$11="Yes",INDEX($L$13:$L$2313,SMALL(IF((County=$M$13:$M$2313),MATCH(ROW($M$13:$M$2313),ROW($M$13:$M$2313)),""),ROWS($A$13:A154))),""),"")</f>
        <v/>
      </c>
      <c r="S154" s="346">
        <v>33322</v>
      </c>
      <c r="T154" s="345" t="s">
        <v>310</v>
      </c>
      <c r="V154" s="345">
        <v>15.02</v>
      </c>
      <c r="W154" s="345" t="s">
        <v>349</v>
      </c>
      <c r="AB154" s="347">
        <v>10.02</v>
      </c>
      <c r="AC154" s="347" t="s">
        <v>325</v>
      </c>
      <c r="AD154" s="1138"/>
      <c r="AE154" s="346">
        <v>34473</v>
      </c>
      <c r="AF154" s="345" t="s">
        <v>350</v>
      </c>
      <c r="AI154" s="934"/>
      <c r="AJ154" s="345">
        <v>143.11000000000001</v>
      </c>
      <c r="AK154" s="345" t="s">
        <v>323</v>
      </c>
      <c r="AP154" s="347">
        <v>716.01</v>
      </c>
      <c r="AQ154" s="347" t="s">
        <v>309</v>
      </c>
      <c r="AS154" s="348" t="str">
        <f t="array" ref="AS154">IFERROR(IF($AS$11="Metro",INDEX($AJ$13:$AJ$814,SMALL(IF((County=$AK$13:$AK$814),MATCH(ROW($AK$13:$AK$814),ROW($AK$13:$AK$814)),""),ROWS($A$13:$A154))),INDEX($AM$13:$AM$48,SMALL(IF((County=$AN$13:$AN$48),MATCH(ROW($AN$13:$AN$48),ROW($AN$13:$AN$48)),""),ROWS($A$13:$A154)))),"")</f>
        <v/>
      </c>
      <c r="AU154" s="348" t="str">
        <f t="array" ref="AU154">IFERROR(IF($AU$11="Yes",INDEX($AP$13:$AP$2950,SMALL(IF((County=$AQ$13:$AQ$2950),MATCH(ROW($AQ$13:$AQ$2950),ROW($AQ$13:$AQ$2950)),""),ROWS($A$13:$A154))),""),"")</f>
        <v/>
      </c>
      <c r="AW154" s="346">
        <v>33184</v>
      </c>
      <c r="AX154" s="345" t="s">
        <v>352</v>
      </c>
      <c r="AZ154" s="345">
        <v>11.04</v>
      </c>
      <c r="BA154" s="345" t="s">
        <v>344</v>
      </c>
      <c r="BF154" s="347">
        <v>8</v>
      </c>
      <c r="BG154" s="347" t="s">
        <v>323</v>
      </c>
      <c r="BH154" s="1790"/>
      <c r="BI154" s="2298">
        <v>33957</v>
      </c>
      <c r="BJ154" s="237" t="s">
        <v>344</v>
      </c>
      <c r="BM154" s="1784"/>
      <c r="BN154" s="345">
        <v>624.02</v>
      </c>
      <c r="BO154" s="345" t="s">
        <v>309</v>
      </c>
      <c r="BQ154" s="237">
        <v>9101.01</v>
      </c>
      <c r="BR154" s="237" t="s">
        <v>358</v>
      </c>
      <c r="BT154" s="347">
        <v>713.54</v>
      </c>
      <c r="BU154" s="347" t="s">
        <v>309</v>
      </c>
      <c r="BW154" s="348" t="str">
        <f t="array" ref="BW154">IFERROR(IF($BW$11="Metro",INDEX($BN$13:$BN$4972,SMALL(IF((County=$BO$13:$BO$4972),MATCH(ROW($BO$13:$BO$4972),ROW($BO$13:$BO$4972)),""),ROWS($A$13:$A154))),INDEX($BQ$13:$BQ$212,SMALL(IF((County=$BR$13:$BR$212),MATCH(ROW($BR$13:$BR$212),ROW($BR$13:$BR$212)),""),ROWS($A$13:$A154)))),"")</f>
        <v/>
      </c>
      <c r="BY154" s="348" t="str">
        <f t="array" ref="BY154">IFERROR(IF($BY$11="Yes",INDEX($BT$13:$BT$2950,SMALL(IF((County=$BU$13:$BU$2950),MATCH(ROW($BU$13:$BU$2950),ROW($BU$13:$BU$2950)),""),ROWS($A$13:$A154))),""),"")</f>
        <v/>
      </c>
      <c r="CA154" s="1792">
        <v>33174</v>
      </c>
      <c r="CB154" s="345" t="s">
        <v>352</v>
      </c>
      <c r="CD154" s="237">
        <v>4</v>
      </c>
      <c r="CE154" s="237" t="s">
        <v>351</v>
      </c>
      <c r="CG154" s="237">
        <v>9702.02</v>
      </c>
      <c r="CH154" s="237" t="s">
        <v>322</v>
      </c>
      <c r="CJ154" s="347">
        <v>7.15</v>
      </c>
      <c r="CK154" s="347" t="s">
        <v>352</v>
      </c>
      <c r="CL154" s="1789"/>
      <c r="CM154" s="2299"/>
      <c r="CN154" s="345"/>
      <c r="CR154" s="345"/>
      <c r="CS154" s="345"/>
      <c r="CU154" s="345"/>
      <c r="CV154" s="345"/>
      <c r="CX154" s="347"/>
      <c r="CY154" s="347"/>
      <c r="DA154" s="348"/>
      <c r="DC154" s="348"/>
      <c r="DE154" s="1792"/>
      <c r="DF154" s="345"/>
      <c r="DH154" s="237"/>
      <c r="DI154" s="237"/>
      <c r="DK154" s="345"/>
      <c r="DL154" s="345"/>
      <c r="DN154" s="347"/>
      <c r="DO154" s="347"/>
      <c r="DP154" s="2505"/>
      <c r="DT154" s="663"/>
      <c r="DU154" s="663"/>
      <c r="DV154" s="663"/>
      <c r="DW154" s="663"/>
      <c r="DX154" s="663"/>
      <c r="DY154" s="663"/>
      <c r="DZ154" s="663"/>
      <c r="EA154" s="663"/>
      <c r="EB154" s="663"/>
      <c r="EC154" s="663"/>
      <c r="ED154" s="663"/>
    </row>
    <row r="155" spans="1:134" ht="14.45" customHeight="1">
      <c r="A155" s="346">
        <v>32133</v>
      </c>
      <c r="B155" s="345" t="s">
        <v>350</v>
      </c>
      <c r="E155" s="934"/>
      <c r="F155" s="345">
        <v>15</v>
      </c>
      <c r="G155" s="345" t="s">
        <v>325</v>
      </c>
      <c r="L155" s="347">
        <v>203.13</v>
      </c>
      <c r="M155" s="347" t="s">
        <v>310</v>
      </c>
      <c r="O155" s="348" t="str">
        <f t="array" ref="O155">IFERROR(IF($O$11="Metro",INDEX($F$13:$F$738,SMALL(IF((County=$G$13:$G$738),MATCH(ROW($G$13:$G$738),ROW($G$13:$G$738)),""),ROWS($A$13:A155))),INDEX($I$13:$I$42,SMALL(IF((County=$J$13:$J$42),MATCH(ROW($J$13:$J$42),ROW($J$13:$J$42)),""),ROWS($A$13:A155)))),"")</f>
        <v/>
      </c>
      <c r="Q155" s="348" t="str">
        <f t="array" ref="Q155">IFERROR(IF($Q$11="Yes",INDEX($L$13:$L$2313,SMALL(IF((County=$M$13:$M$2313),MATCH(ROW($M$13:$M$2313),ROW($M$13:$M$2313)),""),ROWS($A$13:A155))),""),"")</f>
        <v/>
      </c>
      <c r="S155" s="346">
        <v>33323</v>
      </c>
      <c r="T155" s="345" t="s">
        <v>310</v>
      </c>
      <c r="V155" s="345">
        <v>15.02</v>
      </c>
      <c r="W155" s="345" t="s">
        <v>352</v>
      </c>
      <c r="AB155" s="347">
        <v>10.029999999999999</v>
      </c>
      <c r="AC155" s="347" t="s">
        <v>361</v>
      </c>
      <c r="AD155" s="1138"/>
      <c r="AE155" s="346">
        <v>34474</v>
      </c>
      <c r="AF155" s="345" t="s">
        <v>350</v>
      </c>
      <c r="AI155" s="934"/>
      <c r="AJ155" s="345">
        <v>148</v>
      </c>
      <c r="AK155" s="345" t="s">
        <v>323</v>
      </c>
      <c r="AP155" s="347">
        <v>716.02</v>
      </c>
      <c r="AQ155" s="347" t="s">
        <v>309</v>
      </c>
      <c r="AS155" s="348" t="str">
        <f t="array" ref="AS155">IFERROR(IF($AS$11="Metro",INDEX($AJ$13:$AJ$814,SMALL(IF((County=$AK$13:$AK$814),MATCH(ROW($AK$13:$AK$814),ROW($AK$13:$AK$814)),""),ROWS($A$13:$A155))),INDEX($AM$13:$AM$48,SMALL(IF((County=$AN$13:$AN$48),MATCH(ROW($AN$13:$AN$48),ROW($AN$13:$AN$48)),""),ROWS($A$13:$A155)))),"")</f>
        <v/>
      </c>
      <c r="AU155" s="348" t="str">
        <f t="array" ref="AU155">IFERROR(IF($AU$11="Yes",INDEX($AP$13:$AP$2950,SMALL(IF((County=$AQ$13:$AQ$2950),MATCH(ROW($AQ$13:$AQ$2950),ROW($AQ$13:$AQ$2950)),""),ROWS($A$13:$A155))),""),"")</f>
        <v/>
      </c>
      <c r="AW155" s="346">
        <v>33185</v>
      </c>
      <c r="AX155" s="345" t="s">
        <v>352</v>
      </c>
      <c r="AZ155" s="345">
        <v>12</v>
      </c>
      <c r="BA155" s="345" t="s">
        <v>323</v>
      </c>
      <c r="BF155" s="347">
        <v>8</v>
      </c>
      <c r="BG155" s="347" t="s">
        <v>344</v>
      </c>
      <c r="BH155" s="1790"/>
      <c r="BI155" s="2298">
        <v>33967</v>
      </c>
      <c r="BJ155" s="237" t="s">
        <v>344</v>
      </c>
      <c r="BM155" s="1784"/>
      <c r="BN155" s="345">
        <v>625</v>
      </c>
      <c r="BO155" s="345" t="s">
        <v>309</v>
      </c>
      <c r="BQ155" s="237">
        <v>9101.02</v>
      </c>
      <c r="BR155" s="237" t="s">
        <v>358</v>
      </c>
      <c r="BT155" s="347">
        <v>714.01</v>
      </c>
      <c r="BU155" s="347" t="s">
        <v>309</v>
      </c>
      <c r="BW155" s="348" t="str">
        <f t="array" ref="BW155">IFERROR(IF($BW$11="Metro",INDEX($BN$13:$BN$4972,SMALL(IF((County=$BO$13:$BO$4972),MATCH(ROW($BO$13:$BO$4972),ROW($BO$13:$BO$4972)),""),ROWS($A$13:$A155))),INDEX($BQ$13:$BQ$212,SMALL(IF((County=$BR$13:$BR$212),MATCH(ROW($BR$13:$BR$212),ROW($BR$13:$BR$212)),""),ROWS($A$13:$A155)))),"")</f>
        <v/>
      </c>
      <c r="BY155" s="348" t="str">
        <f t="array" ref="BY155">IFERROR(IF($BY$11="Yes",INDEX($BT$13:$BT$2950,SMALL(IF((County=$BU$13:$BU$2950),MATCH(ROW($BU$13:$BU$2950),ROW($BU$13:$BU$2950)),""),ROWS($A$13:$A155))),""),"")</f>
        <v/>
      </c>
      <c r="CA155" s="1792">
        <v>33175</v>
      </c>
      <c r="CB155" s="345" t="s">
        <v>352</v>
      </c>
      <c r="CD155" s="345">
        <v>4.01</v>
      </c>
      <c r="CE155" s="345" t="s">
        <v>306</v>
      </c>
      <c r="CG155" s="237">
        <v>9702.02</v>
      </c>
      <c r="CH155" s="237" t="s">
        <v>333</v>
      </c>
      <c r="CJ155" s="347">
        <v>8</v>
      </c>
      <c r="CK155" s="347" t="s">
        <v>323</v>
      </c>
      <c r="CL155" s="1789"/>
      <c r="CM155" s="2299"/>
      <c r="CN155" s="345"/>
      <c r="CR155" s="345"/>
      <c r="CS155" s="345"/>
      <c r="CU155" s="345"/>
      <c r="CV155" s="345"/>
      <c r="CX155" s="347"/>
      <c r="CY155" s="347"/>
      <c r="DA155" s="348"/>
      <c r="DC155" s="348"/>
      <c r="DE155" s="1792"/>
      <c r="DF155" s="345"/>
      <c r="DH155" s="237"/>
      <c r="DI155" s="237"/>
      <c r="DK155" s="345"/>
      <c r="DL155" s="345"/>
      <c r="DN155" s="347"/>
      <c r="DO155" s="347"/>
      <c r="DP155" s="2505"/>
      <c r="DT155" s="663"/>
      <c r="DU155" s="663"/>
      <c r="DV155" s="663"/>
      <c r="DW155" s="663"/>
      <c r="DX155" s="663"/>
      <c r="DY155" s="663"/>
      <c r="DZ155" s="663"/>
      <c r="EA155" s="663"/>
      <c r="EB155" s="663"/>
      <c r="EC155" s="663"/>
      <c r="ED155" s="663"/>
    </row>
    <row r="156" spans="1:134" ht="14.45" customHeight="1">
      <c r="A156" s="346">
        <v>32195</v>
      </c>
      <c r="B156" s="345" t="s">
        <v>350</v>
      </c>
      <c r="E156" s="934"/>
      <c r="F156" s="345">
        <v>16</v>
      </c>
      <c r="G156" s="345" t="s">
        <v>325</v>
      </c>
      <c r="L156" s="347">
        <v>203.15</v>
      </c>
      <c r="M156" s="347" t="s">
        <v>310</v>
      </c>
      <c r="O156" s="348" t="str">
        <f t="array" ref="O156">IFERROR(IF($O$11="Metro",INDEX($F$13:$F$738,SMALL(IF((County=$G$13:$G$738),MATCH(ROW($G$13:$G$738),ROW($G$13:$G$738)),""),ROWS($A$13:A156))),INDEX($I$13:$I$42,SMALL(IF((County=$J$13:$J$42),MATCH(ROW($J$13:$J$42),ROW($J$13:$J$42)),""),ROWS($A$13:A156)))),"")</f>
        <v/>
      </c>
      <c r="Q156" s="348" t="str">
        <f t="array" ref="Q156">IFERROR(IF($Q$11="Yes",INDEX($L$13:$L$2313,SMALL(IF((County=$M$13:$M$2313),MATCH(ROW($M$13:$M$2313),ROW($M$13:$M$2313)),""),ROWS($A$13:A156))),""),"")</f>
        <v/>
      </c>
      <c r="S156" s="346">
        <v>33324</v>
      </c>
      <c r="T156" s="345" t="s">
        <v>310</v>
      </c>
      <c r="V156" s="345">
        <v>15.14</v>
      </c>
      <c r="W156" s="345" t="s">
        <v>297</v>
      </c>
      <c r="AB156" s="347">
        <v>10.039999999999999</v>
      </c>
      <c r="AC156" s="347" t="s">
        <v>350</v>
      </c>
      <c r="AD156" s="1138"/>
      <c r="AE156" s="346">
        <v>34990</v>
      </c>
      <c r="AF156" s="345" t="s">
        <v>351</v>
      </c>
      <c r="AI156" s="934"/>
      <c r="AJ156" s="345">
        <v>154</v>
      </c>
      <c r="AK156" s="345" t="s">
        <v>323</v>
      </c>
      <c r="AP156" s="347">
        <v>717</v>
      </c>
      <c r="AQ156" s="347" t="s">
        <v>309</v>
      </c>
      <c r="AS156" s="348" t="str">
        <f t="array" ref="AS156">IFERROR(IF($AS$11="Metro",INDEX($AJ$13:$AJ$814,SMALL(IF((County=$AK$13:$AK$814),MATCH(ROW($AK$13:$AK$814),ROW($AK$13:$AK$814)),""),ROWS($A$13:$A156))),INDEX($AM$13:$AM$48,SMALL(IF((County=$AN$13:$AN$48),MATCH(ROW($AN$13:$AN$48),ROW($AN$13:$AN$48)),""),ROWS($A$13:$A156)))),"")</f>
        <v/>
      </c>
      <c r="AU156" s="348" t="str">
        <f t="array" ref="AU156">IFERROR(IF($AU$11="Yes",INDEX($AP$13:$AP$2950,SMALL(IF((County=$AQ$13:$AQ$2950),MATCH(ROW($AQ$13:$AQ$2950),ROW($AQ$13:$AQ$2950)),""),ROWS($A$13:$A156))),""),"")</f>
        <v/>
      </c>
      <c r="AW156" s="346">
        <v>33186</v>
      </c>
      <c r="AX156" s="345" t="s">
        <v>352</v>
      </c>
      <c r="AZ156" s="345">
        <v>12</v>
      </c>
      <c r="BA156" s="345" t="s">
        <v>337</v>
      </c>
      <c r="BF156" s="347">
        <v>8</v>
      </c>
      <c r="BG156" s="347" t="s">
        <v>345</v>
      </c>
      <c r="BH156" s="1790"/>
      <c r="BI156" s="2298">
        <v>33991</v>
      </c>
      <c r="BJ156" s="237" t="s">
        <v>344</v>
      </c>
      <c r="BM156" s="1784"/>
      <c r="BN156" s="345">
        <v>626</v>
      </c>
      <c r="BO156" s="345" t="s">
        <v>309</v>
      </c>
      <c r="BQ156" s="237">
        <v>9102.01</v>
      </c>
      <c r="BR156" s="237" t="s">
        <v>358</v>
      </c>
      <c r="BT156" s="347">
        <v>715</v>
      </c>
      <c r="BU156" s="347" t="s">
        <v>309</v>
      </c>
      <c r="BW156" s="348" t="str">
        <f t="array" ref="BW156">IFERROR(IF($BW$11="Metro",INDEX($BN$13:$BN$4972,SMALL(IF((County=$BO$13:$BO$4972),MATCH(ROW($BO$13:$BO$4972),ROW($BO$13:$BO$4972)),""),ROWS($A$13:$A156))),INDEX($BQ$13:$BQ$212,SMALL(IF((County=$BR$13:$BR$212),MATCH(ROW($BR$13:$BR$212),ROW($BR$13:$BR$212)),""),ROWS($A$13:$A156)))),"")</f>
        <v/>
      </c>
      <c r="BY156" s="348" t="str">
        <f t="array" ref="BY156">IFERROR(IF($BY$11="Yes",INDEX($BT$13:$BT$2950,SMALL(IF((County=$BU$13:$BU$2950),MATCH(ROW($BU$13:$BU$2950),ROW($BU$13:$BU$2950)),""),ROWS($A$13:$A156))),""),"")</f>
        <v/>
      </c>
      <c r="CA156" s="1792">
        <v>33176</v>
      </c>
      <c r="CB156" s="345" t="s">
        <v>352</v>
      </c>
      <c r="CD156" s="237">
        <v>4.01</v>
      </c>
      <c r="CE156" s="237" t="s">
        <v>318</v>
      </c>
      <c r="CG156" s="237">
        <v>9703.01</v>
      </c>
      <c r="CH156" s="237" t="s">
        <v>333</v>
      </c>
      <c r="CJ156" s="347">
        <v>8</v>
      </c>
      <c r="CK156" s="347" t="s">
        <v>344</v>
      </c>
      <c r="CL156" s="1789"/>
      <c r="CM156" s="2299"/>
      <c r="CN156" s="345"/>
      <c r="CR156" s="345"/>
      <c r="CS156" s="345"/>
      <c r="CU156" s="345"/>
      <c r="CV156" s="345"/>
      <c r="CX156" s="347"/>
      <c r="CY156" s="347"/>
      <c r="DA156" s="348"/>
      <c r="DC156" s="348"/>
      <c r="DE156" s="1792"/>
      <c r="DF156" s="345"/>
      <c r="DH156" s="237"/>
      <c r="DI156" s="237"/>
      <c r="DK156" s="345"/>
      <c r="DL156" s="345"/>
      <c r="DN156" s="347"/>
      <c r="DO156" s="347"/>
      <c r="DP156" s="2505"/>
      <c r="DT156" s="663"/>
      <c r="DU156" s="663"/>
      <c r="DV156" s="663"/>
      <c r="DW156" s="663"/>
      <c r="DX156" s="663"/>
      <c r="DY156" s="663"/>
      <c r="DZ156" s="663"/>
      <c r="EA156" s="663"/>
      <c r="EB156" s="663"/>
      <c r="EC156" s="663"/>
      <c r="ED156" s="663"/>
    </row>
    <row r="157" spans="1:134" ht="14.45" customHeight="1">
      <c r="A157" s="346">
        <v>34472</v>
      </c>
      <c r="B157" s="345" t="s">
        <v>350</v>
      </c>
      <c r="E157" s="934"/>
      <c r="F157" s="345">
        <v>17</v>
      </c>
      <c r="G157" s="345" t="s">
        <v>325</v>
      </c>
      <c r="L157" s="347">
        <v>203.16</v>
      </c>
      <c r="M157" s="347" t="s">
        <v>310</v>
      </c>
      <c r="O157" s="348" t="str">
        <f t="array" ref="O157">IFERROR(IF($O$11="Metro",INDEX($F$13:$F$738,SMALL(IF((County=$G$13:$G$738),MATCH(ROW($G$13:$G$738),ROW($G$13:$G$738)),""),ROWS($A$13:A157))),INDEX($I$13:$I$42,SMALL(IF((County=$J$13:$J$42),MATCH(ROW($J$13:$J$42),ROW($J$13:$J$42)),""),ROWS($A$13:A157)))),"")</f>
        <v/>
      </c>
      <c r="Q157" s="348" t="str">
        <f t="array" ref="Q157">IFERROR(IF($Q$11="Yes",INDEX($L$13:$L$2313,SMALL(IF((County=$M$13:$M$2313),MATCH(ROW($M$13:$M$2313),ROW($M$13:$M$2313)),""),ROWS($A$13:A157))),""),"")</f>
        <v/>
      </c>
      <c r="S157" s="346">
        <v>33325</v>
      </c>
      <c r="T157" s="345" t="s">
        <v>310</v>
      </c>
      <c r="V157" s="345">
        <v>15.15</v>
      </c>
      <c r="W157" s="345" t="s">
        <v>297</v>
      </c>
      <c r="AB157" s="347">
        <v>10.050000000000001</v>
      </c>
      <c r="AC157" s="347" t="s">
        <v>350</v>
      </c>
      <c r="AD157" s="1138"/>
      <c r="AE157" s="346">
        <v>33014</v>
      </c>
      <c r="AF157" s="345" t="s">
        <v>352</v>
      </c>
      <c r="AI157" s="934"/>
      <c r="AJ157" s="345">
        <v>155.02000000000001</v>
      </c>
      <c r="AK157" s="345" t="s">
        <v>323</v>
      </c>
      <c r="AP157" s="347">
        <v>101.02</v>
      </c>
      <c r="AQ157" s="347" t="s">
        <v>310</v>
      </c>
      <c r="AS157" s="348" t="str">
        <f t="array" ref="AS157">IFERROR(IF($AS$11="Metro",INDEX($AJ$13:$AJ$814,SMALL(IF((County=$AK$13:$AK$814),MATCH(ROW($AK$13:$AK$814),ROW($AK$13:$AK$814)),""),ROWS($A$13:$A157))),INDEX($AM$13:$AM$48,SMALL(IF((County=$AN$13:$AN$48),MATCH(ROW($AN$13:$AN$48),ROW($AN$13:$AN$48)),""),ROWS($A$13:$A157)))),"")</f>
        <v/>
      </c>
      <c r="AU157" s="348" t="str">
        <f t="array" ref="AU157">IFERROR(IF($AU$11="Yes",INDEX($AP$13:$AP$2950,SMALL(IF((County=$AQ$13:$AQ$2950),MATCH(ROW($AQ$13:$AQ$2950),ROW($AQ$13:$AQ$2950)),""),ROWS($A$13:$A157))),""),"")</f>
        <v/>
      </c>
      <c r="AW157" s="346">
        <v>33187</v>
      </c>
      <c r="AX157" s="345" t="s">
        <v>352</v>
      </c>
      <c r="AZ157" s="345">
        <v>12</v>
      </c>
      <c r="BA157" s="345" t="s">
        <v>345</v>
      </c>
      <c r="BF157" s="347">
        <v>8.01</v>
      </c>
      <c r="BG157" s="347" t="s">
        <v>325</v>
      </c>
      <c r="BH157" s="1790"/>
      <c r="BI157" s="2298">
        <v>33993</v>
      </c>
      <c r="BJ157" s="237" t="s">
        <v>344</v>
      </c>
      <c r="BM157" s="1784"/>
      <c r="BN157" s="345">
        <v>628</v>
      </c>
      <c r="BO157" s="345" t="s">
        <v>309</v>
      </c>
      <c r="BQ157" s="237">
        <v>9102.02</v>
      </c>
      <c r="BR157" s="237" t="s">
        <v>358</v>
      </c>
      <c r="BT157" s="347">
        <v>716.01</v>
      </c>
      <c r="BU157" s="347" t="s">
        <v>309</v>
      </c>
      <c r="BW157" s="348" t="str">
        <f t="array" ref="BW157">IFERROR(IF($BW$11="Metro",INDEX($BN$13:$BN$4972,SMALL(IF((County=$BO$13:$BO$4972),MATCH(ROW($BO$13:$BO$4972),ROW($BO$13:$BO$4972)),""),ROWS($A$13:$A157))),INDEX($BQ$13:$BQ$212,SMALL(IF((County=$BR$13:$BR$212),MATCH(ROW($BR$13:$BR$212),ROW($BR$13:$BR$212)),""),ROWS($A$13:$A157)))),"")</f>
        <v/>
      </c>
      <c r="BY157" s="348" t="str">
        <f t="array" ref="BY157">IFERROR(IF($BY$11="Yes",INDEX($BT$13:$BT$2950,SMALL(IF((County=$BU$13:$BU$2950),MATCH(ROW($BU$13:$BU$2950),ROW($BU$13:$BU$2950)),""),ROWS($A$13:$A157))),""),"")</f>
        <v/>
      </c>
      <c r="CA157" s="1792">
        <v>33178</v>
      </c>
      <c r="CB157" s="345" t="s">
        <v>352</v>
      </c>
      <c r="CD157" s="237">
        <v>4.01</v>
      </c>
      <c r="CE157" s="237" t="s">
        <v>337</v>
      </c>
      <c r="CG157" s="237">
        <v>9703.01</v>
      </c>
      <c r="CH157" s="237" t="s">
        <v>373</v>
      </c>
      <c r="CJ157" s="347">
        <v>8</v>
      </c>
      <c r="CK157" s="347" t="s">
        <v>345</v>
      </c>
      <c r="CL157" s="1789"/>
      <c r="CM157" s="2299"/>
      <c r="CN157" s="345"/>
      <c r="CR157" s="345"/>
      <c r="CS157" s="345"/>
      <c r="CU157" s="345"/>
      <c r="CV157" s="345"/>
      <c r="CX157" s="347"/>
      <c r="CY157" s="347"/>
      <c r="DA157" s="348"/>
      <c r="DC157" s="348"/>
      <c r="DE157" s="1792"/>
      <c r="DF157" s="345"/>
      <c r="DH157" s="237"/>
      <c r="DI157" s="237"/>
      <c r="DK157" s="345"/>
      <c r="DL157" s="345"/>
      <c r="DN157" s="347"/>
      <c r="DO157" s="347"/>
      <c r="DP157" s="2505"/>
      <c r="DT157" s="663"/>
      <c r="DU157" s="663"/>
      <c r="DV157" s="663"/>
      <c r="DW157" s="663"/>
      <c r="DX157" s="663"/>
      <c r="DY157" s="663"/>
      <c r="DZ157" s="663"/>
      <c r="EA157" s="663"/>
      <c r="EB157" s="663"/>
      <c r="EC157" s="663"/>
      <c r="ED157" s="663"/>
    </row>
    <row r="158" spans="1:134" ht="14.45" customHeight="1">
      <c r="A158" s="346">
        <v>34473</v>
      </c>
      <c r="B158" s="345" t="s">
        <v>350</v>
      </c>
      <c r="E158" s="934"/>
      <c r="F158" s="345">
        <v>18</v>
      </c>
      <c r="G158" s="345" t="s">
        <v>325</v>
      </c>
      <c r="L158" s="347">
        <v>203.17</v>
      </c>
      <c r="M158" s="347" t="s">
        <v>310</v>
      </c>
      <c r="O158" s="348" t="str">
        <f t="array" ref="O158">IFERROR(IF($O$11="Metro",INDEX($F$13:$F$738,SMALL(IF((County=$G$13:$G$738),MATCH(ROW($G$13:$G$738),ROW($G$13:$G$738)),""),ROWS($A$13:A158))),INDEX($I$13:$I$42,SMALL(IF((County=$J$13:$J$42),MATCH(ROW($J$13:$J$42),ROW($J$13:$J$42)),""),ROWS($A$13:A158)))),"")</f>
        <v/>
      </c>
      <c r="Q158" s="348" t="str">
        <f t="array" ref="Q158">IFERROR(IF($Q$11="Yes",INDEX($L$13:$L$2313,SMALL(IF((County=$M$13:$M$2313),MATCH(ROW($M$13:$M$2313),ROW($M$13:$M$2313)),""),ROWS($A$13:A158))),""),"")</f>
        <v/>
      </c>
      <c r="S158" s="346">
        <v>33326</v>
      </c>
      <c r="T158" s="345" t="s">
        <v>310</v>
      </c>
      <c r="V158" s="345">
        <v>15.16</v>
      </c>
      <c r="W158" s="345" t="s">
        <v>297</v>
      </c>
      <c r="AB158" s="347">
        <v>10.06</v>
      </c>
      <c r="AC158" s="347" t="s">
        <v>350</v>
      </c>
      <c r="AD158" s="1138"/>
      <c r="AE158" s="346">
        <v>33015</v>
      </c>
      <c r="AF158" s="345" t="s">
        <v>352</v>
      </c>
      <c r="AI158" s="934"/>
      <c r="AJ158" s="345">
        <v>160.01</v>
      </c>
      <c r="AK158" s="345" t="s">
        <v>323</v>
      </c>
      <c r="AP158" s="347">
        <v>101.03</v>
      </c>
      <c r="AQ158" s="347" t="s">
        <v>310</v>
      </c>
      <c r="AS158" s="348" t="str">
        <f t="array" ref="AS158">IFERROR(IF($AS$11="Metro",INDEX($AJ$13:$AJ$814,SMALL(IF((County=$AK$13:$AK$814),MATCH(ROW($AK$13:$AK$814),ROW($AK$13:$AK$814)),""),ROWS($A$13:$A158))),INDEX($AM$13:$AM$48,SMALL(IF((County=$AN$13:$AN$48),MATCH(ROW($AN$13:$AN$48),ROW($AN$13:$AN$48)),""),ROWS($A$13:$A158)))),"")</f>
        <v/>
      </c>
      <c r="AU158" s="348" t="str">
        <f t="array" ref="AU158">IFERROR(IF($AU$11="Yes",INDEX($AP$13:$AP$2950,SMALL(IF((County=$AQ$13:$AQ$2950),MATCH(ROW($AQ$13:$AQ$2950),ROW($AQ$13:$AQ$2950)),""),ROWS($A$13:$A158))),""),"")</f>
        <v/>
      </c>
      <c r="AW158" s="346">
        <v>33190</v>
      </c>
      <c r="AX158" s="345" t="s">
        <v>352</v>
      </c>
      <c r="AZ158" s="345">
        <v>12</v>
      </c>
      <c r="BA158" s="345" t="s">
        <v>351</v>
      </c>
      <c r="BF158" s="347">
        <v>8.01</v>
      </c>
      <c r="BG158" s="347" t="s">
        <v>368</v>
      </c>
      <c r="BH158" s="1790"/>
      <c r="BI158" s="2298">
        <v>34134</v>
      </c>
      <c r="BJ158" s="237" t="s">
        <v>344</v>
      </c>
      <c r="BM158" s="1784"/>
      <c r="BN158" s="345">
        <v>629</v>
      </c>
      <c r="BO158" s="345" t="s">
        <v>309</v>
      </c>
      <c r="BQ158" s="237">
        <v>9103</v>
      </c>
      <c r="BR158" s="237" t="s">
        <v>358</v>
      </c>
      <c r="BT158" s="347">
        <v>716.02</v>
      </c>
      <c r="BU158" s="347" t="s">
        <v>309</v>
      </c>
      <c r="BW158" s="348" t="str">
        <f t="array" ref="BW158">IFERROR(IF($BW$11="Metro",INDEX($BN$13:$BN$4972,SMALL(IF((County=$BO$13:$BO$4972),MATCH(ROW($BO$13:$BO$4972),ROW($BO$13:$BO$4972)),""),ROWS($A$13:$A158))),INDEX($BQ$13:$BQ$212,SMALL(IF((County=$BR$13:$BR$212),MATCH(ROW($BR$13:$BR$212),ROW($BR$13:$BR$212)),""),ROWS($A$13:$A158)))),"")</f>
        <v/>
      </c>
      <c r="BY158" s="348" t="str">
        <f t="array" ref="BY158">IFERROR(IF($BY$11="Yes",INDEX($BT$13:$BT$2950,SMALL(IF((County=$BU$13:$BU$2950),MATCH(ROW($BU$13:$BU$2950),ROW($BU$13:$BU$2950)),""),ROWS($A$13:$A158))),""),"")</f>
        <v/>
      </c>
      <c r="CA158" s="1792">
        <v>33179</v>
      </c>
      <c r="CB158" s="345" t="s">
        <v>352</v>
      </c>
      <c r="CD158" s="237">
        <v>4.01</v>
      </c>
      <c r="CE158" s="237" t="s">
        <v>344</v>
      </c>
      <c r="CG158" s="237">
        <v>9703.01</v>
      </c>
      <c r="CH158" s="237" t="s">
        <v>379</v>
      </c>
      <c r="CJ158" s="347">
        <v>8.01</v>
      </c>
      <c r="CK158" s="347" t="s">
        <v>325</v>
      </c>
      <c r="CL158" s="1789"/>
      <c r="CM158" s="2299"/>
      <c r="CN158" s="345"/>
      <c r="CR158" s="345"/>
      <c r="CS158" s="345"/>
      <c r="CU158" s="345"/>
      <c r="CV158" s="345"/>
      <c r="CX158" s="347"/>
      <c r="CY158" s="347"/>
      <c r="DA158" s="348"/>
      <c r="DC158" s="348"/>
      <c r="DE158" s="1792"/>
      <c r="DF158" s="345"/>
      <c r="DH158" s="237"/>
      <c r="DI158" s="237"/>
      <c r="DK158" s="345"/>
      <c r="DL158" s="345"/>
      <c r="DN158" s="347"/>
      <c r="DO158" s="347"/>
      <c r="DP158" s="2505"/>
      <c r="DT158" s="663"/>
      <c r="DU158" s="663"/>
      <c r="DV158" s="663"/>
      <c r="DW158" s="663"/>
      <c r="DX158" s="663"/>
      <c r="DY158" s="663"/>
      <c r="DZ158" s="663"/>
      <c r="EA158" s="663"/>
      <c r="EB158" s="663"/>
      <c r="EC158" s="663"/>
      <c r="ED158" s="663"/>
    </row>
    <row r="159" spans="1:134" ht="14.45" customHeight="1">
      <c r="A159" s="346">
        <v>34474</v>
      </c>
      <c r="B159" s="345" t="s">
        <v>350</v>
      </c>
      <c r="E159" s="934"/>
      <c r="F159" s="345">
        <v>19</v>
      </c>
      <c r="G159" s="345" t="s">
        <v>325</v>
      </c>
      <c r="L159" s="347">
        <v>203.18</v>
      </c>
      <c r="M159" s="347" t="s">
        <v>310</v>
      </c>
      <c r="O159" s="348" t="str">
        <f t="array" ref="O159">IFERROR(IF($O$11="Metro",INDEX($F$13:$F$738,SMALL(IF((County=$G$13:$G$738),MATCH(ROW($G$13:$G$738),ROW($G$13:$G$738)),""),ROWS($A$13:A159))),INDEX($I$13:$I$42,SMALL(IF((County=$J$13:$J$42),MATCH(ROW($J$13:$J$42),ROW($J$13:$J$42)),""),ROWS($A$13:A159)))),"")</f>
        <v/>
      </c>
      <c r="Q159" s="348" t="str">
        <f t="array" ref="Q159">IFERROR(IF($Q$11="Yes",INDEX($L$13:$L$2313,SMALL(IF((County=$M$13:$M$2313),MATCH(ROW($M$13:$M$2313),ROW($M$13:$M$2313)),""),ROWS($A$13:A159))),""),"")</f>
        <v/>
      </c>
      <c r="S159" s="346">
        <v>33327</v>
      </c>
      <c r="T159" s="345" t="s">
        <v>310</v>
      </c>
      <c r="V159" s="345">
        <v>15.17</v>
      </c>
      <c r="W159" s="345" t="s">
        <v>297</v>
      </c>
      <c r="AB159" s="347">
        <v>10.07</v>
      </c>
      <c r="AC159" s="347" t="s">
        <v>350</v>
      </c>
      <c r="AD159" s="1138"/>
      <c r="AE159" s="346">
        <v>33016</v>
      </c>
      <c r="AF159" s="345" t="s">
        <v>352</v>
      </c>
      <c r="AI159" s="934"/>
      <c r="AJ159" s="345">
        <v>160.02000000000001</v>
      </c>
      <c r="AK159" s="345" t="s">
        <v>323</v>
      </c>
      <c r="AP159" s="347">
        <v>101.04</v>
      </c>
      <c r="AQ159" s="347" t="s">
        <v>310</v>
      </c>
      <c r="AS159" s="348" t="str">
        <f t="array" ref="AS159">IFERROR(IF($AS$11="Metro",INDEX($AJ$13:$AJ$814,SMALL(IF((County=$AK$13:$AK$814),MATCH(ROW($AK$13:$AK$814),ROW($AK$13:$AK$814)),""),ROWS($A$13:$A159))),INDEX($AM$13:$AM$48,SMALL(IF((County=$AN$13:$AN$48),MATCH(ROW($AN$13:$AN$48),ROW($AN$13:$AN$48)),""),ROWS($A$13:$A159)))),"")</f>
        <v/>
      </c>
      <c r="AU159" s="348" t="str">
        <f t="array" ref="AU159">IFERROR(IF($AU$11="Yes",INDEX($AP$13:$AP$2950,SMALL(IF((County=$AQ$13:$AQ$2950),MATCH(ROW($AQ$13:$AQ$2950),ROW($AQ$13:$AQ$2950)),""),ROWS($A$13:$A159))),""),"")</f>
        <v/>
      </c>
      <c r="AW159" s="346">
        <v>33193</v>
      </c>
      <c r="AX159" s="345" t="s">
        <v>352</v>
      </c>
      <c r="AZ159" s="345">
        <v>12.07</v>
      </c>
      <c r="BA159" s="345" t="s">
        <v>352</v>
      </c>
      <c r="BF159" s="347">
        <v>8.02</v>
      </c>
      <c r="BG159" s="347" t="s">
        <v>325</v>
      </c>
      <c r="BH159" s="1790"/>
      <c r="BI159" s="2298">
        <v>34135</v>
      </c>
      <c r="BJ159" s="237" t="s">
        <v>344</v>
      </c>
      <c r="BM159" s="1784"/>
      <c r="BN159" s="345">
        <v>630</v>
      </c>
      <c r="BO159" s="345" t="s">
        <v>309</v>
      </c>
      <c r="BQ159" s="237">
        <v>9104.01</v>
      </c>
      <c r="BR159" s="237" t="s">
        <v>358</v>
      </c>
      <c r="BT159" s="347">
        <v>717</v>
      </c>
      <c r="BU159" s="347" t="s">
        <v>309</v>
      </c>
      <c r="BW159" s="348" t="str">
        <f t="array" ref="BW159">IFERROR(IF($BW$11="Metro",INDEX($BN$13:$BN$4972,SMALL(IF((County=$BO$13:$BO$4972),MATCH(ROW($BO$13:$BO$4972),ROW($BO$13:$BO$4972)),""),ROWS($A$13:$A159))),INDEX($BQ$13:$BQ$212,SMALL(IF((County=$BR$13:$BR$212),MATCH(ROW($BR$13:$BR$212),ROW($BR$13:$BR$212)),""),ROWS($A$13:$A159)))),"")</f>
        <v/>
      </c>
      <c r="BY159" s="348" t="str">
        <f t="array" ref="BY159">IFERROR(IF($BY$11="Yes",INDEX($BT$13:$BT$2950,SMALL(IF((County=$BU$13:$BU$2950),MATCH(ROW($BU$13:$BU$2950),ROW($BU$13:$BU$2950)),""),ROWS($A$13:$A159))),""),"")</f>
        <v/>
      </c>
      <c r="CA159" s="1792">
        <v>33180</v>
      </c>
      <c r="CB159" s="345" t="s">
        <v>352</v>
      </c>
      <c r="CD159" s="237">
        <v>4.01</v>
      </c>
      <c r="CE159" s="237" t="s">
        <v>350</v>
      </c>
      <c r="CG159" s="237">
        <v>9703.02</v>
      </c>
      <c r="CH159" s="237" t="s">
        <v>327</v>
      </c>
      <c r="CJ159" s="347">
        <v>8.01</v>
      </c>
      <c r="CK159" s="347" t="s">
        <v>368</v>
      </c>
      <c r="CL159" s="1789"/>
      <c r="CM159" s="2299"/>
      <c r="CN159" s="345"/>
      <c r="CR159" s="345"/>
      <c r="CS159" s="345"/>
      <c r="CU159" s="345"/>
      <c r="CV159" s="345"/>
      <c r="CX159" s="347"/>
      <c r="CY159" s="347"/>
      <c r="DA159" s="348"/>
      <c r="DC159" s="348"/>
      <c r="DE159" s="1792"/>
      <c r="DF159" s="345"/>
      <c r="DH159" s="237"/>
      <c r="DI159" s="237"/>
      <c r="DK159" s="345"/>
      <c r="DL159" s="345"/>
      <c r="DN159" s="347"/>
      <c r="DO159" s="347"/>
      <c r="DP159" s="2505"/>
      <c r="DT159" s="663"/>
      <c r="DU159" s="663"/>
      <c r="DV159" s="663"/>
      <c r="DW159" s="663"/>
      <c r="DX159" s="663"/>
      <c r="DY159" s="663"/>
      <c r="DZ159" s="663"/>
      <c r="EA159" s="663"/>
      <c r="EB159" s="663"/>
      <c r="EC159" s="663"/>
      <c r="ED159" s="663"/>
    </row>
    <row r="160" spans="1:134" ht="14.45" customHeight="1">
      <c r="A160" s="346">
        <v>34481</v>
      </c>
      <c r="B160" s="345" t="s">
        <v>350</v>
      </c>
      <c r="E160" s="934"/>
      <c r="F160" s="345">
        <v>20</v>
      </c>
      <c r="G160" s="345" t="s">
        <v>325</v>
      </c>
      <c r="L160" s="347">
        <v>203.19</v>
      </c>
      <c r="M160" s="347" t="s">
        <v>310</v>
      </c>
      <c r="O160" s="348" t="str">
        <f t="array" ref="O160">IFERROR(IF($O$11="Metro",INDEX($F$13:$F$738,SMALL(IF((County=$G$13:$G$738),MATCH(ROW($G$13:$G$738),ROW($G$13:$G$738)),""),ROWS($A$13:A160))),INDEX($I$13:$I$42,SMALL(IF((County=$J$13:$J$42),MATCH(ROW($J$13:$J$42),ROW($J$13:$J$42)),""),ROWS($A$13:A160)))),"")</f>
        <v/>
      </c>
      <c r="Q160" s="348" t="str">
        <f t="array" ref="Q160">IFERROR(IF($Q$11="Yes",INDEX($L$13:$L$2313,SMALL(IF((County=$M$13:$M$2313),MATCH(ROW($M$13:$M$2313),ROW($M$13:$M$2313)),""),ROWS($A$13:A160))),""),"")</f>
        <v/>
      </c>
      <c r="S160" s="346">
        <v>33328</v>
      </c>
      <c r="T160" s="345" t="s">
        <v>310</v>
      </c>
      <c r="V160" s="345">
        <v>15.19</v>
      </c>
      <c r="W160" s="345" t="s">
        <v>297</v>
      </c>
      <c r="AB160" s="347">
        <v>10.08</v>
      </c>
      <c r="AC160" s="347" t="s">
        <v>350</v>
      </c>
      <c r="AD160" s="1138"/>
      <c r="AE160" s="346">
        <v>33018</v>
      </c>
      <c r="AF160" s="345" t="s">
        <v>352</v>
      </c>
      <c r="AI160" s="934"/>
      <c r="AJ160" s="345">
        <v>163</v>
      </c>
      <c r="AK160" s="345" t="s">
        <v>323</v>
      </c>
      <c r="AP160" s="347">
        <v>103.08</v>
      </c>
      <c r="AQ160" s="347" t="s">
        <v>310</v>
      </c>
      <c r="AS160" s="348" t="str">
        <f t="array" ref="AS160">IFERROR(IF($AS$11="Metro",INDEX($AJ$13:$AJ$814,SMALL(IF((County=$AK$13:$AK$814),MATCH(ROW($AK$13:$AK$814),ROW($AK$13:$AK$814)),""),ROWS($A$13:$A160))),INDEX($AM$13:$AM$48,SMALL(IF((County=$AN$13:$AN$48),MATCH(ROW($AN$13:$AN$48),ROW($AN$13:$AN$48)),""),ROWS($A$13:$A160)))),"")</f>
        <v/>
      </c>
      <c r="AU160" s="348" t="str">
        <f t="array" ref="AU160">IFERROR(IF($AU$11="Yes",INDEX($AP$13:$AP$2950,SMALL(IF((County=$AQ$13:$AQ$2950),MATCH(ROW($AQ$13:$AQ$2950),ROW($AQ$13:$AQ$2950)),""),ROWS($A$13:$A160))),""),"")</f>
        <v/>
      </c>
      <c r="AW160" s="346">
        <v>33194</v>
      </c>
      <c r="AX160" s="345" t="s">
        <v>352</v>
      </c>
      <c r="AZ160" s="345">
        <v>12.08</v>
      </c>
      <c r="BA160" s="345" t="s">
        <v>352</v>
      </c>
      <c r="BF160" s="347">
        <v>8.02</v>
      </c>
      <c r="BG160" s="347" t="s">
        <v>368</v>
      </c>
      <c r="BH160" s="1790"/>
      <c r="BI160" s="2298">
        <v>34201</v>
      </c>
      <c r="BJ160" s="237" t="s">
        <v>349</v>
      </c>
      <c r="BM160" s="1784"/>
      <c r="BN160" s="345">
        <v>631.02</v>
      </c>
      <c r="BO160" s="345" t="s">
        <v>309</v>
      </c>
      <c r="BQ160" s="237">
        <v>9104.02</v>
      </c>
      <c r="BR160" s="237" t="s">
        <v>358</v>
      </c>
      <c r="BT160" s="347">
        <v>101.02</v>
      </c>
      <c r="BU160" s="347" t="s">
        <v>310</v>
      </c>
      <c r="BW160" s="348" t="str">
        <f t="array" ref="BW160">IFERROR(IF($BW$11="Metro",INDEX($BN$13:$BN$4972,SMALL(IF((County=$BO$13:$BO$4972),MATCH(ROW($BO$13:$BO$4972),ROW($BO$13:$BO$4972)),""),ROWS($A$13:$A160))),INDEX($BQ$13:$BQ$212,SMALL(IF((County=$BR$13:$BR$212),MATCH(ROW($BR$13:$BR$212),ROW($BR$13:$BR$212)),""),ROWS($A$13:$A160)))),"")</f>
        <v/>
      </c>
      <c r="BY160" s="348" t="str">
        <f t="array" ref="BY160">IFERROR(IF($BY$11="Yes",INDEX($BT$13:$BT$2950,SMALL(IF((County=$BU$13:$BU$2950),MATCH(ROW($BU$13:$BU$2950),ROW($BU$13:$BU$2950)),""),ROWS($A$13:$A160))),""),"")</f>
        <v/>
      </c>
      <c r="CA160" s="1792">
        <v>33182</v>
      </c>
      <c r="CB160" s="345" t="s">
        <v>352</v>
      </c>
      <c r="CD160" s="237">
        <v>4.01</v>
      </c>
      <c r="CE160" s="237" t="s">
        <v>368</v>
      </c>
      <c r="CG160" s="237">
        <v>9703.02</v>
      </c>
      <c r="CH160" s="237" t="s">
        <v>333</v>
      </c>
      <c r="CJ160" s="347">
        <v>8.02</v>
      </c>
      <c r="CK160" s="347" t="s">
        <v>325</v>
      </c>
      <c r="CL160" s="1789"/>
      <c r="CM160" s="2299"/>
      <c r="CN160" s="345"/>
      <c r="CR160" s="345"/>
      <c r="CS160" s="345"/>
      <c r="CU160" s="345"/>
      <c r="CV160" s="345"/>
      <c r="CX160" s="347"/>
      <c r="CY160" s="347"/>
      <c r="DA160" s="348"/>
      <c r="DC160" s="348"/>
      <c r="DE160" s="1792"/>
      <c r="DF160" s="345"/>
      <c r="DH160" s="237"/>
      <c r="DI160" s="237"/>
      <c r="DK160" s="345"/>
      <c r="DL160" s="345"/>
      <c r="DN160" s="347"/>
      <c r="DO160" s="347"/>
      <c r="DP160" s="2505"/>
      <c r="DT160" s="663"/>
      <c r="DU160" s="663"/>
      <c r="DV160" s="663"/>
      <c r="DW160" s="663"/>
      <c r="DX160" s="663"/>
      <c r="DY160" s="663"/>
      <c r="DZ160" s="663"/>
      <c r="EA160" s="663"/>
      <c r="EB160" s="663"/>
      <c r="EC160" s="663"/>
      <c r="ED160" s="663"/>
    </row>
    <row r="161" spans="1:134" ht="14.45" customHeight="1">
      <c r="A161" s="346">
        <v>34491</v>
      </c>
      <c r="B161" s="345" t="s">
        <v>350</v>
      </c>
      <c r="E161" s="934"/>
      <c r="F161" s="345">
        <v>21</v>
      </c>
      <c r="G161" s="345" t="s">
        <v>325</v>
      </c>
      <c r="L161" s="347">
        <v>203.2</v>
      </c>
      <c r="M161" s="347" t="s">
        <v>310</v>
      </c>
      <c r="O161" s="348" t="str">
        <f t="array" ref="O161">IFERROR(IF($O$11="Metro",INDEX($F$13:$F$738,SMALL(IF((County=$G$13:$G$738),MATCH(ROW($G$13:$G$738),ROW($G$13:$G$738)),""),ROWS($A$13:A161))),INDEX($I$13:$I$42,SMALL(IF((County=$J$13:$J$42),MATCH(ROW($J$13:$J$42),ROW($J$13:$J$42)),""),ROWS($A$13:A161)))),"")</f>
        <v/>
      </c>
      <c r="Q161" s="348" t="str">
        <f t="array" ref="Q161">IFERROR(IF($Q$11="Yes",INDEX($L$13:$L$2313,SMALL(IF((County=$M$13:$M$2313),MATCH(ROW($M$13:$M$2313),ROW($M$13:$M$2313)),""),ROWS($A$13:A161))),""),"")</f>
        <v/>
      </c>
      <c r="S161" s="346">
        <v>33330</v>
      </c>
      <c r="T161" s="345" t="s">
        <v>310</v>
      </c>
      <c r="V161" s="345">
        <v>15.21</v>
      </c>
      <c r="W161" s="345" t="s">
        <v>297</v>
      </c>
      <c r="AB161" s="347">
        <v>11</v>
      </c>
      <c r="AC161" s="347" t="s">
        <v>297</v>
      </c>
      <c r="AD161" s="1138"/>
      <c r="AE161" s="346">
        <v>33035</v>
      </c>
      <c r="AF161" s="345" t="s">
        <v>352</v>
      </c>
      <c r="AI161" s="934"/>
      <c r="AJ161" s="345">
        <v>166.05</v>
      </c>
      <c r="AK161" s="345" t="s">
        <v>323</v>
      </c>
      <c r="AP161" s="347">
        <v>104.01</v>
      </c>
      <c r="AQ161" s="347" t="s">
        <v>310</v>
      </c>
      <c r="AS161" s="348" t="str">
        <f t="array" ref="AS161">IFERROR(IF($AS$11="Metro",INDEX($AJ$13:$AJ$814,SMALL(IF((County=$AK$13:$AK$814),MATCH(ROW($AK$13:$AK$814),ROW($AK$13:$AK$814)),""),ROWS($A$13:$A161))),INDEX($AM$13:$AM$48,SMALL(IF((County=$AN$13:$AN$48),MATCH(ROW($AN$13:$AN$48),ROW($AN$13:$AN$48)),""),ROWS($A$13:$A161)))),"")</f>
        <v/>
      </c>
      <c r="AU161" s="348" t="str">
        <f t="array" ref="AU161">IFERROR(IF($AU$11="Yes",INDEX($AP$13:$AP$2950,SMALL(IF((County=$AQ$13:$AQ$2950),MATCH(ROW($AQ$13:$AQ$2950),ROW($AQ$13:$AQ$2950)),""),ROWS($A$13:$A161))),""),"")</f>
        <v/>
      </c>
      <c r="AW161" s="346">
        <v>33196</v>
      </c>
      <c r="AX161" s="345" t="s">
        <v>352</v>
      </c>
      <c r="AZ161" s="345">
        <v>12.09</v>
      </c>
      <c r="BA161" s="345" t="s">
        <v>352</v>
      </c>
      <c r="BF161" s="347">
        <v>8.0299999999999994</v>
      </c>
      <c r="BG161" s="347" t="s">
        <v>361</v>
      </c>
      <c r="BH161" s="1790"/>
      <c r="BI161" s="2298">
        <v>34202</v>
      </c>
      <c r="BJ161" s="237" t="s">
        <v>349</v>
      </c>
      <c r="BM161" s="1784"/>
      <c r="BN161" s="345">
        <v>631.04</v>
      </c>
      <c r="BO161" s="345" t="s">
        <v>309</v>
      </c>
      <c r="BQ161" s="237">
        <v>9104.0300000000007</v>
      </c>
      <c r="BR161" s="237" t="s">
        <v>358</v>
      </c>
      <c r="BT161" s="347">
        <v>101.03</v>
      </c>
      <c r="BU161" s="347" t="s">
        <v>310</v>
      </c>
      <c r="BW161" s="348" t="str">
        <f t="array" ref="BW161">IFERROR(IF($BW$11="Metro",INDEX($BN$13:$BN$4972,SMALL(IF((County=$BO$13:$BO$4972),MATCH(ROW($BO$13:$BO$4972),ROW($BO$13:$BO$4972)),""),ROWS($A$13:$A161))),INDEX($BQ$13:$BQ$212,SMALL(IF((County=$BR$13:$BR$212),MATCH(ROW($BR$13:$BR$212),ROW($BR$13:$BR$212)),""),ROWS($A$13:$A161)))),"")</f>
        <v/>
      </c>
      <c r="BY161" s="348" t="str">
        <f t="array" ref="BY161">IFERROR(IF($BY$11="Yes",INDEX($BT$13:$BT$2950,SMALL(IF((County=$BU$13:$BU$2950),MATCH(ROW($BU$13:$BU$2950),ROW($BU$13:$BU$2950)),""),ROWS($A$13:$A161))),""),"")</f>
        <v/>
      </c>
      <c r="CA161" s="1792">
        <v>33183</v>
      </c>
      <c r="CB161" s="345" t="s">
        <v>352</v>
      </c>
      <c r="CD161" s="345">
        <v>4.0199999999999996</v>
      </c>
      <c r="CE161" s="345" t="s">
        <v>306</v>
      </c>
      <c r="CG161" s="237">
        <v>9703.02</v>
      </c>
      <c r="CH161" s="237" t="s">
        <v>379</v>
      </c>
      <c r="CJ161" s="347">
        <v>8.02</v>
      </c>
      <c r="CK161" s="347" t="s">
        <v>368</v>
      </c>
      <c r="CL161" s="1789"/>
      <c r="CM161" s="2299"/>
      <c r="CN161" s="345"/>
      <c r="CR161" s="345"/>
      <c r="CS161" s="345"/>
      <c r="CU161" s="345"/>
      <c r="CV161" s="345"/>
      <c r="CX161" s="347"/>
      <c r="CY161" s="347"/>
      <c r="DA161" s="348"/>
      <c r="DC161" s="348"/>
      <c r="DE161" s="1792"/>
      <c r="DF161" s="345"/>
      <c r="DH161" s="237"/>
      <c r="DI161" s="237"/>
      <c r="DK161" s="345"/>
      <c r="DL161" s="345"/>
      <c r="DN161" s="347"/>
      <c r="DO161" s="347"/>
      <c r="DP161" s="2505"/>
      <c r="DT161" s="663"/>
      <c r="DU161" s="663"/>
      <c r="DV161" s="663"/>
      <c r="DW161" s="663"/>
      <c r="DX161" s="663"/>
      <c r="DY161" s="663"/>
      <c r="DZ161" s="663"/>
      <c r="EA161" s="663"/>
      <c r="EB161" s="663"/>
      <c r="EC161" s="663"/>
      <c r="ED161" s="663"/>
    </row>
    <row r="162" spans="1:134" ht="14.45" customHeight="1">
      <c r="A162" s="346">
        <v>34990</v>
      </c>
      <c r="B162" s="345" t="s">
        <v>351</v>
      </c>
      <c r="E162" s="934"/>
      <c r="F162" s="345">
        <v>22</v>
      </c>
      <c r="G162" s="345" t="s">
        <v>325</v>
      </c>
      <c r="L162" s="347">
        <v>203.21</v>
      </c>
      <c r="M162" s="347" t="s">
        <v>310</v>
      </c>
      <c r="O162" s="348" t="str">
        <f t="array" ref="O162">IFERROR(IF($O$11="Metro",INDEX($F$13:$F$738,SMALL(IF((County=$G$13:$G$738),MATCH(ROW($G$13:$G$738),ROW($G$13:$G$738)),""),ROWS($A$13:A162))),INDEX($I$13:$I$42,SMALL(IF((County=$J$13:$J$42),MATCH(ROW($J$13:$J$42),ROW($J$13:$J$42)),""),ROWS($A$13:A162)))),"")</f>
        <v/>
      </c>
      <c r="Q162" s="348" t="str">
        <f t="array" ref="Q162">IFERROR(IF($Q$11="Yes",INDEX($L$13:$L$2313,SMALL(IF((County=$M$13:$M$2313),MATCH(ROW($M$13:$M$2313),ROW($M$13:$M$2313)),""),ROWS($A$13:A162))),""),"")</f>
        <v/>
      </c>
      <c r="S162" s="346">
        <v>33331</v>
      </c>
      <c r="T162" s="345" t="s">
        <v>310</v>
      </c>
      <c r="V162" s="345">
        <v>16</v>
      </c>
      <c r="W162" s="345" t="s">
        <v>306</v>
      </c>
      <c r="AB162" s="347">
        <v>11</v>
      </c>
      <c r="AC162" s="347" t="s">
        <v>337</v>
      </c>
      <c r="AD162" s="1138"/>
      <c r="AE162" s="346">
        <v>33055</v>
      </c>
      <c r="AF162" s="345" t="s">
        <v>352</v>
      </c>
      <c r="AI162" s="934"/>
      <c r="AJ162" s="345">
        <v>166.06</v>
      </c>
      <c r="AK162" s="345" t="s">
        <v>323</v>
      </c>
      <c r="AP162" s="347">
        <v>104.06</v>
      </c>
      <c r="AQ162" s="347" t="s">
        <v>310</v>
      </c>
      <c r="AS162" s="348" t="str">
        <f t="array" ref="AS162">IFERROR(IF($AS$11="Metro",INDEX($AJ$13:$AJ$814,SMALL(IF((County=$AK$13:$AK$814),MATCH(ROW($AK$13:$AK$814),ROW($AK$13:$AK$814)),""),ROWS($A$13:$A162))),INDEX($AM$13:$AM$48,SMALL(IF((County=$AN$13:$AN$48),MATCH(ROW($AN$13:$AN$48),ROW($AN$13:$AN$48)),""),ROWS($A$13:$A162)))),"")</f>
        <v/>
      </c>
      <c r="AU162" s="348" t="str">
        <f t="array" ref="AU162">IFERROR(IF($AU$11="Yes",INDEX($AP$13:$AP$2950,SMALL(IF((County=$AQ$13:$AQ$2950),MATCH(ROW($AQ$13:$AQ$2950),ROW($AQ$13:$AQ$2950)),""),ROWS($A$13:$A162))),""),"")</f>
        <v/>
      </c>
      <c r="AW162" s="346">
        <v>33301</v>
      </c>
      <c r="AX162" s="345" t="s">
        <v>310</v>
      </c>
      <c r="AZ162" s="345">
        <v>13</v>
      </c>
      <c r="BA162" s="345" t="s">
        <v>323</v>
      </c>
      <c r="BF162" s="347">
        <v>8.0399999999999991</v>
      </c>
      <c r="BG162" s="347" t="s">
        <v>349</v>
      </c>
      <c r="BH162" s="1790"/>
      <c r="BI162" s="2298">
        <v>34209</v>
      </c>
      <c r="BJ162" s="237" t="s">
        <v>349</v>
      </c>
      <c r="BM162" s="1784"/>
      <c r="BN162" s="345">
        <v>631.04999999999995</v>
      </c>
      <c r="BO162" s="345" t="s">
        <v>309</v>
      </c>
      <c r="BQ162" s="237">
        <v>9105</v>
      </c>
      <c r="BR162" s="237" t="s">
        <v>358</v>
      </c>
      <c r="BT162" s="347">
        <v>101.04</v>
      </c>
      <c r="BU162" s="347" t="s">
        <v>310</v>
      </c>
      <c r="BW162" s="348" t="str">
        <f t="array" ref="BW162">IFERROR(IF($BW$11="Metro",INDEX($BN$13:$BN$4972,SMALL(IF((County=$BO$13:$BO$4972),MATCH(ROW($BO$13:$BO$4972),ROW($BO$13:$BO$4972)),""),ROWS($A$13:$A162))),INDEX($BQ$13:$BQ$212,SMALL(IF((County=$BR$13:$BR$212),MATCH(ROW($BR$13:$BR$212),ROW($BR$13:$BR$212)),""),ROWS($A$13:$A162)))),"")</f>
        <v/>
      </c>
      <c r="BY162" s="348" t="str">
        <f t="array" ref="BY162">IFERROR(IF($BY$11="Yes",INDEX($BT$13:$BT$2950,SMALL(IF((County=$BU$13:$BU$2950),MATCH(ROW($BU$13:$BU$2950),ROW($BU$13:$BU$2950)),""),ROWS($A$13:$A162))),""),"")</f>
        <v/>
      </c>
      <c r="CA162" s="1792">
        <v>33184</v>
      </c>
      <c r="CB162" s="345" t="s">
        <v>352</v>
      </c>
      <c r="CD162" s="237">
        <v>4.0199999999999996</v>
      </c>
      <c r="CE162" s="237" t="s">
        <v>318</v>
      </c>
      <c r="CG162" s="237">
        <v>9703.0300000000007</v>
      </c>
      <c r="CH162" s="237" t="s">
        <v>373</v>
      </c>
      <c r="CJ162" s="347">
        <v>8.0299999999999994</v>
      </c>
      <c r="CK162" s="347" t="s">
        <v>361</v>
      </c>
      <c r="CL162" s="1789"/>
      <c r="CM162" s="2299"/>
      <c r="CN162" s="345"/>
      <c r="CR162" s="345"/>
      <c r="CS162" s="345"/>
      <c r="CU162" s="345"/>
      <c r="CV162" s="345"/>
      <c r="CX162" s="347"/>
      <c r="CY162" s="347"/>
      <c r="DA162" s="348"/>
      <c r="DC162" s="348"/>
      <c r="DE162" s="1792"/>
      <c r="DF162" s="345"/>
      <c r="DH162" s="237"/>
      <c r="DI162" s="237"/>
      <c r="DK162" s="345"/>
      <c r="DL162" s="345"/>
      <c r="DN162" s="347"/>
      <c r="DO162" s="347"/>
      <c r="DP162" s="2505"/>
      <c r="DT162" s="663"/>
      <c r="DU162" s="663"/>
      <c r="DV162" s="663"/>
      <c r="DW162" s="663"/>
      <c r="DX162" s="663"/>
      <c r="DY162" s="663"/>
      <c r="DZ162" s="663"/>
      <c r="EA162" s="663"/>
      <c r="EB162" s="663"/>
      <c r="EC162" s="663"/>
      <c r="ED162" s="663"/>
    </row>
    <row r="163" spans="1:134" ht="14.45" customHeight="1">
      <c r="A163" s="346">
        <v>33014</v>
      </c>
      <c r="B163" s="345" t="s">
        <v>352</v>
      </c>
      <c r="E163" s="934"/>
      <c r="F163" s="345">
        <v>27.03</v>
      </c>
      <c r="G163" s="345" t="s">
        <v>325</v>
      </c>
      <c r="L163" s="347">
        <v>203.22</v>
      </c>
      <c r="M163" s="347" t="s">
        <v>310</v>
      </c>
      <c r="O163" s="348" t="str">
        <f t="array" ref="O163">IFERROR(IF($O$11="Metro",INDEX($F$13:$F$738,SMALL(IF((County=$G$13:$G$738),MATCH(ROW($G$13:$G$738),ROW($G$13:$G$738)),""),ROWS($A$13:A163))),INDEX($I$13:$I$42,SMALL(IF((County=$J$13:$J$42),MATCH(ROW($J$13:$J$42),ROW($J$13:$J$42)),""),ROWS($A$13:A163)))),"")</f>
        <v/>
      </c>
      <c r="Q163" s="348" t="str">
        <f t="array" ref="Q163">IFERROR(IF($Q$11="Yes",INDEX($L$13:$L$2313,SMALL(IF((County=$M$13:$M$2313),MATCH(ROW($M$13:$M$2313),ROW($M$13:$M$2313)),""),ROWS($A$13:A163))),""),"")</f>
        <v/>
      </c>
      <c r="S163" s="346">
        <v>33332</v>
      </c>
      <c r="T163" s="345" t="s">
        <v>310</v>
      </c>
      <c r="V163" s="345">
        <v>16</v>
      </c>
      <c r="W163" s="345" t="s">
        <v>323</v>
      </c>
      <c r="AB163" s="347">
        <v>11.01</v>
      </c>
      <c r="AC163" s="347" t="s">
        <v>325</v>
      </c>
      <c r="AD163" s="1138"/>
      <c r="AE163" s="346">
        <v>33109</v>
      </c>
      <c r="AF163" s="345" t="s">
        <v>352</v>
      </c>
      <c r="AI163" s="934"/>
      <c r="AJ163" s="345">
        <v>172</v>
      </c>
      <c r="AK163" s="345" t="s">
        <v>323</v>
      </c>
      <c r="AP163" s="347">
        <v>105.02</v>
      </c>
      <c r="AQ163" s="347" t="s">
        <v>310</v>
      </c>
      <c r="AS163" s="348" t="str">
        <f t="array" ref="AS163">IFERROR(IF($AS$11="Metro",INDEX($AJ$13:$AJ$814,SMALL(IF((County=$AK$13:$AK$814),MATCH(ROW($AK$13:$AK$814),ROW($AK$13:$AK$814)),""),ROWS($A$13:$A163))),INDEX($AM$13:$AM$48,SMALL(IF((County=$AN$13:$AN$48),MATCH(ROW($AN$13:$AN$48),ROW($AN$13:$AN$48)),""),ROWS($A$13:$A163)))),"")</f>
        <v/>
      </c>
      <c r="AU163" s="348" t="str">
        <f t="array" ref="AU163">IFERROR(IF($AU$11="Yes",INDEX($AP$13:$AP$2950,SMALL(IF((County=$AQ$13:$AQ$2950),MATCH(ROW($AQ$13:$AQ$2950),ROW($AQ$13:$AQ$2950)),""),ROWS($A$13:$A163))),""),"")</f>
        <v/>
      </c>
      <c r="AW163" s="346">
        <v>33304</v>
      </c>
      <c r="AX163" s="345" t="s">
        <v>310</v>
      </c>
      <c r="AZ163" s="345">
        <v>13.01</v>
      </c>
      <c r="BA163" s="345" t="s">
        <v>352</v>
      </c>
      <c r="BF163" s="347">
        <v>8.0500000000000007</v>
      </c>
      <c r="BG163" s="347" t="s">
        <v>349</v>
      </c>
      <c r="BH163" s="1790"/>
      <c r="BI163" s="2298">
        <v>34211</v>
      </c>
      <c r="BJ163" s="237" t="s">
        <v>349</v>
      </c>
      <c r="BM163" s="1784"/>
      <c r="BN163" s="345">
        <v>631.05999999999995</v>
      </c>
      <c r="BO163" s="345" t="s">
        <v>309</v>
      </c>
      <c r="BQ163" s="237">
        <v>9106.01</v>
      </c>
      <c r="BR163" s="237" t="s">
        <v>358</v>
      </c>
      <c r="BT163" s="347">
        <v>103.08</v>
      </c>
      <c r="BU163" s="347" t="s">
        <v>310</v>
      </c>
      <c r="BW163" s="348" t="str">
        <f t="array" ref="BW163">IFERROR(IF($BW$11="Metro",INDEX($BN$13:$BN$4972,SMALL(IF((County=$BO$13:$BO$4972),MATCH(ROW($BO$13:$BO$4972),ROW($BO$13:$BO$4972)),""),ROWS($A$13:$A163))),INDEX($BQ$13:$BQ$212,SMALL(IF((County=$BR$13:$BR$212),MATCH(ROW($BR$13:$BR$212),ROW($BR$13:$BR$212)),""),ROWS($A$13:$A163)))),"")</f>
        <v/>
      </c>
      <c r="BY163" s="348" t="str">
        <f t="array" ref="BY163">IFERROR(IF($BY$11="Yes",INDEX($BT$13:$BT$2950,SMALL(IF((County=$BU$13:$BU$2950),MATCH(ROW($BU$13:$BU$2950),ROW($BU$13:$BU$2950)),""),ROWS($A$13:$A163))),""),"")</f>
        <v/>
      </c>
      <c r="CA163" s="1792">
        <v>33185</v>
      </c>
      <c r="CB163" s="345" t="s">
        <v>352</v>
      </c>
      <c r="CD163" s="237">
        <v>4.0199999999999996</v>
      </c>
      <c r="CE163" s="237" t="s">
        <v>337</v>
      </c>
      <c r="CG163" s="237">
        <v>9703.0300000000007</v>
      </c>
      <c r="CH163" s="237" t="s">
        <v>379</v>
      </c>
      <c r="CJ163" s="347">
        <v>8.0399999999999991</v>
      </c>
      <c r="CK163" s="347" t="s">
        <v>349</v>
      </c>
      <c r="CL163" s="1789"/>
      <c r="CM163" s="2299"/>
      <c r="CN163" s="345"/>
      <c r="CR163" s="345"/>
      <c r="CS163" s="345"/>
      <c r="CU163" s="345"/>
      <c r="CV163" s="345"/>
      <c r="CX163" s="347"/>
      <c r="CY163" s="347"/>
      <c r="DA163" s="348"/>
      <c r="DC163" s="348"/>
      <c r="DE163" s="1792"/>
      <c r="DF163" s="345"/>
      <c r="DH163" s="237"/>
      <c r="DI163" s="237"/>
      <c r="DK163" s="345"/>
      <c r="DL163" s="345"/>
      <c r="DN163" s="347"/>
      <c r="DO163" s="347"/>
      <c r="DP163" s="2505"/>
      <c r="DT163" s="663"/>
      <c r="DU163" s="663"/>
      <c r="DV163" s="663"/>
      <c r="DW163" s="663"/>
      <c r="DX163" s="663"/>
      <c r="DY163" s="663"/>
      <c r="DZ163" s="663"/>
      <c r="EA163" s="663"/>
      <c r="EB163" s="663"/>
      <c r="EC163" s="663"/>
      <c r="ED163" s="663"/>
    </row>
    <row r="164" spans="1:134" ht="14.45" customHeight="1">
      <c r="A164" s="346">
        <v>33015</v>
      </c>
      <c r="B164" s="345" t="s">
        <v>352</v>
      </c>
      <c r="E164" s="934"/>
      <c r="F164" s="345">
        <v>29</v>
      </c>
      <c r="G164" s="345" t="s">
        <v>325</v>
      </c>
      <c r="L164" s="347">
        <v>203.25</v>
      </c>
      <c r="M164" s="347" t="s">
        <v>310</v>
      </c>
      <c r="O164" s="348" t="str">
        <f t="array" ref="O164">IFERROR(IF($O$11="Metro",INDEX($F$13:$F$738,SMALL(IF((County=$G$13:$G$738),MATCH(ROW($G$13:$G$738),ROW($G$13:$G$738)),""),ROWS($A$13:A164))),INDEX($I$13:$I$42,SMALL(IF((County=$J$13:$J$42),MATCH(ROW($J$13:$J$42),ROW($J$13:$J$42)),""),ROWS($A$13:A164)))),"")</f>
        <v/>
      </c>
      <c r="Q164" s="348" t="str">
        <f t="array" ref="Q164">IFERROR(IF($Q$11="Yes",INDEX($L$13:$L$2313,SMALL(IF((County=$M$13:$M$2313),MATCH(ROW($M$13:$M$2313),ROW($M$13:$M$2313)),""),ROWS($A$13:A164))),""),"")</f>
        <v/>
      </c>
      <c r="S164" s="346">
        <v>33351</v>
      </c>
      <c r="T164" s="345" t="s">
        <v>310</v>
      </c>
      <c r="V164" s="345">
        <v>16</v>
      </c>
      <c r="W164" s="345" t="s">
        <v>325</v>
      </c>
      <c r="AB164" s="347">
        <v>11.01</v>
      </c>
      <c r="AC164" s="347" t="s">
        <v>361</v>
      </c>
      <c r="AD164" s="1138"/>
      <c r="AE164" s="346">
        <v>33126</v>
      </c>
      <c r="AF164" s="345" t="s">
        <v>352</v>
      </c>
      <c r="AI164" s="934"/>
      <c r="AJ164" s="345">
        <v>174</v>
      </c>
      <c r="AK164" s="345" t="s">
        <v>323</v>
      </c>
      <c r="AP164" s="347">
        <v>105.03</v>
      </c>
      <c r="AQ164" s="347" t="s">
        <v>310</v>
      </c>
      <c r="AS164" s="348" t="str">
        <f t="array" ref="AS164">IFERROR(IF($AS$11="Metro",INDEX($AJ$13:$AJ$814,SMALL(IF((County=$AK$13:$AK$814),MATCH(ROW($AK$13:$AK$814),ROW($AK$13:$AK$814)),""),ROWS($A$13:$A164))),INDEX($AM$13:$AM$48,SMALL(IF((County=$AN$13:$AN$48),MATCH(ROW($AN$13:$AN$48),ROW($AN$13:$AN$48)),""),ROWS($A$13:$A164)))),"")</f>
        <v/>
      </c>
      <c r="AU164" s="348" t="str">
        <f t="array" ref="AU164">IFERROR(IF($AU$11="Yes",INDEX($AP$13:$AP$2950,SMALL(IF((County=$AQ$13:$AQ$2950),MATCH(ROW($AQ$13:$AQ$2950),ROW($AQ$13:$AQ$2950)),""),ROWS($A$13:$A164))),""),"")</f>
        <v/>
      </c>
      <c r="AW164" s="346">
        <v>33308</v>
      </c>
      <c r="AX164" s="345" t="s">
        <v>310</v>
      </c>
      <c r="AZ164" s="345">
        <v>13.01</v>
      </c>
      <c r="BA164" s="345" t="s">
        <v>361</v>
      </c>
      <c r="BF164" s="347">
        <v>8.0500000000000007</v>
      </c>
      <c r="BG164" s="347" t="s">
        <v>361</v>
      </c>
      <c r="BH164" s="1790"/>
      <c r="BI164" s="2298">
        <v>34212</v>
      </c>
      <c r="BJ164" s="237" t="s">
        <v>349</v>
      </c>
      <c r="BM164" s="1784"/>
      <c r="BN164" s="345">
        <v>631.08000000000004</v>
      </c>
      <c r="BO164" s="345" t="s">
        <v>309</v>
      </c>
      <c r="BQ164" s="237">
        <v>9106.02</v>
      </c>
      <c r="BR164" s="237" t="s">
        <v>358</v>
      </c>
      <c r="BT164" s="347">
        <v>104.01</v>
      </c>
      <c r="BU164" s="347" t="s">
        <v>310</v>
      </c>
      <c r="BW164" s="348" t="str">
        <f t="array" ref="BW164">IFERROR(IF($BW$11="Metro",INDEX($BN$13:$BN$4972,SMALL(IF((County=$BO$13:$BO$4972),MATCH(ROW($BO$13:$BO$4972),ROW($BO$13:$BO$4972)),""),ROWS($A$13:$A164))),INDEX($BQ$13:$BQ$212,SMALL(IF((County=$BR$13:$BR$212),MATCH(ROW($BR$13:$BR$212),ROW($BR$13:$BR$212)),""),ROWS($A$13:$A164)))),"")</f>
        <v/>
      </c>
      <c r="BY164" s="348" t="str">
        <f t="array" ref="BY164">IFERROR(IF($BY$11="Yes",INDEX($BT$13:$BT$2950,SMALL(IF((County=$BU$13:$BU$2950),MATCH(ROW($BU$13:$BU$2950),ROW($BU$13:$BU$2950)),""),ROWS($A$13:$A164))),""),"")</f>
        <v/>
      </c>
      <c r="CA164" s="1792">
        <v>33186</v>
      </c>
      <c r="CB164" s="345" t="s">
        <v>352</v>
      </c>
      <c r="CD164" s="237">
        <v>4.0199999999999996</v>
      </c>
      <c r="CE164" s="237" t="s">
        <v>344</v>
      </c>
      <c r="CG164" s="237">
        <v>9703.0400000000009</v>
      </c>
      <c r="CH164" s="237" t="s">
        <v>327</v>
      </c>
      <c r="CJ164" s="347">
        <v>8.0500000000000007</v>
      </c>
      <c r="CK164" s="347" t="s">
        <v>349</v>
      </c>
      <c r="CL164" s="1789"/>
      <c r="CM164" s="2299"/>
      <c r="CN164" s="345"/>
      <c r="CR164" s="345"/>
      <c r="CS164" s="345"/>
      <c r="CU164" s="345"/>
      <c r="CV164" s="345"/>
      <c r="CX164" s="347"/>
      <c r="CY164" s="347"/>
      <c r="DA164" s="348"/>
      <c r="DC164" s="348"/>
      <c r="DE164" s="1792"/>
      <c r="DF164" s="345"/>
      <c r="DH164" s="237"/>
      <c r="DI164" s="237"/>
      <c r="DK164" s="345"/>
      <c r="DL164" s="345"/>
      <c r="DN164" s="347"/>
      <c r="DO164" s="347"/>
      <c r="DP164" s="2505"/>
      <c r="DT164" s="663"/>
      <c r="DU164" s="663"/>
      <c r="DV164" s="663"/>
      <c r="DW164" s="663"/>
      <c r="DX164" s="663"/>
      <c r="DY164" s="663"/>
      <c r="DZ164" s="663"/>
      <c r="EA164" s="663"/>
      <c r="EB164" s="663"/>
      <c r="EC164" s="663"/>
      <c r="ED164" s="663"/>
    </row>
    <row r="165" spans="1:134" ht="14.45" customHeight="1">
      <c r="A165" s="346">
        <v>33018</v>
      </c>
      <c r="B165" s="345" t="s">
        <v>352</v>
      </c>
      <c r="E165" s="934"/>
      <c r="F165" s="345">
        <v>35.06</v>
      </c>
      <c r="G165" s="345" t="s">
        <v>325</v>
      </c>
      <c r="L165" s="347">
        <v>203.26</v>
      </c>
      <c r="M165" s="347" t="s">
        <v>310</v>
      </c>
      <c r="O165" s="348" t="str">
        <f t="array" ref="O165">IFERROR(IF($O$11="Metro",INDEX($F$13:$F$738,SMALL(IF((County=$G$13:$G$738),MATCH(ROW($G$13:$G$738),ROW($G$13:$G$738)),""),ROWS($A$13:A165))),INDEX($I$13:$I$42,SMALL(IF((County=$J$13:$J$42),MATCH(ROW($J$13:$J$42),ROW($J$13:$J$42)),""),ROWS($A$13:A165)))),"")</f>
        <v/>
      </c>
      <c r="Q165" s="348" t="str">
        <f t="array" ref="Q165">IFERROR(IF($Q$11="Yes",INDEX($L$13:$L$2313,SMALL(IF((County=$M$13:$M$2313),MATCH(ROW($M$13:$M$2313),ROW($M$13:$M$2313)),""),ROWS($A$13:A165))),""),"")</f>
        <v/>
      </c>
      <c r="S165" s="346">
        <v>33410</v>
      </c>
      <c r="T165" s="345" t="s">
        <v>361</v>
      </c>
      <c r="V165" s="345">
        <v>16</v>
      </c>
      <c r="W165" s="345" t="s">
        <v>350</v>
      </c>
      <c r="AB165" s="347">
        <v>11.02</v>
      </c>
      <c r="AC165" s="347" t="s">
        <v>351</v>
      </c>
      <c r="AD165" s="1138"/>
      <c r="AE165" s="346">
        <v>33129</v>
      </c>
      <c r="AF165" s="345" t="s">
        <v>352</v>
      </c>
      <c r="AI165" s="934"/>
      <c r="AJ165" s="345">
        <v>3</v>
      </c>
      <c r="AK165" s="345" t="s">
        <v>325</v>
      </c>
      <c r="AP165" s="347">
        <v>105.04</v>
      </c>
      <c r="AQ165" s="347" t="s">
        <v>310</v>
      </c>
      <c r="AS165" s="348" t="str">
        <f t="array" ref="AS165">IFERROR(IF($AS$11="Metro",INDEX($AJ$13:$AJ$814,SMALL(IF((County=$AK$13:$AK$814),MATCH(ROW($AK$13:$AK$814),ROW($AK$13:$AK$814)),""),ROWS($A$13:$A165))),INDEX($AM$13:$AM$48,SMALL(IF((County=$AN$13:$AN$48),MATCH(ROW($AN$13:$AN$48),ROW($AN$13:$AN$48)),""),ROWS($A$13:$A165)))),"")</f>
        <v/>
      </c>
      <c r="AU165" s="348" t="str">
        <f t="array" ref="AU165">IFERROR(IF($AU$11="Yes",INDEX($AP$13:$AP$2950,SMALL(IF((County=$AQ$13:$AQ$2950),MATCH(ROW($AQ$13:$AQ$2950),ROW($AQ$13:$AQ$2950)),""),ROWS($A$13:$A165))),""),"")</f>
        <v/>
      </c>
      <c r="AW165" s="346">
        <v>33315</v>
      </c>
      <c r="AX165" s="345" t="s">
        <v>310</v>
      </c>
      <c r="AZ165" s="345">
        <v>13.02</v>
      </c>
      <c r="BA165" s="345" t="s">
        <v>361</v>
      </c>
      <c r="BF165" s="347">
        <v>8.07</v>
      </c>
      <c r="BG165" s="347" t="s">
        <v>350</v>
      </c>
      <c r="BH165" s="1790"/>
      <c r="BI165" s="2298">
        <v>34216</v>
      </c>
      <c r="BJ165" s="237" t="s">
        <v>349</v>
      </c>
      <c r="BM165" s="1784"/>
      <c r="BN165" s="345">
        <v>631.09</v>
      </c>
      <c r="BO165" s="345" t="s">
        <v>309</v>
      </c>
      <c r="BQ165" s="237">
        <v>9900</v>
      </c>
      <c r="BR165" s="237" t="s">
        <v>358</v>
      </c>
      <c r="BT165" s="347">
        <v>104.06</v>
      </c>
      <c r="BU165" s="347" t="s">
        <v>310</v>
      </c>
      <c r="BW165" s="348" t="str">
        <f t="array" ref="BW165">IFERROR(IF($BW$11="Metro",INDEX($BN$13:$BN$4972,SMALL(IF((County=$BO$13:$BO$4972),MATCH(ROW($BO$13:$BO$4972),ROW($BO$13:$BO$4972)),""),ROWS($A$13:$A165))),INDEX($BQ$13:$BQ$212,SMALL(IF((County=$BR$13:$BR$212),MATCH(ROW($BR$13:$BR$212),ROW($BR$13:$BR$212)),""),ROWS($A$13:$A165)))),"")</f>
        <v/>
      </c>
      <c r="BY165" s="348" t="str">
        <f t="array" ref="BY165">IFERROR(IF($BY$11="Yes",INDEX($BT$13:$BT$2950,SMALL(IF((County=$BU$13:$BU$2950),MATCH(ROW($BU$13:$BU$2950),ROW($BU$13:$BU$2950)),""),ROWS($A$13:$A165))),""),"")</f>
        <v/>
      </c>
      <c r="CA165" s="1792">
        <v>33187</v>
      </c>
      <c r="CB165" s="345" t="s">
        <v>352</v>
      </c>
      <c r="CD165" s="237">
        <v>4.0199999999999996</v>
      </c>
      <c r="CE165" s="237" t="s">
        <v>350</v>
      </c>
      <c r="CG165" s="237">
        <v>9703.0400000000009</v>
      </c>
      <c r="CH165" s="237" t="s">
        <v>373</v>
      </c>
      <c r="CJ165" s="347">
        <v>8.0500000000000007</v>
      </c>
      <c r="CK165" s="347" t="s">
        <v>361</v>
      </c>
      <c r="CL165" s="1789"/>
      <c r="CM165" s="2299"/>
      <c r="CN165" s="345"/>
      <c r="CR165" s="345"/>
      <c r="CS165" s="345"/>
      <c r="CU165" s="345"/>
      <c r="CV165" s="345"/>
      <c r="CX165" s="347"/>
      <c r="CY165" s="347"/>
      <c r="DA165" s="348"/>
      <c r="DC165" s="348"/>
      <c r="DE165" s="1792"/>
      <c r="DF165" s="345"/>
      <c r="DH165" s="237"/>
      <c r="DI165" s="237"/>
      <c r="DK165" s="345"/>
      <c r="DL165" s="345"/>
      <c r="DN165" s="347"/>
      <c r="DO165" s="347"/>
      <c r="DP165" s="2505"/>
      <c r="DT165" s="663"/>
      <c r="DU165" s="663"/>
      <c r="DV165" s="663"/>
      <c r="DW165" s="663"/>
      <c r="DX165" s="663"/>
      <c r="DY165" s="663"/>
      <c r="DZ165" s="663"/>
      <c r="EA165" s="663"/>
      <c r="EB165" s="663"/>
      <c r="EC165" s="663"/>
      <c r="ED165" s="663"/>
    </row>
    <row r="166" spans="1:134" ht="14.45" customHeight="1">
      <c r="A166" s="346">
        <v>33031</v>
      </c>
      <c r="B166" s="345" t="s">
        <v>352</v>
      </c>
      <c r="E166" s="934"/>
      <c r="F166" s="345">
        <v>36.07</v>
      </c>
      <c r="G166" s="345" t="s">
        <v>325</v>
      </c>
      <c r="L166" s="347">
        <v>204.06</v>
      </c>
      <c r="M166" s="347" t="s">
        <v>310</v>
      </c>
      <c r="O166" s="348" t="str">
        <f t="array" ref="O166">IFERROR(IF($O$11="Metro",INDEX($F$13:$F$738,SMALL(IF((County=$G$13:$G$738),MATCH(ROW($G$13:$G$738),ROW($G$13:$G$738)),""),ROWS($A$13:A166))),INDEX($I$13:$I$42,SMALL(IF((County=$J$13:$J$42),MATCH(ROW($J$13:$J$42),ROW($J$13:$J$42)),""),ROWS($A$13:A166)))),"")</f>
        <v/>
      </c>
      <c r="Q166" s="348" t="str">
        <f t="array" ref="Q166">IFERROR(IF($Q$11="Yes",INDEX($L$13:$L$2313,SMALL(IF((County=$M$13:$M$2313),MATCH(ROW($M$13:$M$2313),ROW($M$13:$M$2313)),""),ROWS($A$13:A166))),""),"")</f>
        <v/>
      </c>
      <c r="S166" s="346">
        <v>33412</v>
      </c>
      <c r="T166" s="345" t="s">
        <v>361</v>
      </c>
      <c r="V166" s="345">
        <v>16</v>
      </c>
      <c r="W166" s="345" t="s">
        <v>361</v>
      </c>
      <c r="AB166" s="347">
        <v>11.02</v>
      </c>
      <c r="AC166" s="347" t="s">
        <v>361</v>
      </c>
      <c r="AD166" s="1138"/>
      <c r="AE166" s="346">
        <v>33131</v>
      </c>
      <c r="AF166" s="345" t="s">
        <v>352</v>
      </c>
      <c r="AI166" s="934"/>
      <c r="AJ166" s="345">
        <v>4</v>
      </c>
      <c r="AK166" s="345" t="s">
        <v>325</v>
      </c>
      <c r="AP166" s="347">
        <v>106.01</v>
      </c>
      <c r="AQ166" s="347" t="s">
        <v>310</v>
      </c>
      <c r="AS166" s="348" t="str">
        <f t="array" ref="AS166">IFERROR(IF($AS$11="Metro",INDEX($AJ$13:$AJ$814,SMALL(IF((County=$AK$13:$AK$814),MATCH(ROW($AK$13:$AK$814),ROW($AK$13:$AK$814)),""),ROWS($A$13:$A166))),INDEX($AM$13:$AM$48,SMALL(IF((County=$AN$13:$AN$48),MATCH(ROW($AN$13:$AN$48),ROW($AN$13:$AN$48)),""),ROWS($A$13:$A166)))),"")</f>
        <v/>
      </c>
      <c r="AU166" s="348" t="str">
        <f t="array" ref="AU166">IFERROR(IF($AU$11="Yes",INDEX($AP$13:$AP$2950,SMALL(IF((County=$AQ$13:$AQ$2950),MATCH(ROW($AQ$13:$AQ$2950),ROW($AQ$13:$AQ$2950)),""),ROWS($A$13:$A166))),""),"")</f>
        <v/>
      </c>
      <c r="AW166" s="346">
        <v>33321</v>
      </c>
      <c r="AX166" s="345" t="s">
        <v>310</v>
      </c>
      <c r="AZ166" s="345">
        <v>14</v>
      </c>
      <c r="BA166" s="345" t="s">
        <v>337</v>
      </c>
      <c r="BF166" s="347">
        <v>8.08</v>
      </c>
      <c r="BG166" s="347" t="s">
        <v>297</v>
      </c>
      <c r="BH166" s="1790"/>
      <c r="BI166" s="2298">
        <v>34217</v>
      </c>
      <c r="BJ166" s="237" t="s">
        <v>349</v>
      </c>
      <c r="BM166" s="1784"/>
      <c r="BN166" s="345">
        <v>641.02</v>
      </c>
      <c r="BO166" s="345" t="s">
        <v>309</v>
      </c>
      <c r="BQ166" s="237">
        <v>9501</v>
      </c>
      <c r="BR166" s="237" t="s">
        <v>366</v>
      </c>
      <c r="BT166" s="347">
        <v>104.07</v>
      </c>
      <c r="BU166" s="347" t="s">
        <v>310</v>
      </c>
      <c r="BW166" s="348" t="str">
        <f t="array" ref="BW166">IFERROR(IF($BW$11="Metro",INDEX($BN$13:$BN$4972,SMALL(IF((County=$BO$13:$BO$4972),MATCH(ROW($BO$13:$BO$4972),ROW($BO$13:$BO$4972)),""),ROWS($A$13:$A166))),INDEX($BQ$13:$BQ$212,SMALL(IF((County=$BR$13:$BR$212),MATCH(ROW($BR$13:$BR$212),ROW($BR$13:$BR$212)),""),ROWS($A$13:$A166)))),"")</f>
        <v/>
      </c>
      <c r="BY166" s="348" t="str">
        <f t="array" ref="BY166">IFERROR(IF($BY$11="Yes",INDEX($BT$13:$BT$2950,SMALL(IF((County=$BU$13:$BU$2950),MATCH(ROW($BU$13:$BU$2950),ROW($BU$13:$BU$2950)),""),ROWS($A$13:$A166))),""),"")</f>
        <v/>
      </c>
      <c r="CA166" s="1792">
        <v>33190</v>
      </c>
      <c r="CB166" s="345" t="s">
        <v>352</v>
      </c>
      <c r="CD166" s="237">
        <v>4.0199999999999996</v>
      </c>
      <c r="CE166" s="237" t="s">
        <v>352</v>
      </c>
      <c r="CG166" s="237">
        <v>9704</v>
      </c>
      <c r="CH166" s="237" t="s">
        <v>354</v>
      </c>
      <c r="CJ166" s="347">
        <v>8.06</v>
      </c>
      <c r="CK166" s="347" t="s">
        <v>306</v>
      </c>
      <c r="CL166" s="1789"/>
      <c r="CM166" s="2299"/>
      <c r="CN166" s="345"/>
      <c r="CR166" s="345"/>
      <c r="CS166" s="345"/>
      <c r="CU166" s="345"/>
      <c r="CV166" s="345"/>
      <c r="CX166" s="347"/>
      <c r="CY166" s="347"/>
      <c r="DA166" s="348"/>
      <c r="DC166" s="348"/>
      <c r="DE166" s="1792"/>
      <c r="DF166" s="345"/>
      <c r="DH166" s="237"/>
      <c r="DI166" s="237"/>
      <c r="DK166" s="345"/>
      <c r="DL166" s="345"/>
      <c r="DN166" s="347"/>
      <c r="DO166" s="347"/>
      <c r="DP166" s="2505"/>
      <c r="DT166" s="663"/>
      <c r="DU166" s="663"/>
      <c r="DV166" s="663"/>
      <c r="DW166" s="663"/>
      <c r="DX166" s="663"/>
      <c r="DY166" s="663"/>
      <c r="DZ166" s="663"/>
      <c r="EA166" s="663"/>
      <c r="EB166" s="663"/>
      <c r="EC166" s="663"/>
      <c r="ED166" s="663"/>
    </row>
    <row r="167" spans="1:134" ht="14.45" customHeight="1">
      <c r="A167" s="346">
        <v>33035</v>
      </c>
      <c r="B167" s="345" t="s">
        <v>352</v>
      </c>
      <c r="E167" s="934"/>
      <c r="F167" s="345">
        <v>207.01</v>
      </c>
      <c r="G167" s="345" t="s">
        <v>328</v>
      </c>
      <c r="L167" s="347">
        <v>204.11</v>
      </c>
      <c r="M167" s="347" t="s">
        <v>310</v>
      </c>
      <c r="O167" s="348" t="str">
        <f t="array" ref="O167">IFERROR(IF($O$11="Metro",INDEX($F$13:$F$738,SMALL(IF((County=$G$13:$G$738),MATCH(ROW($G$13:$G$738),ROW($G$13:$G$738)),""),ROWS($A$13:A167))),INDEX($I$13:$I$42,SMALL(IF((County=$J$13:$J$42),MATCH(ROW($J$13:$J$42),ROW($J$13:$J$42)),""),ROWS($A$13:A167)))),"")</f>
        <v/>
      </c>
      <c r="Q167" s="348" t="str">
        <f t="array" ref="Q167">IFERROR(IF($Q$11="Yes",INDEX($L$13:$L$2313,SMALL(IF((County=$M$13:$M$2313),MATCH(ROW($M$13:$M$2313),ROW($M$13:$M$2313)),""),ROWS($A$13:A167))),""),"")</f>
        <v/>
      </c>
      <c r="S167" s="346">
        <v>33413</v>
      </c>
      <c r="T167" s="345" t="s">
        <v>361</v>
      </c>
      <c r="V167" s="345">
        <v>16.03</v>
      </c>
      <c r="W167" s="345" t="s">
        <v>297</v>
      </c>
      <c r="AB167" s="347">
        <v>11.03</v>
      </c>
      <c r="AC167" s="347" t="s">
        <v>325</v>
      </c>
      <c r="AD167" s="1138"/>
      <c r="AE167" s="346">
        <v>33132</v>
      </c>
      <c r="AF167" s="345" t="s">
        <v>352</v>
      </c>
      <c r="AI167" s="934"/>
      <c r="AJ167" s="345">
        <v>15</v>
      </c>
      <c r="AK167" s="345" t="s">
        <v>325</v>
      </c>
      <c r="AP167" s="347">
        <v>106.03</v>
      </c>
      <c r="AQ167" s="347" t="s">
        <v>310</v>
      </c>
      <c r="AS167" s="348" t="str">
        <f t="array" ref="AS167">IFERROR(IF($AS$11="Metro",INDEX($AJ$13:$AJ$814,SMALL(IF((County=$AK$13:$AK$814),MATCH(ROW($AK$13:$AK$814),ROW($AK$13:$AK$814)),""),ROWS($A$13:$A167))),INDEX($AM$13:$AM$48,SMALL(IF((County=$AN$13:$AN$48),MATCH(ROW($AN$13:$AN$48),ROW($AN$13:$AN$48)),""),ROWS($A$13:$A167)))),"")</f>
        <v/>
      </c>
      <c r="AU167" s="348" t="str">
        <f t="array" ref="AU167">IFERROR(IF($AU$11="Yes",INDEX($AP$13:$AP$2950,SMALL(IF((County=$AQ$13:$AQ$2950),MATCH(ROW($AQ$13:$AQ$2950),ROW($AQ$13:$AQ$2950)),""),ROWS($A$13:$A167))),""),"")</f>
        <v/>
      </c>
      <c r="AW167" s="346">
        <v>33322</v>
      </c>
      <c r="AX167" s="345" t="s">
        <v>310</v>
      </c>
      <c r="AZ167" s="345">
        <v>14.01</v>
      </c>
      <c r="BA167" s="345" t="s">
        <v>323</v>
      </c>
      <c r="BF167" s="347">
        <v>8.08</v>
      </c>
      <c r="BG167" s="347" t="s">
        <v>349</v>
      </c>
      <c r="BH167" s="1790"/>
      <c r="BI167" s="2298">
        <v>34219</v>
      </c>
      <c r="BJ167" s="237" t="s">
        <v>349</v>
      </c>
      <c r="BM167" s="1784"/>
      <c r="BN167" s="345">
        <v>641.23</v>
      </c>
      <c r="BO167" s="345" t="s">
        <v>309</v>
      </c>
      <c r="BQ167" s="237">
        <v>9502.01</v>
      </c>
      <c r="BR167" s="237" t="s">
        <v>366</v>
      </c>
      <c r="BT167" s="347">
        <v>105.02</v>
      </c>
      <c r="BU167" s="347" t="s">
        <v>310</v>
      </c>
      <c r="BW167" s="348" t="str">
        <f t="array" ref="BW167">IFERROR(IF($BW$11="Metro",INDEX($BN$13:$BN$4972,SMALL(IF((County=$BO$13:$BO$4972),MATCH(ROW($BO$13:$BO$4972),ROW($BO$13:$BO$4972)),""),ROWS($A$13:$A167))),INDEX($BQ$13:$BQ$212,SMALL(IF((County=$BR$13:$BR$212),MATCH(ROW($BR$13:$BR$212),ROW($BR$13:$BR$212)),""),ROWS($A$13:$A167)))),"")</f>
        <v/>
      </c>
      <c r="BY167" s="348" t="str">
        <f t="array" ref="BY167">IFERROR(IF($BY$11="Yes",INDEX($BT$13:$BT$2950,SMALL(IF((County=$BU$13:$BU$2950),MATCH(ROW($BU$13:$BU$2950),ROW($BU$13:$BU$2950)),""),ROWS($A$13:$A167))),""),"")</f>
        <v/>
      </c>
      <c r="CA167" s="1792">
        <v>33193</v>
      </c>
      <c r="CB167" s="345" t="s">
        <v>352</v>
      </c>
      <c r="CD167" s="237">
        <v>4.03</v>
      </c>
      <c r="CE167" s="237" t="s">
        <v>349</v>
      </c>
      <c r="CG167" s="237">
        <v>9704.01</v>
      </c>
      <c r="CH167" s="237" t="s">
        <v>333</v>
      </c>
      <c r="CJ167" s="347">
        <v>8.06</v>
      </c>
      <c r="CK167" s="347" t="s">
        <v>350</v>
      </c>
      <c r="CL167" s="1789"/>
      <c r="CM167" s="2299"/>
      <c r="CN167" s="345"/>
      <c r="CR167" s="345"/>
      <c r="CS167" s="345"/>
      <c r="CU167" s="345"/>
      <c r="CV167" s="345"/>
      <c r="CX167" s="347"/>
      <c r="CY167" s="347"/>
      <c r="DA167" s="348"/>
      <c r="DC167" s="348"/>
      <c r="DE167" s="1792"/>
      <c r="DF167" s="345"/>
      <c r="DH167" s="237"/>
      <c r="DI167" s="237"/>
      <c r="DK167" s="345"/>
      <c r="DL167" s="345"/>
      <c r="DN167" s="347"/>
      <c r="DO167" s="347"/>
      <c r="DP167" s="2505"/>
      <c r="DT167" s="663"/>
      <c r="DU167" s="663"/>
      <c r="DV167" s="663"/>
      <c r="DW167" s="663"/>
      <c r="DX167" s="663"/>
      <c r="DY167" s="663"/>
      <c r="DZ167" s="663"/>
      <c r="EA167" s="663"/>
      <c r="EB167" s="663"/>
      <c r="EC167" s="663"/>
      <c r="ED167" s="663"/>
    </row>
    <row r="168" spans="1:134" ht="14.45" customHeight="1">
      <c r="A168" s="346">
        <v>33055</v>
      </c>
      <c r="B168" s="345" t="s">
        <v>352</v>
      </c>
      <c r="E168" s="934"/>
      <c r="F168" s="345">
        <v>207.02</v>
      </c>
      <c r="G168" s="345" t="s">
        <v>328</v>
      </c>
      <c r="L168" s="347">
        <v>204.14</v>
      </c>
      <c r="M168" s="347" t="s">
        <v>310</v>
      </c>
      <c r="O168" s="348" t="str">
        <f t="array" ref="O168">IFERROR(IF($O$11="Metro",INDEX($F$13:$F$738,SMALL(IF((County=$G$13:$G$738),MATCH(ROW($G$13:$G$738),ROW($G$13:$G$738)),""),ROWS($A$13:A168))),INDEX($I$13:$I$42,SMALL(IF((County=$J$13:$J$42),MATCH(ROW($J$13:$J$42),ROW($J$13:$J$42)),""),ROWS($A$13:A168)))),"")</f>
        <v/>
      </c>
      <c r="Q168" s="348" t="str">
        <f t="array" ref="Q168">IFERROR(IF($Q$11="Yes",INDEX($L$13:$L$2313,SMALL(IF((County=$M$13:$M$2313),MATCH(ROW($M$13:$M$2313),ROW($M$13:$M$2313)),""),ROWS($A$13:A168))),""),"")</f>
        <v/>
      </c>
      <c r="S168" s="346">
        <v>33414</v>
      </c>
      <c r="T168" s="345" t="s">
        <v>361</v>
      </c>
      <c r="V168" s="345">
        <v>16.04</v>
      </c>
      <c r="W168" s="345" t="s">
        <v>297</v>
      </c>
      <c r="AB168" s="347">
        <v>11.03</v>
      </c>
      <c r="AC168" s="347" t="s">
        <v>350</v>
      </c>
      <c r="AD168" s="1138"/>
      <c r="AE168" s="346">
        <v>33133</v>
      </c>
      <c r="AF168" s="345" t="s">
        <v>352</v>
      </c>
      <c r="AI168" s="934"/>
      <c r="AJ168" s="345">
        <v>16</v>
      </c>
      <c r="AK168" s="345" t="s">
        <v>325</v>
      </c>
      <c r="AP168" s="347">
        <v>106.04</v>
      </c>
      <c r="AQ168" s="347" t="s">
        <v>310</v>
      </c>
      <c r="AS168" s="348" t="str">
        <f t="array" ref="AS168">IFERROR(IF($AS$11="Metro",INDEX($AJ$13:$AJ$814,SMALL(IF((County=$AK$13:$AK$814),MATCH(ROW($AK$13:$AK$814),ROW($AK$13:$AK$814)),""),ROWS($A$13:$A168))),INDEX($AM$13:$AM$48,SMALL(IF((County=$AN$13:$AN$48),MATCH(ROW($AN$13:$AN$48),ROW($AN$13:$AN$48)),""),ROWS($A$13:$A168)))),"")</f>
        <v/>
      </c>
      <c r="AU168" s="348" t="str">
        <f t="array" ref="AU168">IFERROR(IF($AU$11="Yes",INDEX($AP$13:$AP$2950,SMALL(IF((County=$AQ$13:$AQ$2950),MATCH(ROW($AQ$13:$AQ$2950),ROW($AQ$13:$AQ$2950)),""),ROWS($A$13:$A168))),""),"")</f>
        <v/>
      </c>
      <c r="AW168" s="346">
        <v>33323</v>
      </c>
      <c r="AX168" s="345" t="s">
        <v>310</v>
      </c>
      <c r="AZ168" s="345">
        <v>14.01</v>
      </c>
      <c r="BA168" s="345" t="s">
        <v>345</v>
      </c>
      <c r="BF168" s="347">
        <v>8.08</v>
      </c>
      <c r="BG168" s="347" t="s">
        <v>350</v>
      </c>
      <c r="BH168" s="1790"/>
      <c r="BI168" s="2298">
        <v>34243</v>
      </c>
      <c r="BJ168" s="237" t="s">
        <v>349</v>
      </c>
      <c r="BM168" s="1784"/>
      <c r="BN168" s="345">
        <v>641.24</v>
      </c>
      <c r="BO168" s="345" t="s">
        <v>309</v>
      </c>
      <c r="BQ168" s="237">
        <v>9502.02</v>
      </c>
      <c r="BR168" s="237" t="s">
        <v>366</v>
      </c>
      <c r="BT168" s="347">
        <v>105.03</v>
      </c>
      <c r="BU168" s="347" t="s">
        <v>310</v>
      </c>
      <c r="BW168" s="348" t="str">
        <f t="array" ref="BW168">IFERROR(IF($BW$11="Metro",INDEX($BN$13:$BN$4972,SMALL(IF((County=$BO$13:$BO$4972),MATCH(ROW($BO$13:$BO$4972),ROW($BO$13:$BO$4972)),""),ROWS($A$13:$A168))),INDEX($BQ$13:$BQ$212,SMALL(IF((County=$BR$13:$BR$212),MATCH(ROW($BR$13:$BR$212),ROW($BR$13:$BR$212)),""),ROWS($A$13:$A168)))),"")</f>
        <v/>
      </c>
      <c r="BY168" s="348" t="str">
        <f t="array" ref="BY168">IFERROR(IF($BY$11="Yes",INDEX($BT$13:$BT$2950,SMALL(IF((County=$BU$13:$BU$2950),MATCH(ROW($BU$13:$BU$2950),ROW($BU$13:$BU$2950)),""),ROWS($A$13:$A168))),""),"")</f>
        <v/>
      </c>
      <c r="CA168" s="1792">
        <v>33194</v>
      </c>
      <c r="CB168" s="345" t="s">
        <v>352</v>
      </c>
      <c r="CD168" s="237">
        <v>4.04</v>
      </c>
      <c r="CE168" s="237" t="s">
        <v>368</v>
      </c>
      <c r="CG168" s="237">
        <v>9704.01</v>
      </c>
      <c r="CH168" s="237" t="s">
        <v>373</v>
      </c>
      <c r="CJ168" s="347">
        <v>8.07</v>
      </c>
      <c r="CK168" s="347" t="s">
        <v>350</v>
      </c>
      <c r="CL168" s="1789"/>
      <c r="CM168" s="2299"/>
      <c r="CN168" s="345"/>
      <c r="CR168" s="345"/>
      <c r="CS168" s="345"/>
      <c r="CU168" s="345"/>
      <c r="CV168" s="345"/>
      <c r="CX168" s="347"/>
      <c r="CY168" s="347"/>
      <c r="DA168" s="348"/>
      <c r="DC168" s="348"/>
      <c r="DE168" s="1792"/>
      <c r="DF168" s="345"/>
      <c r="DH168" s="237"/>
      <c r="DI168" s="237"/>
      <c r="DK168" s="345"/>
      <c r="DL168" s="345"/>
      <c r="DN168" s="347"/>
      <c r="DO168" s="347"/>
      <c r="DP168" s="2505"/>
      <c r="DT168" s="663"/>
      <c r="DU168" s="663"/>
      <c r="DV168" s="663"/>
      <c r="DW168" s="663"/>
      <c r="DX168" s="663"/>
      <c r="DY168" s="663"/>
      <c r="DZ168" s="663"/>
      <c r="EA168" s="663"/>
      <c r="EB168" s="663"/>
      <c r="EC168" s="663"/>
      <c r="ED168" s="663"/>
    </row>
    <row r="169" spans="1:134" ht="14.45" customHeight="1">
      <c r="A169" s="346">
        <v>33109</v>
      </c>
      <c r="B169" s="345" t="s">
        <v>352</v>
      </c>
      <c r="E169" s="934"/>
      <c r="F169" s="345">
        <v>404</v>
      </c>
      <c r="G169" s="345" t="s">
        <v>335</v>
      </c>
      <c r="L169" s="347">
        <v>205.01</v>
      </c>
      <c r="M169" s="347" t="s">
        <v>310</v>
      </c>
      <c r="O169" s="348" t="str">
        <f t="array" ref="O169">IFERROR(IF($O$11="Metro",INDEX($F$13:$F$738,SMALL(IF((County=$G$13:$G$738),MATCH(ROW($G$13:$G$738),ROW($G$13:$G$738)),""),ROWS($A$13:A169))),INDEX($I$13:$I$42,SMALL(IF((County=$J$13:$J$42),MATCH(ROW($J$13:$J$42),ROW($J$13:$J$42)),""),ROWS($A$13:A169)))),"")</f>
        <v/>
      </c>
      <c r="Q169" s="348" t="str">
        <f t="array" ref="Q169">IFERROR(IF($Q$11="Yes",INDEX($L$13:$L$2313,SMALL(IF((County=$M$13:$M$2313),MATCH(ROW($M$13:$M$2313),ROW($M$13:$M$2313)),""),ROWS($A$13:A169))),""),"")</f>
        <v/>
      </c>
      <c r="S169" s="346">
        <v>33418</v>
      </c>
      <c r="T169" s="345" t="s">
        <v>361</v>
      </c>
      <c r="V169" s="345">
        <v>16.05</v>
      </c>
      <c r="W169" s="345" t="s">
        <v>352</v>
      </c>
      <c r="AB169" s="347">
        <v>11.03</v>
      </c>
      <c r="AC169" s="347" t="s">
        <v>351</v>
      </c>
      <c r="AD169" s="1138"/>
      <c r="AE169" s="346">
        <v>33134</v>
      </c>
      <c r="AF169" s="345" t="s">
        <v>352</v>
      </c>
      <c r="AI169" s="934"/>
      <c r="AJ169" s="345">
        <v>17</v>
      </c>
      <c r="AK169" s="345" t="s">
        <v>325</v>
      </c>
      <c r="AP169" s="347">
        <v>106.05</v>
      </c>
      <c r="AQ169" s="347" t="s">
        <v>310</v>
      </c>
      <c r="AS169" s="348" t="str">
        <f t="array" ref="AS169">IFERROR(IF($AS$11="Metro",INDEX($AJ$13:$AJ$814,SMALL(IF((County=$AK$13:$AK$814),MATCH(ROW($AK$13:$AK$814),ROW($AK$13:$AK$814)),""),ROWS($A$13:$A169))),INDEX($AM$13:$AM$48,SMALL(IF((County=$AN$13:$AN$48),MATCH(ROW($AN$13:$AN$48),ROW($AN$13:$AN$48)),""),ROWS($A$13:$A169)))),"")</f>
        <v/>
      </c>
      <c r="AU169" s="348" t="str">
        <f t="array" ref="AU169">IFERROR(IF($AU$11="Yes",INDEX($AP$13:$AP$2950,SMALL(IF((County=$AQ$13:$AQ$2950),MATCH(ROW($AQ$13:$AQ$2950),ROW($AQ$13:$AQ$2950)),""),ROWS($A$13:$A169))),""),"")</f>
        <v/>
      </c>
      <c r="AW169" s="346">
        <v>33324</v>
      </c>
      <c r="AX169" s="345" t="s">
        <v>310</v>
      </c>
      <c r="AZ169" s="345">
        <v>14.01</v>
      </c>
      <c r="BA169" s="345" t="s">
        <v>350</v>
      </c>
      <c r="BF169" s="347">
        <v>8.09</v>
      </c>
      <c r="BG169" s="347" t="s">
        <v>297</v>
      </c>
      <c r="BH169" s="1790"/>
      <c r="BI169" s="2298">
        <v>34251</v>
      </c>
      <c r="BJ169" s="237" t="s">
        <v>349</v>
      </c>
      <c r="BM169" s="1784"/>
      <c r="BN169" s="345">
        <v>641.26</v>
      </c>
      <c r="BO169" s="345" t="s">
        <v>309</v>
      </c>
      <c r="BQ169" s="237">
        <v>9503</v>
      </c>
      <c r="BR169" s="237" t="s">
        <v>366</v>
      </c>
      <c r="BT169" s="347">
        <v>105.04</v>
      </c>
      <c r="BU169" s="347" t="s">
        <v>310</v>
      </c>
      <c r="BW169" s="348" t="str">
        <f t="array" ref="BW169">IFERROR(IF($BW$11="Metro",INDEX($BN$13:$BN$4972,SMALL(IF((County=$BO$13:$BO$4972),MATCH(ROW($BO$13:$BO$4972),ROW($BO$13:$BO$4972)),""),ROWS($A$13:$A169))),INDEX($BQ$13:$BQ$212,SMALL(IF((County=$BR$13:$BR$212),MATCH(ROW($BR$13:$BR$212),ROW($BR$13:$BR$212)),""),ROWS($A$13:$A169)))),"")</f>
        <v/>
      </c>
      <c r="BY169" s="348" t="str">
        <f t="array" ref="BY169">IFERROR(IF($BY$11="Yes",INDEX($BT$13:$BT$2950,SMALL(IF((County=$BU$13:$BU$2950),MATCH(ROW($BU$13:$BU$2950),ROW($BU$13:$BU$2950)),""),ROWS($A$13:$A169))),""),"")</f>
        <v/>
      </c>
      <c r="CA169" s="1792">
        <v>33196</v>
      </c>
      <c r="CB169" s="345" t="s">
        <v>352</v>
      </c>
      <c r="CD169" s="237">
        <v>4.05</v>
      </c>
      <c r="CE169" s="237" t="s">
        <v>349</v>
      </c>
      <c r="CG169" s="237">
        <v>9704.02</v>
      </c>
      <c r="CH169" s="237" t="s">
        <v>333</v>
      </c>
      <c r="CJ169" s="347">
        <v>8.08</v>
      </c>
      <c r="CK169" s="347" t="s">
        <v>297</v>
      </c>
      <c r="CL169" s="1789"/>
      <c r="CM169" s="2299"/>
      <c r="CN169" s="345"/>
      <c r="CR169" s="345"/>
      <c r="CS169" s="345"/>
      <c r="CU169" s="345"/>
      <c r="CV169" s="345"/>
      <c r="CX169" s="347"/>
      <c r="CY169" s="347"/>
      <c r="DA169" s="348"/>
      <c r="DC169" s="348"/>
      <c r="DE169" s="1792"/>
      <c r="DF169" s="345"/>
      <c r="DH169" s="237"/>
      <c r="DI169" s="237"/>
      <c r="DK169" s="345"/>
      <c r="DL169" s="345"/>
      <c r="DN169" s="347"/>
      <c r="DO169" s="347"/>
      <c r="DP169" s="2505"/>
      <c r="DT169" s="663"/>
      <c r="DU169" s="663"/>
      <c r="DV169" s="663"/>
      <c r="DW169" s="663"/>
      <c r="DX169" s="663"/>
      <c r="DY169" s="663"/>
      <c r="DZ169" s="663"/>
      <c r="EA169" s="663"/>
      <c r="EB169" s="663"/>
      <c r="EC169" s="663"/>
      <c r="ED169" s="663"/>
    </row>
    <row r="170" spans="1:134" ht="14.45" customHeight="1">
      <c r="A170" s="346">
        <v>33126</v>
      </c>
      <c r="B170" s="345" t="s">
        <v>352</v>
      </c>
      <c r="E170" s="934"/>
      <c r="F170" s="345">
        <v>405.01</v>
      </c>
      <c r="G170" s="345" t="s">
        <v>335</v>
      </c>
      <c r="L170" s="347">
        <v>301</v>
      </c>
      <c r="M170" s="347" t="s">
        <v>310</v>
      </c>
      <c r="O170" s="348" t="str">
        <f t="array" ref="O170">IFERROR(IF($O$11="Metro",INDEX($F$13:$F$738,SMALL(IF((County=$G$13:$G$738),MATCH(ROW($G$13:$G$738),ROW($G$13:$G$738)),""),ROWS($A$13:A170))),INDEX($I$13:$I$42,SMALL(IF((County=$J$13:$J$42),MATCH(ROW($J$13:$J$42),ROW($J$13:$J$42)),""),ROWS($A$13:A170)))),"")</f>
        <v/>
      </c>
      <c r="Q170" s="348" t="str">
        <f t="array" ref="Q170">IFERROR(IF($Q$11="Yes",INDEX($L$13:$L$2313,SMALL(IF((County=$M$13:$M$2313),MATCH(ROW($M$13:$M$2313),ROW($M$13:$M$2313)),""),ROWS($A$13:A170))),""),"")</f>
        <v/>
      </c>
      <c r="S170" s="346">
        <v>33426</v>
      </c>
      <c r="T170" s="345" t="s">
        <v>361</v>
      </c>
      <c r="V170" s="345">
        <v>16.059999999999999</v>
      </c>
      <c r="W170" s="345" t="s">
        <v>352</v>
      </c>
      <c r="AB170" s="347">
        <v>11.04</v>
      </c>
      <c r="AC170" s="347" t="s">
        <v>325</v>
      </c>
      <c r="AD170" s="1138"/>
      <c r="AE170" s="346">
        <v>33137</v>
      </c>
      <c r="AF170" s="345" t="s">
        <v>352</v>
      </c>
      <c r="AI170" s="934"/>
      <c r="AJ170" s="345">
        <v>18</v>
      </c>
      <c r="AK170" s="345" t="s">
        <v>325</v>
      </c>
      <c r="AP170" s="347">
        <v>106.06</v>
      </c>
      <c r="AQ170" s="347" t="s">
        <v>310</v>
      </c>
      <c r="AS170" s="348" t="str">
        <f t="array" ref="AS170">IFERROR(IF($AS$11="Metro",INDEX($AJ$13:$AJ$814,SMALL(IF((County=$AK$13:$AK$814),MATCH(ROW($AK$13:$AK$814),ROW($AK$13:$AK$814)),""),ROWS($A$13:$A170))),INDEX($AM$13:$AM$48,SMALL(IF((County=$AN$13:$AN$48),MATCH(ROW($AN$13:$AN$48),ROW($AN$13:$AN$48)),""),ROWS($A$13:$A170)))),"")</f>
        <v/>
      </c>
      <c r="AU170" s="348" t="str">
        <f t="array" ref="AU170">IFERROR(IF($AU$11="Yes",INDEX($AP$13:$AP$2950,SMALL(IF((County=$AQ$13:$AQ$2950),MATCH(ROW($AQ$13:$AQ$2950),ROW($AQ$13:$AQ$2950)),""),ROWS($A$13:$A170))),""),"")</f>
        <v/>
      </c>
      <c r="AW170" s="346">
        <v>33325</v>
      </c>
      <c r="AX170" s="345" t="s">
        <v>310</v>
      </c>
      <c r="AZ170" s="345">
        <v>14.01</v>
      </c>
      <c r="BA170" s="345" t="s">
        <v>352</v>
      </c>
      <c r="BF170" s="347">
        <v>8.09</v>
      </c>
      <c r="BG170" s="347" t="s">
        <v>349</v>
      </c>
      <c r="BH170" s="1790"/>
      <c r="BI170" s="2298">
        <v>32133</v>
      </c>
      <c r="BJ170" s="237" t="s">
        <v>350</v>
      </c>
      <c r="BM170" s="1784"/>
      <c r="BN170" s="345">
        <v>641.27</v>
      </c>
      <c r="BO170" s="345" t="s">
        <v>309</v>
      </c>
      <c r="BQ170" s="237">
        <v>9504</v>
      </c>
      <c r="BR170" s="237" t="s">
        <v>366</v>
      </c>
      <c r="BT170" s="347">
        <v>106.01</v>
      </c>
      <c r="BU170" s="347" t="s">
        <v>310</v>
      </c>
      <c r="BW170" s="348" t="str">
        <f t="array" ref="BW170">IFERROR(IF($BW$11="Metro",INDEX($BN$13:$BN$4972,SMALL(IF((County=$BO$13:$BO$4972),MATCH(ROW($BO$13:$BO$4972),ROW($BO$13:$BO$4972)),""),ROWS($A$13:$A170))),INDEX($BQ$13:$BQ$212,SMALL(IF((County=$BR$13:$BR$212),MATCH(ROW($BR$13:$BR$212),ROW($BR$13:$BR$212)),""),ROWS($A$13:$A170)))),"")</f>
        <v/>
      </c>
      <c r="BY170" s="348" t="str">
        <f t="array" ref="BY170">IFERROR(IF($BY$11="Yes",INDEX($BT$13:$BT$2950,SMALL(IF((County=$BU$13:$BU$2950),MATCH(ROW($BU$13:$BU$2950),ROW($BU$13:$BU$2950)),""),ROWS($A$13:$A170))),""),"")</f>
        <v/>
      </c>
      <c r="CA170" s="1792">
        <v>33301</v>
      </c>
      <c r="CB170" s="345" t="s">
        <v>310</v>
      </c>
      <c r="CD170" s="237">
        <v>4.05</v>
      </c>
      <c r="CE170" s="237" t="s">
        <v>352</v>
      </c>
      <c r="CG170" s="237">
        <v>9704.02</v>
      </c>
      <c r="CH170" s="237" t="s">
        <v>373</v>
      </c>
      <c r="CJ170" s="347">
        <v>8.08</v>
      </c>
      <c r="CK170" s="347" t="s">
        <v>349</v>
      </c>
      <c r="CL170" s="1789"/>
      <c r="CM170" s="2299"/>
      <c r="CN170" s="345"/>
      <c r="CR170" s="345"/>
      <c r="CS170" s="345"/>
      <c r="CU170" s="345"/>
      <c r="CV170" s="345"/>
      <c r="CX170" s="347"/>
      <c r="CY170" s="347"/>
      <c r="DA170" s="348"/>
      <c r="DC170" s="348"/>
      <c r="DE170" s="1792"/>
      <c r="DF170" s="345"/>
      <c r="DH170" s="237"/>
      <c r="DI170" s="237"/>
      <c r="DK170" s="345"/>
      <c r="DL170" s="345"/>
      <c r="DN170" s="347"/>
      <c r="DO170" s="347"/>
      <c r="DP170" s="2505"/>
      <c r="DT170" s="663"/>
      <c r="DU170" s="663"/>
      <c r="DV170" s="663"/>
      <c r="DW170" s="663"/>
      <c r="DX170" s="663"/>
      <c r="DY170" s="663"/>
      <c r="DZ170" s="663"/>
      <c r="EA170" s="663"/>
      <c r="EB170" s="663"/>
      <c r="EC170" s="663"/>
      <c r="ED170" s="663"/>
    </row>
    <row r="171" spans="1:134" ht="14.45" customHeight="1">
      <c r="A171" s="346">
        <v>33129</v>
      </c>
      <c r="B171" s="345" t="s">
        <v>352</v>
      </c>
      <c r="E171" s="934"/>
      <c r="F171" s="345">
        <v>405.02</v>
      </c>
      <c r="G171" s="345" t="s">
        <v>335</v>
      </c>
      <c r="L171" s="347">
        <v>307.02</v>
      </c>
      <c r="M171" s="347" t="s">
        <v>310</v>
      </c>
      <c r="O171" s="348" t="str">
        <f t="array" ref="O171">IFERROR(IF($O$11="Metro",INDEX($F$13:$F$738,SMALL(IF((County=$G$13:$G$738),MATCH(ROW($G$13:$G$738),ROW($G$13:$G$738)),""),ROWS($A$13:A171))),INDEX($I$13:$I$42,SMALL(IF((County=$J$13:$J$42),MATCH(ROW($J$13:$J$42),ROW($J$13:$J$42)),""),ROWS($A$13:A171)))),"")</f>
        <v/>
      </c>
      <c r="Q171" s="348" t="str">
        <f t="array" ref="Q171">IFERROR(IF($Q$11="Yes",INDEX($L$13:$L$2313,SMALL(IF((County=$M$13:$M$2313),MATCH(ROW($M$13:$M$2313),ROW($M$13:$M$2313)),""),ROWS($A$13:A171))),""),"")</f>
        <v/>
      </c>
      <c r="S171" s="346">
        <v>33428</v>
      </c>
      <c r="T171" s="345" t="s">
        <v>361</v>
      </c>
      <c r="V171" s="345">
        <v>17</v>
      </c>
      <c r="W171" s="345" t="s">
        <v>325</v>
      </c>
      <c r="AB171" s="347">
        <v>11.04</v>
      </c>
      <c r="AC171" s="347" t="s">
        <v>349</v>
      </c>
      <c r="AD171" s="1138"/>
      <c r="AE171" s="346">
        <v>33139</v>
      </c>
      <c r="AF171" s="345" t="s">
        <v>352</v>
      </c>
      <c r="AI171" s="934"/>
      <c r="AJ171" s="345">
        <v>19</v>
      </c>
      <c r="AK171" s="345" t="s">
        <v>325</v>
      </c>
      <c r="AP171" s="347">
        <v>106.09</v>
      </c>
      <c r="AQ171" s="347" t="s">
        <v>310</v>
      </c>
      <c r="AS171" s="348" t="str">
        <f t="array" ref="AS171">IFERROR(IF($AS$11="Metro",INDEX($AJ$13:$AJ$814,SMALL(IF((County=$AK$13:$AK$814),MATCH(ROW($AK$13:$AK$814),ROW($AK$13:$AK$814)),""),ROWS($A$13:$A171))),INDEX($AM$13:$AM$48,SMALL(IF((County=$AN$13:$AN$48),MATCH(ROW($AN$13:$AN$48),ROW($AN$13:$AN$48)),""),ROWS($A$13:$A171)))),"")</f>
        <v/>
      </c>
      <c r="AU171" s="348" t="str">
        <f t="array" ref="AU171">IFERROR(IF($AU$11="Yes",INDEX($AP$13:$AP$2950,SMALL(IF((County=$AQ$13:$AQ$2950),MATCH(ROW($AQ$13:$AQ$2950),ROW($AQ$13:$AQ$2950)),""),ROWS($A$13:$A171))),""),"")</f>
        <v/>
      </c>
      <c r="AW171" s="346">
        <v>33326</v>
      </c>
      <c r="AX171" s="345" t="s">
        <v>310</v>
      </c>
      <c r="AZ171" s="345">
        <v>14.02</v>
      </c>
      <c r="BA171" s="345" t="s">
        <v>323</v>
      </c>
      <c r="BF171" s="347">
        <v>8.09</v>
      </c>
      <c r="BG171" s="347" t="s">
        <v>350</v>
      </c>
      <c r="BH171" s="1790"/>
      <c r="BI171" s="2298">
        <v>32195</v>
      </c>
      <c r="BJ171" s="237" t="s">
        <v>350</v>
      </c>
      <c r="BM171" s="1784"/>
      <c r="BN171" s="345">
        <v>641.28</v>
      </c>
      <c r="BO171" s="345" t="s">
        <v>309</v>
      </c>
      <c r="BQ171" s="237">
        <v>9505</v>
      </c>
      <c r="BR171" s="237" t="s">
        <v>366</v>
      </c>
      <c r="BT171" s="347">
        <v>106.03</v>
      </c>
      <c r="BU171" s="347" t="s">
        <v>310</v>
      </c>
      <c r="BW171" s="348" t="str">
        <f t="array" ref="BW171">IFERROR(IF($BW$11="Metro",INDEX($BN$13:$BN$4972,SMALL(IF((County=$BO$13:$BO$4972),MATCH(ROW($BO$13:$BO$4972),ROW($BO$13:$BO$4972)),""),ROWS($A$13:$A171))),INDEX($BQ$13:$BQ$212,SMALL(IF((County=$BR$13:$BR$212),MATCH(ROW($BR$13:$BR$212),ROW($BR$13:$BR$212)),""),ROWS($A$13:$A171)))),"")</f>
        <v/>
      </c>
      <c r="BY171" s="348" t="str">
        <f t="array" ref="BY171">IFERROR(IF($BY$11="Yes",INDEX($BT$13:$BT$2950,SMALL(IF((County=$BU$13:$BU$2950),MATCH(ROW($BU$13:$BU$2950),ROW($BU$13:$BU$2950)),""),ROWS($A$13:$A171))),""),"")</f>
        <v/>
      </c>
      <c r="CA171" s="1792">
        <v>33304</v>
      </c>
      <c r="CB171" s="345" t="s">
        <v>310</v>
      </c>
      <c r="CD171" s="237">
        <v>4.05</v>
      </c>
      <c r="CE171" s="237" t="s">
        <v>361</v>
      </c>
      <c r="CG171" s="237">
        <v>9705</v>
      </c>
      <c r="CH171" s="237" t="s">
        <v>354</v>
      </c>
      <c r="CJ171" s="347">
        <v>8.08</v>
      </c>
      <c r="CK171" s="347" t="s">
        <v>350</v>
      </c>
      <c r="CL171" s="1789"/>
      <c r="CM171" s="2299"/>
      <c r="CN171" s="345"/>
      <c r="CR171" s="345"/>
      <c r="CS171" s="345"/>
      <c r="CU171" s="345"/>
      <c r="CV171" s="345"/>
      <c r="CX171" s="347"/>
      <c r="CY171" s="347"/>
      <c r="DA171" s="348"/>
      <c r="DC171" s="348"/>
      <c r="DE171" s="1792"/>
      <c r="DF171" s="345"/>
      <c r="DH171" s="237"/>
      <c r="DI171" s="237"/>
      <c r="DK171" s="345"/>
      <c r="DL171" s="345"/>
      <c r="DN171" s="347"/>
      <c r="DO171" s="347"/>
      <c r="DP171" s="2505"/>
      <c r="DT171" s="663"/>
      <c r="DU171" s="663"/>
      <c r="DV171" s="663"/>
      <c r="DW171" s="663"/>
      <c r="DX171" s="663"/>
      <c r="DY171" s="663"/>
      <c r="DZ171" s="663"/>
      <c r="EA171" s="663"/>
      <c r="EB171" s="663"/>
      <c r="EC171" s="663"/>
      <c r="ED171" s="663"/>
    </row>
    <row r="172" spans="1:134" ht="14.45" customHeight="1">
      <c r="A172" s="346">
        <v>33131</v>
      </c>
      <c r="B172" s="345" t="s">
        <v>352</v>
      </c>
      <c r="E172" s="934"/>
      <c r="F172" s="345">
        <v>412.04</v>
      </c>
      <c r="G172" s="345" t="s">
        <v>335</v>
      </c>
      <c r="L172" s="347">
        <v>307.04000000000002</v>
      </c>
      <c r="M172" s="347" t="s">
        <v>310</v>
      </c>
      <c r="O172" s="1788" t="s">
        <v>2595</v>
      </c>
      <c r="Q172" s="348" t="str">
        <f t="array" ref="Q172">IFERROR(IF($Q$11="Yes",INDEX($L$13:$L$2313,SMALL(IF((County=$M$13:$M$2313),MATCH(ROW($M$13:$M$2313),ROW($M$13:$M$2313)),""),ROWS($A$13:A172))),""),"")</f>
        <v/>
      </c>
      <c r="S172" s="346">
        <v>33431</v>
      </c>
      <c r="T172" s="345" t="s">
        <v>361</v>
      </c>
      <c r="V172" s="345">
        <v>17</v>
      </c>
      <c r="W172" s="345" t="s">
        <v>350</v>
      </c>
      <c r="AB172" s="347">
        <v>11.04</v>
      </c>
      <c r="AC172" s="347" t="s">
        <v>351</v>
      </c>
      <c r="AD172" s="1138"/>
      <c r="AE172" s="346">
        <v>33140</v>
      </c>
      <c r="AF172" s="345" t="s">
        <v>352</v>
      </c>
      <c r="AI172" s="934"/>
      <c r="AJ172" s="345">
        <v>20</v>
      </c>
      <c r="AK172" s="345" t="s">
        <v>325</v>
      </c>
      <c r="AP172" s="347">
        <v>106.1</v>
      </c>
      <c r="AQ172" s="347" t="s">
        <v>310</v>
      </c>
      <c r="AS172" s="348" t="str">
        <f t="array" ref="AS172">IFERROR(IF($AS$11="Metro",INDEX($AJ$13:$AJ$814,SMALL(IF((County=$AK$13:$AK$814),MATCH(ROW($AK$13:$AK$814),ROW($AK$13:$AK$814)),""),ROWS($A$13:$A172))),INDEX($AM$13:$AM$48,SMALL(IF((County=$AN$13:$AN$48),MATCH(ROW($AN$13:$AN$48),ROW($AN$13:$AN$48)),""),ROWS($A$13:$A172)))),"")</f>
        <v/>
      </c>
      <c r="AU172" s="348" t="str">
        <f t="array" ref="AU172">IFERROR(IF($AU$11="Yes",INDEX($AP$13:$AP$2950,SMALL(IF((County=$AQ$13:$AQ$2950),MATCH(ROW($AQ$13:$AQ$2950),ROW($AQ$13:$AQ$2950)),""),ROWS($A$13:$A172))),""),"")</f>
        <v/>
      </c>
      <c r="AW172" s="346">
        <v>33327</v>
      </c>
      <c r="AX172" s="345" t="s">
        <v>310</v>
      </c>
      <c r="AZ172" s="345">
        <v>14.02</v>
      </c>
      <c r="BA172" s="345" t="s">
        <v>345</v>
      </c>
      <c r="BF172" s="347">
        <v>8.1</v>
      </c>
      <c r="BG172" s="347" t="s">
        <v>349</v>
      </c>
      <c r="BH172" s="1790"/>
      <c r="BI172" s="2298">
        <v>34472</v>
      </c>
      <c r="BJ172" s="237" t="s">
        <v>350</v>
      </c>
      <c r="BM172" s="1784"/>
      <c r="BN172" s="345">
        <v>641.29</v>
      </c>
      <c r="BO172" s="345" t="s">
        <v>309</v>
      </c>
      <c r="BQ172" s="237">
        <v>9506</v>
      </c>
      <c r="BR172" s="237" t="s">
        <v>366</v>
      </c>
      <c r="BT172" s="347">
        <v>106.04</v>
      </c>
      <c r="BU172" s="347" t="s">
        <v>310</v>
      </c>
      <c r="BW172" s="348" t="str">
        <f t="array" ref="BW172">IFERROR(IF($BW$11="Metro",INDEX($BN$13:$BN$4972,SMALL(IF((County=$BO$13:$BO$4972),MATCH(ROW($BO$13:$BO$4972),ROW($BO$13:$BO$4972)),""),ROWS($A$13:$A172))),INDEX($BQ$13:$BQ$212,SMALL(IF((County=$BR$13:$BR$212),MATCH(ROW($BR$13:$BR$212),ROW($BR$13:$BR$212)),""),ROWS($A$13:$A172)))),"")</f>
        <v/>
      </c>
      <c r="BY172" s="348" t="str">
        <f t="array" ref="BY172">IFERROR(IF($BY$11="Yes",INDEX($BT$13:$BT$2950,SMALL(IF((County=$BU$13:$BU$2950),MATCH(ROW($BU$13:$BU$2950),ROW($BU$13:$BU$2950)),""),ROWS($A$13:$A172))),""),"")</f>
        <v/>
      </c>
      <c r="CA172" s="1792">
        <v>33305</v>
      </c>
      <c r="CB172" s="345" t="s">
        <v>310</v>
      </c>
      <c r="CD172" s="237">
        <v>4.05</v>
      </c>
      <c r="CE172" s="237" t="s">
        <v>368</v>
      </c>
      <c r="CG172" s="237">
        <v>9705.01</v>
      </c>
      <c r="CH172" s="237" t="s">
        <v>373</v>
      </c>
      <c r="CJ172" s="347">
        <v>8.09</v>
      </c>
      <c r="CK172" s="347" t="s">
        <v>297</v>
      </c>
      <c r="CL172" s="1789"/>
      <c r="CM172" s="2299"/>
      <c r="CN172" s="345"/>
      <c r="CR172" s="345"/>
      <c r="CS172" s="345"/>
      <c r="CU172" s="345"/>
      <c r="CV172" s="345"/>
      <c r="CX172" s="347"/>
      <c r="CY172" s="347"/>
      <c r="DA172" s="348"/>
      <c r="DC172" s="348"/>
      <c r="DE172" s="1792"/>
      <c r="DF172" s="345"/>
      <c r="DH172" s="237"/>
      <c r="DI172" s="237"/>
      <c r="DK172" s="345"/>
      <c r="DL172" s="345"/>
      <c r="DN172" s="347"/>
      <c r="DO172" s="347"/>
      <c r="DP172" s="2505"/>
      <c r="DT172" s="663"/>
      <c r="DU172" s="663"/>
      <c r="DV172" s="663"/>
      <c r="DW172" s="663"/>
      <c r="DX172" s="663"/>
      <c r="DY172" s="663"/>
      <c r="DZ172" s="663"/>
      <c r="EA172" s="663"/>
      <c r="EB172" s="663"/>
      <c r="EC172" s="663"/>
      <c r="ED172" s="663"/>
    </row>
    <row r="173" spans="1:134" ht="14.45" customHeight="1">
      <c r="A173" s="346">
        <v>33132</v>
      </c>
      <c r="B173" s="345" t="s">
        <v>352</v>
      </c>
      <c r="E173" s="934"/>
      <c r="F173" s="345">
        <v>414.01</v>
      </c>
      <c r="G173" s="345" t="s">
        <v>335</v>
      </c>
      <c r="L173" s="347">
        <v>309.02</v>
      </c>
      <c r="M173" s="347" t="s">
        <v>310</v>
      </c>
      <c r="Q173" s="348" t="str">
        <f t="array" ref="Q173">IFERROR(IF($Q$11="Yes",INDEX($L$13:$L$2313,SMALL(IF((County=$M$13:$M$2313),MATCH(ROW($M$13:$M$2313),ROW($M$13:$M$2313)),""),ROWS($A$13:A173))),""),"")</f>
        <v/>
      </c>
      <c r="S173" s="346">
        <v>33432</v>
      </c>
      <c r="T173" s="345" t="s">
        <v>361</v>
      </c>
      <c r="V173" s="345">
        <v>17.010000000000002</v>
      </c>
      <c r="W173" s="345" t="s">
        <v>352</v>
      </c>
      <c r="AB173" s="347">
        <v>11.04</v>
      </c>
      <c r="AC173" s="347" t="s">
        <v>352</v>
      </c>
      <c r="AD173" s="1138"/>
      <c r="AE173" s="346">
        <v>33141</v>
      </c>
      <c r="AF173" s="345" t="s">
        <v>352</v>
      </c>
      <c r="AI173" s="934"/>
      <c r="AJ173" s="345">
        <v>21</v>
      </c>
      <c r="AK173" s="345" t="s">
        <v>325</v>
      </c>
      <c r="AP173" s="347">
        <v>106.11</v>
      </c>
      <c r="AQ173" s="347" t="s">
        <v>310</v>
      </c>
      <c r="AS173" s="348" t="str">
        <f t="array" ref="AS173">IFERROR(IF($AS$11="Metro",INDEX($AJ$13:$AJ$814,SMALL(IF((County=$AK$13:$AK$814),MATCH(ROW($AK$13:$AK$814),ROW($AK$13:$AK$814)),""),ROWS($A$13:$A173))),INDEX($AM$13:$AM$48,SMALL(IF((County=$AN$13:$AN$48),MATCH(ROW($AN$13:$AN$48),ROW($AN$13:$AN$48)),""),ROWS($A$13:$A173)))),"")</f>
        <v/>
      </c>
      <c r="AU173" s="348" t="str">
        <f t="array" ref="AU173">IFERROR(IF($AU$11="Yes",INDEX($AP$13:$AP$2950,SMALL(IF((County=$AQ$13:$AQ$2950),MATCH(ROW($AQ$13:$AQ$2950),ROW($AQ$13:$AQ$2950)),""),ROWS($A$13:$A173))),""),"")</f>
        <v/>
      </c>
      <c r="AW173" s="346">
        <v>33328</v>
      </c>
      <c r="AX173" s="345" t="s">
        <v>310</v>
      </c>
      <c r="AZ173" s="345">
        <v>14.02</v>
      </c>
      <c r="BA173" s="345" t="s">
        <v>352</v>
      </c>
      <c r="BF173" s="347">
        <v>8.1</v>
      </c>
      <c r="BG173" s="347" t="s">
        <v>350</v>
      </c>
      <c r="BH173" s="1790"/>
      <c r="BI173" s="2298">
        <v>34473</v>
      </c>
      <c r="BJ173" s="237" t="s">
        <v>350</v>
      </c>
      <c r="BM173" s="1784"/>
      <c r="BN173" s="345">
        <v>641.29999999999995</v>
      </c>
      <c r="BO173" s="345" t="s">
        <v>309</v>
      </c>
      <c r="BQ173" s="237">
        <v>9507</v>
      </c>
      <c r="BR173" s="237" t="s">
        <v>366</v>
      </c>
      <c r="BT173" s="347">
        <v>106.05</v>
      </c>
      <c r="BU173" s="347" t="s">
        <v>310</v>
      </c>
      <c r="BW173" s="348" t="str">
        <f t="array" ref="BW173">IFERROR(IF($BW$11="Metro",INDEX($BN$13:$BN$4972,SMALL(IF((County=$BO$13:$BO$4972),MATCH(ROW($BO$13:$BO$4972),ROW($BO$13:$BO$4972)),""),ROWS($A$13:$A173))),INDEX($BQ$13:$BQ$212,SMALL(IF((County=$BR$13:$BR$212),MATCH(ROW($BR$13:$BR$212),ROW($BR$13:$BR$212)),""),ROWS($A$13:$A173)))),"")</f>
        <v/>
      </c>
      <c r="BY173" s="348" t="str">
        <f t="array" ref="BY173">IFERROR(IF($BY$11="Yes",INDEX($BT$13:$BT$2950,SMALL(IF((County=$BU$13:$BU$2950),MATCH(ROW($BU$13:$BU$2950),ROW($BU$13:$BU$2950)),""),ROWS($A$13:$A173))),""),"")</f>
        <v/>
      </c>
      <c r="CA173" s="1792">
        <v>33308</v>
      </c>
      <c r="CB173" s="345" t="s">
        <v>310</v>
      </c>
      <c r="CD173" s="237">
        <v>4.0599999999999996</v>
      </c>
      <c r="CE173" s="237" t="s">
        <v>349</v>
      </c>
      <c r="CG173" s="237">
        <v>9705.02</v>
      </c>
      <c r="CH173" s="237" t="s">
        <v>373</v>
      </c>
      <c r="CJ173" s="347">
        <v>8.09</v>
      </c>
      <c r="CK173" s="347" t="s">
        <v>349</v>
      </c>
      <c r="CL173" s="1789"/>
      <c r="CM173" s="2299"/>
      <c r="CN173" s="345"/>
      <c r="CR173" s="345"/>
      <c r="CS173" s="345"/>
      <c r="CU173" s="345"/>
      <c r="CV173" s="345"/>
      <c r="CX173" s="347"/>
      <c r="CY173" s="347"/>
      <c r="DA173" s="348"/>
      <c r="DC173" s="348"/>
      <c r="DE173" s="1792"/>
      <c r="DF173" s="345"/>
      <c r="DH173" s="237"/>
      <c r="DI173" s="237"/>
      <c r="DK173" s="345"/>
      <c r="DL173" s="345"/>
      <c r="DN173" s="347"/>
      <c r="DO173" s="347"/>
      <c r="DP173" s="2505"/>
      <c r="DT173" s="663"/>
      <c r="DU173" s="663"/>
      <c r="DV173" s="663"/>
      <c r="DW173" s="663"/>
      <c r="DX173" s="663"/>
      <c r="DY173" s="663"/>
      <c r="DZ173" s="663"/>
      <c r="EA173" s="663"/>
      <c r="EB173" s="663"/>
      <c r="EC173" s="663"/>
      <c r="ED173" s="663"/>
    </row>
    <row r="174" spans="1:134" ht="14.45" customHeight="1">
      <c r="A174" s="346">
        <v>33133</v>
      </c>
      <c r="B174" s="345" t="s">
        <v>352</v>
      </c>
      <c r="E174" s="934"/>
      <c r="F174" s="345">
        <v>9603</v>
      </c>
      <c r="G174" s="345" t="s">
        <v>336</v>
      </c>
      <c r="L174" s="347">
        <v>309.04000000000002</v>
      </c>
      <c r="M174" s="347" t="s">
        <v>310</v>
      </c>
      <c r="Q174" s="348" t="str">
        <f t="array" ref="Q174">IFERROR(IF($Q$11="Yes",INDEX($L$13:$L$2313,SMALL(IF((County=$M$13:$M$2313),MATCH(ROW($M$13:$M$2313),ROW($M$13:$M$2313)),""),ROWS($A$13:A174))),""),"")</f>
        <v/>
      </c>
      <c r="S174" s="346">
        <v>33433</v>
      </c>
      <c r="T174" s="345" t="s">
        <v>361</v>
      </c>
      <c r="V174" s="345">
        <v>17.02</v>
      </c>
      <c r="W174" s="345" t="s">
        <v>352</v>
      </c>
      <c r="AB174" s="347">
        <v>11.05</v>
      </c>
      <c r="AC174" s="347" t="s">
        <v>349</v>
      </c>
      <c r="AD174" s="1138"/>
      <c r="AE174" s="346">
        <v>33143</v>
      </c>
      <c r="AF174" s="345" t="s">
        <v>352</v>
      </c>
      <c r="AI174" s="934"/>
      <c r="AJ174" s="345">
        <v>27.03</v>
      </c>
      <c r="AK174" s="345" t="s">
        <v>325</v>
      </c>
      <c r="AP174" s="347">
        <v>106.12</v>
      </c>
      <c r="AQ174" s="347" t="s">
        <v>310</v>
      </c>
      <c r="AS174" s="348" t="str">
        <f t="array" ref="AS174">IFERROR(IF($AS$11="Metro",INDEX($AJ$13:$AJ$814,SMALL(IF((County=$AK$13:$AK$814),MATCH(ROW($AK$13:$AK$814),ROW($AK$13:$AK$814)),""),ROWS($A$13:$A174))),INDEX($AM$13:$AM$48,SMALL(IF((County=$AN$13:$AN$48),MATCH(ROW($AN$13:$AN$48),ROW($AN$13:$AN$48)),""),ROWS($A$13:$A174)))),"")</f>
        <v/>
      </c>
      <c r="AU174" s="348" t="str">
        <f t="array" ref="AU174">IFERROR(IF($AU$11="Yes",INDEX($AP$13:$AP$2950,SMALL(IF((County=$AQ$13:$AQ$2950),MATCH(ROW($AQ$13:$AQ$2950),ROW($AQ$13:$AQ$2950)),""),ROWS($A$13:$A174))),""),"")</f>
        <v/>
      </c>
      <c r="AW174" s="346">
        <v>33330</v>
      </c>
      <c r="AX174" s="345" t="s">
        <v>310</v>
      </c>
      <c r="AZ174" s="345">
        <v>14.02</v>
      </c>
      <c r="BA174" s="345" t="s">
        <v>361</v>
      </c>
      <c r="BF174" s="347">
        <v>8.11</v>
      </c>
      <c r="BG174" s="347" t="s">
        <v>350</v>
      </c>
      <c r="BH174" s="1790"/>
      <c r="BI174" s="2298">
        <v>34474</v>
      </c>
      <c r="BJ174" s="237" t="s">
        <v>350</v>
      </c>
      <c r="BM174" s="1784"/>
      <c r="BN174" s="345">
        <v>642.01</v>
      </c>
      <c r="BO174" s="345" t="s">
        <v>309</v>
      </c>
      <c r="BQ174" s="237">
        <v>9508</v>
      </c>
      <c r="BR174" s="237" t="s">
        <v>366</v>
      </c>
      <c r="BT174" s="347">
        <v>106.06</v>
      </c>
      <c r="BU174" s="347" t="s">
        <v>310</v>
      </c>
      <c r="BW174" s="348" t="str">
        <f t="array" ref="BW174">IFERROR(IF($BW$11="Metro",INDEX($BN$13:$BN$4972,SMALL(IF((County=$BO$13:$BO$4972),MATCH(ROW($BO$13:$BO$4972),ROW($BO$13:$BO$4972)),""),ROWS($A$13:$A174))),INDEX($BQ$13:$BQ$212,SMALL(IF((County=$BR$13:$BR$212),MATCH(ROW($BR$13:$BR$212),ROW($BR$13:$BR$212)),""),ROWS($A$13:$A174)))),"")</f>
        <v/>
      </c>
      <c r="BY174" s="348" t="str">
        <f t="array" ref="BY174">IFERROR(IF($BY$11="Yes",INDEX($BT$13:$BT$2950,SMALL(IF((County=$BU$13:$BU$2950),MATCH(ROW($BU$13:$BU$2950),ROW($BU$13:$BU$2950)),""),ROWS($A$13:$A174))),""),"")</f>
        <v/>
      </c>
      <c r="CA174" s="1792">
        <v>33309</v>
      </c>
      <c r="CB174" s="345" t="s">
        <v>310</v>
      </c>
      <c r="CD174" s="237">
        <v>4.0599999999999996</v>
      </c>
      <c r="CE174" s="237" t="s">
        <v>361</v>
      </c>
      <c r="CG174" s="237">
        <v>9706</v>
      </c>
      <c r="CH174" s="237" t="s">
        <v>354</v>
      </c>
      <c r="CJ174" s="347">
        <v>8.09</v>
      </c>
      <c r="CK174" s="347" t="s">
        <v>350</v>
      </c>
      <c r="CL174" s="1789"/>
      <c r="CM174" s="2299"/>
      <c r="CN174" s="345"/>
      <c r="CR174" s="345"/>
      <c r="CS174" s="345"/>
      <c r="CU174" s="345"/>
      <c r="CV174" s="345"/>
      <c r="CX174" s="347"/>
      <c r="CY174" s="347"/>
      <c r="DA174" s="348"/>
      <c r="DC174" s="348"/>
      <c r="DE174" s="1792"/>
      <c r="DF174" s="345"/>
      <c r="DH174" s="237"/>
      <c r="DI174" s="237"/>
      <c r="DK174" s="345"/>
      <c r="DL174" s="345"/>
      <c r="DN174" s="347"/>
      <c r="DO174" s="347"/>
      <c r="DP174" s="2505"/>
      <c r="DT174" s="663"/>
      <c r="DU174" s="663"/>
      <c r="DV174" s="663"/>
      <c r="DW174" s="663"/>
      <c r="DX174" s="663"/>
      <c r="DY174" s="663"/>
      <c r="DZ174" s="663"/>
      <c r="EA174" s="663"/>
      <c r="EB174" s="663"/>
      <c r="EC174" s="663"/>
      <c r="ED174" s="663"/>
    </row>
    <row r="175" spans="1:134" ht="14.45" customHeight="1">
      <c r="A175" s="346">
        <v>33134</v>
      </c>
      <c r="B175" s="345" t="s">
        <v>352</v>
      </c>
      <c r="E175" s="934"/>
      <c r="F175" s="345">
        <v>9608</v>
      </c>
      <c r="G175" s="345" t="s">
        <v>336</v>
      </c>
      <c r="L175" s="347">
        <v>310.02</v>
      </c>
      <c r="M175" s="347" t="s">
        <v>310</v>
      </c>
      <c r="Q175" s="348" t="str">
        <f t="array" ref="Q175">IFERROR(IF($Q$11="Yes",INDEX($L$13:$L$2313,SMALL(IF((County=$M$13:$M$2313),MATCH(ROW($M$13:$M$2313),ROW($M$13:$M$2313)),""),ROWS($A$13:A175))),""),"")</f>
        <v/>
      </c>
      <c r="S175" s="346">
        <v>33435</v>
      </c>
      <c r="T175" s="345" t="s">
        <v>361</v>
      </c>
      <c r="V175" s="345">
        <v>17.03</v>
      </c>
      <c r="W175" s="345" t="s">
        <v>352</v>
      </c>
      <c r="AB175" s="347">
        <v>11.08</v>
      </c>
      <c r="AC175" s="347" t="s">
        <v>349</v>
      </c>
      <c r="AD175" s="1138"/>
      <c r="AE175" s="346">
        <v>33144</v>
      </c>
      <c r="AF175" s="345" t="s">
        <v>352</v>
      </c>
      <c r="AI175" s="934"/>
      <c r="AJ175" s="345">
        <v>29</v>
      </c>
      <c r="AK175" s="345" t="s">
        <v>325</v>
      </c>
      <c r="AP175" s="347">
        <v>106.13</v>
      </c>
      <c r="AQ175" s="347" t="s">
        <v>310</v>
      </c>
      <c r="AS175" s="348" t="str">
        <f t="array" ref="AS175">IFERROR(IF($AS$11="Metro",INDEX($AJ$13:$AJ$814,SMALL(IF((County=$AK$13:$AK$814),MATCH(ROW($AK$13:$AK$814),ROW($AK$13:$AK$814)),""),ROWS($A$13:$A175))),INDEX($AM$13:$AM$48,SMALL(IF((County=$AN$13:$AN$48),MATCH(ROW($AN$13:$AN$48),ROW($AN$13:$AN$48)),""),ROWS($A$13:$A175)))),"")</f>
        <v/>
      </c>
      <c r="AU175" s="348" t="str">
        <f t="array" ref="AU175">IFERROR(IF($AU$11="Yes",INDEX($AP$13:$AP$2950,SMALL(IF((County=$AQ$13:$AQ$2950),MATCH(ROW($AQ$13:$AQ$2950),ROW($AQ$13:$AQ$2950)),""),ROWS($A$13:$A175))),""),"")</f>
        <v/>
      </c>
      <c r="AW175" s="346">
        <v>33331</v>
      </c>
      <c r="AX175" s="345" t="s">
        <v>310</v>
      </c>
      <c r="AZ175" s="345">
        <v>14.03</v>
      </c>
      <c r="BA175" s="345" t="s">
        <v>361</v>
      </c>
      <c r="BF175" s="347">
        <v>8.1199999999999992</v>
      </c>
      <c r="BG175" s="347" t="s">
        <v>349</v>
      </c>
      <c r="BH175" s="1790"/>
      <c r="BI175" s="2298">
        <v>34476</v>
      </c>
      <c r="BJ175" s="237" t="s">
        <v>350</v>
      </c>
      <c r="BM175" s="1784"/>
      <c r="BN175" s="345">
        <v>642.02</v>
      </c>
      <c r="BO175" s="345" t="s">
        <v>309</v>
      </c>
      <c r="BQ175" s="237">
        <v>9509</v>
      </c>
      <c r="BR175" s="237" t="s">
        <v>366</v>
      </c>
      <c r="BT175" s="347">
        <v>106.09</v>
      </c>
      <c r="BU175" s="347" t="s">
        <v>310</v>
      </c>
      <c r="BW175" s="348" t="str">
        <f t="array" ref="BW175">IFERROR(IF($BW$11="Metro",INDEX($BN$13:$BN$4972,SMALL(IF((County=$BO$13:$BO$4972),MATCH(ROW($BO$13:$BO$4972),ROW($BO$13:$BO$4972)),""),ROWS($A$13:$A175))),INDEX($BQ$13:$BQ$212,SMALL(IF((County=$BR$13:$BR$212),MATCH(ROW($BR$13:$BR$212),ROW($BR$13:$BR$212)),""),ROWS($A$13:$A175)))),"")</f>
        <v/>
      </c>
      <c r="BY175" s="348" t="str">
        <f t="array" ref="BY175">IFERROR(IF($BY$11="Yes",INDEX($BT$13:$BT$2950,SMALL(IF((County=$BU$13:$BU$2950),MATCH(ROW($BU$13:$BU$2950),ROW($BU$13:$BU$2950)),""),ROWS($A$13:$A175))),""),"")</f>
        <v/>
      </c>
      <c r="CA175" s="1792">
        <v>33314</v>
      </c>
      <c r="CB175" s="345" t="s">
        <v>310</v>
      </c>
      <c r="CD175" s="237">
        <v>4.0599999999999996</v>
      </c>
      <c r="CE175" s="237" t="s">
        <v>368</v>
      </c>
      <c r="CG175" s="237">
        <v>9706.01</v>
      </c>
      <c r="CH175" s="237" t="s">
        <v>373</v>
      </c>
      <c r="CJ175" s="347">
        <v>8.1</v>
      </c>
      <c r="CK175" s="347" t="s">
        <v>349</v>
      </c>
      <c r="CL175" s="1789"/>
      <c r="CM175" s="2299"/>
      <c r="CN175" s="345"/>
      <c r="CR175" s="345"/>
      <c r="CS175" s="345"/>
      <c r="CU175" s="345"/>
      <c r="CV175" s="345"/>
      <c r="CX175" s="347"/>
      <c r="CY175" s="347"/>
      <c r="DA175" s="348"/>
      <c r="DC175" s="348"/>
      <c r="DE175" s="1792"/>
      <c r="DF175" s="345"/>
      <c r="DH175" s="237"/>
      <c r="DI175" s="237"/>
      <c r="DK175" s="345"/>
      <c r="DL175" s="345"/>
      <c r="DN175" s="347"/>
      <c r="DO175" s="347"/>
      <c r="DP175" s="2505"/>
      <c r="DT175" s="663"/>
      <c r="DU175" s="663"/>
      <c r="DV175" s="663"/>
      <c r="DW175" s="663"/>
      <c r="DX175" s="663"/>
      <c r="DY175" s="663"/>
      <c r="DZ175" s="663"/>
      <c r="EA175" s="663"/>
      <c r="EB175" s="663"/>
      <c r="EC175" s="663"/>
      <c r="ED175" s="663"/>
    </row>
    <row r="176" spans="1:134">
      <c r="A176" s="346">
        <v>33137</v>
      </c>
      <c r="B176" s="345" t="s">
        <v>352</v>
      </c>
      <c r="E176" s="934"/>
      <c r="F176" s="345">
        <v>9609</v>
      </c>
      <c r="G176" s="345" t="s">
        <v>336</v>
      </c>
      <c r="L176" s="347">
        <v>311.01</v>
      </c>
      <c r="M176" s="347" t="s">
        <v>310</v>
      </c>
      <c r="Q176" s="348" t="str">
        <f t="array" ref="Q176">IFERROR(IF($Q$11="Yes",INDEX($L$13:$L$2313,SMALL(IF((County=$M$13:$M$2313),MATCH(ROW($M$13:$M$2313),ROW($M$13:$M$2313)),""),ROWS($A$13:A176))),""),"")</f>
        <v/>
      </c>
      <c r="S176" s="346">
        <v>33436</v>
      </c>
      <c r="T176" s="345" t="s">
        <v>361</v>
      </c>
      <c r="V176" s="345">
        <v>18</v>
      </c>
      <c r="W176" s="345" t="s">
        <v>306</v>
      </c>
      <c r="AB176" s="347">
        <v>12.01</v>
      </c>
      <c r="AC176" s="347" t="s">
        <v>297</v>
      </c>
      <c r="AD176" s="1138"/>
      <c r="AE176" s="346">
        <v>33145</v>
      </c>
      <c r="AF176" s="345" t="s">
        <v>352</v>
      </c>
      <c r="AI176" s="934"/>
      <c r="AJ176" s="345">
        <v>31</v>
      </c>
      <c r="AK176" s="345" t="s">
        <v>325</v>
      </c>
      <c r="AP176" s="347">
        <v>106.14</v>
      </c>
      <c r="AQ176" s="347" t="s">
        <v>310</v>
      </c>
      <c r="AS176" s="348" t="str">
        <f t="array" ref="AS176">IFERROR(IF($AS$11="Metro",INDEX($AJ$13:$AJ$814,SMALL(IF((County=$AK$13:$AK$814),MATCH(ROW($AK$13:$AK$814),ROW($AK$13:$AK$814)),""),ROWS($A$13:$A176))),INDEX($AM$13:$AM$48,SMALL(IF((County=$AN$13:$AN$48),MATCH(ROW($AN$13:$AN$48),ROW($AN$13:$AN$48)),""),ROWS($A$13:$A176)))),"")</f>
        <v/>
      </c>
      <c r="AU176" s="348" t="str">
        <f t="array" ref="AU176">IFERROR(IF($AU$11="Yes",INDEX($AP$13:$AP$2950,SMALL(IF((County=$AQ$13:$AQ$2950),MATCH(ROW($AQ$13:$AQ$2950),ROW($AQ$13:$AQ$2950)),""),ROWS($A$13:$A176))),""),"")</f>
        <v/>
      </c>
      <c r="AW176" s="346">
        <v>33332</v>
      </c>
      <c r="AX176" s="345" t="s">
        <v>310</v>
      </c>
      <c r="AZ176" s="345">
        <v>14.04</v>
      </c>
      <c r="BA176" s="345" t="s">
        <v>361</v>
      </c>
      <c r="BF176" s="347">
        <v>8.1300000000000008</v>
      </c>
      <c r="BG176" s="347" t="s">
        <v>349</v>
      </c>
      <c r="BH176" s="1790"/>
      <c r="BI176" s="2298">
        <v>34990</v>
      </c>
      <c r="BJ176" s="237" t="s">
        <v>351</v>
      </c>
      <c r="BM176" s="1784"/>
      <c r="BN176" s="345">
        <v>643.01</v>
      </c>
      <c r="BO176" s="345" t="s">
        <v>309</v>
      </c>
      <c r="BQ176" s="237">
        <v>9510</v>
      </c>
      <c r="BR176" s="237" t="s">
        <v>366</v>
      </c>
      <c r="BT176" s="347">
        <v>106.11</v>
      </c>
      <c r="BU176" s="347" t="s">
        <v>310</v>
      </c>
      <c r="BW176" s="348" t="str">
        <f t="array" ref="BW176">IFERROR(IF($BW$11="Metro",INDEX($BN$13:$BN$4972,SMALL(IF((County=$BO$13:$BO$4972),MATCH(ROW($BO$13:$BO$4972),ROW($BO$13:$BO$4972)),""),ROWS($A$13:$A176))),INDEX($BQ$13:$BQ$212,SMALL(IF((County=$BR$13:$BR$212),MATCH(ROW($BR$13:$BR$212),ROW($BR$13:$BR$212)),""),ROWS($A$13:$A176)))),"")</f>
        <v/>
      </c>
      <c r="BY176" s="348" t="str">
        <f t="array" ref="BY176">IFERROR(IF($BY$11="Yes",INDEX($BT$13:$BT$2950,SMALL(IF((County=$BU$13:$BU$2950),MATCH(ROW($BU$13:$BU$2950),ROW($BU$13:$BU$2950)),""),ROWS($A$13:$A176))),""),"")</f>
        <v/>
      </c>
      <c r="CA176" s="1792">
        <v>33315</v>
      </c>
      <c r="CB176" s="345" t="s">
        <v>310</v>
      </c>
      <c r="CD176" s="237">
        <v>4.07</v>
      </c>
      <c r="CE176" s="237" t="s">
        <v>349</v>
      </c>
      <c r="CG176" s="237">
        <v>9706.02</v>
      </c>
      <c r="CH176" s="237" t="s">
        <v>373</v>
      </c>
      <c r="CJ176" s="347">
        <v>8.1</v>
      </c>
      <c r="CK176" s="347" t="s">
        <v>350</v>
      </c>
      <c r="CL176" s="1789"/>
      <c r="CM176" s="2299"/>
      <c r="CN176" s="345"/>
      <c r="CR176" s="345"/>
      <c r="CS176" s="345"/>
      <c r="CU176" s="345"/>
      <c r="CV176" s="345"/>
      <c r="CX176" s="347"/>
      <c r="CY176" s="347"/>
      <c r="DA176" s="348"/>
      <c r="DC176" s="348"/>
      <c r="DE176" s="1792"/>
      <c r="DF176" s="345"/>
      <c r="DH176" s="237"/>
      <c r="DI176" s="237"/>
      <c r="DK176" s="345"/>
      <c r="DL176" s="345"/>
      <c r="DN176" s="347"/>
      <c r="DO176" s="347"/>
      <c r="DP176" s="2505"/>
      <c r="DT176" s="663"/>
      <c r="DU176" s="663"/>
      <c r="DV176" s="663"/>
      <c r="DW176" s="663"/>
      <c r="DX176" s="663"/>
      <c r="DY176" s="663"/>
      <c r="DZ176" s="663"/>
      <c r="EA176" s="663"/>
      <c r="EB176" s="663"/>
      <c r="EC176" s="663"/>
      <c r="ED176" s="663"/>
    </row>
    <row r="177" spans="1:134">
      <c r="A177" s="346">
        <v>33139</v>
      </c>
      <c r="B177" s="345" t="s">
        <v>352</v>
      </c>
      <c r="E177" s="934"/>
      <c r="F177" s="345">
        <v>9611</v>
      </c>
      <c r="G177" s="345" t="s">
        <v>336</v>
      </c>
      <c r="L177" s="347">
        <v>311.02</v>
      </c>
      <c r="M177" s="347" t="s">
        <v>310</v>
      </c>
      <c r="Q177" s="348" t="str">
        <f t="array" ref="Q177">IFERROR(IF($Q$11="Yes",INDEX($L$13:$L$2313,SMALL(IF((County=$M$13:$M$2313),MATCH(ROW($M$13:$M$2313),ROW($M$13:$M$2313)),""),ROWS($A$13:A177))),""),"")</f>
        <v/>
      </c>
      <c r="S177" s="346">
        <v>33437</v>
      </c>
      <c r="T177" s="345" t="s">
        <v>361</v>
      </c>
      <c r="V177" s="345">
        <v>18</v>
      </c>
      <c r="W177" s="345" t="s">
        <v>325</v>
      </c>
      <c r="AB177" s="347">
        <v>12.01</v>
      </c>
      <c r="AC177" s="347" t="s">
        <v>368</v>
      </c>
      <c r="AD177" s="1138"/>
      <c r="AE177" s="346">
        <v>33146</v>
      </c>
      <c r="AF177" s="345" t="s">
        <v>352</v>
      </c>
      <c r="AI177" s="934"/>
      <c r="AJ177" s="345">
        <v>35.06</v>
      </c>
      <c r="AK177" s="345" t="s">
        <v>325</v>
      </c>
      <c r="AP177" s="347">
        <v>106.15</v>
      </c>
      <c r="AQ177" s="347" t="s">
        <v>310</v>
      </c>
      <c r="AS177" s="348" t="str">
        <f t="array" ref="AS177">IFERROR(IF($AS$11="Metro",INDEX($AJ$13:$AJ$814,SMALL(IF((County=$AK$13:$AK$814),MATCH(ROW($AK$13:$AK$814),ROW($AK$13:$AK$814)),""),ROWS($A$13:$A177))),INDEX($AM$13:$AM$48,SMALL(IF((County=$AN$13:$AN$48),MATCH(ROW($AN$13:$AN$48),ROW($AN$13:$AN$48)),""),ROWS($A$13:$A177)))),"")</f>
        <v/>
      </c>
      <c r="AU177" s="348" t="str">
        <f t="array" ref="AU177">IFERROR(IF($AU$11="Yes",INDEX($AP$13:$AP$2950,SMALL(IF((County=$AQ$13:$AQ$2950),MATCH(ROW($AQ$13:$AQ$2950),ROW($AQ$13:$AQ$2950)),""),ROWS($A$13:$A177))),""),"")</f>
        <v/>
      </c>
      <c r="AW177" s="346">
        <v>33351</v>
      </c>
      <c r="AX177" s="345" t="s">
        <v>310</v>
      </c>
      <c r="AZ177" s="345">
        <v>14.07</v>
      </c>
      <c r="BA177" s="345" t="s">
        <v>351</v>
      </c>
      <c r="BF177" s="347">
        <v>8.14</v>
      </c>
      <c r="BG177" s="347" t="s">
        <v>349</v>
      </c>
      <c r="BH177" s="1790"/>
      <c r="BI177" s="1792">
        <v>33014</v>
      </c>
      <c r="BJ177" s="237" t="s">
        <v>352</v>
      </c>
      <c r="BM177" s="1784"/>
      <c r="BN177" s="345">
        <v>643.02</v>
      </c>
      <c r="BO177" s="345" t="s">
        <v>309</v>
      </c>
      <c r="BQ177" s="237">
        <v>9511</v>
      </c>
      <c r="BR177" s="237" t="s">
        <v>366</v>
      </c>
      <c r="BT177" s="347">
        <v>106.12</v>
      </c>
      <c r="BU177" s="347" t="s">
        <v>310</v>
      </c>
      <c r="BW177" s="348" t="str">
        <f t="array" ref="BW177">IFERROR(IF($BW$11="Metro",INDEX($BN$13:$BN$4972,SMALL(IF((County=$BO$13:$BO$4972),MATCH(ROW($BO$13:$BO$4972),ROW($BO$13:$BO$4972)),""),ROWS($A$13:$A177))),INDEX($BQ$13:$BQ$212,SMALL(IF((County=$BR$13:$BR$212),MATCH(ROW($BR$13:$BR$212),ROW($BR$13:$BR$212)),""),ROWS($A$13:$A177)))),"")</f>
        <v/>
      </c>
      <c r="BY177" s="348" t="str">
        <f t="array" ref="BY177">IFERROR(IF($BY$11="Yes",INDEX($BT$13:$BT$2950,SMALL(IF((County=$BU$13:$BU$2950),MATCH(ROW($BU$13:$BU$2950),ROW($BU$13:$BU$2950)),""),ROWS($A$13:$A177))),""),"")</f>
        <v/>
      </c>
      <c r="CA177" s="1792">
        <v>33317</v>
      </c>
      <c r="CB177" s="345" t="s">
        <v>310</v>
      </c>
      <c r="CD177" s="237">
        <v>4.07</v>
      </c>
      <c r="CE177" s="237" t="s">
        <v>361</v>
      </c>
      <c r="CG177" s="237">
        <v>9707</v>
      </c>
      <c r="CH177" s="237" t="s">
        <v>354</v>
      </c>
      <c r="CJ177" s="347">
        <v>8.11</v>
      </c>
      <c r="CK177" s="347" t="s">
        <v>350</v>
      </c>
      <c r="CL177" s="1789"/>
      <c r="CM177" s="2299"/>
      <c r="CN177" s="345"/>
      <c r="CR177" s="345"/>
      <c r="CS177" s="345"/>
      <c r="CU177" s="345"/>
      <c r="CV177" s="345"/>
      <c r="CX177" s="347"/>
      <c r="CY177" s="347"/>
      <c r="DA177" s="348"/>
      <c r="DC177" s="348"/>
      <c r="DE177" s="1792"/>
      <c r="DF177" s="345"/>
      <c r="DH177" s="237"/>
      <c r="DI177" s="237"/>
      <c r="DK177" s="345"/>
      <c r="DL177" s="345"/>
      <c r="DN177" s="347"/>
      <c r="DO177" s="347"/>
      <c r="DP177" s="2505"/>
      <c r="DT177" s="663"/>
      <c r="DU177" s="663"/>
      <c r="DV177" s="663"/>
      <c r="DW177" s="663"/>
      <c r="DX177" s="663"/>
      <c r="DY177" s="663"/>
      <c r="DZ177" s="663"/>
      <c r="EA177" s="663"/>
      <c r="EB177" s="663"/>
      <c r="EC177" s="663"/>
      <c r="ED177" s="663"/>
    </row>
    <row r="178" spans="1:134">
      <c r="A178" s="346">
        <v>33140</v>
      </c>
      <c r="B178" s="345" t="s">
        <v>352</v>
      </c>
      <c r="E178" s="934"/>
      <c r="F178" s="345">
        <v>9616.0300000000007</v>
      </c>
      <c r="G178" s="345" t="s">
        <v>336</v>
      </c>
      <c r="L178" s="347">
        <v>312.02</v>
      </c>
      <c r="M178" s="347" t="s">
        <v>310</v>
      </c>
      <c r="Q178" s="348" t="str">
        <f t="array" ref="Q178">IFERROR(IF($Q$11="Yes",INDEX($L$13:$L$2313,SMALL(IF((County=$M$13:$M$2313),MATCH(ROW($M$13:$M$2313),ROW($M$13:$M$2313)),""),ROWS($A$13:A178))),""),"")</f>
        <v/>
      </c>
      <c r="S178" s="346">
        <v>33442</v>
      </c>
      <c r="T178" s="345" t="s">
        <v>310</v>
      </c>
      <c r="V178" s="345">
        <v>18</v>
      </c>
      <c r="W178" s="345" t="s">
        <v>337</v>
      </c>
      <c r="AB178" s="347">
        <v>12.02</v>
      </c>
      <c r="AC178" s="347" t="s">
        <v>297</v>
      </c>
      <c r="AD178" s="1138"/>
      <c r="AE178" s="346">
        <v>33149</v>
      </c>
      <c r="AF178" s="345" t="s">
        <v>352</v>
      </c>
      <c r="AI178" s="934"/>
      <c r="AJ178" s="345">
        <v>36.07</v>
      </c>
      <c r="AK178" s="345" t="s">
        <v>325</v>
      </c>
      <c r="AP178" s="347">
        <v>109.01</v>
      </c>
      <c r="AQ178" s="347" t="s">
        <v>310</v>
      </c>
      <c r="AS178" s="348" t="str">
        <f t="array" ref="AS178">IFERROR(IF($AS$11="Metro",INDEX($AJ$13:$AJ$814,SMALL(IF((County=$AK$13:$AK$814),MATCH(ROW($AK$13:$AK$814),ROW($AK$13:$AK$814)),""),ROWS($A$13:$A178))),INDEX($AM$13:$AM$48,SMALL(IF((County=$AN$13:$AN$48),MATCH(ROW($AN$13:$AN$48),ROW($AN$13:$AN$48)),""),ROWS($A$13:$A178)))),"")</f>
        <v/>
      </c>
      <c r="AU178" s="348" t="str">
        <f t="array" ref="AU178">IFERROR(IF($AU$11="Yes",INDEX($AP$13:$AP$2950,SMALL(IF((County=$AQ$13:$AQ$2950),MATCH(ROW($AQ$13:$AQ$2950),ROW($AQ$13:$AQ$2950)),""),ROWS($A$13:$A178))),""),"")</f>
        <v/>
      </c>
      <c r="AW178" s="346">
        <v>33410</v>
      </c>
      <c r="AX178" s="345" t="s">
        <v>361</v>
      </c>
      <c r="AZ178" s="345">
        <v>15</v>
      </c>
      <c r="BA178" s="345" t="s">
        <v>323</v>
      </c>
      <c r="BF178" s="347">
        <v>9</v>
      </c>
      <c r="BG178" s="347" t="s">
        <v>325</v>
      </c>
      <c r="BH178" s="1790"/>
      <c r="BI178" s="1792">
        <v>33015</v>
      </c>
      <c r="BJ178" s="237" t="s">
        <v>352</v>
      </c>
      <c r="BM178" s="1784"/>
      <c r="BN178" s="345">
        <v>644</v>
      </c>
      <c r="BO178" s="345" t="s">
        <v>309</v>
      </c>
      <c r="BQ178" s="237">
        <v>9512</v>
      </c>
      <c r="BR178" s="237" t="s">
        <v>366</v>
      </c>
      <c r="BT178" s="347">
        <v>106.13</v>
      </c>
      <c r="BU178" s="347" t="s">
        <v>310</v>
      </c>
      <c r="BW178" s="348" t="str">
        <f t="array" ref="BW178">IFERROR(IF($BW$11="Metro",INDEX($BN$13:$BN$4972,SMALL(IF((County=$BO$13:$BO$4972),MATCH(ROW($BO$13:$BO$4972),ROW($BO$13:$BO$4972)),""),ROWS($A$13:$A178))),INDEX($BQ$13:$BQ$212,SMALL(IF((County=$BR$13:$BR$212),MATCH(ROW($BR$13:$BR$212),ROW($BR$13:$BR$212)),""),ROWS($A$13:$A178)))),"")</f>
        <v/>
      </c>
      <c r="BY178" s="348" t="str">
        <f t="array" ref="BY178">IFERROR(IF($BY$11="Yes",INDEX($BT$13:$BT$2950,SMALL(IF((County=$BU$13:$BU$2950),MATCH(ROW($BU$13:$BU$2950),ROW($BU$13:$BU$2950)),""),ROWS($A$13:$A178))),""),"")</f>
        <v/>
      </c>
      <c r="CA178" s="1792">
        <v>33321</v>
      </c>
      <c r="CB178" s="345" t="s">
        <v>310</v>
      </c>
      <c r="CD178" s="237">
        <v>4.07</v>
      </c>
      <c r="CE178" s="237" t="s">
        <v>368</v>
      </c>
      <c r="CG178" s="237">
        <v>9708</v>
      </c>
      <c r="CH178" s="237" t="s">
        <v>354</v>
      </c>
      <c r="CJ178" s="347">
        <v>8.1199999999999992</v>
      </c>
      <c r="CK178" s="347" t="s">
        <v>349</v>
      </c>
      <c r="CL178" s="1789"/>
      <c r="CM178" s="2299"/>
      <c r="CN178" s="345"/>
      <c r="CR178" s="345"/>
      <c r="CS178" s="345"/>
      <c r="CU178" s="345"/>
      <c r="CV178" s="345"/>
      <c r="CX178" s="347"/>
      <c r="CY178" s="347"/>
      <c r="DA178" s="348"/>
      <c r="DC178" s="348"/>
      <c r="DE178" s="1792"/>
      <c r="DF178" s="345"/>
      <c r="DH178" s="237"/>
      <c r="DI178" s="237"/>
      <c r="DK178" s="345"/>
      <c r="DL178" s="345"/>
      <c r="DN178" s="347"/>
      <c r="DO178" s="347"/>
      <c r="DP178" s="2505"/>
      <c r="DT178" s="663"/>
      <c r="DU178" s="663"/>
      <c r="DV178" s="663"/>
      <c r="DW178" s="663"/>
      <c r="DX178" s="663"/>
      <c r="DY178" s="663"/>
      <c r="DZ178" s="663"/>
      <c r="EA178" s="663"/>
      <c r="EB178" s="663"/>
      <c r="EC178" s="663"/>
      <c r="ED178" s="663"/>
    </row>
    <row r="179" spans="1:134">
      <c r="A179" s="346">
        <v>33141</v>
      </c>
      <c r="B179" s="345" t="s">
        <v>352</v>
      </c>
      <c r="E179" s="934"/>
      <c r="F179" s="345">
        <v>1.01</v>
      </c>
      <c r="G179" s="345" t="s">
        <v>337</v>
      </c>
      <c r="L179" s="347">
        <v>312.02999999999997</v>
      </c>
      <c r="M179" s="347" t="s">
        <v>310</v>
      </c>
      <c r="Q179" s="348" t="str">
        <f t="array" ref="Q179">IFERROR(IF($Q$11="Yes",INDEX($L$13:$L$2313,SMALL(IF((County=$M$13:$M$2313),MATCH(ROW($M$13:$M$2313),ROW($M$13:$M$2313)),""),ROWS($A$13:A179))),""),"")</f>
        <v/>
      </c>
      <c r="S179" s="346">
        <v>33445</v>
      </c>
      <c r="T179" s="345" t="s">
        <v>361</v>
      </c>
      <c r="V179" s="345">
        <v>18</v>
      </c>
      <c r="W179" s="345" t="s">
        <v>350</v>
      </c>
      <c r="AB179" s="347">
        <v>12.02</v>
      </c>
      <c r="AC179" s="347" t="s">
        <v>344</v>
      </c>
      <c r="AD179" s="1138"/>
      <c r="AE179" s="346">
        <v>33154</v>
      </c>
      <c r="AF179" s="345" t="s">
        <v>352</v>
      </c>
      <c r="AI179" s="934"/>
      <c r="AJ179" s="345">
        <v>207.01</v>
      </c>
      <c r="AK179" s="345" t="s">
        <v>328</v>
      </c>
      <c r="AP179" s="347">
        <v>109.02</v>
      </c>
      <c r="AQ179" s="347" t="s">
        <v>310</v>
      </c>
      <c r="AS179" s="348" t="str">
        <f t="array" ref="AS179">IFERROR(IF($AS$11="Metro",INDEX($AJ$13:$AJ$814,SMALL(IF((County=$AK$13:$AK$814),MATCH(ROW($AK$13:$AK$814),ROW($AK$13:$AK$814)),""),ROWS($A$13:$A179))),INDEX($AM$13:$AM$48,SMALL(IF((County=$AN$13:$AN$48),MATCH(ROW($AN$13:$AN$48),ROW($AN$13:$AN$48)),""),ROWS($A$13:$A179)))),"")</f>
        <v/>
      </c>
      <c r="AU179" s="348" t="str">
        <f t="array" ref="AU179">IFERROR(IF($AU$11="Yes",INDEX($AP$13:$AP$2950,SMALL(IF((County=$AQ$13:$AQ$2950),MATCH(ROW($AQ$13:$AQ$2950),ROW($AQ$13:$AQ$2950)),""),ROWS($A$13:$A179))),""),"")</f>
        <v/>
      </c>
      <c r="AW179" s="346">
        <v>33412</v>
      </c>
      <c r="AX179" s="345" t="s">
        <v>361</v>
      </c>
      <c r="AZ179" s="345">
        <v>15</v>
      </c>
      <c r="BA179" s="345" t="s">
        <v>325</v>
      </c>
      <c r="BF179" s="347">
        <v>9</v>
      </c>
      <c r="BG179" s="347" t="s">
        <v>344</v>
      </c>
      <c r="BH179" s="1790"/>
      <c r="BI179" s="1792">
        <v>33016</v>
      </c>
      <c r="BJ179" s="237" t="s">
        <v>352</v>
      </c>
      <c r="BM179" s="1784"/>
      <c r="BN179" s="345">
        <v>645</v>
      </c>
      <c r="BO179" s="345" t="s">
        <v>309</v>
      </c>
      <c r="BQ179" s="237">
        <v>9513</v>
      </c>
      <c r="BR179" s="237" t="s">
        <v>366</v>
      </c>
      <c r="BT179" s="347">
        <v>106.15</v>
      </c>
      <c r="BU179" s="347" t="s">
        <v>310</v>
      </c>
      <c r="BW179" s="348" t="str">
        <f t="array" ref="BW179">IFERROR(IF($BW$11="Metro",INDEX($BN$13:$BN$4972,SMALL(IF((County=$BO$13:$BO$4972),MATCH(ROW($BO$13:$BO$4972),ROW($BO$13:$BO$4972)),""),ROWS($A$13:$A179))),INDEX($BQ$13:$BQ$212,SMALL(IF((County=$BR$13:$BR$212),MATCH(ROW($BR$13:$BR$212),ROW($BR$13:$BR$212)),""),ROWS($A$13:$A179)))),"")</f>
        <v/>
      </c>
      <c r="BY179" s="348" t="str">
        <f t="array" ref="BY179">IFERROR(IF($BY$11="Yes",INDEX($BT$13:$BT$2950,SMALL(IF((County=$BU$13:$BU$2950),MATCH(ROW($BU$13:$BU$2950),ROW($BU$13:$BU$2950)),""),ROWS($A$13:$A179))),""),"")</f>
        <v/>
      </c>
      <c r="CA179" s="1792">
        <v>33322</v>
      </c>
      <c r="CB179" s="345" t="s">
        <v>310</v>
      </c>
      <c r="CD179" s="237">
        <v>4.08</v>
      </c>
      <c r="CE179" s="237" t="s">
        <v>352</v>
      </c>
      <c r="CG179" s="237">
        <v>9709</v>
      </c>
      <c r="CH179" s="237" t="s">
        <v>354</v>
      </c>
      <c r="CJ179" s="347">
        <v>8.1300000000000008</v>
      </c>
      <c r="CK179" s="347" t="s">
        <v>349</v>
      </c>
      <c r="CL179" s="1789"/>
      <c r="CM179" s="2299"/>
      <c r="CN179" s="345"/>
      <c r="CR179" s="345"/>
      <c r="CS179" s="345"/>
      <c r="CU179" s="345"/>
      <c r="CV179" s="345"/>
      <c r="CX179" s="347"/>
      <c r="CY179" s="347"/>
      <c r="DA179" s="348"/>
      <c r="DC179" s="348"/>
      <c r="DE179" s="1792"/>
      <c r="DF179" s="345"/>
      <c r="DH179" s="237"/>
      <c r="DI179" s="237"/>
      <c r="DK179" s="345"/>
      <c r="DL179" s="345"/>
      <c r="DN179" s="347"/>
      <c r="DO179" s="347"/>
      <c r="DP179" s="2505"/>
      <c r="DT179" s="663"/>
      <c r="DU179" s="663"/>
      <c r="DV179" s="663"/>
      <c r="DW179" s="663"/>
      <c r="DX179" s="663"/>
      <c r="DY179" s="663"/>
      <c r="DZ179" s="663"/>
      <c r="EA179" s="663"/>
      <c r="EB179" s="663"/>
      <c r="EC179" s="663"/>
      <c r="ED179" s="663"/>
    </row>
    <row r="180" spans="1:134">
      <c r="A180" s="346">
        <v>33143</v>
      </c>
      <c r="B180" s="345" t="s">
        <v>352</v>
      </c>
      <c r="E180" s="934"/>
      <c r="F180" s="345">
        <v>1.02</v>
      </c>
      <c r="G180" s="345" t="s">
        <v>337</v>
      </c>
      <c r="L180" s="347">
        <v>312.05</v>
      </c>
      <c r="M180" s="347" t="s">
        <v>310</v>
      </c>
      <c r="Q180" s="348" t="str">
        <f t="array" ref="Q180">IFERROR(IF($Q$11="Yes",INDEX($L$13:$L$2313,SMALL(IF((County=$M$13:$M$2313),MATCH(ROW($M$13:$M$2313),ROW($M$13:$M$2313)),""),ROWS($A$13:A180))),""),"")</f>
        <v/>
      </c>
      <c r="S180" s="346">
        <v>33449</v>
      </c>
      <c r="T180" s="345" t="s">
        <v>361</v>
      </c>
      <c r="V180" s="345">
        <v>18.010000000000002</v>
      </c>
      <c r="W180" s="345" t="s">
        <v>345</v>
      </c>
      <c r="AB180" s="347">
        <v>12.02</v>
      </c>
      <c r="AC180" s="347" t="s">
        <v>349</v>
      </c>
      <c r="AD180" s="1138"/>
      <c r="AE180" s="346">
        <v>33155</v>
      </c>
      <c r="AF180" s="345" t="s">
        <v>352</v>
      </c>
      <c r="AI180" s="934"/>
      <c r="AJ180" s="345">
        <v>207.02</v>
      </c>
      <c r="AK180" s="345" t="s">
        <v>328</v>
      </c>
      <c r="AP180" s="347">
        <v>110</v>
      </c>
      <c r="AQ180" s="347" t="s">
        <v>310</v>
      </c>
      <c r="AS180" s="348" t="str">
        <f t="array" ref="AS180">IFERROR(IF($AS$11="Metro",INDEX($AJ$13:$AJ$814,SMALL(IF((County=$AK$13:$AK$814),MATCH(ROW($AK$13:$AK$814),ROW($AK$13:$AK$814)),""),ROWS($A$13:$A180))),INDEX($AM$13:$AM$48,SMALL(IF((County=$AN$13:$AN$48),MATCH(ROW($AN$13:$AN$48),ROW($AN$13:$AN$48)),""),ROWS($A$13:$A180)))),"")</f>
        <v/>
      </c>
      <c r="AU180" s="348" t="str">
        <f t="array" ref="AU180">IFERROR(IF($AU$11="Yes",INDEX($AP$13:$AP$2950,SMALL(IF((County=$AQ$13:$AQ$2950),MATCH(ROW($AQ$13:$AQ$2950),ROW($AQ$13:$AQ$2950)),""),ROWS($A$13:$A180))),""),"")</f>
        <v/>
      </c>
      <c r="AW180" s="346">
        <v>33413</v>
      </c>
      <c r="AX180" s="345" t="s">
        <v>361</v>
      </c>
      <c r="AZ180" s="345">
        <v>15</v>
      </c>
      <c r="BA180" s="345" t="s">
        <v>350</v>
      </c>
      <c r="BF180" s="347">
        <v>9</v>
      </c>
      <c r="BG180" s="347" t="s">
        <v>368</v>
      </c>
      <c r="BH180" s="1790"/>
      <c r="BI180" s="1792">
        <v>33018</v>
      </c>
      <c r="BJ180" s="237" t="s">
        <v>352</v>
      </c>
      <c r="BM180" s="1784"/>
      <c r="BN180" s="345">
        <v>646.01</v>
      </c>
      <c r="BO180" s="345" t="s">
        <v>309</v>
      </c>
      <c r="BQ180" s="237">
        <v>9514.01</v>
      </c>
      <c r="BR180" s="237" t="s">
        <v>366</v>
      </c>
      <c r="BT180" s="347">
        <v>109.01</v>
      </c>
      <c r="BU180" s="347" t="s">
        <v>310</v>
      </c>
      <c r="BW180" s="348" t="str">
        <f t="array" ref="BW180">IFERROR(IF($BW$11="Metro",INDEX($BN$13:$BN$4972,SMALL(IF((County=$BO$13:$BO$4972),MATCH(ROW($BO$13:$BO$4972),ROW($BO$13:$BO$4972)),""),ROWS($A$13:$A180))),INDEX($BQ$13:$BQ$212,SMALL(IF((County=$BR$13:$BR$212),MATCH(ROW($BR$13:$BR$212),ROW($BR$13:$BR$212)),""),ROWS($A$13:$A180)))),"")</f>
        <v/>
      </c>
      <c r="BY180" s="348" t="str">
        <f t="array" ref="BY180">IFERROR(IF($BY$11="Yes",INDEX($BT$13:$BT$2950,SMALL(IF((County=$BU$13:$BU$2950),MATCH(ROW($BU$13:$BU$2950),ROW($BU$13:$BU$2950)),""),ROWS($A$13:$A180))),""),"")</f>
        <v/>
      </c>
      <c r="CA180" s="1792">
        <v>33323</v>
      </c>
      <c r="CB180" s="345" t="s">
        <v>310</v>
      </c>
      <c r="CD180" s="237">
        <v>4.08</v>
      </c>
      <c r="CE180" s="237" t="s">
        <v>361</v>
      </c>
      <c r="CG180" s="237">
        <v>9710.01</v>
      </c>
      <c r="CH180" s="237" t="s">
        <v>354</v>
      </c>
      <c r="CJ180" s="347">
        <v>8.14</v>
      </c>
      <c r="CK180" s="347" t="s">
        <v>349</v>
      </c>
      <c r="CL180" s="1789"/>
      <c r="CM180" s="2299"/>
      <c r="CN180" s="345"/>
      <c r="CR180" s="345"/>
      <c r="CS180" s="345"/>
      <c r="CU180" s="345"/>
      <c r="CV180" s="345"/>
      <c r="CX180" s="347"/>
      <c r="CY180" s="347"/>
      <c r="DA180" s="348"/>
      <c r="DC180" s="348"/>
      <c r="DE180" s="1792"/>
      <c r="DF180" s="345"/>
      <c r="DH180" s="237"/>
      <c r="DI180" s="237"/>
      <c r="DK180" s="345"/>
      <c r="DL180" s="345"/>
      <c r="DN180" s="347"/>
      <c r="DO180" s="347"/>
      <c r="DP180" s="2505"/>
      <c r="DT180" s="663"/>
      <c r="DU180" s="663"/>
      <c r="DV180" s="663"/>
      <c r="DW180" s="663"/>
      <c r="DX180" s="663"/>
      <c r="DY180" s="663"/>
      <c r="DZ180" s="663"/>
      <c r="EA180" s="663"/>
      <c r="EB180" s="663"/>
      <c r="EC180" s="663"/>
      <c r="ED180" s="663"/>
    </row>
    <row r="181" spans="1:134">
      <c r="A181" s="346">
        <v>33145</v>
      </c>
      <c r="B181" s="345" t="s">
        <v>352</v>
      </c>
      <c r="E181" s="934"/>
      <c r="F181" s="345">
        <v>2.0099999999999998</v>
      </c>
      <c r="G181" s="345" t="s">
        <v>337</v>
      </c>
      <c r="L181" s="347">
        <v>401.01</v>
      </c>
      <c r="M181" s="347" t="s">
        <v>310</v>
      </c>
      <c r="Q181" s="348" t="str">
        <f t="array" ref="Q181">IFERROR(IF($Q$11="Yes",INDEX($L$13:$L$2313,SMALL(IF((County=$M$13:$M$2313),MATCH(ROW($M$13:$M$2313),ROW($M$13:$M$2313)),""),ROWS($A$13:A181))),""),"")</f>
        <v/>
      </c>
      <c r="S181" s="346">
        <v>33458</v>
      </c>
      <c r="T181" s="345" t="s">
        <v>361</v>
      </c>
      <c r="V181" s="345">
        <v>18.010000000000002</v>
      </c>
      <c r="W181" s="345" t="s">
        <v>351</v>
      </c>
      <c r="AB181" s="347">
        <v>12.03</v>
      </c>
      <c r="AC181" s="347" t="s">
        <v>297</v>
      </c>
      <c r="AD181" s="1138"/>
      <c r="AE181" s="346">
        <v>33156</v>
      </c>
      <c r="AF181" s="345" t="s">
        <v>352</v>
      </c>
      <c r="AI181" s="934"/>
      <c r="AJ181" s="345">
        <v>404</v>
      </c>
      <c r="AK181" s="345" t="s">
        <v>335</v>
      </c>
      <c r="AP181" s="347">
        <v>202.04</v>
      </c>
      <c r="AQ181" s="347" t="s">
        <v>310</v>
      </c>
      <c r="AS181" s="348" t="str">
        <f t="array" ref="AS181">IFERROR(IF($AS$11="Metro",INDEX($AJ$13:$AJ$814,SMALL(IF((County=$AK$13:$AK$814),MATCH(ROW($AK$13:$AK$814),ROW($AK$13:$AK$814)),""),ROWS($A$13:$A181))),INDEX($AM$13:$AM$48,SMALL(IF((County=$AN$13:$AN$48),MATCH(ROW($AN$13:$AN$48),ROW($AN$13:$AN$48)),""),ROWS($A$13:$A181)))),"")</f>
        <v/>
      </c>
      <c r="AU181" s="348" t="str">
        <f t="array" ref="AU181">IFERROR(IF($AU$11="Yes",INDEX($AP$13:$AP$2950,SMALL(IF((County=$AQ$13:$AQ$2950),MATCH(ROW($AQ$13:$AQ$2950),ROW($AQ$13:$AQ$2950)),""),ROWS($A$13:$A181))),""),"")</f>
        <v/>
      </c>
      <c r="AW181" s="346">
        <v>33414</v>
      </c>
      <c r="AX181" s="345" t="s">
        <v>361</v>
      </c>
      <c r="AZ181" s="345">
        <v>15.01</v>
      </c>
      <c r="BA181" s="345" t="s">
        <v>352</v>
      </c>
      <c r="BF181" s="347">
        <v>9.01</v>
      </c>
      <c r="BG181" s="347" t="s">
        <v>350</v>
      </c>
      <c r="BH181" s="1790"/>
      <c r="BI181" s="1792">
        <v>33035</v>
      </c>
      <c r="BJ181" s="237" t="s">
        <v>352</v>
      </c>
      <c r="BM181" s="1784"/>
      <c r="BN181" s="345">
        <v>646.02</v>
      </c>
      <c r="BO181" s="345" t="s">
        <v>309</v>
      </c>
      <c r="BQ181" s="237">
        <v>9514.02</v>
      </c>
      <c r="BR181" s="237" t="s">
        <v>366</v>
      </c>
      <c r="BT181" s="347">
        <v>109.02</v>
      </c>
      <c r="BU181" s="347" t="s">
        <v>310</v>
      </c>
      <c r="BW181" s="348" t="str">
        <f t="array" ref="BW181">IFERROR(IF($BW$11="Metro",INDEX($BN$13:$BN$4972,SMALL(IF((County=$BO$13:$BO$4972),MATCH(ROW($BO$13:$BO$4972),ROW($BO$13:$BO$4972)),""),ROWS($A$13:$A181))),INDEX($BQ$13:$BQ$212,SMALL(IF((County=$BR$13:$BR$212),MATCH(ROW($BR$13:$BR$212),ROW($BR$13:$BR$212)),""),ROWS($A$13:$A181)))),"")</f>
        <v/>
      </c>
      <c r="BY181" s="348" t="str">
        <f t="array" ref="BY181">IFERROR(IF($BY$11="Yes",INDEX($BT$13:$BT$2950,SMALL(IF((County=$BU$13:$BU$2950),MATCH(ROW($BU$13:$BU$2950),ROW($BU$13:$BU$2950)),""),ROWS($A$13:$A181))),""),"")</f>
        <v/>
      </c>
      <c r="CA181" s="1792">
        <v>33324</v>
      </c>
      <c r="CB181" s="345" t="s">
        <v>310</v>
      </c>
      <c r="CD181" s="237">
        <v>4.09</v>
      </c>
      <c r="CE181" s="237" t="s">
        <v>349</v>
      </c>
      <c r="CG181" s="237">
        <v>9710.02</v>
      </c>
      <c r="CH181" s="237" t="s">
        <v>354</v>
      </c>
      <c r="CJ181" s="347">
        <v>9</v>
      </c>
      <c r="CK181" s="347" t="s">
        <v>325</v>
      </c>
      <c r="CL181" s="1789"/>
      <c r="CM181" s="2299"/>
      <c r="CN181" s="345"/>
      <c r="CR181" s="345"/>
      <c r="CS181" s="345"/>
      <c r="CU181" s="345"/>
      <c r="CV181" s="345"/>
      <c r="CX181" s="347"/>
      <c r="CY181" s="347"/>
      <c r="DA181" s="348"/>
      <c r="DC181" s="348"/>
      <c r="DE181" s="1792"/>
      <c r="DF181" s="345"/>
      <c r="DH181" s="237"/>
      <c r="DI181" s="237"/>
      <c r="DK181" s="345"/>
      <c r="DL181" s="345"/>
      <c r="DN181" s="347"/>
      <c r="DO181" s="347"/>
      <c r="DP181" s="2505"/>
      <c r="DT181" s="663"/>
      <c r="DU181" s="663"/>
      <c r="DV181" s="663"/>
      <c r="DW181" s="663"/>
      <c r="DX181" s="663"/>
      <c r="DY181" s="663"/>
      <c r="DZ181" s="663"/>
      <c r="EA181" s="663"/>
      <c r="EB181" s="663"/>
      <c r="EC181" s="663"/>
      <c r="ED181" s="663"/>
    </row>
    <row r="182" spans="1:134">
      <c r="A182" s="346">
        <v>33146</v>
      </c>
      <c r="B182" s="345" t="s">
        <v>352</v>
      </c>
      <c r="E182" s="934"/>
      <c r="F182" s="345">
        <v>2.02</v>
      </c>
      <c r="G182" s="345" t="s">
        <v>337</v>
      </c>
      <c r="L182" s="347">
        <v>401.02</v>
      </c>
      <c r="M182" s="347" t="s">
        <v>310</v>
      </c>
      <c r="Q182" s="348" t="str">
        <f t="array" ref="Q182">IFERROR(IF($Q$11="Yes",INDEX($L$13:$L$2313,SMALL(IF((County=$M$13:$M$2313),MATCH(ROW($M$13:$M$2313),ROW($M$13:$M$2313)),""),ROWS($A$13:A182))),""),"")</f>
        <v/>
      </c>
      <c r="S182" s="346">
        <v>33467</v>
      </c>
      <c r="T182" s="345" t="s">
        <v>361</v>
      </c>
      <c r="V182" s="345">
        <v>18.010000000000002</v>
      </c>
      <c r="W182" s="345" t="s">
        <v>352</v>
      </c>
      <c r="AB182" s="347">
        <v>12.03</v>
      </c>
      <c r="AC182" s="347" t="s">
        <v>349</v>
      </c>
      <c r="AD182" s="1138"/>
      <c r="AE182" s="346">
        <v>33158</v>
      </c>
      <c r="AF182" s="345" t="s">
        <v>352</v>
      </c>
      <c r="AI182" s="934"/>
      <c r="AJ182" s="345">
        <v>405.01</v>
      </c>
      <c r="AK182" s="345" t="s">
        <v>335</v>
      </c>
      <c r="AP182" s="347">
        <v>202.06</v>
      </c>
      <c r="AQ182" s="347" t="s">
        <v>310</v>
      </c>
      <c r="AS182" s="348" t="str">
        <f t="array" ref="AS182">IFERROR(IF($AS$11="Metro",INDEX($AJ$13:$AJ$814,SMALL(IF((County=$AK$13:$AK$814),MATCH(ROW($AK$13:$AK$814),ROW($AK$13:$AK$814)),""),ROWS($A$13:$A182))),INDEX($AM$13:$AM$48,SMALL(IF((County=$AN$13:$AN$48),MATCH(ROW($AN$13:$AN$48),ROW($AN$13:$AN$48)),""),ROWS($A$13:$A182)))),"")</f>
        <v/>
      </c>
      <c r="AU182" s="348" t="str">
        <f t="array" ref="AU182">IFERROR(IF($AU$11="Yes",INDEX($AP$13:$AP$2950,SMALL(IF((County=$AQ$13:$AQ$2950),MATCH(ROW($AQ$13:$AQ$2950),ROW($AQ$13:$AQ$2950)),""),ROWS($A$13:$A182))),""),"")</f>
        <v/>
      </c>
      <c r="AW182" s="346">
        <v>33418</v>
      </c>
      <c r="AX182" s="345" t="s">
        <v>361</v>
      </c>
      <c r="AZ182" s="345">
        <v>15.02</v>
      </c>
      <c r="BA182" s="345" t="s">
        <v>344</v>
      </c>
      <c r="BF182" s="347">
        <v>9.01</v>
      </c>
      <c r="BG182" s="347" t="s">
        <v>351</v>
      </c>
      <c r="BH182" s="1790"/>
      <c r="BI182" s="1792">
        <v>33055</v>
      </c>
      <c r="BJ182" s="237" t="s">
        <v>352</v>
      </c>
      <c r="BM182" s="1784"/>
      <c r="BN182" s="345">
        <v>647.01</v>
      </c>
      <c r="BO182" s="345" t="s">
        <v>309</v>
      </c>
      <c r="BQ182" s="237">
        <v>9800</v>
      </c>
      <c r="BR182" s="237" t="s">
        <v>366</v>
      </c>
      <c r="BT182" s="347">
        <v>110</v>
      </c>
      <c r="BU182" s="347" t="s">
        <v>310</v>
      </c>
      <c r="BW182" s="348" t="str">
        <f t="array" ref="BW182">IFERROR(IF($BW$11="Metro",INDEX($BN$13:$BN$4972,SMALL(IF((County=$BO$13:$BO$4972),MATCH(ROW($BO$13:$BO$4972),ROW($BO$13:$BO$4972)),""),ROWS($A$13:$A182))),INDEX($BQ$13:$BQ$212,SMALL(IF((County=$BR$13:$BR$212),MATCH(ROW($BR$13:$BR$212),ROW($BR$13:$BR$212)),""),ROWS($A$13:$A182)))),"")</f>
        <v/>
      </c>
      <c r="BY182" s="348" t="str">
        <f t="array" ref="BY182">IFERROR(IF($BY$11="Yes",INDEX($BT$13:$BT$2950,SMALL(IF((County=$BU$13:$BU$2950),MATCH(ROW($BU$13:$BU$2950),ROW($BU$13:$BU$2950)),""),ROWS($A$13:$A182))),""),"")</f>
        <v/>
      </c>
      <c r="CA182" s="1792">
        <v>33325</v>
      </c>
      <c r="CB182" s="345" t="s">
        <v>310</v>
      </c>
      <c r="CD182" s="237">
        <v>4.09</v>
      </c>
      <c r="CE182" s="237" t="s">
        <v>352</v>
      </c>
      <c r="CG182" s="237">
        <v>9711</v>
      </c>
      <c r="CH182" s="237" t="s">
        <v>354</v>
      </c>
      <c r="CJ182" s="347">
        <v>9</v>
      </c>
      <c r="CK182" s="347" t="s">
        <v>344</v>
      </c>
      <c r="CL182" s="1789"/>
      <c r="CM182" s="2299"/>
      <c r="CN182" s="345"/>
      <c r="CR182" s="345"/>
      <c r="CS182" s="345"/>
      <c r="CU182" s="345"/>
      <c r="CV182" s="345"/>
      <c r="CX182" s="347"/>
      <c r="CY182" s="347"/>
      <c r="DA182" s="348"/>
      <c r="DC182" s="348"/>
      <c r="DE182" s="1792"/>
      <c r="DF182" s="345"/>
      <c r="DH182" s="237"/>
      <c r="DI182" s="237"/>
      <c r="DK182" s="345"/>
      <c r="DL182" s="345"/>
      <c r="DN182" s="347"/>
      <c r="DO182" s="347"/>
      <c r="DP182" s="2505"/>
      <c r="DT182" s="663"/>
      <c r="DU182" s="663"/>
      <c r="DV182" s="663"/>
      <c r="DW182" s="663"/>
      <c r="DX182" s="663"/>
      <c r="DY182" s="663"/>
      <c r="DZ182" s="663"/>
      <c r="EA182" s="663"/>
      <c r="EB182" s="663"/>
      <c r="EC182" s="663"/>
      <c r="ED182" s="663"/>
    </row>
    <row r="183" spans="1:134">
      <c r="A183" s="346">
        <v>33149</v>
      </c>
      <c r="B183" s="345" t="s">
        <v>352</v>
      </c>
      <c r="E183" s="934"/>
      <c r="F183" s="345">
        <v>3</v>
      </c>
      <c r="G183" s="345" t="s">
        <v>337</v>
      </c>
      <c r="L183" s="347">
        <v>402.03</v>
      </c>
      <c r="M183" s="347" t="s">
        <v>310</v>
      </c>
      <c r="Q183" s="348" t="str">
        <f t="array" ref="Q183">IFERROR(IF($Q$11="Yes",INDEX($L$13:$L$2313,SMALL(IF((County=$M$13:$M$2313),MATCH(ROW($M$13:$M$2313),ROW($M$13:$M$2313)),""),ROWS($A$13:A183))),""),"")</f>
        <v/>
      </c>
      <c r="S183" s="346">
        <v>33469</v>
      </c>
      <c r="T183" s="345" t="s">
        <v>361</v>
      </c>
      <c r="V183" s="345">
        <v>18.02</v>
      </c>
      <c r="W183" s="345" t="s">
        <v>297</v>
      </c>
      <c r="AB183" s="347">
        <v>12.03</v>
      </c>
      <c r="AC183" s="347" t="s">
        <v>368</v>
      </c>
      <c r="AD183" s="1138"/>
      <c r="AE183" s="346">
        <v>33160</v>
      </c>
      <c r="AF183" s="345" t="s">
        <v>352</v>
      </c>
      <c r="AI183" s="934"/>
      <c r="AJ183" s="345">
        <v>412.04</v>
      </c>
      <c r="AK183" s="345" t="s">
        <v>335</v>
      </c>
      <c r="AP183" s="347">
        <v>202.1</v>
      </c>
      <c r="AQ183" s="347" t="s">
        <v>310</v>
      </c>
      <c r="AS183" s="348" t="str">
        <f t="array" ref="AS183">IFERROR(IF($AS$11="Metro",INDEX($AJ$13:$AJ$814,SMALL(IF((County=$AK$13:$AK$814),MATCH(ROW($AK$13:$AK$814),ROW($AK$13:$AK$814)),""),ROWS($A$13:$A183))),INDEX($AM$13:$AM$48,SMALL(IF((County=$AN$13:$AN$48),MATCH(ROW($AN$13:$AN$48),ROW($AN$13:$AN$48)),""),ROWS($A$13:$A183)))),"")</f>
        <v/>
      </c>
      <c r="AU183" s="348" t="str">
        <f t="array" ref="AU183">IFERROR(IF($AU$11="Yes",INDEX($AP$13:$AP$2950,SMALL(IF((County=$AQ$13:$AQ$2950),MATCH(ROW($AQ$13:$AQ$2950),ROW($AQ$13:$AQ$2950)),""),ROWS($A$13:$A183))),""),"")</f>
        <v/>
      </c>
      <c r="AW183" s="346">
        <v>33426</v>
      </c>
      <c r="AX183" s="345" t="s">
        <v>361</v>
      </c>
      <c r="AZ183" s="345">
        <v>15.02</v>
      </c>
      <c r="BA183" s="345" t="s">
        <v>349</v>
      </c>
      <c r="BF183" s="347">
        <v>9.02</v>
      </c>
      <c r="BG183" s="347" t="s">
        <v>349</v>
      </c>
      <c r="BH183" s="1790"/>
      <c r="BI183" s="1792">
        <v>33056</v>
      </c>
      <c r="BJ183" s="237" t="s">
        <v>352</v>
      </c>
      <c r="BM183" s="1784"/>
      <c r="BN183" s="345">
        <v>647.02</v>
      </c>
      <c r="BO183" s="345" t="s">
        <v>309</v>
      </c>
      <c r="BQ183" s="237">
        <v>9701</v>
      </c>
      <c r="BR183" s="237" t="s">
        <v>373</v>
      </c>
      <c r="BT183" s="347">
        <v>201.01</v>
      </c>
      <c r="BU183" s="347" t="s">
        <v>310</v>
      </c>
      <c r="BW183" s="348" t="str">
        <f t="array" ref="BW183">IFERROR(IF($BW$11="Metro",INDEX($BN$13:$BN$4972,SMALL(IF((County=$BO$13:$BO$4972),MATCH(ROW($BO$13:$BO$4972),ROW($BO$13:$BO$4972)),""),ROWS($A$13:$A183))),INDEX($BQ$13:$BQ$212,SMALL(IF((County=$BR$13:$BR$212),MATCH(ROW($BR$13:$BR$212),ROW($BR$13:$BR$212)),""),ROWS($A$13:$A183)))),"")</f>
        <v/>
      </c>
      <c r="BY183" s="348" t="str">
        <f t="array" ref="BY183">IFERROR(IF($BY$11="Yes",INDEX($BT$13:$BT$2950,SMALL(IF((County=$BU$13:$BU$2950),MATCH(ROW($BU$13:$BU$2950),ROW($BU$13:$BU$2950)),""),ROWS($A$13:$A183))),""),"")</f>
        <v/>
      </c>
      <c r="CA183" s="1792">
        <v>33326</v>
      </c>
      <c r="CB183" s="345" t="s">
        <v>310</v>
      </c>
      <c r="CD183" s="237">
        <v>4.0999999999999996</v>
      </c>
      <c r="CE183" s="237" t="s">
        <v>349</v>
      </c>
      <c r="CG183" s="237">
        <v>9712</v>
      </c>
      <c r="CH183" s="237" t="s">
        <v>354</v>
      </c>
      <c r="CJ183" s="347">
        <v>9</v>
      </c>
      <c r="CK183" s="347" t="s">
        <v>368</v>
      </c>
      <c r="CL183" s="1789"/>
      <c r="CM183" s="2299"/>
      <c r="CN183" s="345"/>
      <c r="CR183" s="345"/>
      <c r="CS183" s="345"/>
      <c r="CU183" s="345"/>
      <c r="CV183" s="345"/>
      <c r="CX183" s="347"/>
      <c r="CY183" s="347"/>
      <c r="DA183" s="348"/>
      <c r="DC183" s="348"/>
      <c r="DE183" s="1792"/>
      <c r="DF183" s="345"/>
      <c r="DH183" s="237"/>
      <c r="DI183" s="237"/>
      <c r="DK183" s="345"/>
      <c r="DL183" s="345"/>
      <c r="DN183" s="347"/>
      <c r="DO183" s="347"/>
      <c r="DP183" s="2505"/>
      <c r="DT183" s="663"/>
      <c r="DU183" s="663"/>
      <c r="DV183" s="663"/>
      <c r="DW183" s="663"/>
      <c r="DX183" s="663"/>
      <c r="DY183" s="663"/>
      <c r="DZ183" s="663"/>
      <c r="EA183" s="663"/>
      <c r="EB183" s="663"/>
      <c r="EC183" s="663"/>
      <c r="ED183" s="663"/>
    </row>
    <row r="184" spans="1:134">
      <c r="A184" s="346">
        <v>33154</v>
      </c>
      <c r="B184" s="345" t="s">
        <v>352</v>
      </c>
      <c r="E184" s="934"/>
      <c r="F184" s="345">
        <v>4.0199999999999996</v>
      </c>
      <c r="G184" s="345" t="s">
        <v>337</v>
      </c>
      <c r="L184" s="347">
        <v>402.04</v>
      </c>
      <c r="M184" s="347" t="s">
        <v>310</v>
      </c>
      <c r="Q184" s="348" t="str">
        <f t="array" ref="Q184">IFERROR(IF($Q$11="Yes",INDEX($L$13:$L$2313,SMALL(IF((County=$M$13:$M$2313),MATCH(ROW($M$13:$M$2313),ROW($M$13:$M$2313)),""),ROWS($A$13:A184))),""),"")</f>
        <v/>
      </c>
      <c r="S184" s="346">
        <v>33470</v>
      </c>
      <c r="T184" s="345" t="s">
        <v>361</v>
      </c>
      <c r="V184" s="345">
        <v>18.02</v>
      </c>
      <c r="W184" s="345" t="s">
        <v>352</v>
      </c>
      <c r="AB184" s="347">
        <v>12.04</v>
      </c>
      <c r="AC184" s="347" t="s">
        <v>349</v>
      </c>
      <c r="AD184" s="1138"/>
      <c r="AE184" s="346">
        <v>33165</v>
      </c>
      <c r="AF184" s="345" t="s">
        <v>352</v>
      </c>
      <c r="AI184" s="934"/>
      <c r="AJ184" s="345">
        <v>414.01</v>
      </c>
      <c r="AK184" s="345" t="s">
        <v>335</v>
      </c>
      <c r="AP184" s="347">
        <v>202.14</v>
      </c>
      <c r="AQ184" s="347" t="s">
        <v>310</v>
      </c>
      <c r="AS184" s="348" t="str">
        <f t="array" ref="AS184">IFERROR(IF($AS$11="Metro",INDEX($AJ$13:$AJ$814,SMALL(IF((County=$AK$13:$AK$814),MATCH(ROW($AK$13:$AK$814),ROW($AK$13:$AK$814)),""),ROWS($A$13:$A184))),INDEX($AM$13:$AM$48,SMALL(IF((County=$AN$13:$AN$48),MATCH(ROW($AN$13:$AN$48),ROW($AN$13:$AN$48)),""),ROWS($A$13:$A184)))),"")</f>
        <v/>
      </c>
      <c r="AU184" s="348" t="str">
        <f t="array" ref="AU184">IFERROR(IF($AU$11="Yes",INDEX($AP$13:$AP$2950,SMALL(IF((County=$AQ$13:$AQ$2950),MATCH(ROW($AQ$13:$AQ$2950),ROW($AQ$13:$AQ$2950)),""),ROWS($A$13:$A184))),""),"")</f>
        <v/>
      </c>
      <c r="AW184" s="346">
        <v>33428</v>
      </c>
      <c r="AX184" s="345" t="s">
        <v>361</v>
      </c>
      <c r="AZ184" s="345">
        <v>15.02</v>
      </c>
      <c r="BA184" s="345" t="s">
        <v>352</v>
      </c>
      <c r="BF184" s="347">
        <v>9.02</v>
      </c>
      <c r="BG184" s="347" t="s">
        <v>351</v>
      </c>
      <c r="BH184" s="1790"/>
      <c r="BI184" s="1792">
        <v>33109</v>
      </c>
      <c r="BJ184" s="237" t="s">
        <v>352</v>
      </c>
      <c r="BM184" s="1784"/>
      <c r="BN184" s="345">
        <v>648</v>
      </c>
      <c r="BO184" s="345" t="s">
        <v>309</v>
      </c>
      <c r="BQ184" s="237">
        <v>9702</v>
      </c>
      <c r="BR184" s="237" t="s">
        <v>373</v>
      </c>
      <c r="BT184" s="347">
        <v>202.04</v>
      </c>
      <c r="BU184" s="347" t="s">
        <v>310</v>
      </c>
      <c r="BW184" s="348" t="str">
        <f t="array" ref="BW184">IFERROR(IF($BW$11="Metro",INDEX($BN$13:$BN$4972,SMALL(IF((County=$BO$13:$BO$4972),MATCH(ROW($BO$13:$BO$4972),ROW($BO$13:$BO$4972)),""),ROWS($A$13:$A184))),INDEX($BQ$13:$BQ$212,SMALL(IF((County=$BR$13:$BR$212),MATCH(ROW($BR$13:$BR$212),ROW($BR$13:$BR$212)),""),ROWS($A$13:$A184)))),"")</f>
        <v/>
      </c>
      <c r="BY184" s="348" t="str">
        <f t="array" ref="BY184">IFERROR(IF($BY$11="Yes",INDEX($BT$13:$BT$2950,SMALL(IF((County=$BU$13:$BU$2950),MATCH(ROW($BU$13:$BU$2950),ROW($BU$13:$BU$2950)),""),ROWS($A$13:$A184))),""),"")</f>
        <v/>
      </c>
      <c r="CA184" s="1792">
        <v>33327</v>
      </c>
      <c r="CB184" s="345" t="s">
        <v>310</v>
      </c>
      <c r="CD184" s="237">
        <v>4.0999999999999996</v>
      </c>
      <c r="CE184" s="237" t="s">
        <v>352</v>
      </c>
      <c r="CG184" s="237">
        <v>9713</v>
      </c>
      <c r="CH184" s="237" t="s">
        <v>354</v>
      </c>
      <c r="CJ184" s="347">
        <v>9.02</v>
      </c>
      <c r="CK184" s="347" t="s">
        <v>349</v>
      </c>
      <c r="CL184" s="1789"/>
      <c r="CM184" s="2299"/>
      <c r="CN184" s="345"/>
      <c r="CR184" s="345"/>
      <c r="CS184" s="345"/>
      <c r="CU184" s="345"/>
      <c r="CV184" s="345"/>
      <c r="CX184" s="347"/>
      <c r="CY184" s="347"/>
      <c r="DA184" s="348"/>
      <c r="DC184" s="348"/>
      <c r="DE184" s="1792"/>
      <c r="DF184" s="345"/>
      <c r="DH184" s="237"/>
      <c r="DI184" s="237"/>
      <c r="DK184" s="345"/>
      <c r="DL184" s="345"/>
      <c r="DN184" s="347"/>
      <c r="DO184" s="347"/>
      <c r="DP184" s="2505"/>
      <c r="DT184" s="663"/>
      <c r="DU184" s="663"/>
      <c r="DV184" s="663"/>
      <c r="DW184" s="663"/>
      <c r="DX184" s="663"/>
      <c r="DY184" s="663"/>
      <c r="DZ184" s="663"/>
      <c r="EA184" s="663"/>
      <c r="EB184" s="663"/>
      <c r="EC184" s="663"/>
      <c r="ED184" s="663"/>
    </row>
    <row r="185" spans="1:134">
      <c r="A185" s="346">
        <v>33155</v>
      </c>
      <c r="B185" s="345" t="s">
        <v>352</v>
      </c>
      <c r="E185" s="934"/>
      <c r="F185" s="345">
        <v>6.01</v>
      </c>
      <c r="G185" s="345" t="s">
        <v>337</v>
      </c>
      <c r="L185" s="347">
        <v>402.05</v>
      </c>
      <c r="M185" s="347" t="s">
        <v>310</v>
      </c>
      <c r="Q185" s="348" t="str">
        <f t="array" ref="Q185">IFERROR(IF($Q$11="Yes",INDEX($L$13:$L$2313,SMALL(IF((County=$M$13:$M$2313),MATCH(ROW($M$13:$M$2313),ROW($M$13:$M$2313)),""),ROWS($A$13:A185))),""),"")</f>
        <v/>
      </c>
      <c r="S185" s="346">
        <v>33472</v>
      </c>
      <c r="T185" s="345" t="s">
        <v>361</v>
      </c>
      <c r="V185" s="345">
        <v>18.03</v>
      </c>
      <c r="W185" s="345" t="s">
        <v>352</v>
      </c>
      <c r="AB185" s="347">
        <v>12.04</v>
      </c>
      <c r="AC185" s="347" t="s">
        <v>352</v>
      </c>
      <c r="AD185" s="1138"/>
      <c r="AE185" s="346">
        <v>33168</v>
      </c>
      <c r="AF185" s="345" t="s">
        <v>352</v>
      </c>
      <c r="AI185" s="934"/>
      <c r="AJ185" s="345">
        <v>9603</v>
      </c>
      <c r="AK185" s="345" t="s">
        <v>336</v>
      </c>
      <c r="AP185" s="347">
        <v>203.09</v>
      </c>
      <c r="AQ185" s="347" t="s">
        <v>310</v>
      </c>
      <c r="AS185" s="348" t="str">
        <f t="array" ref="AS185">IFERROR(IF($AS$11="Metro",INDEX($AJ$13:$AJ$814,SMALL(IF((County=$AK$13:$AK$814),MATCH(ROW($AK$13:$AK$814),ROW($AK$13:$AK$814)),""),ROWS($A$13:$A185))),INDEX($AM$13:$AM$48,SMALL(IF((County=$AN$13:$AN$48),MATCH(ROW($AN$13:$AN$48),ROW($AN$13:$AN$48)),""),ROWS($A$13:$A185)))),"")</f>
        <v/>
      </c>
      <c r="AU185" s="348" t="str">
        <f t="array" ref="AU185">IFERROR(IF($AU$11="Yes",INDEX($AP$13:$AP$2950,SMALL(IF((County=$AQ$13:$AQ$2950),MATCH(ROW($AQ$13:$AQ$2950),ROW($AQ$13:$AQ$2950)),""),ROWS($A$13:$A185))),""),"")</f>
        <v/>
      </c>
      <c r="AW185" s="346">
        <v>33431</v>
      </c>
      <c r="AX185" s="345" t="s">
        <v>361</v>
      </c>
      <c r="AZ185" s="345">
        <v>15.14</v>
      </c>
      <c r="BA185" s="345" t="s">
        <v>297</v>
      </c>
      <c r="BF185" s="347">
        <v>9.02</v>
      </c>
      <c r="BG185" s="347" t="s">
        <v>361</v>
      </c>
      <c r="BH185" s="1790"/>
      <c r="BI185" s="1792">
        <v>33126</v>
      </c>
      <c r="BJ185" s="237" t="s">
        <v>352</v>
      </c>
      <c r="BM185" s="1784"/>
      <c r="BN185" s="345">
        <v>649.01</v>
      </c>
      <c r="BO185" s="345" t="s">
        <v>309</v>
      </c>
      <c r="BQ185" s="237">
        <v>9703.01</v>
      </c>
      <c r="BR185" s="237" t="s">
        <v>373</v>
      </c>
      <c r="BT185" s="347">
        <v>202.06</v>
      </c>
      <c r="BU185" s="347" t="s">
        <v>310</v>
      </c>
      <c r="BW185" s="348" t="str">
        <f t="array" ref="BW185">IFERROR(IF($BW$11="Metro",INDEX($BN$13:$BN$4972,SMALL(IF((County=$BO$13:$BO$4972),MATCH(ROW($BO$13:$BO$4972),ROW($BO$13:$BO$4972)),""),ROWS($A$13:$A185))),INDEX($BQ$13:$BQ$212,SMALL(IF((County=$BR$13:$BR$212),MATCH(ROW($BR$13:$BR$212),ROW($BR$13:$BR$212)),""),ROWS($A$13:$A185)))),"")</f>
        <v/>
      </c>
      <c r="BY185" s="348" t="str">
        <f t="array" ref="BY185">IFERROR(IF($BY$11="Yes",INDEX($BT$13:$BT$2950,SMALL(IF((County=$BU$13:$BU$2950),MATCH(ROW($BU$13:$BU$2950),ROW($BU$13:$BU$2950)),""),ROWS($A$13:$A185))),""),"")</f>
        <v/>
      </c>
      <c r="CA185" s="1792">
        <v>33328</v>
      </c>
      <c r="CB185" s="345" t="s">
        <v>310</v>
      </c>
      <c r="CD185" s="237">
        <v>4.0999999999999996</v>
      </c>
      <c r="CE185" s="237" t="s">
        <v>361</v>
      </c>
      <c r="CG185" s="237">
        <v>9714.01</v>
      </c>
      <c r="CH185" s="237" t="s">
        <v>354</v>
      </c>
      <c r="CJ185" s="347">
        <v>9.02</v>
      </c>
      <c r="CK185" s="347" t="s">
        <v>351</v>
      </c>
      <c r="CL185" s="1789"/>
      <c r="CM185" s="2299"/>
      <c r="CN185" s="345"/>
      <c r="CR185" s="345"/>
      <c r="CS185" s="345"/>
      <c r="CU185" s="345"/>
      <c r="CV185" s="345"/>
      <c r="CX185" s="347"/>
      <c r="CY185" s="347"/>
      <c r="DA185" s="348"/>
      <c r="DC185" s="348"/>
      <c r="DE185" s="1792"/>
      <c r="DF185" s="345"/>
      <c r="DH185" s="237"/>
      <c r="DI185" s="237"/>
      <c r="DK185" s="345"/>
      <c r="DL185" s="345"/>
      <c r="DN185" s="347"/>
      <c r="DO185" s="347"/>
      <c r="DP185" s="2505"/>
      <c r="DT185" s="663"/>
      <c r="DU185" s="663"/>
      <c r="DV185" s="663"/>
      <c r="DW185" s="663"/>
      <c r="DX185" s="663"/>
      <c r="DY185" s="663"/>
      <c r="DZ185" s="663"/>
      <c r="EA185" s="663"/>
      <c r="EB185" s="663"/>
      <c r="EC185" s="663"/>
      <c r="ED185" s="663"/>
    </row>
    <row r="186" spans="1:134">
      <c r="A186" s="346">
        <v>33156</v>
      </c>
      <c r="B186" s="345" t="s">
        <v>352</v>
      </c>
      <c r="E186" s="934"/>
      <c r="F186" s="345">
        <v>6.02</v>
      </c>
      <c r="G186" s="345" t="s">
        <v>337</v>
      </c>
      <c r="L186" s="347">
        <v>402.06</v>
      </c>
      <c r="M186" s="347" t="s">
        <v>310</v>
      </c>
      <c r="Q186" s="348" t="str">
        <f t="array" ref="Q186">IFERROR(IF($Q$11="Yes",INDEX($L$13:$L$2313,SMALL(IF((County=$M$13:$M$2313),MATCH(ROW($M$13:$M$2313),ROW($M$13:$M$2313)),""),ROWS($A$13:A186))),""),"")</f>
        <v/>
      </c>
      <c r="S186" s="346">
        <v>33473</v>
      </c>
      <c r="T186" s="345" t="s">
        <v>361</v>
      </c>
      <c r="V186" s="345">
        <v>19</v>
      </c>
      <c r="W186" s="345" t="s">
        <v>325</v>
      </c>
      <c r="AB186" s="347">
        <v>12.04</v>
      </c>
      <c r="AC186" s="347" t="s">
        <v>368</v>
      </c>
      <c r="AD186" s="1138"/>
      <c r="AE186" s="346">
        <v>33172</v>
      </c>
      <c r="AF186" s="345" t="s">
        <v>352</v>
      </c>
      <c r="AI186" s="934"/>
      <c r="AJ186" s="345">
        <v>9608</v>
      </c>
      <c r="AK186" s="345" t="s">
        <v>336</v>
      </c>
      <c r="AP186" s="347">
        <v>203.12</v>
      </c>
      <c r="AQ186" s="347" t="s">
        <v>310</v>
      </c>
      <c r="AS186" s="348" t="str">
        <f t="array" ref="AS186">IFERROR(IF($AS$11="Metro",INDEX($AJ$13:$AJ$814,SMALL(IF((County=$AK$13:$AK$814),MATCH(ROW($AK$13:$AK$814),ROW($AK$13:$AK$814)),""),ROWS($A$13:$A186))),INDEX($AM$13:$AM$48,SMALL(IF((County=$AN$13:$AN$48),MATCH(ROW($AN$13:$AN$48),ROW($AN$13:$AN$48)),""),ROWS($A$13:$A186)))),"")</f>
        <v/>
      </c>
      <c r="AU186" s="348" t="str">
        <f t="array" ref="AU186">IFERROR(IF($AU$11="Yes",INDEX($AP$13:$AP$2950,SMALL(IF((County=$AQ$13:$AQ$2950),MATCH(ROW($AQ$13:$AQ$2950),ROW($AQ$13:$AQ$2950)),""),ROWS($A$13:$A186))),""),"")</f>
        <v/>
      </c>
      <c r="AW186" s="346">
        <v>33432</v>
      </c>
      <c r="AX186" s="345" t="s">
        <v>361</v>
      </c>
      <c r="AZ186" s="345">
        <v>15.15</v>
      </c>
      <c r="BA186" s="345" t="s">
        <v>297</v>
      </c>
      <c r="BF186" s="347">
        <v>9.0299999999999994</v>
      </c>
      <c r="BG186" s="347" t="s">
        <v>345</v>
      </c>
      <c r="BH186" s="1790"/>
      <c r="BI186" s="1792">
        <v>33129</v>
      </c>
      <c r="BJ186" s="237" t="s">
        <v>352</v>
      </c>
      <c r="BM186" s="1784"/>
      <c r="BN186" s="345">
        <v>649.02</v>
      </c>
      <c r="BO186" s="345" t="s">
        <v>309</v>
      </c>
      <c r="BQ186" s="237">
        <v>9703.0300000000007</v>
      </c>
      <c r="BR186" s="237" t="s">
        <v>373</v>
      </c>
      <c r="BT186" s="347">
        <v>202.1</v>
      </c>
      <c r="BU186" s="347" t="s">
        <v>310</v>
      </c>
      <c r="BW186" s="348" t="str">
        <f t="array" ref="BW186">IFERROR(IF($BW$11="Metro",INDEX($BN$13:$BN$4972,SMALL(IF((County=$BO$13:$BO$4972),MATCH(ROW($BO$13:$BO$4972),ROW($BO$13:$BO$4972)),""),ROWS($A$13:$A186))),INDEX($BQ$13:$BQ$212,SMALL(IF((County=$BR$13:$BR$212),MATCH(ROW($BR$13:$BR$212),ROW($BR$13:$BR$212)),""),ROWS($A$13:$A186)))),"")</f>
        <v/>
      </c>
      <c r="BY186" s="348" t="str">
        <f t="array" ref="BY186">IFERROR(IF($BY$11="Yes",INDEX($BT$13:$BT$2950,SMALL(IF((County=$BU$13:$BU$2950),MATCH(ROW($BU$13:$BU$2950),ROW($BU$13:$BU$2950)),""),ROWS($A$13:$A186))),""),"")</f>
        <v/>
      </c>
      <c r="CA186" s="1792">
        <v>33330</v>
      </c>
      <c r="CB186" s="345" t="s">
        <v>310</v>
      </c>
      <c r="CD186" s="237">
        <v>4.1100000000000003</v>
      </c>
      <c r="CE186" s="237" t="s">
        <v>352</v>
      </c>
      <c r="CG186" s="237">
        <v>9714.02</v>
      </c>
      <c r="CH186" s="237" t="s">
        <v>354</v>
      </c>
      <c r="CJ186" s="347">
        <v>9.02</v>
      </c>
      <c r="CK186" s="347" t="s">
        <v>361</v>
      </c>
      <c r="CL186" s="1789"/>
      <c r="CM186" s="2299"/>
      <c r="CN186" s="345"/>
      <c r="CR186" s="345"/>
      <c r="CS186" s="345"/>
      <c r="CU186" s="345"/>
      <c r="CV186" s="345"/>
      <c r="CX186" s="347"/>
      <c r="CY186" s="347"/>
      <c r="DA186" s="348"/>
      <c r="DC186" s="348"/>
      <c r="DE186" s="1792"/>
      <c r="DF186" s="345"/>
      <c r="DH186" s="237"/>
      <c r="DI186" s="237"/>
      <c r="DK186" s="345"/>
      <c r="DL186" s="345"/>
      <c r="DN186" s="347"/>
      <c r="DO186" s="347"/>
      <c r="DP186" s="2505"/>
      <c r="DT186" s="663"/>
      <c r="DU186" s="663"/>
      <c r="DV186" s="663"/>
      <c r="DW186" s="663"/>
      <c r="DX186" s="663"/>
      <c r="DY186" s="663"/>
      <c r="DZ186" s="663"/>
      <c r="EA186" s="663"/>
      <c r="EB186" s="663"/>
      <c r="EC186" s="663"/>
      <c r="ED186" s="663"/>
    </row>
    <row r="187" spans="1:134">
      <c r="A187" s="346">
        <v>33158</v>
      </c>
      <c r="B187" s="345" t="s">
        <v>352</v>
      </c>
      <c r="E187" s="934"/>
      <c r="F187" s="345">
        <v>7</v>
      </c>
      <c r="G187" s="345" t="s">
        <v>337</v>
      </c>
      <c r="L187" s="347">
        <v>404.01</v>
      </c>
      <c r="M187" s="347" t="s">
        <v>310</v>
      </c>
      <c r="Q187" s="348" t="str">
        <f t="array" ref="Q187">IFERROR(IF($Q$11="Yes",INDEX($L$13:$L$2313,SMALL(IF((County=$M$13:$M$2313),MATCH(ROW($M$13:$M$2313),ROW($M$13:$M$2313)),""),ROWS($A$13:A187))),""),"")</f>
        <v/>
      </c>
      <c r="S187" s="346">
        <v>33477</v>
      </c>
      <c r="T187" s="345" t="s">
        <v>361</v>
      </c>
      <c r="V187" s="345">
        <v>19</v>
      </c>
      <c r="W187" s="345" t="s">
        <v>337</v>
      </c>
      <c r="AB187" s="347">
        <v>12.05</v>
      </c>
      <c r="AC187" s="347" t="s">
        <v>352</v>
      </c>
      <c r="AD187" s="1138"/>
      <c r="AE187" s="346">
        <v>33173</v>
      </c>
      <c r="AF187" s="345" t="s">
        <v>352</v>
      </c>
      <c r="AI187" s="934"/>
      <c r="AJ187" s="345">
        <v>9609</v>
      </c>
      <c r="AK187" s="345" t="s">
        <v>336</v>
      </c>
      <c r="AP187" s="347">
        <v>203.13</v>
      </c>
      <c r="AQ187" s="347" t="s">
        <v>310</v>
      </c>
      <c r="AS187" s="348" t="str">
        <f t="array" ref="AS187">IFERROR(IF($AS$11="Metro",INDEX($AJ$13:$AJ$814,SMALL(IF((County=$AK$13:$AK$814),MATCH(ROW($AK$13:$AK$814),ROW($AK$13:$AK$814)),""),ROWS($A$13:$A187))),INDEX($AM$13:$AM$48,SMALL(IF((County=$AN$13:$AN$48),MATCH(ROW($AN$13:$AN$48),ROW($AN$13:$AN$48)),""),ROWS($A$13:$A187)))),"")</f>
        <v/>
      </c>
      <c r="AU187" s="348" t="str">
        <f t="array" ref="AU187">IFERROR(IF($AU$11="Yes",INDEX($AP$13:$AP$2950,SMALL(IF((County=$AQ$13:$AQ$2950),MATCH(ROW($AQ$13:$AQ$2950),ROW($AQ$13:$AQ$2950)),""),ROWS($A$13:$A187))),""),"")</f>
        <v/>
      </c>
      <c r="AW187" s="346">
        <v>33433</v>
      </c>
      <c r="AX187" s="345" t="s">
        <v>361</v>
      </c>
      <c r="AZ187" s="345">
        <v>15.16</v>
      </c>
      <c r="BA187" s="345" t="s">
        <v>297</v>
      </c>
      <c r="BF187" s="347">
        <v>9.0299999999999994</v>
      </c>
      <c r="BG187" s="347" t="s">
        <v>350</v>
      </c>
      <c r="BH187" s="1790"/>
      <c r="BI187" s="1792">
        <v>33131</v>
      </c>
      <c r="BJ187" s="237" t="s">
        <v>352</v>
      </c>
      <c r="BM187" s="1784"/>
      <c r="BN187" s="345">
        <v>650.01</v>
      </c>
      <c r="BO187" s="345" t="s">
        <v>309</v>
      </c>
      <c r="BQ187" s="237">
        <v>9703.0400000000009</v>
      </c>
      <c r="BR187" s="237" t="s">
        <v>373</v>
      </c>
      <c r="BT187" s="347">
        <v>202.14</v>
      </c>
      <c r="BU187" s="347" t="s">
        <v>310</v>
      </c>
      <c r="BW187" s="348" t="str">
        <f t="array" ref="BW187">IFERROR(IF($BW$11="Metro",INDEX($BN$13:$BN$4972,SMALL(IF((County=$BO$13:$BO$4972),MATCH(ROW($BO$13:$BO$4972),ROW($BO$13:$BO$4972)),""),ROWS($A$13:$A187))),INDEX($BQ$13:$BQ$212,SMALL(IF((County=$BR$13:$BR$212),MATCH(ROW($BR$13:$BR$212),ROW($BR$13:$BR$212)),""),ROWS($A$13:$A187)))),"")</f>
        <v/>
      </c>
      <c r="BY187" s="348" t="str">
        <f t="array" ref="BY187">IFERROR(IF($BY$11="Yes",INDEX($BT$13:$BT$2950,SMALL(IF((County=$BU$13:$BU$2950),MATCH(ROW($BU$13:$BU$2950),ROW($BU$13:$BU$2950)),""),ROWS($A$13:$A187))),""),"")</f>
        <v/>
      </c>
      <c r="CA187" s="1792">
        <v>33331</v>
      </c>
      <c r="CB187" s="345" t="s">
        <v>310</v>
      </c>
      <c r="CD187" s="237">
        <v>4.13</v>
      </c>
      <c r="CE187" s="237" t="s">
        <v>352</v>
      </c>
      <c r="CG187" s="237">
        <v>9715.01</v>
      </c>
      <c r="CH187" s="237" t="s">
        <v>354</v>
      </c>
      <c r="CJ187" s="347">
        <v>9.0299999999999994</v>
      </c>
      <c r="CK187" s="347" t="s">
        <v>350</v>
      </c>
      <c r="CL187" s="1789"/>
      <c r="CM187" s="2299"/>
      <c r="CN187" s="345"/>
      <c r="CR187" s="345"/>
      <c r="CS187" s="345"/>
      <c r="CU187" s="345"/>
      <c r="CV187" s="345"/>
      <c r="CX187" s="347"/>
      <c r="CY187" s="347"/>
      <c r="DA187" s="348"/>
      <c r="DC187" s="348"/>
      <c r="DE187" s="1792"/>
      <c r="DF187" s="345"/>
      <c r="DH187" s="237"/>
      <c r="DI187" s="237"/>
      <c r="DK187" s="345"/>
      <c r="DL187" s="345"/>
      <c r="DN187" s="347"/>
      <c r="DO187" s="347"/>
      <c r="DP187" s="2505"/>
      <c r="DT187" s="663"/>
      <c r="DU187" s="663"/>
      <c r="DV187" s="663"/>
      <c r="DW187" s="663"/>
      <c r="DX187" s="663"/>
      <c r="DY187" s="663"/>
      <c r="DZ187" s="663"/>
      <c r="EA187" s="663"/>
      <c r="EB187" s="663"/>
      <c r="EC187" s="663"/>
      <c r="ED187" s="663"/>
    </row>
    <row r="188" spans="1:134">
      <c r="A188" s="346">
        <v>33160</v>
      </c>
      <c r="B188" s="345" t="s">
        <v>352</v>
      </c>
      <c r="E188" s="934"/>
      <c r="F188" s="345">
        <v>8</v>
      </c>
      <c r="G188" s="345" t="s">
        <v>337</v>
      </c>
      <c r="L188" s="347">
        <v>404.02</v>
      </c>
      <c r="M188" s="347" t="s">
        <v>310</v>
      </c>
      <c r="Q188" s="348" t="str">
        <f t="array" ref="Q188">IFERROR(IF($Q$11="Yes",INDEX($L$13:$L$2313,SMALL(IF((County=$M$13:$M$2313),MATCH(ROW($M$13:$M$2313),ROW($M$13:$M$2313)),""),ROWS($A$13:A188))),""),"")</f>
        <v/>
      </c>
      <c r="S188" s="346">
        <v>33478</v>
      </c>
      <c r="T188" s="345" t="s">
        <v>361</v>
      </c>
      <c r="V188" s="345">
        <v>19</v>
      </c>
      <c r="W188" s="345" t="s">
        <v>350</v>
      </c>
      <c r="AB188" s="347">
        <v>12.06</v>
      </c>
      <c r="AC188" s="347" t="s">
        <v>350</v>
      </c>
      <c r="AD188" s="1138"/>
      <c r="AE188" s="346">
        <v>33174</v>
      </c>
      <c r="AF188" s="345" t="s">
        <v>352</v>
      </c>
      <c r="AI188" s="934"/>
      <c r="AJ188" s="345">
        <v>9611</v>
      </c>
      <c r="AK188" s="345" t="s">
        <v>336</v>
      </c>
      <c r="AP188" s="347">
        <v>203.15</v>
      </c>
      <c r="AQ188" s="347" t="s">
        <v>310</v>
      </c>
      <c r="AS188" s="348" t="str">
        <f t="array" ref="AS188">IFERROR(IF($AS$11="Metro",INDEX($AJ$13:$AJ$814,SMALL(IF((County=$AK$13:$AK$814),MATCH(ROW($AK$13:$AK$814),ROW($AK$13:$AK$814)),""),ROWS($A$13:$A188))),INDEX($AM$13:$AM$48,SMALL(IF((County=$AN$13:$AN$48),MATCH(ROW($AN$13:$AN$48),ROW($AN$13:$AN$48)),""),ROWS($A$13:$A188)))),"")</f>
        <v/>
      </c>
      <c r="AU188" s="348" t="str">
        <f t="array" ref="AU188">IFERROR(IF($AU$11="Yes",INDEX($AP$13:$AP$2950,SMALL(IF((County=$AQ$13:$AQ$2950),MATCH(ROW($AQ$13:$AQ$2950),ROW($AQ$13:$AQ$2950)),""),ROWS($A$13:$A188))),""),"")</f>
        <v/>
      </c>
      <c r="AW188" s="346">
        <v>33435</v>
      </c>
      <c r="AX188" s="345" t="s">
        <v>361</v>
      </c>
      <c r="AZ188" s="345">
        <v>15.17</v>
      </c>
      <c r="BA188" s="345" t="s">
        <v>297</v>
      </c>
      <c r="BF188" s="347">
        <v>9.0299999999999994</v>
      </c>
      <c r="BG188" s="347" t="s">
        <v>361</v>
      </c>
      <c r="BH188" s="1790"/>
      <c r="BI188" s="1792">
        <v>33132</v>
      </c>
      <c r="BJ188" s="237" t="s">
        <v>352</v>
      </c>
      <c r="BM188" s="1784"/>
      <c r="BN188" s="345">
        <v>650.22</v>
      </c>
      <c r="BO188" s="345" t="s">
        <v>309</v>
      </c>
      <c r="BQ188" s="237">
        <v>9704.01</v>
      </c>
      <c r="BR188" s="237" t="s">
        <v>373</v>
      </c>
      <c r="BT188" s="347">
        <v>203.09</v>
      </c>
      <c r="BU188" s="347" t="s">
        <v>310</v>
      </c>
      <c r="BW188" s="348" t="str">
        <f t="array" ref="BW188">IFERROR(IF($BW$11="Metro",INDEX($BN$13:$BN$4972,SMALL(IF((County=$BO$13:$BO$4972),MATCH(ROW($BO$13:$BO$4972),ROW($BO$13:$BO$4972)),""),ROWS($A$13:$A188))),INDEX($BQ$13:$BQ$212,SMALL(IF((County=$BR$13:$BR$212),MATCH(ROW($BR$13:$BR$212),ROW($BR$13:$BR$212)),""),ROWS($A$13:$A188)))),"")</f>
        <v/>
      </c>
      <c r="BY188" s="348" t="str">
        <f t="array" ref="BY188">IFERROR(IF($BY$11="Yes",INDEX($BT$13:$BT$2950,SMALL(IF((County=$BU$13:$BU$2950),MATCH(ROW($BU$13:$BU$2950),ROW($BU$13:$BU$2950)),""),ROWS($A$13:$A188))),""),"")</f>
        <v/>
      </c>
      <c r="CA188" s="1792">
        <v>33332</v>
      </c>
      <c r="CB188" s="345" t="s">
        <v>310</v>
      </c>
      <c r="CD188" s="237">
        <v>4.1399999999999997</v>
      </c>
      <c r="CE188" s="237" t="s">
        <v>352</v>
      </c>
      <c r="CG188" s="237">
        <v>9715.02</v>
      </c>
      <c r="CH188" s="237" t="s">
        <v>354</v>
      </c>
      <c r="CJ188" s="347">
        <v>9.0299999999999994</v>
      </c>
      <c r="CK188" s="347" t="s">
        <v>361</v>
      </c>
      <c r="CL188" s="1789"/>
      <c r="CM188" s="2299"/>
      <c r="CN188" s="345"/>
      <c r="CR188" s="345"/>
      <c r="CS188" s="345"/>
      <c r="CU188" s="345"/>
      <c r="CV188" s="345"/>
      <c r="CX188" s="347"/>
      <c r="CY188" s="347"/>
      <c r="DA188" s="348"/>
      <c r="DC188" s="348"/>
      <c r="DE188" s="1792"/>
      <c r="DF188" s="345"/>
      <c r="DH188" s="237"/>
      <c r="DI188" s="237"/>
      <c r="DK188" s="345"/>
      <c r="DL188" s="345"/>
      <c r="DN188" s="347"/>
      <c r="DO188" s="347"/>
      <c r="DP188" s="2505"/>
      <c r="DT188" s="663"/>
      <c r="DU188" s="663"/>
      <c r="DV188" s="663"/>
      <c r="DW188" s="663"/>
      <c r="DX188" s="663"/>
      <c r="DY188" s="663"/>
      <c r="DZ188" s="663"/>
      <c r="EA188" s="663"/>
      <c r="EB188" s="663"/>
      <c r="EC188" s="663"/>
      <c r="ED188" s="663"/>
    </row>
    <row r="189" spans="1:134">
      <c r="A189" s="346">
        <v>33165</v>
      </c>
      <c r="B189" s="345" t="s">
        <v>352</v>
      </c>
      <c r="E189" s="934"/>
      <c r="F189" s="345">
        <v>9.01</v>
      </c>
      <c r="G189" s="345" t="s">
        <v>337</v>
      </c>
      <c r="L189" s="347">
        <v>405.02</v>
      </c>
      <c r="M189" s="347" t="s">
        <v>310</v>
      </c>
      <c r="Q189" s="348" t="str">
        <f t="array" ref="Q189">IFERROR(IF($Q$11="Yes",INDEX($L$13:$L$2313,SMALL(IF((County=$M$13:$M$2313),MATCH(ROW($M$13:$M$2313),ROW($M$13:$M$2313)),""),ROWS($A$13:A189))),""),"")</f>
        <v/>
      </c>
      <c r="S189" s="346">
        <v>33480</v>
      </c>
      <c r="T189" s="345" t="s">
        <v>361</v>
      </c>
      <c r="V189" s="345">
        <v>19.010000000000002</v>
      </c>
      <c r="W189" s="345" t="s">
        <v>345</v>
      </c>
      <c r="AB189" s="347">
        <v>12.06</v>
      </c>
      <c r="AC189" s="347" t="s">
        <v>352</v>
      </c>
      <c r="AD189" s="1138"/>
      <c r="AE189" s="346">
        <v>33175</v>
      </c>
      <c r="AF189" s="345" t="s">
        <v>352</v>
      </c>
      <c r="AI189" s="934"/>
      <c r="AJ189" s="345">
        <v>9616.0400000000009</v>
      </c>
      <c r="AK189" s="345" t="s">
        <v>336</v>
      </c>
      <c r="AP189" s="347">
        <v>203.16</v>
      </c>
      <c r="AQ189" s="347" t="s">
        <v>310</v>
      </c>
      <c r="AS189" s="348" t="str">
        <f t="array" ref="AS189">IFERROR(IF($AS$11="Metro",INDEX($AJ$13:$AJ$814,SMALL(IF((County=$AK$13:$AK$814),MATCH(ROW($AK$13:$AK$814),ROW($AK$13:$AK$814)),""),ROWS($A$13:$A189))),INDEX($AM$13:$AM$48,SMALL(IF((County=$AN$13:$AN$48),MATCH(ROW($AN$13:$AN$48),ROW($AN$13:$AN$48)),""),ROWS($A$13:$A189)))),"")</f>
        <v/>
      </c>
      <c r="AU189" s="348" t="str">
        <f t="array" ref="AU189">IFERROR(IF($AU$11="Yes",INDEX($AP$13:$AP$2950,SMALL(IF((County=$AQ$13:$AQ$2950),MATCH(ROW($AQ$13:$AQ$2950),ROW($AQ$13:$AQ$2950)),""),ROWS($A$13:$A189))),""),"")</f>
        <v/>
      </c>
      <c r="AW189" s="346">
        <v>33436</v>
      </c>
      <c r="AX189" s="345" t="s">
        <v>361</v>
      </c>
      <c r="AZ189" s="345">
        <v>15.19</v>
      </c>
      <c r="BA189" s="345" t="s">
        <v>297</v>
      </c>
      <c r="BF189" s="347">
        <v>9.0399999999999991</v>
      </c>
      <c r="BG189" s="347" t="s">
        <v>345</v>
      </c>
      <c r="BH189" s="1790"/>
      <c r="BI189" s="1792">
        <v>33133</v>
      </c>
      <c r="BJ189" s="237" t="s">
        <v>352</v>
      </c>
      <c r="BM189" s="1784"/>
      <c r="BN189" s="345">
        <v>650.23</v>
      </c>
      <c r="BO189" s="345" t="s">
        <v>309</v>
      </c>
      <c r="BQ189" s="237">
        <v>9704.02</v>
      </c>
      <c r="BR189" s="237" t="s">
        <v>373</v>
      </c>
      <c r="BT189" s="347">
        <v>203.12</v>
      </c>
      <c r="BU189" s="347" t="s">
        <v>310</v>
      </c>
      <c r="BW189" s="348" t="str">
        <f t="array" ref="BW189">IFERROR(IF($BW$11="Metro",INDEX($BN$13:$BN$4972,SMALL(IF((County=$BO$13:$BO$4972),MATCH(ROW($BO$13:$BO$4972),ROW($BO$13:$BO$4972)),""),ROWS($A$13:$A189))),INDEX($BQ$13:$BQ$212,SMALL(IF((County=$BR$13:$BR$212),MATCH(ROW($BR$13:$BR$212),ROW($BR$13:$BR$212)),""),ROWS($A$13:$A189)))),"")</f>
        <v/>
      </c>
      <c r="BY189" s="348" t="str">
        <f t="array" ref="BY189">IFERROR(IF($BY$11="Yes",INDEX($BT$13:$BT$2950,SMALL(IF((County=$BU$13:$BU$2950),MATCH(ROW($BU$13:$BU$2950),ROW($BU$13:$BU$2950)),""),ROWS($A$13:$A189))),""),"")</f>
        <v/>
      </c>
      <c r="CA189" s="1792">
        <v>33351</v>
      </c>
      <c r="CB189" s="345" t="s">
        <v>310</v>
      </c>
      <c r="CD189" s="237">
        <v>4.1500000000000004</v>
      </c>
      <c r="CE189" s="237" t="s">
        <v>352</v>
      </c>
      <c r="CG189" s="237">
        <v>9716</v>
      </c>
      <c r="CH189" s="237" t="s">
        <v>354</v>
      </c>
      <c r="CJ189" s="347">
        <v>9.0399999999999991</v>
      </c>
      <c r="CK189" s="347" t="s">
        <v>345</v>
      </c>
      <c r="CL189" s="1789"/>
      <c r="CM189" s="2299"/>
      <c r="CN189" s="345"/>
      <c r="CR189" s="345"/>
      <c r="CS189" s="345"/>
      <c r="CU189" s="345"/>
      <c r="CV189" s="345"/>
      <c r="CX189" s="347"/>
      <c r="CY189" s="347"/>
      <c r="DA189" s="348"/>
      <c r="DC189" s="348"/>
      <c r="DE189" s="1792"/>
      <c r="DF189" s="345"/>
      <c r="DH189" s="237"/>
      <c r="DI189" s="237"/>
      <c r="DK189" s="345"/>
      <c r="DL189" s="345"/>
      <c r="DN189" s="347"/>
      <c r="DO189" s="347"/>
      <c r="DP189" s="2505"/>
      <c r="DT189" s="663"/>
      <c r="DU189" s="663"/>
      <c r="DV189" s="663"/>
      <c r="DW189" s="663"/>
      <c r="DX189" s="663"/>
      <c r="DY189" s="663"/>
      <c r="DZ189" s="663"/>
      <c r="EA189" s="663"/>
      <c r="EB189" s="663"/>
      <c r="EC189" s="663"/>
      <c r="ED189" s="663"/>
    </row>
    <row r="190" spans="1:134">
      <c r="A190" s="346">
        <v>33172</v>
      </c>
      <c r="B190" s="345" t="s">
        <v>352</v>
      </c>
      <c r="E190" s="934"/>
      <c r="F190" s="345">
        <v>9.02</v>
      </c>
      <c r="G190" s="345" t="s">
        <v>337</v>
      </c>
      <c r="L190" s="347">
        <v>405.03</v>
      </c>
      <c r="M190" s="347" t="s">
        <v>310</v>
      </c>
      <c r="Q190" s="348" t="str">
        <f t="array" ref="Q190">IFERROR(IF($Q$11="Yes",INDEX($L$13:$L$2313,SMALL(IF((County=$M$13:$M$2313),MATCH(ROW($M$13:$M$2313),ROW($M$13:$M$2313)),""),ROWS($A$13:A190))),""),"")</f>
        <v/>
      </c>
      <c r="S190" s="346">
        <v>33483</v>
      </c>
      <c r="T190" s="345" t="s">
        <v>361</v>
      </c>
      <c r="V190" s="345">
        <v>19.010000000000002</v>
      </c>
      <c r="W190" s="345" t="s">
        <v>352</v>
      </c>
      <c r="AB190" s="347">
        <v>12.08</v>
      </c>
      <c r="AC190" s="347" t="s">
        <v>350</v>
      </c>
      <c r="AD190" s="1138"/>
      <c r="AE190" s="346">
        <v>33176</v>
      </c>
      <c r="AF190" s="345" t="s">
        <v>352</v>
      </c>
      <c r="AI190" s="934"/>
      <c r="AJ190" s="345">
        <v>9616.0499999999993</v>
      </c>
      <c r="AK190" s="345" t="s">
        <v>336</v>
      </c>
      <c r="AP190" s="347">
        <v>203.17</v>
      </c>
      <c r="AQ190" s="347" t="s">
        <v>310</v>
      </c>
      <c r="AS190" s="348" t="str">
        <f t="array" ref="AS190">IFERROR(IF($AS$11="Metro",INDEX($AJ$13:$AJ$814,SMALL(IF((County=$AK$13:$AK$814),MATCH(ROW($AK$13:$AK$814),ROW($AK$13:$AK$814)),""),ROWS($A$13:$A190))),INDEX($AM$13:$AM$48,SMALL(IF((County=$AN$13:$AN$48),MATCH(ROW($AN$13:$AN$48),ROW($AN$13:$AN$48)),""),ROWS($A$13:$A190)))),"")</f>
        <v/>
      </c>
      <c r="AU190" s="348" t="str">
        <f t="array" ref="AU190">IFERROR(IF($AU$11="Yes",INDEX($AP$13:$AP$2950,SMALL(IF((County=$AQ$13:$AQ$2950),MATCH(ROW($AQ$13:$AQ$2950),ROW($AQ$13:$AQ$2950)),""),ROWS($A$13:$A190))),""),"")</f>
        <v/>
      </c>
      <c r="AW190" s="346">
        <v>33437</v>
      </c>
      <c r="AX190" s="345" t="s">
        <v>361</v>
      </c>
      <c r="AZ190" s="345">
        <v>16</v>
      </c>
      <c r="BA190" s="345" t="s">
        <v>306</v>
      </c>
      <c r="BF190" s="347">
        <v>9.0399999999999991</v>
      </c>
      <c r="BG190" s="347" t="s">
        <v>350</v>
      </c>
      <c r="BH190" s="1790"/>
      <c r="BI190" s="1792">
        <v>33134</v>
      </c>
      <c r="BJ190" s="237" t="s">
        <v>352</v>
      </c>
      <c r="BM190" s="1784"/>
      <c r="BN190" s="345">
        <v>650.24</v>
      </c>
      <c r="BO190" s="345" t="s">
        <v>309</v>
      </c>
      <c r="BQ190" s="237">
        <v>9705.01</v>
      </c>
      <c r="BR190" s="237" t="s">
        <v>373</v>
      </c>
      <c r="BT190" s="347">
        <v>203.13</v>
      </c>
      <c r="BU190" s="347" t="s">
        <v>310</v>
      </c>
      <c r="BW190" s="348" t="str">
        <f t="array" ref="BW190">IFERROR(IF($BW$11="Metro",INDEX($BN$13:$BN$4972,SMALL(IF((County=$BO$13:$BO$4972),MATCH(ROW($BO$13:$BO$4972),ROW($BO$13:$BO$4972)),""),ROWS($A$13:$A190))),INDEX($BQ$13:$BQ$212,SMALL(IF((County=$BR$13:$BR$212),MATCH(ROW($BR$13:$BR$212),ROW($BR$13:$BR$212)),""),ROWS($A$13:$A190)))),"")</f>
        <v/>
      </c>
      <c r="BY190" s="348" t="str">
        <f t="array" ref="BY190">IFERROR(IF($BY$11="Yes",INDEX($BT$13:$BT$2950,SMALL(IF((County=$BU$13:$BU$2950),MATCH(ROW($BU$13:$BU$2950),ROW($BU$13:$BU$2950)),""),ROWS($A$13:$A190))),""),"")</f>
        <v/>
      </c>
      <c r="CA190" s="1792">
        <v>33401</v>
      </c>
      <c r="CB190" s="345" t="s">
        <v>361</v>
      </c>
      <c r="CD190" s="237">
        <v>4.16</v>
      </c>
      <c r="CE190" s="237" t="s">
        <v>352</v>
      </c>
      <c r="CG190" s="237">
        <v>9717</v>
      </c>
      <c r="CH190" s="237" t="s">
        <v>354</v>
      </c>
      <c r="CJ190" s="347">
        <v>9.0399999999999991</v>
      </c>
      <c r="CK190" s="347" t="s">
        <v>361</v>
      </c>
      <c r="CL190" s="1789"/>
      <c r="CM190" s="2299"/>
      <c r="CN190" s="345"/>
      <c r="CR190" s="345"/>
      <c r="CS190" s="345"/>
      <c r="CU190" s="345"/>
      <c r="CV190" s="345"/>
      <c r="CX190" s="347"/>
      <c r="CY190" s="347"/>
      <c r="DA190" s="348"/>
      <c r="DC190" s="348"/>
      <c r="DE190" s="1792"/>
      <c r="DF190" s="345"/>
      <c r="DH190" s="237"/>
      <c r="DI190" s="237"/>
      <c r="DK190" s="345"/>
      <c r="DL190" s="345"/>
      <c r="DN190" s="347"/>
      <c r="DO190" s="347"/>
      <c r="DP190" s="2505"/>
      <c r="DT190" s="663"/>
      <c r="DU190" s="663"/>
      <c r="DV190" s="663"/>
      <c r="DW190" s="663"/>
      <c r="DX190" s="663"/>
      <c r="DY190" s="663"/>
      <c r="DZ190" s="663"/>
      <c r="EA190" s="663"/>
      <c r="EB190" s="663"/>
      <c r="EC190" s="663"/>
      <c r="ED190" s="663"/>
    </row>
    <row r="191" spans="1:134">
      <c r="A191" s="346">
        <v>33173</v>
      </c>
      <c r="B191" s="345" t="s">
        <v>352</v>
      </c>
      <c r="E191" s="934"/>
      <c r="F191" s="345">
        <v>10.01</v>
      </c>
      <c r="G191" s="345" t="s">
        <v>337</v>
      </c>
      <c r="L191" s="347">
        <v>405.04</v>
      </c>
      <c r="M191" s="347" t="s">
        <v>310</v>
      </c>
      <c r="Q191" s="348" t="str">
        <f t="array" ref="Q191">IFERROR(IF($Q$11="Yes",INDEX($L$13:$L$2313,SMALL(IF((County=$M$13:$M$2313),MATCH(ROW($M$13:$M$2313),ROW($M$13:$M$2313)),""),ROWS($A$13:A191))),""),"")</f>
        <v/>
      </c>
      <c r="S191" s="346">
        <v>33486</v>
      </c>
      <c r="T191" s="345" t="s">
        <v>361</v>
      </c>
      <c r="V191" s="345">
        <v>19.02</v>
      </c>
      <c r="W191" s="345" t="s">
        <v>297</v>
      </c>
      <c r="AB191" s="347">
        <v>13.01</v>
      </c>
      <c r="AC191" s="347" t="s">
        <v>306</v>
      </c>
      <c r="AD191" s="1138"/>
      <c r="AE191" s="346">
        <v>33178</v>
      </c>
      <c r="AF191" s="345" t="s">
        <v>352</v>
      </c>
      <c r="AI191" s="934"/>
      <c r="AJ191" s="345">
        <v>1.01</v>
      </c>
      <c r="AK191" s="345" t="s">
        <v>337</v>
      </c>
      <c r="AP191" s="347">
        <v>203.18</v>
      </c>
      <c r="AQ191" s="347" t="s">
        <v>310</v>
      </c>
      <c r="AS191" s="348" t="str">
        <f t="array" ref="AS191">IFERROR(IF($AS$11="Metro",INDEX($AJ$13:$AJ$814,SMALL(IF((County=$AK$13:$AK$814),MATCH(ROW($AK$13:$AK$814),ROW($AK$13:$AK$814)),""),ROWS($A$13:$A191))),INDEX($AM$13:$AM$48,SMALL(IF((County=$AN$13:$AN$48),MATCH(ROW($AN$13:$AN$48),ROW($AN$13:$AN$48)),""),ROWS($A$13:$A191)))),"")</f>
        <v/>
      </c>
      <c r="AU191" s="348" t="str">
        <f t="array" ref="AU191">IFERROR(IF($AU$11="Yes",INDEX($AP$13:$AP$2950,SMALL(IF((County=$AQ$13:$AQ$2950),MATCH(ROW($AQ$13:$AQ$2950),ROW($AQ$13:$AQ$2950)),""),ROWS($A$13:$A191))),""),"")</f>
        <v/>
      </c>
      <c r="AW191" s="346">
        <v>33442</v>
      </c>
      <c r="AX191" s="345" t="s">
        <v>310</v>
      </c>
      <c r="AZ191" s="345">
        <v>16</v>
      </c>
      <c r="BA191" s="345" t="s">
        <v>323</v>
      </c>
      <c r="BF191" s="347">
        <v>9.0399999999999991</v>
      </c>
      <c r="BG191" s="347" t="s">
        <v>361</v>
      </c>
      <c r="BH191" s="1790"/>
      <c r="BI191" s="1792">
        <v>33137</v>
      </c>
      <c r="BJ191" s="237" t="s">
        <v>352</v>
      </c>
      <c r="BM191" s="1784"/>
      <c r="BN191" s="345">
        <v>650.25</v>
      </c>
      <c r="BO191" s="345" t="s">
        <v>309</v>
      </c>
      <c r="BQ191" s="237">
        <v>9705.02</v>
      </c>
      <c r="BR191" s="237" t="s">
        <v>373</v>
      </c>
      <c r="BT191" s="347">
        <v>203.15</v>
      </c>
      <c r="BU191" s="347" t="s">
        <v>310</v>
      </c>
      <c r="BW191" s="348" t="str">
        <f t="array" ref="BW191">IFERROR(IF($BW$11="Metro",INDEX($BN$13:$BN$4972,SMALL(IF((County=$BO$13:$BO$4972),MATCH(ROW($BO$13:$BO$4972),ROW($BO$13:$BO$4972)),""),ROWS($A$13:$A191))),INDEX($BQ$13:$BQ$212,SMALL(IF((County=$BR$13:$BR$212),MATCH(ROW($BR$13:$BR$212),ROW($BR$13:$BR$212)),""),ROWS($A$13:$A191)))),"")</f>
        <v/>
      </c>
      <c r="BY191" s="348" t="str">
        <f t="array" ref="BY191">IFERROR(IF($BY$11="Yes",INDEX($BT$13:$BT$2950,SMALL(IF((County=$BU$13:$BU$2950),MATCH(ROW($BU$13:$BU$2950),ROW($BU$13:$BU$2950)),""),ROWS($A$13:$A191))),""),"")</f>
        <v/>
      </c>
      <c r="CA191" s="1792">
        <v>33408</v>
      </c>
      <c r="CB191" s="345" t="s">
        <v>361</v>
      </c>
      <c r="CD191" s="237">
        <v>4.17</v>
      </c>
      <c r="CE191" s="237" t="s">
        <v>352</v>
      </c>
      <c r="CG191" s="237">
        <v>9718</v>
      </c>
      <c r="CH191" s="237" t="s">
        <v>354</v>
      </c>
      <c r="CJ191" s="347">
        <v>9.0500000000000007</v>
      </c>
      <c r="CK191" s="347" t="s">
        <v>352</v>
      </c>
      <c r="CL191" s="1789"/>
      <c r="CM191" s="2299"/>
      <c r="CN191" s="345"/>
      <c r="CR191" s="345"/>
      <c r="CS191" s="345"/>
      <c r="CU191" s="345"/>
      <c r="CV191" s="345"/>
      <c r="CX191" s="347"/>
      <c r="CY191" s="347"/>
      <c r="DA191" s="348"/>
      <c r="DC191" s="348"/>
      <c r="DE191" s="1792"/>
      <c r="DF191" s="345"/>
      <c r="DH191" s="237"/>
      <c r="DI191" s="237"/>
      <c r="DK191" s="345"/>
      <c r="DL191" s="345"/>
      <c r="DN191" s="347"/>
      <c r="DO191" s="347"/>
      <c r="DP191" s="2505"/>
      <c r="DT191" s="663"/>
      <c r="DU191" s="663"/>
      <c r="DV191" s="663"/>
      <c r="DW191" s="663"/>
      <c r="DX191" s="663"/>
      <c r="DY191" s="663"/>
      <c r="DZ191" s="663"/>
      <c r="EA191" s="663"/>
      <c r="EB191" s="663"/>
      <c r="EC191" s="663"/>
      <c r="ED191" s="663"/>
    </row>
    <row r="192" spans="1:134">
      <c r="A192" s="346">
        <v>33175</v>
      </c>
      <c r="B192" s="345" t="s">
        <v>352</v>
      </c>
      <c r="E192" s="934"/>
      <c r="F192" s="345">
        <v>10.02</v>
      </c>
      <c r="G192" s="345" t="s">
        <v>337</v>
      </c>
      <c r="L192" s="347">
        <v>406.01</v>
      </c>
      <c r="M192" s="347" t="s">
        <v>310</v>
      </c>
      <c r="Q192" s="348" t="str">
        <f t="array" ref="Q192">IFERROR(IF($Q$11="Yes",INDEX($L$13:$L$2313,SMALL(IF((County=$M$13:$M$2313),MATCH(ROW($M$13:$M$2313),ROW($M$13:$M$2313)),""),ROWS($A$13:A192))),""),"")</f>
        <v/>
      </c>
      <c r="S192" s="346">
        <v>33487</v>
      </c>
      <c r="T192" s="345" t="s">
        <v>361</v>
      </c>
      <c r="V192" s="345">
        <v>19.02</v>
      </c>
      <c r="W192" s="345" t="s">
        <v>345</v>
      </c>
      <c r="AB192" s="347">
        <v>13.01</v>
      </c>
      <c r="AC192" s="347" t="s">
        <v>368</v>
      </c>
      <c r="AD192" s="1138"/>
      <c r="AE192" s="346">
        <v>33179</v>
      </c>
      <c r="AF192" s="345" t="s">
        <v>352</v>
      </c>
      <c r="AI192" s="934"/>
      <c r="AJ192" s="345">
        <v>1.02</v>
      </c>
      <c r="AK192" s="345" t="s">
        <v>337</v>
      </c>
      <c r="AP192" s="347">
        <v>203.19</v>
      </c>
      <c r="AQ192" s="347" t="s">
        <v>310</v>
      </c>
      <c r="AS192" s="348" t="str">
        <f t="array" ref="AS192">IFERROR(IF($AS$11="Metro",INDEX($AJ$13:$AJ$814,SMALL(IF((County=$AK$13:$AK$814),MATCH(ROW($AK$13:$AK$814),ROW($AK$13:$AK$814)),""),ROWS($A$13:$A192))),INDEX($AM$13:$AM$48,SMALL(IF((County=$AN$13:$AN$48),MATCH(ROW($AN$13:$AN$48),ROW($AN$13:$AN$48)),""),ROWS($A$13:$A192)))),"")</f>
        <v/>
      </c>
      <c r="AU192" s="348" t="str">
        <f t="array" ref="AU192">IFERROR(IF($AU$11="Yes",INDEX($AP$13:$AP$2950,SMALL(IF((County=$AQ$13:$AQ$2950),MATCH(ROW($AQ$13:$AQ$2950),ROW($AQ$13:$AQ$2950)),""),ROWS($A$13:$A192))),""),"")</f>
        <v/>
      </c>
      <c r="AW192" s="346">
        <v>33444</v>
      </c>
      <c r="AX192" s="345" t="s">
        <v>361</v>
      </c>
      <c r="AZ192" s="345">
        <v>16</v>
      </c>
      <c r="BA192" s="345" t="s">
        <v>325</v>
      </c>
      <c r="BF192" s="347">
        <v>9.0500000000000007</v>
      </c>
      <c r="BG192" s="347" t="s">
        <v>345</v>
      </c>
      <c r="BH192" s="1790"/>
      <c r="BI192" s="1792">
        <v>33139</v>
      </c>
      <c r="BJ192" s="237" t="s">
        <v>352</v>
      </c>
      <c r="BM192" s="1784"/>
      <c r="BN192" s="345">
        <v>651.23</v>
      </c>
      <c r="BO192" s="345" t="s">
        <v>309</v>
      </c>
      <c r="BQ192" s="237">
        <v>9706.01</v>
      </c>
      <c r="BR192" s="237" t="s">
        <v>373</v>
      </c>
      <c r="BT192" s="347">
        <v>203.16</v>
      </c>
      <c r="BU192" s="347" t="s">
        <v>310</v>
      </c>
      <c r="BW192" s="348" t="str">
        <f t="array" ref="BW192">IFERROR(IF($BW$11="Metro",INDEX($BN$13:$BN$4972,SMALL(IF((County=$BO$13:$BO$4972),MATCH(ROW($BO$13:$BO$4972),ROW($BO$13:$BO$4972)),""),ROWS($A$13:$A192))),INDEX($BQ$13:$BQ$212,SMALL(IF((County=$BR$13:$BR$212),MATCH(ROW($BR$13:$BR$212),ROW($BR$13:$BR$212)),""),ROWS($A$13:$A192)))),"")</f>
        <v/>
      </c>
      <c r="BY192" s="348" t="str">
        <f t="array" ref="BY192">IFERROR(IF($BY$11="Yes",INDEX($BT$13:$BT$2950,SMALL(IF((County=$BU$13:$BU$2950),MATCH(ROW($BU$13:$BU$2950),ROW($BU$13:$BU$2950)),""),ROWS($A$13:$A192))),""),"")</f>
        <v/>
      </c>
      <c r="CA192" s="1792">
        <v>33409</v>
      </c>
      <c r="CB192" s="345" t="s">
        <v>361</v>
      </c>
      <c r="CD192" s="237">
        <v>4.18</v>
      </c>
      <c r="CE192" s="237" t="s">
        <v>352</v>
      </c>
      <c r="CG192" s="237">
        <v>9719</v>
      </c>
      <c r="CH192" s="237" t="s">
        <v>354</v>
      </c>
      <c r="CJ192" s="347">
        <v>9.0500000000000007</v>
      </c>
      <c r="CK192" s="347" t="s">
        <v>361</v>
      </c>
      <c r="CL192" s="1789"/>
      <c r="CM192" s="2299"/>
      <c r="CN192" s="345"/>
      <c r="CR192" s="345"/>
      <c r="CS192" s="345"/>
      <c r="CU192" s="345"/>
      <c r="CV192" s="345"/>
      <c r="CX192" s="347"/>
      <c r="CY192" s="347"/>
      <c r="DA192" s="348"/>
      <c r="DC192" s="348"/>
      <c r="DE192" s="1792"/>
      <c r="DF192" s="345"/>
      <c r="DH192" s="237"/>
      <c r="DI192" s="237"/>
      <c r="DK192" s="345"/>
      <c r="DL192" s="345"/>
      <c r="DN192" s="347"/>
      <c r="DO192" s="347"/>
      <c r="DP192" s="2505"/>
      <c r="DT192" s="663"/>
      <c r="DU192" s="663"/>
      <c r="DV192" s="663"/>
      <c r="DW192" s="663"/>
      <c r="DX192" s="663"/>
      <c r="DY192" s="663"/>
      <c r="DZ192" s="663"/>
      <c r="EA192" s="663"/>
      <c r="EB192" s="663"/>
      <c r="EC192" s="663"/>
      <c r="ED192" s="663"/>
    </row>
    <row r="193" spans="1:134">
      <c r="A193" s="346">
        <v>33176</v>
      </c>
      <c r="B193" s="345" t="s">
        <v>352</v>
      </c>
      <c r="E193" s="934"/>
      <c r="F193" s="345">
        <v>12</v>
      </c>
      <c r="G193" s="345" t="s">
        <v>337</v>
      </c>
      <c r="L193" s="347">
        <v>406.02</v>
      </c>
      <c r="M193" s="347" t="s">
        <v>310</v>
      </c>
      <c r="Q193" s="348" t="str">
        <f t="array" ref="Q193">IFERROR(IF($Q$11="Yes",INDEX($L$13:$L$2313,SMALL(IF((County=$M$13:$M$2313),MATCH(ROW($M$13:$M$2313),ROW($M$13:$M$2313)),""),ROWS($A$13:A193))),""),"")</f>
        <v/>
      </c>
      <c r="S193" s="346">
        <v>33496</v>
      </c>
      <c r="T193" s="345" t="s">
        <v>361</v>
      </c>
      <c r="V193" s="345">
        <v>19.03</v>
      </c>
      <c r="W193" s="345" t="s">
        <v>352</v>
      </c>
      <c r="AB193" s="347">
        <v>13.02</v>
      </c>
      <c r="AC193" s="347" t="s">
        <v>350</v>
      </c>
      <c r="AD193" s="1138"/>
      <c r="AE193" s="346">
        <v>33180</v>
      </c>
      <c r="AF193" s="345" t="s">
        <v>352</v>
      </c>
      <c r="AI193" s="934"/>
      <c r="AJ193" s="345">
        <v>2.0099999999999998</v>
      </c>
      <c r="AK193" s="345" t="s">
        <v>337</v>
      </c>
      <c r="AP193" s="347">
        <v>203.2</v>
      </c>
      <c r="AQ193" s="347" t="s">
        <v>310</v>
      </c>
      <c r="AS193" s="348" t="str">
        <f t="array" ref="AS193">IFERROR(IF($AS$11="Metro",INDEX($AJ$13:$AJ$814,SMALL(IF((County=$AK$13:$AK$814),MATCH(ROW($AK$13:$AK$814),ROW($AK$13:$AK$814)),""),ROWS($A$13:$A193))),INDEX($AM$13:$AM$48,SMALL(IF((County=$AN$13:$AN$48),MATCH(ROW($AN$13:$AN$48),ROW($AN$13:$AN$48)),""),ROWS($A$13:$A193)))),"")</f>
        <v/>
      </c>
      <c r="AU193" s="348" t="str">
        <f t="array" ref="AU193">IFERROR(IF($AU$11="Yes",INDEX($AP$13:$AP$2950,SMALL(IF((County=$AQ$13:$AQ$2950),MATCH(ROW($AQ$13:$AQ$2950),ROW($AQ$13:$AQ$2950)),""),ROWS($A$13:$A193))),""),"")</f>
        <v/>
      </c>
      <c r="AW193" s="346">
        <v>33445</v>
      </c>
      <c r="AX193" s="345" t="s">
        <v>361</v>
      </c>
      <c r="AZ193" s="345">
        <v>16</v>
      </c>
      <c r="BA193" s="345" t="s">
        <v>361</v>
      </c>
      <c r="BF193" s="347">
        <v>9.0500000000000007</v>
      </c>
      <c r="BG193" s="347" t="s">
        <v>361</v>
      </c>
      <c r="BH193" s="1790"/>
      <c r="BI193" s="1792">
        <v>33140</v>
      </c>
      <c r="BJ193" s="237" t="s">
        <v>352</v>
      </c>
      <c r="BM193" s="1784"/>
      <c r="BN193" s="345">
        <v>651.24</v>
      </c>
      <c r="BO193" s="345" t="s">
        <v>309</v>
      </c>
      <c r="BQ193" s="237">
        <v>9706.02</v>
      </c>
      <c r="BR193" s="237" t="s">
        <v>373</v>
      </c>
      <c r="BT193" s="347">
        <v>203.17</v>
      </c>
      <c r="BU193" s="347" t="s">
        <v>310</v>
      </c>
      <c r="BW193" s="348" t="str">
        <f t="array" ref="BW193">IFERROR(IF($BW$11="Metro",INDEX($BN$13:$BN$4972,SMALL(IF((County=$BO$13:$BO$4972),MATCH(ROW($BO$13:$BO$4972),ROW($BO$13:$BO$4972)),""),ROWS($A$13:$A193))),INDEX($BQ$13:$BQ$212,SMALL(IF((County=$BR$13:$BR$212),MATCH(ROW($BR$13:$BR$212),ROW($BR$13:$BR$212)),""),ROWS($A$13:$A193)))),"")</f>
        <v/>
      </c>
      <c r="BY193" s="348" t="str">
        <f t="array" ref="BY193">IFERROR(IF($BY$11="Yes",INDEX($BT$13:$BT$2950,SMALL(IF((County=$BU$13:$BU$2950),MATCH(ROW($BU$13:$BU$2950),ROW($BU$13:$BU$2950)),""),ROWS($A$13:$A193))),""),"")</f>
        <v/>
      </c>
      <c r="CA193" s="1792">
        <v>33410</v>
      </c>
      <c r="CB193" s="345" t="s">
        <v>361</v>
      </c>
      <c r="CD193" s="237">
        <v>4.1900000000000004</v>
      </c>
      <c r="CE193" s="237" t="s">
        <v>352</v>
      </c>
      <c r="CG193" s="237">
        <v>9720</v>
      </c>
      <c r="CH193" s="237" t="s">
        <v>354</v>
      </c>
      <c r="CJ193" s="347">
        <v>9.06</v>
      </c>
      <c r="CK193" s="347" t="s">
        <v>345</v>
      </c>
      <c r="CL193" s="1789"/>
      <c r="CM193" s="2299"/>
      <c r="CN193" s="345"/>
      <c r="CR193" s="345"/>
      <c r="CS193" s="345"/>
      <c r="CU193" s="345"/>
      <c r="CV193" s="345"/>
      <c r="CX193" s="347"/>
      <c r="CY193" s="347"/>
      <c r="DA193" s="348"/>
      <c r="DC193" s="348"/>
      <c r="DE193" s="1792"/>
      <c r="DF193" s="345"/>
      <c r="DH193" s="237"/>
      <c r="DI193" s="237"/>
      <c r="DK193" s="345"/>
      <c r="DL193" s="345"/>
      <c r="DN193" s="347"/>
      <c r="DO193" s="347"/>
      <c r="DP193" s="2505"/>
      <c r="DT193" s="663"/>
      <c r="DU193" s="663"/>
      <c r="DV193" s="663"/>
      <c r="DW193" s="663"/>
      <c r="DX193" s="663"/>
      <c r="DY193" s="663"/>
      <c r="DZ193" s="663"/>
      <c r="EA193" s="663"/>
      <c r="EB193" s="663"/>
      <c r="EC193" s="663"/>
      <c r="ED193" s="663"/>
    </row>
    <row r="194" spans="1:134">
      <c r="A194" s="346">
        <v>33178</v>
      </c>
      <c r="B194" s="345" t="s">
        <v>352</v>
      </c>
      <c r="E194" s="934"/>
      <c r="F194" s="345">
        <v>14</v>
      </c>
      <c r="G194" s="345" t="s">
        <v>337</v>
      </c>
      <c r="L194" s="347">
        <v>407.01</v>
      </c>
      <c r="M194" s="347" t="s">
        <v>310</v>
      </c>
      <c r="Q194" s="348" t="str">
        <f t="array" ref="Q194">IFERROR(IF($Q$11="Yes",INDEX($L$13:$L$2313,SMALL(IF((County=$M$13:$M$2313),MATCH(ROW($M$13:$M$2313),ROW($M$13:$M$2313)),""),ROWS($A$13:A194))),""),"")</f>
        <v/>
      </c>
      <c r="S194" s="346">
        <v>33498</v>
      </c>
      <c r="T194" s="345" t="s">
        <v>361</v>
      </c>
      <c r="V194" s="345">
        <v>19.04</v>
      </c>
      <c r="W194" s="345" t="s">
        <v>352</v>
      </c>
      <c r="AB194" s="347">
        <v>13.02</v>
      </c>
      <c r="AC194" s="347" t="s">
        <v>351</v>
      </c>
      <c r="AD194" s="1138"/>
      <c r="AE194" s="346">
        <v>33182</v>
      </c>
      <c r="AF194" s="345" t="s">
        <v>352</v>
      </c>
      <c r="AI194" s="934"/>
      <c r="AJ194" s="345">
        <v>2.02</v>
      </c>
      <c r="AK194" s="345" t="s">
        <v>337</v>
      </c>
      <c r="AP194" s="347">
        <v>203.21</v>
      </c>
      <c r="AQ194" s="347" t="s">
        <v>310</v>
      </c>
      <c r="AS194" s="348" t="str">
        <f t="array" ref="AS194">IFERROR(IF($AS$11="Metro",INDEX($AJ$13:$AJ$814,SMALL(IF((County=$AK$13:$AK$814),MATCH(ROW($AK$13:$AK$814),ROW($AK$13:$AK$814)),""),ROWS($A$13:$A194))),INDEX($AM$13:$AM$48,SMALL(IF((County=$AN$13:$AN$48),MATCH(ROW($AN$13:$AN$48),ROW($AN$13:$AN$48)),""),ROWS($A$13:$A194)))),"")</f>
        <v/>
      </c>
      <c r="AU194" s="348" t="str">
        <f t="array" ref="AU194">IFERROR(IF($AU$11="Yes",INDEX($AP$13:$AP$2950,SMALL(IF((County=$AQ$13:$AQ$2950),MATCH(ROW($AQ$13:$AQ$2950),ROW($AQ$13:$AQ$2950)),""),ROWS($A$13:$A194))),""),"")</f>
        <v/>
      </c>
      <c r="AW194" s="346">
        <v>33449</v>
      </c>
      <c r="AX194" s="345" t="s">
        <v>361</v>
      </c>
      <c r="AZ194" s="345">
        <v>16.05</v>
      </c>
      <c r="BA194" s="345" t="s">
        <v>297</v>
      </c>
      <c r="BF194" s="347">
        <v>9.06</v>
      </c>
      <c r="BG194" s="347" t="s">
        <v>345</v>
      </c>
      <c r="BH194" s="1790"/>
      <c r="BI194" s="1792">
        <v>33141</v>
      </c>
      <c r="BJ194" s="237" t="s">
        <v>352</v>
      </c>
      <c r="BM194" s="1784"/>
      <c r="BN194" s="345">
        <v>651.26</v>
      </c>
      <c r="BO194" s="345" t="s">
        <v>309</v>
      </c>
      <c r="BQ194" s="237">
        <v>9501</v>
      </c>
      <c r="BR194" s="237" t="s">
        <v>374</v>
      </c>
      <c r="BT194" s="347">
        <v>203.18</v>
      </c>
      <c r="BU194" s="347" t="s">
        <v>310</v>
      </c>
      <c r="BW194" s="348" t="str">
        <f t="array" ref="BW194">IFERROR(IF($BW$11="Metro",INDEX($BN$13:$BN$4972,SMALL(IF((County=$BO$13:$BO$4972),MATCH(ROW($BO$13:$BO$4972),ROW($BO$13:$BO$4972)),""),ROWS($A$13:$A194))),INDEX($BQ$13:$BQ$212,SMALL(IF((County=$BR$13:$BR$212),MATCH(ROW($BR$13:$BR$212),ROW($BR$13:$BR$212)),""),ROWS($A$13:$A194)))),"")</f>
        <v/>
      </c>
      <c r="BY194" s="348" t="str">
        <f t="array" ref="BY194">IFERROR(IF($BY$11="Yes",INDEX($BT$13:$BT$2950,SMALL(IF((County=$BU$13:$BU$2950),MATCH(ROW($BU$13:$BU$2950),ROW($BU$13:$BU$2950)),""),ROWS($A$13:$A194))),""),"")</f>
        <v/>
      </c>
      <c r="CA194" s="1792">
        <v>33411</v>
      </c>
      <c r="CB194" s="345" t="s">
        <v>361</v>
      </c>
      <c r="CD194" s="237">
        <v>4.2</v>
      </c>
      <c r="CE194" s="237" t="s">
        <v>352</v>
      </c>
      <c r="CG194" s="237">
        <v>9721</v>
      </c>
      <c r="CH194" s="237" t="s">
        <v>354</v>
      </c>
      <c r="CJ194" s="347">
        <v>9.07</v>
      </c>
      <c r="CK194" s="347" t="s">
        <v>345</v>
      </c>
      <c r="CL194" s="1789"/>
      <c r="CM194" s="2299"/>
      <c r="CN194" s="345"/>
      <c r="CR194" s="345"/>
      <c r="CS194" s="345"/>
      <c r="CU194" s="345"/>
      <c r="CV194" s="345"/>
      <c r="CX194" s="347"/>
      <c r="CY194" s="347"/>
      <c r="DA194" s="348"/>
      <c r="DC194" s="348"/>
      <c r="DE194" s="1792"/>
      <c r="DF194" s="345"/>
      <c r="DH194" s="237"/>
      <c r="DI194" s="237"/>
      <c r="DK194" s="345"/>
      <c r="DL194" s="345"/>
      <c r="DN194" s="347"/>
      <c r="DO194" s="347"/>
      <c r="DP194" s="2505"/>
      <c r="DT194" s="663"/>
      <c r="DU194" s="663"/>
      <c r="DV194" s="663"/>
      <c r="DW194" s="663"/>
      <c r="DX194" s="663"/>
      <c r="DY194" s="663"/>
      <c r="DZ194" s="663"/>
      <c r="EA194" s="663"/>
      <c r="EB194" s="663"/>
      <c r="EC194" s="663"/>
      <c r="ED194" s="663"/>
    </row>
    <row r="195" spans="1:134">
      <c r="A195" s="346">
        <v>33180</v>
      </c>
      <c r="B195" s="345" t="s">
        <v>352</v>
      </c>
      <c r="E195" s="934"/>
      <c r="F195" s="345">
        <v>18</v>
      </c>
      <c r="G195" s="345" t="s">
        <v>337</v>
      </c>
      <c r="L195" s="347">
        <v>407.02</v>
      </c>
      <c r="M195" s="347" t="s">
        <v>310</v>
      </c>
      <c r="Q195" s="348" t="str">
        <f t="array" ref="Q195">IFERROR(IF($Q$11="Yes",INDEX($L$13:$L$2313,SMALL(IF((County=$M$13:$M$2313),MATCH(ROW($M$13:$M$2313),ROW($M$13:$M$2313)),""),ROWS($A$13:A195))),""),"")</f>
        <v/>
      </c>
      <c r="S195" s="346">
        <v>33503</v>
      </c>
      <c r="T195" s="345" t="s">
        <v>337</v>
      </c>
      <c r="V195" s="345">
        <v>19.09</v>
      </c>
      <c r="W195" s="345" t="s">
        <v>361</v>
      </c>
      <c r="AB195" s="347">
        <v>13.02</v>
      </c>
      <c r="AC195" s="347" t="s">
        <v>352</v>
      </c>
      <c r="AD195" s="1138"/>
      <c r="AE195" s="346">
        <v>33183</v>
      </c>
      <c r="AF195" s="345" t="s">
        <v>352</v>
      </c>
      <c r="AI195" s="934"/>
      <c r="AJ195" s="345">
        <v>3.01</v>
      </c>
      <c r="AK195" s="345" t="s">
        <v>337</v>
      </c>
      <c r="AP195" s="347">
        <v>203.22</v>
      </c>
      <c r="AQ195" s="347" t="s">
        <v>310</v>
      </c>
      <c r="AS195" s="348" t="str">
        <f t="array" ref="AS195">IFERROR(IF($AS$11="Metro",INDEX($AJ$13:$AJ$814,SMALL(IF((County=$AK$13:$AK$814),MATCH(ROW($AK$13:$AK$814),ROW($AK$13:$AK$814)),""),ROWS($A$13:$A195))),INDEX($AM$13:$AM$48,SMALL(IF((County=$AN$13:$AN$48),MATCH(ROW($AN$13:$AN$48),ROW($AN$13:$AN$48)),""),ROWS($A$13:$A195)))),"")</f>
        <v/>
      </c>
      <c r="AU195" s="348" t="str">
        <f t="array" ref="AU195">IFERROR(IF($AU$11="Yes",INDEX($AP$13:$AP$2950,SMALL(IF((County=$AQ$13:$AQ$2950),MATCH(ROW($AQ$13:$AQ$2950),ROW($AQ$13:$AQ$2950)),""),ROWS($A$13:$A195))),""),"")</f>
        <v/>
      </c>
      <c r="AW195" s="346">
        <v>33458</v>
      </c>
      <c r="AX195" s="345" t="s">
        <v>361</v>
      </c>
      <c r="AZ195" s="345">
        <v>16.05</v>
      </c>
      <c r="BA195" s="345" t="s">
        <v>352</v>
      </c>
      <c r="BF195" s="347">
        <v>9.07</v>
      </c>
      <c r="BG195" s="347" t="s">
        <v>345</v>
      </c>
      <c r="BH195" s="1790"/>
      <c r="BI195" s="1792">
        <v>33143</v>
      </c>
      <c r="BJ195" s="237" t="s">
        <v>352</v>
      </c>
      <c r="BM195" s="1784"/>
      <c r="BN195" s="345">
        <v>651.27</v>
      </c>
      <c r="BO195" s="345" t="s">
        <v>309</v>
      </c>
      <c r="BQ195" s="237">
        <v>9502.01</v>
      </c>
      <c r="BR195" s="237" t="s">
        <v>374</v>
      </c>
      <c r="BT195" s="347">
        <v>203.19</v>
      </c>
      <c r="BU195" s="347" t="s">
        <v>310</v>
      </c>
      <c r="BW195" s="348" t="str">
        <f t="array" ref="BW195">IFERROR(IF($BW$11="Metro",INDEX($BN$13:$BN$4972,SMALL(IF((County=$BO$13:$BO$4972),MATCH(ROW($BO$13:$BO$4972),ROW($BO$13:$BO$4972)),""),ROWS($A$13:$A195))),INDEX($BQ$13:$BQ$212,SMALL(IF((County=$BR$13:$BR$212),MATCH(ROW($BR$13:$BR$212),ROW($BR$13:$BR$212)),""),ROWS($A$13:$A195)))),"")</f>
        <v/>
      </c>
      <c r="BY195" s="348" t="str">
        <f t="array" ref="BY195">IFERROR(IF($BY$11="Yes",INDEX($BT$13:$BT$2950,SMALL(IF((County=$BU$13:$BU$2950),MATCH(ROW($BU$13:$BU$2950),ROW($BU$13:$BU$2950)),""),ROWS($A$13:$A195))),""),"")</f>
        <v/>
      </c>
      <c r="CA195" s="1792">
        <v>33412</v>
      </c>
      <c r="CB195" s="345" t="s">
        <v>361</v>
      </c>
      <c r="CD195" s="345">
        <v>5</v>
      </c>
      <c r="CE195" s="345" t="s">
        <v>297</v>
      </c>
      <c r="CG195" s="237">
        <v>9722</v>
      </c>
      <c r="CH195" s="237" t="s">
        <v>354</v>
      </c>
      <c r="CJ195" s="347">
        <v>9.08</v>
      </c>
      <c r="CK195" s="347" t="s">
        <v>352</v>
      </c>
      <c r="CL195" s="1789"/>
      <c r="CM195" s="2299"/>
      <c r="CN195" s="345"/>
      <c r="CR195" s="345"/>
      <c r="CS195" s="345"/>
      <c r="CU195" s="345"/>
      <c r="CV195" s="345"/>
      <c r="CX195" s="347"/>
      <c r="CY195" s="347"/>
      <c r="DA195" s="348"/>
      <c r="DC195" s="348"/>
      <c r="DE195" s="1792"/>
      <c r="DF195" s="345"/>
      <c r="DH195" s="237"/>
      <c r="DI195" s="237"/>
      <c r="DK195" s="345"/>
      <c r="DL195" s="345"/>
      <c r="DN195" s="347"/>
      <c r="DO195" s="347"/>
      <c r="DP195" s="2505"/>
      <c r="DT195" s="663"/>
      <c r="DU195" s="663"/>
      <c r="DV195" s="663"/>
      <c r="DW195" s="663"/>
      <c r="DX195" s="663"/>
      <c r="DY195" s="663"/>
      <c r="DZ195" s="663"/>
      <c r="EA195" s="663"/>
      <c r="EB195" s="663"/>
      <c r="EC195" s="663"/>
      <c r="ED195" s="663"/>
    </row>
    <row r="196" spans="1:134">
      <c r="A196" s="346">
        <v>33182</v>
      </c>
      <c r="B196" s="345" t="s">
        <v>352</v>
      </c>
      <c r="E196" s="934"/>
      <c r="F196" s="345">
        <v>19</v>
      </c>
      <c r="G196" s="345" t="s">
        <v>337</v>
      </c>
      <c r="L196" s="347">
        <v>418.01</v>
      </c>
      <c r="M196" s="347" t="s">
        <v>310</v>
      </c>
      <c r="Q196" s="348" t="str">
        <f t="array" ref="Q196">IFERROR(IF($Q$11="Yes",INDEX($L$13:$L$2313,SMALL(IF((County=$M$13:$M$2313),MATCH(ROW($M$13:$M$2313),ROW($M$13:$M$2313)),""),ROWS($A$13:A196))),""),"")</f>
        <v/>
      </c>
      <c r="S196" s="346">
        <v>33510</v>
      </c>
      <c r="T196" s="345" t="s">
        <v>337</v>
      </c>
      <c r="V196" s="345">
        <v>19.100000000000001</v>
      </c>
      <c r="W196" s="345" t="s">
        <v>361</v>
      </c>
      <c r="AB196" s="347">
        <v>13.02</v>
      </c>
      <c r="AC196" s="347" t="s">
        <v>368</v>
      </c>
      <c r="AD196" s="1138"/>
      <c r="AE196" s="346">
        <v>33184</v>
      </c>
      <c r="AF196" s="345" t="s">
        <v>352</v>
      </c>
      <c r="AI196" s="934"/>
      <c r="AJ196" s="345">
        <v>3.02</v>
      </c>
      <c r="AK196" s="345" t="s">
        <v>337</v>
      </c>
      <c r="AP196" s="347">
        <v>203.23</v>
      </c>
      <c r="AQ196" s="347" t="s">
        <v>310</v>
      </c>
      <c r="AS196" s="348" t="str">
        <f t="array" ref="AS196">IFERROR(IF($AS$11="Metro",INDEX($AJ$13:$AJ$814,SMALL(IF((County=$AK$13:$AK$814),MATCH(ROW($AK$13:$AK$814),ROW($AK$13:$AK$814)),""),ROWS($A$13:$A196))),INDEX($AM$13:$AM$48,SMALL(IF((County=$AN$13:$AN$48),MATCH(ROW($AN$13:$AN$48),ROW($AN$13:$AN$48)),""),ROWS($A$13:$A196)))),"")</f>
        <v/>
      </c>
      <c r="AU196" s="348" t="str">
        <f t="array" ref="AU196">IFERROR(IF($AU$11="Yes",INDEX($AP$13:$AP$2950,SMALL(IF((County=$AQ$13:$AQ$2950),MATCH(ROW($AQ$13:$AQ$2950),ROW($AQ$13:$AQ$2950)),""),ROWS($A$13:$A196))),""),"")</f>
        <v/>
      </c>
      <c r="AW196" s="346">
        <v>33469</v>
      </c>
      <c r="AX196" s="345" t="s">
        <v>361</v>
      </c>
      <c r="AZ196" s="345">
        <v>17</v>
      </c>
      <c r="BA196" s="345" t="s">
        <v>325</v>
      </c>
      <c r="BF196" s="347">
        <v>9.07</v>
      </c>
      <c r="BG196" s="347" t="s">
        <v>352</v>
      </c>
      <c r="BH196" s="1790"/>
      <c r="BI196" s="1792">
        <v>33144</v>
      </c>
      <c r="BJ196" s="237" t="s">
        <v>352</v>
      </c>
      <c r="BM196" s="1784"/>
      <c r="BN196" s="345">
        <v>651.28</v>
      </c>
      <c r="BO196" s="345" t="s">
        <v>309</v>
      </c>
      <c r="BQ196" s="237">
        <v>9502.02</v>
      </c>
      <c r="BR196" s="237" t="s">
        <v>374</v>
      </c>
      <c r="BT196" s="347">
        <v>203.2</v>
      </c>
      <c r="BU196" s="347" t="s">
        <v>310</v>
      </c>
      <c r="BW196" s="348" t="str">
        <f t="array" ref="BW196">IFERROR(IF($BW$11="Metro",INDEX($BN$13:$BN$4972,SMALL(IF((County=$BO$13:$BO$4972),MATCH(ROW($BO$13:$BO$4972),ROW($BO$13:$BO$4972)),""),ROWS($A$13:$A196))),INDEX($BQ$13:$BQ$212,SMALL(IF((County=$BR$13:$BR$212),MATCH(ROW($BR$13:$BR$212),ROW($BR$13:$BR$212)),""),ROWS($A$13:$A196)))),"")</f>
        <v/>
      </c>
      <c r="BY196" s="348" t="str">
        <f t="array" ref="BY196">IFERROR(IF($BY$11="Yes",INDEX($BT$13:$BT$2950,SMALL(IF((County=$BU$13:$BU$2950),MATCH(ROW($BU$13:$BU$2950),ROW($BU$13:$BU$2950)),""),ROWS($A$13:$A196))),""),"")</f>
        <v/>
      </c>
      <c r="CA196" s="1792">
        <v>33413</v>
      </c>
      <c r="CB196" s="345" t="s">
        <v>361</v>
      </c>
      <c r="CD196" s="345">
        <v>5</v>
      </c>
      <c r="CE196" s="345" t="s">
        <v>306</v>
      </c>
      <c r="CG196" s="237">
        <v>9724</v>
      </c>
      <c r="CH196" s="237" t="s">
        <v>354</v>
      </c>
      <c r="CJ196" s="347">
        <v>10.01</v>
      </c>
      <c r="CK196" s="347" t="s">
        <v>325</v>
      </c>
      <c r="CL196" s="1789"/>
      <c r="CM196" s="2299"/>
      <c r="CN196" s="345"/>
      <c r="CR196" s="345"/>
      <c r="CS196" s="345"/>
      <c r="CU196" s="345"/>
      <c r="CV196" s="345"/>
      <c r="CX196" s="347"/>
      <c r="CY196" s="347"/>
      <c r="DA196" s="348"/>
      <c r="DC196" s="348"/>
      <c r="DE196" s="1792"/>
      <c r="DF196" s="345"/>
      <c r="DH196" s="237"/>
      <c r="DI196" s="237"/>
      <c r="DK196" s="345"/>
      <c r="DL196" s="345"/>
      <c r="DN196" s="347"/>
      <c r="DO196" s="347"/>
      <c r="DP196" s="2505"/>
      <c r="DT196" s="663"/>
      <c r="DU196" s="663"/>
      <c r="DV196" s="663"/>
      <c r="DW196" s="663"/>
      <c r="DX196" s="663"/>
      <c r="DY196" s="663"/>
      <c r="DZ196" s="663"/>
      <c r="EA196" s="663"/>
      <c r="EB196" s="663"/>
      <c r="EC196" s="663"/>
      <c r="ED196" s="663"/>
    </row>
    <row r="197" spans="1:134">
      <c r="A197" s="346">
        <v>33183</v>
      </c>
      <c r="B197" s="345" t="s">
        <v>352</v>
      </c>
      <c r="E197" s="934"/>
      <c r="F197" s="345">
        <v>20</v>
      </c>
      <c r="G197" s="345" t="s">
        <v>337</v>
      </c>
      <c r="L197" s="347">
        <v>418.02</v>
      </c>
      <c r="M197" s="347" t="s">
        <v>310</v>
      </c>
      <c r="Q197" s="348" t="str">
        <f t="array" ref="Q197">IFERROR(IF($Q$11="Yes",INDEX($L$13:$L$2313,SMALL(IF((County=$M$13:$M$2313),MATCH(ROW($M$13:$M$2313),ROW($M$13:$M$2313)),""),ROWS($A$13:A197))),""),"")</f>
        <v/>
      </c>
      <c r="S197" s="346">
        <v>33511</v>
      </c>
      <c r="T197" s="345" t="s">
        <v>337</v>
      </c>
      <c r="V197" s="345">
        <v>19.11</v>
      </c>
      <c r="W197" s="345" t="s">
        <v>361</v>
      </c>
      <c r="AB197" s="347">
        <v>13.03</v>
      </c>
      <c r="AC197" s="347" t="s">
        <v>368</v>
      </c>
      <c r="AD197" s="1138"/>
      <c r="AE197" s="346">
        <v>33185</v>
      </c>
      <c r="AF197" s="345" t="s">
        <v>352</v>
      </c>
      <c r="AI197" s="934"/>
      <c r="AJ197" s="345">
        <v>4.0199999999999996</v>
      </c>
      <c r="AK197" s="345" t="s">
        <v>337</v>
      </c>
      <c r="AP197" s="347">
        <v>203.25</v>
      </c>
      <c r="AQ197" s="347" t="s">
        <v>310</v>
      </c>
      <c r="AS197" s="348" t="str">
        <f t="array" ref="AS197">IFERROR(IF($AS$11="Metro",INDEX($AJ$13:$AJ$814,SMALL(IF((County=$AK$13:$AK$814),MATCH(ROW($AK$13:$AK$814),ROW($AK$13:$AK$814)),""),ROWS($A$13:$A197))),INDEX($AM$13:$AM$48,SMALL(IF((County=$AN$13:$AN$48),MATCH(ROW($AN$13:$AN$48),ROW($AN$13:$AN$48)),""),ROWS($A$13:$A197)))),"")</f>
        <v/>
      </c>
      <c r="AU197" s="348" t="str">
        <f t="array" ref="AU197">IFERROR(IF($AU$11="Yes",INDEX($AP$13:$AP$2950,SMALL(IF((County=$AQ$13:$AQ$2950),MATCH(ROW($AQ$13:$AQ$2950),ROW($AQ$13:$AQ$2950)),""),ROWS($A$13:$A197))),""),"")</f>
        <v/>
      </c>
      <c r="AW197" s="346">
        <v>33470</v>
      </c>
      <c r="AX197" s="345" t="s">
        <v>361</v>
      </c>
      <c r="AZ197" s="345">
        <v>17</v>
      </c>
      <c r="BA197" s="345" t="s">
        <v>350</v>
      </c>
      <c r="BF197" s="347">
        <v>9.08</v>
      </c>
      <c r="BG197" s="347" t="s">
        <v>352</v>
      </c>
      <c r="BH197" s="1790"/>
      <c r="BI197" s="1791">
        <v>33145</v>
      </c>
      <c r="BJ197" s="345" t="s">
        <v>352</v>
      </c>
      <c r="BM197" s="1784"/>
      <c r="BN197" s="345">
        <v>651.29</v>
      </c>
      <c r="BO197" s="345" t="s">
        <v>309</v>
      </c>
      <c r="BQ197" s="237">
        <v>9503.01</v>
      </c>
      <c r="BR197" s="237" t="s">
        <v>374</v>
      </c>
      <c r="BT197" s="347">
        <v>203.21</v>
      </c>
      <c r="BU197" s="347" t="s">
        <v>310</v>
      </c>
      <c r="BW197" s="348" t="str">
        <f t="array" ref="BW197">IFERROR(IF($BW$11="Metro",INDEX($BN$13:$BN$4972,SMALL(IF((County=$BO$13:$BO$4972),MATCH(ROW($BO$13:$BO$4972),ROW($BO$13:$BO$4972)),""),ROWS($A$13:$A197))),INDEX($BQ$13:$BQ$212,SMALL(IF((County=$BR$13:$BR$212),MATCH(ROW($BR$13:$BR$212),ROW($BR$13:$BR$212)),""),ROWS($A$13:$A197)))),"")</f>
        <v/>
      </c>
      <c r="BY197" s="348" t="str">
        <f t="array" ref="BY197">IFERROR(IF($BY$11="Yes",INDEX($BT$13:$BT$2950,SMALL(IF((County=$BU$13:$BU$2950),MATCH(ROW($BU$13:$BU$2950),ROW($BU$13:$BU$2950)),""),ROWS($A$13:$A197))),""),"")</f>
        <v/>
      </c>
      <c r="CA197" s="1792">
        <v>33414</v>
      </c>
      <c r="CB197" s="345" t="s">
        <v>361</v>
      </c>
      <c r="CD197" s="237">
        <v>5</v>
      </c>
      <c r="CE197" s="237" t="s">
        <v>318</v>
      </c>
      <c r="CG197" s="237">
        <v>9725</v>
      </c>
      <c r="CH197" s="237" t="s">
        <v>354</v>
      </c>
      <c r="CJ197" s="347">
        <v>10.01</v>
      </c>
      <c r="CK197" s="347" t="s">
        <v>344</v>
      </c>
      <c r="CL197" s="1789"/>
      <c r="CM197" s="2299"/>
      <c r="CN197" s="345"/>
      <c r="CR197" s="345"/>
      <c r="CS197" s="345"/>
      <c r="CU197" s="345"/>
      <c r="CV197" s="345"/>
      <c r="CX197" s="347"/>
      <c r="CY197" s="347"/>
      <c r="DA197" s="348"/>
      <c r="DC197" s="348"/>
      <c r="DE197" s="1792"/>
      <c r="DF197" s="345"/>
      <c r="DH197" s="237"/>
      <c r="DI197" s="237"/>
      <c r="DK197" s="345"/>
      <c r="DL197" s="345"/>
      <c r="DN197" s="347"/>
      <c r="DO197" s="347"/>
      <c r="DP197" s="2505"/>
      <c r="DT197" s="663"/>
      <c r="DU197" s="663"/>
      <c r="DV197" s="663"/>
      <c r="DW197" s="663"/>
      <c r="DX197" s="663"/>
      <c r="DY197" s="663"/>
      <c r="DZ197" s="663"/>
      <c r="EA197" s="663"/>
      <c r="EB197" s="663"/>
      <c r="EC197" s="663"/>
      <c r="ED197" s="663"/>
    </row>
    <row r="198" spans="1:134">
      <c r="A198" s="346">
        <v>33184</v>
      </c>
      <c r="B198" s="345" t="s">
        <v>352</v>
      </c>
      <c r="E198" s="934"/>
      <c r="F198" s="345">
        <v>25</v>
      </c>
      <c r="G198" s="345" t="s">
        <v>337</v>
      </c>
      <c r="L198" s="347">
        <v>419</v>
      </c>
      <c r="M198" s="347" t="s">
        <v>310</v>
      </c>
      <c r="Q198" s="348" t="str">
        <f t="array" ref="Q198">IFERROR(IF($Q$11="Yes",INDEX($L$13:$L$2313,SMALL(IF((County=$M$13:$M$2313),MATCH(ROW($M$13:$M$2313),ROW($M$13:$M$2313)),""),ROWS($A$13:A198))),""),"")</f>
        <v/>
      </c>
      <c r="S198" s="346">
        <v>33543</v>
      </c>
      <c r="T198" s="345" t="s">
        <v>362</v>
      </c>
      <c r="V198" s="345">
        <v>20</v>
      </c>
      <c r="W198" s="345" t="s">
        <v>306</v>
      </c>
      <c r="AB198" s="347">
        <v>13.04</v>
      </c>
      <c r="AC198" s="347" t="s">
        <v>368</v>
      </c>
      <c r="AD198" s="1138"/>
      <c r="AE198" s="346">
        <v>33186</v>
      </c>
      <c r="AF198" s="345" t="s">
        <v>352</v>
      </c>
      <c r="AI198" s="934"/>
      <c r="AJ198" s="345">
        <v>6.02</v>
      </c>
      <c r="AK198" s="345" t="s">
        <v>337</v>
      </c>
      <c r="AP198" s="347">
        <v>203.26</v>
      </c>
      <c r="AQ198" s="347" t="s">
        <v>310</v>
      </c>
      <c r="AS198" s="348" t="str">
        <f t="array" ref="AS198">IFERROR(IF($AS$11="Metro",INDEX($AJ$13:$AJ$814,SMALL(IF((County=$AK$13:$AK$814),MATCH(ROW($AK$13:$AK$814),ROW($AK$13:$AK$814)),""),ROWS($A$13:$A198))),INDEX($AM$13:$AM$48,SMALL(IF((County=$AN$13:$AN$48),MATCH(ROW($AN$13:$AN$48),ROW($AN$13:$AN$48)),""),ROWS($A$13:$A198)))),"")</f>
        <v/>
      </c>
      <c r="AU198" s="348" t="str">
        <f t="array" ref="AU198">IFERROR(IF($AU$11="Yes",INDEX($AP$13:$AP$2950,SMALL(IF((County=$AQ$13:$AQ$2950),MATCH(ROW($AQ$13:$AQ$2950),ROW($AQ$13:$AQ$2950)),""),ROWS($A$13:$A198))),""),"")</f>
        <v/>
      </c>
      <c r="AW198" s="346">
        <v>33472</v>
      </c>
      <c r="AX198" s="345" t="s">
        <v>361</v>
      </c>
      <c r="AZ198" s="345">
        <v>17.010000000000002</v>
      </c>
      <c r="BA198" s="345" t="s">
        <v>352</v>
      </c>
      <c r="BF198" s="347">
        <v>10</v>
      </c>
      <c r="BG198" s="347" t="s">
        <v>351</v>
      </c>
      <c r="BH198" s="1790"/>
      <c r="BI198" s="1792">
        <v>33146</v>
      </c>
      <c r="BJ198" s="237" t="s">
        <v>352</v>
      </c>
      <c r="BM198" s="1784"/>
      <c r="BN198" s="345">
        <v>651.29999999999995</v>
      </c>
      <c r="BO198" s="345" t="s">
        <v>309</v>
      </c>
      <c r="BQ198" s="237">
        <v>9503.02</v>
      </c>
      <c r="BR198" s="237" t="s">
        <v>374</v>
      </c>
      <c r="BT198" s="347">
        <v>203.22</v>
      </c>
      <c r="BU198" s="347" t="s">
        <v>310</v>
      </c>
      <c r="BW198" s="348" t="str">
        <f t="array" ref="BW198">IFERROR(IF($BW$11="Metro",INDEX($BN$13:$BN$4972,SMALL(IF((County=$BO$13:$BO$4972),MATCH(ROW($BO$13:$BO$4972),ROW($BO$13:$BO$4972)),""),ROWS($A$13:$A198))),INDEX($BQ$13:$BQ$212,SMALL(IF((County=$BR$13:$BR$212),MATCH(ROW($BR$13:$BR$212),ROW($BR$13:$BR$212)),""),ROWS($A$13:$A198)))),"")</f>
        <v/>
      </c>
      <c r="BY198" s="348" t="str">
        <f t="array" ref="BY198">IFERROR(IF($BY$11="Yes",INDEX($BT$13:$BT$2950,SMALL(IF((County=$BU$13:$BU$2950),MATCH(ROW($BU$13:$BU$2950),ROW($BU$13:$BU$2950)),""),ROWS($A$13:$A198))),""),"")</f>
        <v/>
      </c>
      <c r="CA198" s="1792">
        <v>33418</v>
      </c>
      <c r="CB198" s="345" t="s">
        <v>361</v>
      </c>
      <c r="CD198" s="237">
        <v>5</v>
      </c>
      <c r="CE198" s="237" t="s">
        <v>325</v>
      </c>
      <c r="CG198" s="237">
        <v>9727</v>
      </c>
      <c r="CH198" s="237" t="s">
        <v>354</v>
      </c>
      <c r="CJ198" s="347">
        <v>10.01</v>
      </c>
      <c r="CK198" s="347" t="s">
        <v>349</v>
      </c>
      <c r="CL198" s="1789"/>
      <c r="CM198" s="2299"/>
      <c r="CN198" s="345"/>
      <c r="CR198" s="345"/>
      <c r="CS198" s="345"/>
      <c r="CU198" s="345"/>
      <c r="CV198" s="345"/>
      <c r="CX198" s="347"/>
      <c r="CY198" s="347"/>
      <c r="DA198" s="348"/>
      <c r="DC198" s="348"/>
      <c r="DE198" s="1792"/>
      <c r="DF198" s="345"/>
      <c r="DH198" s="237"/>
      <c r="DI198" s="237"/>
      <c r="DK198" s="345"/>
      <c r="DL198" s="345"/>
      <c r="DN198" s="347"/>
      <c r="DO198" s="347"/>
      <c r="DP198" s="2505"/>
      <c r="DT198" s="663"/>
      <c r="DU198" s="663"/>
      <c r="DV198" s="663"/>
      <c r="DW198" s="663"/>
      <c r="DX198" s="663"/>
      <c r="DY198" s="663"/>
      <c r="DZ198" s="663"/>
      <c r="EA198" s="663"/>
      <c r="EB198" s="663"/>
      <c r="EC198" s="663"/>
      <c r="ED198" s="663"/>
    </row>
    <row r="199" spans="1:134">
      <c r="A199" s="346">
        <v>33185</v>
      </c>
      <c r="B199" s="345" t="s">
        <v>352</v>
      </c>
      <c r="E199" s="934"/>
      <c r="F199" s="345">
        <v>26</v>
      </c>
      <c r="G199" s="345" t="s">
        <v>337</v>
      </c>
      <c r="L199" s="347">
        <v>420</v>
      </c>
      <c r="M199" s="347" t="s">
        <v>310</v>
      </c>
      <c r="Q199" s="348" t="str">
        <f t="array" ref="Q199">IFERROR(IF($Q$11="Yes",INDEX($L$13:$L$2313,SMALL(IF((County=$M$13:$M$2313),MATCH(ROW($M$13:$M$2313),ROW($M$13:$M$2313)),""),ROWS($A$13:A199))),""),"")</f>
        <v/>
      </c>
      <c r="S199" s="346">
        <v>33544</v>
      </c>
      <c r="T199" s="345" t="s">
        <v>362</v>
      </c>
      <c r="V199" s="345">
        <v>20</v>
      </c>
      <c r="W199" s="345" t="s">
        <v>325</v>
      </c>
      <c r="AB199" s="347">
        <v>14.01</v>
      </c>
      <c r="AC199" s="347" t="s">
        <v>325</v>
      </c>
      <c r="AD199" s="1138"/>
      <c r="AE199" s="346">
        <v>33187</v>
      </c>
      <c r="AF199" s="345" t="s">
        <v>352</v>
      </c>
      <c r="AI199" s="934"/>
      <c r="AJ199" s="345">
        <v>7.01</v>
      </c>
      <c r="AK199" s="345" t="s">
        <v>337</v>
      </c>
      <c r="AP199" s="347">
        <v>204.04</v>
      </c>
      <c r="AQ199" s="347" t="s">
        <v>310</v>
      </c>
      <c r="AS199" s="348" t="str">
        <f t="array" ref="AS199">IFERROR(IF($AS$11="Metro",INDEX($AJ$13:$AJ$814,SMALL(IF((County=$AK$13:$AK$814),MATCH(ROW($AK$13:$AK$814),ROW($AK$13:$AK$814)),""),ROWS($A$13:$A199))),INDEX($AM$13:$AM$48,SMALL(IF((County=$AN$13:$AN$48),MATCH(ROW($AN$13:$AN$48),ROW($AN$13:$AN$48)),""),ROWS($A$13:$A199)))),"")</f>
        <v/>
      </c>
      <c r="AU199" s="348" t="str">
        <f t="array" ref="AU199">IFERROR(IF($AU$11="Yes",INDEX($AP$13:$AP$2950,SMALL(IF((County=$AQ$13:$AQ$2950),MATCH(ROW($AQ$13:$AQ$2950),ROW($AQ$13:$AQ$2950)),""),ROWS($A$13:$A199))),""),"")</f>
        <v/>
      </c>
      <c r="AW199" s="346">
        <v>33473</v>
      </c>
      <c r="AX199" s="345" t="s">
        <v>361</v>
      </c>
      <c r="AZ199" s="345">
        <v>17.02</v>
      </c>
      <c r="BA199" s="345" t="s">
        <v>352</v>
      </c>
      <c r="BF199" s="347">
        <v>10.01</v>
      </c>
      <c r="BG199" s="347" t="s">
        <v>325</v>
      </c>
      <c r="BH199" s="1790"/>
      <c r="BI199" s="1791">
        <v>33149</v>
      </c>
      <c r="BJ199" s="345" t="s">
        <v>352</v>
      </c>
      <c r="BM199" s="1784"/>
      <c r="BN199" s="345">
        <v>651.30999999999995</v>
      </c>
      <c r="BO199" s="345" t="s">
        <v>309</v>
      </c>
      <c r="BQ199" s="237">
        <v>9504.01</v>
      </c>
      <c r="BR199" s="237" t="s">
        <v>374</v>
      </c>
      <c r="BT199" s="347">
        <v>203.25</v>
      </c>
      <c r="BU199" s="347" t="s">
        <v>310</v>
      </c>
      <c r="BW199" s="348" t="str">
        <f t="array" ref="BW199">IFERROR(IF($BW$11="Metro",INDEX($BN$13:$BN$4972,SMALL(IF((County=$BO$13:$BO$4972),MATCH(ROW($BO$13:$BO$4972),ROW($BO$13:$BO$4972)),""),ROWS($A$13:$A199))),INDEX($BQ$13:$BQ$212,SMALL(IF((County=$BR$13:$BR$212),MATCH(ROW($BR$13:$BR$212),ROW($BR$13:$BR$212)),""),ROWS($A$13:$A199)))),"")</f>
        <v/>
      </c>
      <c r="BY199" s="348" t="str">
        <f t="array" ref="BY199">IFERROR(IF($BY$11="Yes",INDEX($BT$13:$BT$2950,SMALL(IF((County=$BU$13:$BU$2950),MATCH(ROW($BU$13:$BU$2950),ROW($BU$13:$BU$2950)),""),ROWS($A$13:$A199))),""),"")</f>
        <v/>
      </c>
      <c r="CA199" s="1792">
        <v>33426</v>
      </c>
      <c r="CB199" s="345" t="s">
        <v>361</v>
      </c>
      <c r="CD199" s="237">
        <v>5</v>
      </c>
      <c r="CE199" s="237" t="s">
        <v>337</v>
      </c>
      <c r="CG199" s="237">
        <v>9728</v>
      </c>
      <c r="CH199" s="237" t="s">
        <v>354</v>
      </c>
      <c r="CJ199" s="347">
        <v>10.02</v>
      </c>
      <c r="CK199" s="347" t="s">
        <v>325</v>
      </c>
      <c r="CL199" s="1789"/>
      <c r="CM199" s="2299"/>
      <c r="CN199" s="345"/>
      <c r="CR199" s="345"/>
      <c r="CS199" s="345"/>
      <c r="CU199" s="345"/>
      <c r="CV199" s="345"/>
      <c r="CX199" s="347"/>
      <c r="CY199" s="347"/>
      <c r="DA199" s="348"/>
      <c r="DC199" s="348"/>
      <c r="DE199" s="1792"/>
      <c r="DF199" s="345"/>
      <c r="DH199" s="237"/>
      <c r="DI199" s="237"/>
      <c r="DK199" s="345"/>
      <c r="DL199" s="345"/>
      <c r="DN199" s="347"/>
      <c r="DO199" s="347"/>
      <c r="DP199" s="2505"/>
      <c r="DT199" s="663"/>
      <c r="DU199" s="663"/>
      <c r="DV199" s="663"/>
      <c r="DW199" s="663"/>
      <c r="DX199" s="663"/>
      <c r="DY199" s="663"/>
      <c r="DZ199" s="663"/>
      <c r="EA199" s="663"/>
      <c r="EB199" s="663"/>
      <c r="EC199" s="663"/>
      <c r="ED199" s="663"/>
    </row>
    <row r="200" spans="1:134">
      <c r="A200" s="346">
        <v>33186</v>
      </c>
      <c r="B200" s="345" t="s">
        <v>352</v>
      </c>
      <c r="E200" s="934"/>
      <c r="F200" s="345">
        <v>30</v>
      </c>
      <c r="G200" s="345" t="s">
        <v>337</v>
      </c>
      <c r="L200" s="347">
        <v>421</v>
      </c>
      <c r="M200" s="347" t="s">
        <v>310</v>
      </c>
      <c r="Q200" s="348" t="str">
        <f t="array" ref="Q200">IFERROR(IF($Q$11="Yes",INDEX($L$13:$L$2313,SMALL(IF((County=$M$13:$M$2313),MATCH(ROW($M$13:$M$2313),ROW($M$13:$M$2313)),""),ROWS($A$13:A200))),""),"")</f>
        <v/>
      </c>
      <c r="S200" s="346">
        <v>33545</v>
      </c>
      <c r="T200" s="345" t="s">
        <v>362</v>
      </c>
      <c r="V200" s="345">
        <v>20</v>
      </c>
      <c r="W200" s="345" t="s">
        <v>337</v>
      </c>
      <c r="AB200" s="347">
        <v>14.01</v>
      </c>
      <c r="AC200" s="347" t="s">
        <v>368</v>
      </c>
      <c r="AD200" s="1138"/>
      <c r="AE200" s="346">
        <v>33190</v>
      </c>
      <c r="AF200" s="345" t="s">
        <v>352</v>
      </c>
      <c r="AI200" s="934"/>
      <c r="AJ200" s="345">
        <v>7.02</v>
      </c>
      <c r="AK200" s="345" t="s">
        <v>337</v>
      </c>
      <c r="AP200" s="347">
        <v>204.06</v>
      </c>
      <c r="AQ200" s="347" t="s">
        <v>310</v>
      </c>
      <c r="AS200" s="348" t="str">
        <f t="array" ref="AS200">IFERROR(IF($AS$11="Metro",INDEX($AJ$13:$AJ$814,SMALL(IF((County=$AK$13:$AK$814),MATCH(ROW($AK$13:$AK$814),ROW($AK$13:$AK$814)),""),ROWS($A$13:$A200))),INDEX($AM$13:$AM$48,SMALL(IF((County=$AN$13:$AN$48),MATCH(ROW($AN$13:$AN$48),ROW($AN$13:$AN$48)),""),ROWS($A$13:$A200)))),"")</f>
        <v/>
      </c>
      <c r="AU200" s="348" t="str">
        <f t="array" ref="AU200">IFERROR(IF($AU$11="Yes",INDEX($AP$13:$AP$2950,SMALL(IF((County=$AQ$13:$AQ$2950),MATCH(ROW($AQ$13:$AQ$2950),ROW($AQ$13:$AQ$2950)),""),ROWS($A$13:$A200))),""),"")</f>
        <v/>
      </c>
      <c r="AW200" s="346">
        <v>33477</v>
      </c>
      <c r="AX200" s="345" t="s">
        <v>361</v>
      </c>
      <c r="AZ200" s="345">
        <v>17.04</v>
      </c>
      <c r="BA200" s="345" t="s">
        <v>352</v>
      </c>
      <c r="BF200" s="347">
        <v>10.01</v>
      </c>
      <c r="BG200" s="347" t="s">
        <v>344</v>
      </c>
      <c r="BH200" s="1790"/>
      <c r="BI200" s="1791">
        <v>33154</v>
      </c>
      <c r="BJ200" s="345" t="s">
        <v>352</v>
      </c>
      <c r="BM200" s="1784"/>
      <c r="BN200" s="345">
        <v>652.01</v>
      </c>
      <c r="BO200" s="345" t="s">
        <v>309</v>
      </c>
      <c r="BQ200" s="237">
        <v>9504.02</v>
      </c>
      <c r="BR200" s="237" t="s">
        <v>374</v>
      </c>
      <c r="BT200" s="347">
        <v>203.26</v>
      </c>
      <c r="BU200" s="347" t="s">
        <v>310</v>
      </c>
      <c r="BW200" s="348" t="str">
        <f t="array" ref="BW200">IFERROR(IF($BW$11="Metro",INDEX($BN$13:$BN$4972,SMALL(IF((County=$BO$13:$BO$4972),MATCH(ROW($BO$13:$BO$4972),ROW($BO$13:$BO$4972)),""),ROWS($A$13:$A200))),INDEX($BQ$13:$BQ$212,SMALL(IF((County=$BR$13:$BR$212),MATCH(ROW($BR$13:$BR$212),ROW($BR$13:$BR$212)),""),ROWS($A$13:$A200)))),"")</f>
        <v/>
      </c>
      <c r="BY200" s="348" t="str">
        <f t="array" ref="BY200">IFERROR(IF($BY$11="Yes",INDEX($BT$13:$BT$2950,SMALL(IF((County=$BU$13:$BU$2950),MATCH(ROW($BU$13:$BU$2950),ROW($BU$13:$BU$2950)),""),ROWS($A$13:$A200))),""),"")</f>
        <v/>
      </c>
      <c r="CA200" s="1792">
        <v>33428</v>
      </c>
      <c r="CB200" s="345" t="s">
        <v>361</v>
      </c>
      <c r="CD200" s="237">
        <v>5.01</v>
      </c>
      <c r="CE200" s="237" t="s">
        <v>345</v>
      </c>
      <c r="CG200" s="237">
        <v>9800</v>
      </c>
      <c r="CH200" s="237" t="s">
        <v>347</v>
      </c>
      <c r="CJ200" s="347">
        <v>10.029999999999999</v>
      </c>
      <c r="CK200" s="347" t="s">
        <v>361</v>
      </c>
      <c r="CL200" s="1789"/>
      <c r="CM200" s="2299"/>
      <c r="CN200" s="345"/>
      <c r="CR200" s="345"/>
      <c r="CS200" s="345"/>
      <c r="CU200" s="345"/>
      <c r="CV200" s="345"/>
      <c r="CX200" s="347"/>
      <c r="CY200" s="347"/>
      <c r="DA200" s="348"/>
      <c r="DC200" s="348"/>
      <c r="DE200" s="1792"/>
      <c r="DF200" s="345"/>
      <c r="DH200" s="237"/>
      <c r="DI200" s="237"/>
      <c r="DK200" s="345"/>
      <c r="DL200" s="345"/>
      <c r="DN200" s="347"/>
      <c r="DO200" s="347"/>
      <c r="DP200" s="2505"/>
      <c r="DT200" s="663"/>
      <c r="DU200" s="663"/>
      <c r="DV200" s="663"/>
      <c r="DW200" s="663"/>
      <c r="DX200" s="663"/>
      <c r="DY200" s="663"/>
      <c r="DZ200" s="663"/>
      <c r="EA200" s="663"/>
      <c r="EB200" s="663"/>
      <c r="EC200" s="663"/>
      <c r="ED200" s="663"/>
    </row>
    <row r="201" spans="1:134">
      <c r="A201" s="346">
        <v>33187</v>
      </c>
      <c r="B201" s="345" t="s">
        <v>352</v>
      </c>
      <c r="E201" s="934"/>
      <c r="F201" s="345">
        <v>31</v>
      </c>
      <c r="G201" s="345" t="s">
        <v>337</v>
      </c>
      <c r="L201" s="347">
        <v>422</v>
      </c>
      <c r="M201" s="347" t="s">
        <v>310</v>
      </c>
      <c r="Q201" s="348" t="str">
        <f t="array" ref="Q201">IFERROR(IF($Q$11="Yes",INDEX($L$13:$L$2313,SMALL(IF((County=$M$13:$M$2313),MATCH(ROW($M$13:$M$2313),ROW($M$13:$M$2313)),""),ROWS($A$13:A201))),""),"")</f>
        <v/>
      </c>
      <c r="S201" s="346">
        <v>33547</v>
      </c>
      <c r="T201" s="345" t="s">
        <v>337</v>
      </c>
      <c r="V201" s="345">
        <v>20.010000000000002</v>
      </c>
      <c r="W201" s="345" t="s">
        <v>350</v>
      </c>
      <c r="AB201" s="347">
        <v>14.02</v>
      </c>
      <c r="AC201" s="347" t="s">
        <v>306</v>
      </c>
      <c r="AD201" s="1138"/>
      <c r="AE201" s="346">
        <v>33193</v>
      </c>
      <c r="AF201" s="345" t="s">
        <v>352</v>
      </c>
      <c r="AI201" s="934"/>
      <c r="AJ201" s="345">
        <v>8</v>
      </c>
      <c r="AK201" s="345" t="s">
        <v>337</v>
      </c>
      <c r="AP201" s="347">
        <v>204.18</v>
      </c>
      <c r="AQ201" s="347" t="s">
        <v>310</v>
      </c>
      <c r="AS201" s="348" t="str">
        <f t="array" ref="AS201">IFERROR(IF($AS$11="Metro",INDEX($AJ$13:$AJ$814,SMALL(IF((County=$AK$13:$AK$814),MATCH(ROW($AK$13:$AK$814),ROW($AK$13:$AK$814)),""),ROWS($A$13:$A201))),INDEX($AM$13:$AM$48,SMALL(IF((County=$AN$13:$AN$48),MATCH(ROW($AN$13:$AN$48),ROW($AN$13:$AN$48)),""),ROWS($A$13:$A201)))),"")</f>
        <v/>
      </c>
      <c r="AU201" s="348" t="str">
        <f t="array" ref="AU201">IFERROR(IF($AU$11="Yes",INDEX($AP$13:$AP$2950,SMALL(IF((County=$AQ$13:$AQ$2950),MATCH(ROW($AQ$13:$AQ$2950),ROW($AQ$13:$AQ$2950)),""),ROWS($A$13:$A201))),""),"")</f>
        <v/>
      </c>
      <c r="AW201" s="346">
        <v>33478</v>
      </c>
      <c r="AX201" s="345" t="s">
        <v>361</v>
      </c>
      <c r="AZ201" s="345">
        <v>17.05</v>
      </c>
      <c r="BA201" s="345" t="s">
        <v>352</v>
      </c>
      <c r="BF201" s="347">
        <v>10.01</v>
      </c>
      <c r="BG201" s="347" t="s">
        <v>349</v>
      </c>
      <c r="BH201" s="1790"/>
      <c r="BI201" s="1791">
        <v>33155</v>
      </c>
      <c r="BJ201" s="345" t="s">
        <v>352</v>
      </c>
      <c r="BM201" s="1784"/>
      <c r="BN201" s="345">
        <v>652.02</v>
      </c>
      <c r="BO201" s="345" t="s">
        <v>309</v>
      </c>
      <c r="BQ201" s="237">
        <v>9900</v>
      </c>
      <c r="BR201" s="237" t="s">
        <v>374</v>
      </c>
      <c r="BT201" s="347">
        <v>204.04</v>
      </c>
      <c r="BU201" s="347" t="s">
        <v>310</v>
      </c>
      <c r="BW201" s="348" t="str">
        <f t="array" ref="BW201">IFERROR(IF($BW$11="Metro",INDEX($BN$13:$BN$4972,SMALL(IF((County=$BO$13:$BO$4972),MATCH(ROW($BO$13:$BO$4972),ROW($BO$13:$BO$4972)),""),ROWS($A$13:$A201))),INDEX($BQ$13:$BQ$212,SMALL(IF((County=$BR$13:$BR$212),MATCH(ROW($BR$13:$BR$212),ROW($BR$13:$BR$212)),""),ROWS($A$13:$A201)))),"")</f>
        <v/>
      </c>
      <c r="BY201" s="348" t="str">
        <f t="array" ref="BY201">IFERROR(IF($BY$11="Yes",INDEX($BT$13:$BT$2950,SMALL(IF((County=$BU$13:$BU$2950),MATCH(ROW($BU$13:$BU$2950),ROW($BU$13:$BU$2950)),""),ROWS($A$13:$A201))),""),"")</f>
        <v/>
      </c>
      <c r="CA201" s="1792">
        <v>33431</v>
      </c>
      <c r="CB201" s="345" t="s">
        <v>361</v>
      </c>
      <c r="CD201" s="237">
        <v>5.01</v>
      </c>
      <c r="CE201" s="237" t="s">
        <v>349</v>
      </c>
      <c r="CG201" s="237">
        <v>9800</v>
      </c>
      <c r="CH201" s="237" t="s">
        <v>354</v>
      </c>
      <c r="CJ201" s="347">
        <v>10.050000000000001</v>
      </c>
      <c r="CK201" s="347" t="s">
        <v>350</v>
      </c>
      <c r="CL201" s="1789"/>
      <c r="CM201" s="2299"/>
      <c r="CN201" s="345"/>
      <c r="CR201" s="345"/>
      <c r="CS201" s="345"/>
      <c r="CU201" s="345"/>
      <c r="CV201" s="345"/>
      <c r="CX201" s="347"/>
      <c r="CY201" s="347"/>
      <c r="DA201" s="348"/>
      <c r="DC201" s="348"/>
      <c r="DE201" s="1792"/>
      <c r="DF201" s="345"/>
      <c r="DH201" s="237"/>
      <c r="DI201" s="237"/>
      <c r="DK201" s="345"/>
      <c r="DL201" s="345"/>
      <c r="DN201" s="347"/>
      <c r="DO201" s="347"/>
      <c r="DP201" s="2505"/>
      <c r="DT201" s="663"/>
      <c r="DU201" s="663"/>
      <c r="DV201" s="663"/>
      <c r="DW201" s="663"/>
      <c r="DX201" s="663"/>
      <c r="DY201" s="663"/>
      <c r="DZ201" s="663"/>
      <c r="EA201" s="663"/>
      <c r="EB201" s="663"/>
      <c r="EC201" s="663"/>
      <c r="ED201" s="663"/>
    </row>
    <row r="202" spans="1:134">
      <c r="A202" s="346">
        <v>33193</v>
      </c>
      <c r="B202" s="345" t="s">
        <v>352</v>
      </c>
      <c r="E202" s="934"/>
      <c r="F202" s="345">
        <v>32</v>
      </c>
      <c r="G202" s="345" t="s">
        <v>337</v>
      </c>
      <c r="L202" s="347">
        <v>423.01</v>
      </c>
      <c r="M202" s="347" t="s">
        <v>310</v>
      </c>
      <c r="Q202" s="348" t="str">
        <f t="array" ref="Q202">IFERROR(IF($Q$11="Yes",INDEX($L$13:$L$2313,SMALL(IF((County=$M$13:$M$2313),MATCH(ROW($M$13:$M$2313),ROW($M$13:$M$2313)),""),ROWS($A$13:A202))),""),"")</f>
        <v/>
      </c>
      <c r="S202" s="346">
        <v>33548</v>
      </c>
      <c r="T202" s="345" t="s">
        <v>337</v>
      </c>
      <c r="V202" s="345">
        <v>20.010000000000002</v>
      </c>
      <c r="W202" s="345" t="s">
        <v>352</v>
      </c>
      <c r="AB202" s="347">
        <v>14.02</v>
      </c>
      <c r="AC202" s="347" t="s">
        <v>344</v>
      </c>
      <c r="AD202" s="1138"/>
      <c r="AE202" s="346">
        <v>33194</v>
      </c>
      <c r="AF202" s="345" t="s">
        <v>352</v>
      </c>
      <c r="AI202" s="934"/>
      <c r="AJ202" s="345">
        <v>9.01</v>
      </c>
      <c r="AK202" s="345" t="s">
        <v>337</v>
      </c>
      <c r="AP202" s="347">
        <v>204.19</v>
      </c>
      <c r="AQ202" s="347" t="s">
        <v>310</v>
      </c>
      <c r="AS202" s="348" t="str">
        <f t="array" ref="AS202">IFERROR(IF($AS$11="Metro",INDEX($AJ$13:$AJ$814,SMALL(IF((County=$AK$13:$AK$814),MATCH(ROW($AK$13:$AK$814),ROW($AK$13:$AK$814)),""),ROWS($A$13:$A202))),INDEX($AM$13:$AM$48,SMALL(IF((County=$AN$13:$AN$48),MATCH(ROW($AN$13:$AN$48),ROW($AN$13:$AN$48)),""),ROWS($A$13:$A202)))),"")</f>
        <v/>
      </c>
      <c r="AU202" s="348" t="str">
        <f t="array" ref="AU202">IFERROR(IF($AU$11="Yes",INDEX($AP$13:$AP$2950,SMALL(IF((County=$AQ$13:$AQ$2950),MATCH(ROW($AQ$13:$AQ$2950),ROW($AQ$13:$AQ$2950)),""),ROWS($A$13:$A202))),""),"")</f>
        <v/>
      </c>
      <c r="AW202" s="346">
        <v>33480</v>
      </c>
      <c r="AX202" s="345" t="s">
        <v>361</v>
      </c>
      <c r="AZ202" s="345">
        <v>18</v>
      </c>
      <c r="BA202" s="345" t="s">
        <v>306</v>
      </c>
      <c r="BF202" s="347">
        <v>10.02</v>
      </c>
      <c r="BG202" s="347" t="s">
        <v>325</v>
      </c>
      <c r="BH202" s="1790"/>
      <c r="BI202" s="1791">
        <v>33156</v>
      </c>
      <c r="BJ202" s="345" t="s">
        <v>352</v>
      </c>
      <c r="BM202" s="1784"/>
      <c r="BN202" s="345">
        <v>652.30999999999995</v>
      </c>
      <c r="BO202" s="345" t="s">
        <v>309</v>
      </c>
      <c r="BQ202" s="237">
        <v>9601</v>
      </c>
      <c r="BR202" s="237" t="s">
        <v>375</v>
      </c>
      <c r="BT202" s="347">
        <v>204.06</v>
      </c>
      <c r="BU202" s="347" t="s">
        <v>310</v>
      </c>
      <c r="BW202" s="348" t="str">
        <f t="array" ref="BW202">IFERROR(IF($BW$11="Metro",INDEX($BN$13:$BN$4972,SMALL(IF((County=$BO$13:$BO$4972),MATCH(ROW($BO$13:$BO$4972),ROW($BO$13:$BO$4972)),""),ROWS($A$13:$A202))),INDEX($BQ$13:$BQ$212,SMALL(IF((County=$BR$13:$BR$212),MATCH(ROW($BR$13:$BR$212),ROW($BR$13:$BR$212)),""),ROWS($A$13:$A202)))),"")</f>
        <v/>
      </c>
      <c r="BY202" s="348" t="str">
        <f t="array" ref="BY202">IFERROR(IF($BY$11="Yes",INDEX($BT$13:$BT$2950,SMALL(IF((County=$BU$13:$BU$2950),MATCH(ROW($BU$13:$BU$2950),ROW($BU$13:$BU$2950)),""),ROWS($A$13:$A202))),""),"")</f>
        <v/>
      </c>
      <c r="CA202" s="1792">
        <v>33432</v>
      </c>
      <c r="CB202" s="345" t="s">
        <v>361</v>
      </c>
      <c r="CD202" s="237">
        <v>5.01</v>
      </c>
      <c r="CE202" s="237" t="s">
        <v>350</v>
      </c>
      <c r="CG202" s="237">
        <v>9800</v>
      </c>
      <c r="CH202" s="237" t="s">
        <v>366</v>
      </c>
      <c r="CJ202" s="347">
        <v>10.07</v>
      </c>
      <c r="CK202" s="347" t="s">
        <v>350</v>
      </c>
      <c r="CL202" s="1789"/>
      <c r="CM202" s="2299"/>
      <c r="CN202" s="345"/>
      <c r="CR202" s="345"/>
      <c r="CS202" s="345"/>
      <c r="CU202" s="345"/>
      <c r="CV202" s="345"/>
      <c r="CX202" s="347"/>
      <c r="CY202" s="347"/>
      <c r="DA202" s="348"/>
      <c r="DC202" s="348"/>
      <c r="DE202" s="1792"/>
      <c r="DF202" s="345"/>
      <c r="DH202" s="237"/>
      <c r="DI202" s="237"/>
      <c r="DK202" s="345"/>
      <c r="DL202" s="345"/>
      <c r="DN202" s="347"/>
      <c r="DO202" s="347"/>
      <c r="DP202" s="2505"/>
      <c r="DT202" s="663"/>
      <c r="DU202" s="663"/>
      <c r="DV202" s="663"/>
      <c r="DW202" s="663"/>
      <c r="DX202" s="663"/>
      <c r="DY202" s="663"/>
      <c r="DZ202" s="663"/>
      <c r="EA202" s="663"/>
      <c r="EB202" s="663"/>
      <c r="EC202" s="663"/>
      <c r="ED202" s="663"/>
    </row>
    <row r="203" spans="1:134">
      <c r="A203" s="346">
        <v>33194</v>
      </c>
      <c r="B203" s="345" t="s">
        <v>352</v>
      </c>
      <c r="E203" s="934"/>
      <c r="F203" s="345">
        <v>33</v>
      </c>
      <c r="G203" s="345" t="s">
        <v>337</v>
      </c>
      <c r="L203" s="347">
        <v>424</v>
      </c>
      <c r="M203" s="347" t="s">
        <v>310</v>
      </c>
      <c r="Q203" s="348" t="str">
        <f t="array" ref="Q203">IFERROR(IF($Q$11="Yes",INDEX($L$13:$L$2313,SMALL(IF((County=$M$13:$M$2313),MATCH(ROW($M$13:$M$2313),ROW($M$13:$M$2313)),""),ROWS($A$13:A203))),""),"")</f>
        <v/>
      </c>
      <c r="S203" s="346">
        <v>33549</v>
      </c>
      <c r="T203" s="345" t="s">
        <v>337</v>
      </c>
      <c r="V203" s="345">
        <v>20.03</v>
      </c>
      <c r="W203" s="345" t="s">
        <v>345</v>
      </c>
      <c r="AB203" s="347">
        <v>14.02</v>
      </c>
      <c r="AC203" s="347" t="s">
        <v>349</v>
      </c>
      <c r="AD203" s="1138"/>
      <c r="AE203" s="346">
        <v>33196</v>
      </c>
      <c r="AF203" s="345" t="s">
        <v>352</v>
      </c>
      <c r="AI203" s="934"/>
      <c r="AJ203" s="345">
        <v>9.02</v>
      </c>
      <c r="AK203" s="345" t="s">
        <v>337</v>
      </c>
      <c r="AP203" s="347">
        <v>301</v>
      </c>
      <c r="AQ203" s="347" t="s">
        <v>310</v>
      </c>
      <c r="AS203" s="348" t="str">
        <f t="array" ref="AS203">IFERROR(IF($AS$11="Metro",INDEX($AJ$13:$AJ$814,SMALL(IF((County=$AK$13:$AK$814),MATCH(ROW($AK$13:$AK$814),ROW($AK$13:$AK$814)),""),ROWS($A$13:$A203))),INDEX($AM$13:$AM$48,SMALL(IF((County=$AN$13:$AN$48),MATCH(ROW($AN$13:$AN$48),ROW($AN$13:$AN$48)),""),ROWS($A$13:$A203)))),"")</f>
        <v/>
      </c>
      <c r="AU203" s="348" t="str">
        <f t="array" ref="AU203">IFERROR(IF($AU$11="Yes",INDEX($AP$13:$AP$2950,SMALL(IF((County=$AQ$13:$AQ$2950),MATCH(ROW($AQ$13:$AQ$2950),ROW($AQ$13:$AQ$2950)),""),ROWS($A$13:$A203))),""),"")</f>
        <v/>
      </c>
      <c r="AW203" s="346">
        <v>33483</v>
      </c>
      <c r="AX203" s="345" t="s">
        <v>361</v>
      </c>
      <c r="AZ203" s="345">
        <v>18</v>
      </c>
      <c r="BA203" s="345" t="s">
        <v>325</v>
      </c>
      <c r="BF203" s="347">
        <v>10.029999999999999</v>
      </c>
      <c r="BG203" s="347" t="s">
        <v>361</v>
      </c>
      <c r="BH203" s="1790"/>
      <c r="BI203" s="1791">
        <v>33158</v>
      </c>
      <c r="BJ203" s="345" t="s">
        <v>352</v>
      </c>
      <c r="BM203" s="1784"/>
      <c r="BN203" s="345">
        <v>652.36</v>
      </c>
      <c r="BO203" s="345" t="s">
        <v>309</v>
      </c>
      <c r="BQ203" s="237">
        <v>9602.01</v>
      </c>
      <c r="BR203" s="237" t="s">
        <v>375</v>
      </c>
      <c r="BT203" s="347">
        <v>204.15</v>
      </c>
      <c r="BU203" s="347" t="s">
        <v>310</v>
      </c>
      <c r="BW203" s="348" t="str">
        <f t="array" ref="BW203">IFERROR(IF($BW$11="Metro",INDEX($BN$13:$BN$4972,SMALL(IF((County=$BO$13:$BO$4972),MATCH(ROW($BO$13:$BO$4972),ROW($BO$13:$BO$4972)),""),ROWS($A$13:$A203))),INDEX($BQ$13:$BQ$212,SMALL(IF((County=$BR$13:$BR$212),MATCH(ROW($BR$13:$BR$212),ROW($BR$13:$BR$212)),""),ROWS($A$13:$A203)))),"")</f>
        <v/>
      </c>
      <c r="BY203" s="348" t="str">
        <f t="array" ref="BY203">IFERROR(IF($BY$11="Yes",INDEX($BT$13:$BT$2950,SMALL(IF((County=$BU$13:$BU$2950),MATCH(ROW($BU$13:$BU$2950),ROW($BU$13:$BU$2950)),""),ROWS($A$13:$A203))),""),"")</f>
        <v/>
      </c>
      <c r="CA203" s="1792">
        <v>33433</v>
      </c>
      <c r="CB203" s="345" t="s">
        <v>361</v>
      </c>
      <c r="CD203" s="237">
        <v>5.01</v>
      </c>
      <c r="CE203" s="237" t="s">
        <v>351</v>
      </c>
      <c r="CG203" s="237">
        <v>9801</v>
      </c>
      <c r="CH203" s="237" t="s">
        <v>354</v>
      </c>
      <c r="CJ203" s="347">
        <v>10.08</v>
      </c>
      <c r="CK203" s="347" t="s">
        <v>350</v>
      </c>
      <c r="CL203" s="1789"/>
      <c r="CM203" s="2299"/>
      <c r="CN203" s="345"/>
      <c r="CR203" s="345"/>
      <c r="CS203" s="345"/>
      <c r="CU203" s="345"/>
      <c r="CV203" s="345"/>
      <c r="CX203" s="347"/>
      <c r="CY203" s="347"/>
      <c r="DA203" s="348"/>
      <c r="DC203" s="348"/>
      <c r="DE203" s="1792"/>
      <c r="DF203" s="345"/>
      <c r="DH203" s="237"/>
      <c r="DI203" s="237"/>
      <c r="DK203" s="345"/>
      <c r="DL203" s="345"/>
      <c r="DN203" s="347"/>
      <c r="DO203" s="347"/>
      <c r="DP203" s="2505"/>
      <c r="DT203" s="663"/>
      <c r="DU203" s="663"/>
      <c r="DV203" s="663"/>
      <c r="DW203" s="663"/>
      <c r="DX203" s="663"/>
      <c r="DY203" s="663"/>
      <c r="DZ203" s="663"/>
      <c r="EA203" s="663"/>
      <c r="EB203" s="663"/>
      <c r="EC203" s="663"/>
      <c r="ED203" s="663"/>
    </row>
    <row r="204" spans="1:134">
      <c r="A204" s="346">
        <v>33196</v>
      </c>
      <c r="B204" s="345" t="s">
        <v>352</v>
      </c>
      <c r="E204" s="934"/>
      <c r="F204" s="345">
        <v>34</v>
      </c>
      <c r="G204" s="345" t="s">
        <v>337</v>
      </c>
      <c r="L204" s="347">
        <v>425</v>
      </c>
      <c r="M204" s="347" t="s">
        <v>310</v>
      </c>
      <c r="Q204" s="348" t="str">
        <f t="array" ref="Q204">IFERROR(IF($Q$11="Yes",INDEX($L$13:$L$2313,SMALL(IF((County=$M$13:$M$2313),MATCH(ROW($M$13:$M$2313),ROW($M$13:$M$2313)),""),ROWS($A$13:A204))),""),"")</f>
        <v/>
      </c>
      <c r="S204" s="346">
        <v>33556</v>
      </c>
      <c r="T204" s="345" t="s">
        <v>337</v>
      </c>
      <c r="V204" s="345">
        <v>20.03</v>
      </c>
      <c r="W204" s="345" t="s">
        <v>352</v>
      </c>
      <c r="AB204" s="347">
        <v>14.02</v>
      </c>
      <c r="AC204" s="347" t="s">
        <v>368</v>
      </c>
      <c r="AD204" s="1138"/>
      <c r="AE204" s="346">
        <v>32541</v>
      </c>
      <c r="AF204" s="345" t="s">
        <v>357</v>
      </c>
      <c r="AI204" s="934"/>
      <c r="AJ204" s="345">
        <v>10.01</v>
      </c>
      <c r="AK204" s="345" t="s">
        <v>337</v>
      </c>
      <c r="AP204" s="347">
        <v>307.02</v>
      </c>
      <c r="AQ204" s="347" t="s">
        <v>310</v>
      </c>
      <c r="AS204" s="348" t="str">
        <f t="array" ref="AS204">IFERROR(IF($AS$11="Metro",INDEX($AJ$13:$AJ$814,SMALL(IF((County=$AK$13:$AK$814),MATCH(ROW($AK$13:$AK$814),ROW($AK$13:$AK$814)),""),ROWS($A$13:$A204))),INDEX($AM$13:$AM$48,SMALL(IF((County=$AN$13:$AN$48),MATCH(ROW($AN$13:$AN$48),ROW($AN$13:$AN$48)),""),ROWS($A$13:$A204)))),"")</f>
        <v/>
      </c>
      <c r="AU204" s="348" t="str">
        <f t="array" ref="AU204">IFERROR(IF($AU$11="Yes",INDEX($AP$13:$AP$2950,SMALL(IF((County=$AQ$13:$AQ$2950),MATCH(ROW($AQ$13:$AQ$2950),ROW($AQ$13:$AQ$2950)),""),ROWS($A$13:$A204))),""),"")</f>
        <v/>
      </c>
      <c r="AW204" s="346">
        <v>33484</v>
      </c>
      <c r="AX204" s="345" t="s">
        <v>361</v>
      </c>
      <c r="AZ204" s="345">
        <v>18</v>
      </c>
      <c r="BA204" s="345" t="s">
        <v>337</v>
      </c>
      <c r="BF204" s="347">
        <v>10.050000000000001</v>
      </c>
      <c r="BG204" s="347" t="s">
        <v>350</v>
      </c>
      <c r="BH204" s="1790"/>
      <c r="BI204" s="1791">
        <v>33160</v>
      </c>
      <c r="BJ204" s="345" t="s">
        <v>352</v>
      </c>
      <c r="BM204" s="1784"/>
      <c r="BN204" s="345">
        <v>652.37</v>
      </c>
      <c r="BO204" s="345" t="s">
        <v>309</v>
      </c>
      <c r="BQ204" s="237">
        <v>9602.02</v>
      </c>
      <c r="BR204" s="237" t="s">
        <v>375</v>
      </c>
      <c r="BT204" s="347">
        <v>204.18</v>
      </c>
      <c r="BU204" s="347" t="s">
        <v>310</v>
      </c>
      <c r="BW204" s="348" t="str">
        <f t="array" ref="BW204">IFERROR(IF($BW$11="Metro",INDEX($BN$13:$BN$4972,SMALL(IF((County=$BO$13:$BO$4972),MATCH(ROW($BO$13:$BO$4972),ROW($BO$13:$BO$4972)),""),ROWS($A$13:$A204))),INDEX($BQ$13:$BQ$212,SMALL(IF((County=$BR$13:$BR$212),MATCH(ROW($BR$13:$BR$212),ROW($BR$13:$BR$212)),""),ROWS($A$13:$A204)))),"")</f>
        <v/>
      </c>
      <c r="BY204" s="348" t="str">
        <f t="array" ref="BY204">IFERROR(IF($BY$11="Yes",INDEX($BT$13:$BT$2950,SMALL(IF((County=$BU$13:$BU$2950),MATCH(ROW($BU$13:$BU$2950),ROW($BU$13:$BU$2950)),""),ROWS($A$13:$A204))),""),"")</f>
        <v/>
      </c>
      <c r="CA204" s="1792">
        <v>33435</v>
      </c>
      <c r="CB204" s="345" t="s">
        <v>361</v>
      </c>
      <c r="CD204" s="237">
        <v>5.01</v>
      </c>
      <c r="CE204" s="237" t="s">
        <v>368</v>
      </c>
      <c r="CG204" s="237">
        <v>9900</v>
      </c>
      <c r="CH204" s="237" t="s">
        <v>322</v>
      </c>
      <c r="CJ204" s="347">
        <v>10.09</v>
      </c>
      <c r="CK204" s="347" t="s">
        <v>350</v>
      </c>
      <c r="CL204" s="1789"/>
      <c r="CM204" s="2299"/>
      <c r="CN204" s="345"/>
      <c r="CR204" s="345"/>
      <c r="CS204" s="345"/>
      <c r="CU204" s="345"/>
      <c r="CV204" s="345"/>
      <c r="CX204" s="347"/>
      <c r="CY204" s="347"/>
      <c r="DA204" s="348"/>
      <c r="DC204" s="348"/>
      <c r="DE204" s="1792"/>
      <c r="DF204" s="345"/>
      <c r="DH204" s="237"/>
      <c r="DI204" s="237"/>
      <c r="DK204" s="345"/>
      <c r="DL204" s="345"/>
      <c r="DN204" s="347"/>
      <c r="DO204" s="347"/>
      <c r="DP204" s="2505"/>
      <c r="DT204" s="663"/>
      <c r="DU204" s="663"/>
      <c r="DV204" s="663"/>
      <c r="DW204" s="663"/>
      <c r="DX204" s="663"/>
      <c r="DY204" s="663"/>
      <c r="DZ204" s="663"/>
      <c r="EA204" s="663"/>
      <c r="EB204" s="663"/>
      <c r="EC204" s="663"/>
      <c r="ED204" s="663"/>
    </row>
    <row r="205" spans="1:134">
      <c r="A205" s="346">
        <v>32541</v>
      </c>
      <c r="B205" s="345" t="s">
        <v>357</v>
      </c>
      <c r="E205" s="934"/>
      <c r="F205" s="345">
        <v>35</v>
      </c>
      <c r="G205" s="345" t="s">
        <v>337</v>
      </c>
      <c r="L205" s="347">
        <v>426</v>
      </c>
      <c r="M205" s="347" t="s">
        <v>310</v>
      </c>
      <c r="Q205" s="348" t="str">
        <f t="array" ref="Q205">IFERROR(IF($Q$11="Yes",INDEX($L$13:$L$2313,SMALL(IF((County=$M$13:$M$2313),MATCH(ROW($M$13:$M$2313),ROW($M$13:$M$2313)),""),ROWS($A$13:A205))),""),"")</f>
        <v/>
      </c>
      <c r="S205" s="346">
        <v>33559</v>
      </c>
      <c r="T205" s="345" t="s">
        <v>337</v>
      </c>
      <c r="V205" s="345">
        <v>20.04</v>
      </c>
      <c r="W205" s="345" t="s">
        <v>345</v>
      </c>
      <c r="AB205" s="347">
        <v>14.03</v>
      </c>
      <c r="AC205" s="347" t="s">
        <v>368</v>
      </c>
      <c r="AD205" s="1138"/>
      <c r="AE205" s="346">
        <v>32542</v>
      </c>
      <c r="AF205" s="345" t="s">
        <v>357</v>
      </c>
      <c r="AI205" s="934"/>
      <c r="AJ205" s="345">
        <v>10.02</v>
      </c>
      <c r="AK205" s="345" t="s">
        <v>337</v>
      </c>
      <c r="AP205" s="347">
        <v>307.04000000000002</v>
      </c>
      <c r="AQ205" s="347" t="s">
        <v>310</v>
      </c>
      <c r="AS205" s="348" t="str">
        <f t="array" ref="AS205">IFERROR(IF($AS$11="Metro",INDEX($AJ$13:$AJ$814,SMALL(IF((County=$AK$13:$AK$814),MATCH(ROW($AK$13:$AK$814),ROW($AK$13:$AK$814)),""),ROWS($A$13:$A205))),INDEX($AM$13:$AM$48,SMALL(IF((County=$AN$13:$AN$48),MATCH(ROW($AN$13:$AN$48),ROW($AN$13:$AN$48)),""),ROWS($A$13:$A205)))),"")</f>
        <v/>
      </c>
      <c r="AU205" s="348" t="str">
        <f t="array" ref="AU205">IFERROR(IF($AU$11="Yes",INDEX($AP$13:$AP$2950,SMALL(IF((County=$AQ$13:$AQ$2950),MATCH(ROW($AQ$13:$AQ$2950),ROW($AQ$13:$AQ$2950)),""),ROWS($A$13:$A205))),""),"")</f>
        <v/>
      </c>
      <c r="AW205" s="346">
        <v>33486</v>
      </c>
      <c r="AX205" s="345" t="s">
        <v>361</v>
      </c>
      <c r="AZ205" s="345">
        <v>18</v>
      </c>
      <c r="BA205" s="345" t="s">
        <v>350</v>
      </c>
      <c r="BF205" s="347">
        <v>10.07</v>
      </c>
      <c r="BG205" s="347" t="s">
        <v>350</v>
      </c>
      <c r="BH205" s="1790"/>
      <c r="BI205" s="1791">
        <v>33165</v>
      </c>
      <c r="BJ205" s="345" t="s">
        <v>352</v>
      </c>
      <c r="BM205" s="1784"/>
      <c r="BN205" s="345">
        <v>652.38</v>
      </c>
      <c r="BO205" s="345" t="s">
        <v>309</v>
      </c>
      <c r="BQ205" s="237">
        <v>9603</v>
      </c>
      <c r="BR205" s="237" t="s">
        <v>375</v>
      </c>
      <c r="BT205" s="347">
        <v>204.19</v>
      </c>
      <c r="BU205" s="347" t="s">
        <v>310</v>
      </c>
      <c r="BW205" s="348" t="str">
        <f t="array" ref="BW205">IFERROR(IF($BW$11="Metro",INDEX($BN$13:$BN$4972,SMALL(IF((County=$BO$13:$BO$4972),MATCH(ROW($BO$13:$BO$4972),ROW($BO$13:$BO$4972)),""),ROWS($A$13:$A205))),INDEX($BQ$13:$BQ$212,SMALL(IF((County=$BR$13:$BR$212),MATCH(ROW($BR$13:$BR$212),ROW($BR$13:$BR$212)),""),ROWS($A$13:$A205)))),"")</f>
        <v/>
      </c>
      <c r="BY205" s="348" t="str">
        <f t="array" ref="BY205">IFERROR(IF($BY$11="Yes",INDEX($BT$13:$BT$2950,SMALL(IF((County=$BU$13:$BU$2950),MATCH(ROW($BU$13:$BU$2950),ROW($BU$13:$BU$2950)),""),ROWS($A$13:$A205))),""),"")</f>
        <v/>
      </c>
      <c r="CA205" s="1792">
        <v>33436</v>
      </c>
      <c r="CB205" s="345" t="s">
        <v>361</v>
      </c>
      <c r="CD205" s="237">
        <v>5.0199999999999996</v>
      </c>
      <c r="CE205" s="237" t="s">
        <v>344</v>
      </c>
      <c r="CG205" s="237">
        <v>9900</v>
      </c>
      <c r="CH205" s="237" t="s">
        <v>327</v>
      </c>
      <c r="CJ205" s="347">
        <v>10.11</v>
      </c>
      <c r="CK205" s="347" t="s">
        <v>350</v>
      </c>
      <c r="CL205" s="1789"/>
      <c r="CM205" s="2299"/>
      <c r="CN205" s="345"/>
      <c r="CR205" s="345"/>
      <c r="CS205" s="345"/>
      <c r="CU205" s="345"/>
      <c r="CV205" s="345"/>
      <c r="CX205" s="347"/>
      <c r="CY205" s="347"/>
      <c r="DA205" s="348"/>
      <c r="DC205" s="348"/>
      <c r="DE205" s="1792"/>
      <c r="DF205" s="345"/>
      <c r="DH205" s="237"/>
      <c r="DI205" s="237"/>
      <c r="DK205" s="345"/>
      <c r="DL205" s="345"/>
      <c r="DN205" s="347"/>
      <c r="DO205" s="347"/>
      <c r="DP205" s="2505"/>
      <c r="DT205" s="663"/>
      <c r="DU205" s="663"/>
      <c r="DV205" s="663"/>
      <c r="DW205" s="663"/>
      <c r="DX205" s="663"/>
      <c r="DY205" s="663"/>
      <c r="DZ205" s="663"/>
      <c r="EA205" s="663"/>
      <c r="EB205" s="663"/>
      <c r="EC205" s="663"/>
      <c r="ED205" s="663"/>
    </row>
    <row r="206" spans="1:134">
      <c r="A206" s="346">
        <v>32542</v>
      </c>
      <c r="B206" s="345" t="s">
        <v>357</v>
      </c>
      <c r="E206" s="934"/>
      <c r="F206" s="345">
        <v>36</v>
      </c>
      <c r="G206" s="345" t="s">
        <v>337</v>
      </c>
      <c r="L206" s="347">
        <v>430.01</v>
      </c>
      <c r="M206" s="347" t="s">
        <v>310</v>
      </c>
      <c r="Q206" s="348" t="str">
        <f t="array" ref="Q206">IFERROR(IF($Q$11="Yes",INDEX($L$13:$L$2313,SMALL(IF((County=$M$13:$M$2313),MATCH(ROW($M$13:$M$2313),ROW($M$13:$M$2313)),""),ROWS($A$13:A206))),""),"")</f>
        <v/>
      </c>
      <c r="S206" s="346">
        <v>33569</v>
      </c>
      <c r="T206" s="345" t="s">
        <v>337</v>
      </c>
      <c r="V206" s="345">
        <v>20.04</v>
      </c>
      <c r="W206" s="345" t="s">
        <v>352</v>
      </c>
      <c r="AB206" s="347">
        <v>14.04</v>
      </c>
      <c r="AC206" s="347" t="s">
        <v>306</v>
      </c>
      <c r="AD206" s="1138"/>
      <c r="AE206" s="346">
        <v>32544</v>
      </c>
      <c r="AF206" s="345" t="s">
        <v>357</v>
      </c>
      <c r="AI206" s="934"/>
      <c r="AJ206" s="345">
        <v>12</v>
      </c>
      <c r="AK206" s="345" t="s">
        <v>337</v>
      </c>
      <c r="AP206" s="347">
        <v>309.02</v>
      </c>
      <c r="AQ206" s="347" t="s">
        <v>310</v>
      </c>
      <c r="AS206" s="348" t="str">
        <f t="array" ref="AS206">IFERROR(IF($AS$11="Metro",INDEX($AJ$13:$AJ$814,SMALL(IF((County=$AK$13:$AK$814),MATCH(ROW($AK$13:$AK$814),ROW($AK$13:$AK$814)),""),ROWS($A$13:$A206))),INDEX($AM$13:$AM$48,SMALL(IF((County=$AN$13:$AN$48),MATCH(ROW($AN$13:$AN$48),ROW($AN$13:$AN$48)),""),ROWS($A$13:$A206)))),"")</f>
        <v/>
      </c>
      <c r="AU206" s="348" t="str">
        <f t="array" ref="AU206">IFERROR(IF($AU$11="Yes",INDEX($AP$13:$AP$2950,SMALL(IF((County=$AQ$13:$AQ$2950),MATCH(ROW($AQ$13:$AQ$2950),ROW($AQ$13:$AQ$2950)),""),ROWS($A$13:$A206))),""),"")</f>
        <v/>
      </c>
      <c r="AW206" s="346">
        <v>33487</v>
      </c>
      <c r="AX206" s="345" t="s">
        <v>361</v>
      </c>
      <c r="AZ206" s="345">
        <v>18.010000000000002</v>
      </c>
      <c r="BA206" s="345" t="s">
        <v>345</v>
      </c>
      <c r="BF206" s="347">
        <v>10.08</v>
      </c>
      <c r="BG206" s="347" t="s">
        <v>350</v>
      </c>
      <c r="BH206" s="1790"/>
      <c r="BI206" s="1791">
        <v>33166</v>
      </c>
      <c r="BJ206" s="345" t="s">
        <v>352</v>
      </c>
      <c r="BM206" s="1784"/>
      <c r="BN206" s="345">
        <v>652.39</v>
      </c>
      <c r="BO206" s="345" t="s">
        <v>309</v>
      </c>
      <c r="BQ206" s="237">
        <v>9701.02</v>
      </c>
      <c r="BR206" s="237" t="s">
        <v>379</v>
      </c>
      <c r="BT206" s="347">
        <v>204.2</v>
      </c>
      <c r="BU206" s="347" t="s">
        <v>310</v>
      </c>
      <c r="BW206" s="348" t="str">
        <f t="array" ref="BW206">IFERROR(IF($BW$11="Metro",INDEX($BN$13:$BN$4972,SMALL(IF((County=$BO$13:$BO$4972),MATCH(ROW($BO$13:$BO$4972),ROW($BO$13:$BO$4972)),""),ROWS($A$13:$A206))),INDEX($BQ$13:$BQ$212,SMALL(IF((County=$BR$13:$BR$212),MATCH(ROW($BR$13:$BR$212),ROW($BR$13:$BR$212)),""),ROWS($A$13:$A206)))),"")</f>
        <v/>
      </c>
      <c r="BY206" s="348" t="str">
        <f t="array" ref="BY206">IFERROR(IF($BY$11="Yes",INDEX($BT$13:$BT$2950,SMALL(IF((County=$BU$13:$BU$2950),MATCH(ROW($BU$13:$BU$2950),ROW($BU$13:$BU$2950)),""),ROWS($A$13:$A206))),""),"")</f>
        <v/>
      </c>
      <c r="CA206" s="1792">
        <v>33437</v>
      </c>
      <c r="CB206" s="345" t="s">
        <v>361</v>
      </c>
      <c r="CD206" s="237">
        <v>5.0199999999999996</v>
      </c>
      <c r="CE206" s="237" t="s">
        <v>345</v>
      </c>
      <c r="CG206" s="237">
        <v>9900</v>
      </c>
      <c r="CH206" s="237" t="s">
        <v>330</v>
      </c>
      <c r="CJ206" s="347">
        <v>10.119999999999999</v>
      </c>
      <c r="CK206" s="347" t="s">
        <v>350</v>
      </c>
      <c r="CL206" s="1789"/>
      <c r="CM206" s="2299"/>
      <c r="CN206" s="345"/>
      <c r="CR206" s="345"/>
      <c r="CS206" s="345"/>
      <c r="CU206" s="345"/>
      <c r="CV206" s="345"/>
      <c r="CX206" s="347"/>
      <c r="CY206" s="347"/>
      <c r="DA206" s="348"/>
      <c r="DC206" s="348"/>
      <c r="DE206" s="1792"/>
      <c r="DF206" s="345"/>
      <c r="DH206" s="237"/>
      <c r="DI206" s="237"/>
      <c r="DK206" s="345"/>
      <c r="DL206" s="345"/>
      <c r="DN206" s="347"/>
      <c r="DO206" s="347"/>
      <c r="DP206" s="2505"/>
      <c r="DT206" s="663"/>
      <c r="DU206" s="663"/>
      <c r="DV206" s="663"/>
      <c r="DW206" s="663"/>
      <c r="DX206" s="663"/>
      <c r="DY206" s="663"/>
      <c r="DZ206" s="663"/>
      <c r="EA206" s="663"/>
      <c r="EB206" s="663"/>
      <c r="EC206" s="663"/>
      <c r="ED206" s="663"/>
    </row>
    <row r="207" spans="1:134">
      <c r="A207" s="346">
        <v>32544</v>
      </c>
      <c r="B207" s="345" t="s">
        <v>357</v>
      </c>
      <c r="E207" s="934"/>
      <c r="F207" s="345">
        <v>37</v>
      </c>
      <c r="G207" s="345" t="s">
        <v>337</v>
      </c>
      <c r="L207" s="347">
        <v>431</v>
      </c>
      <c r="M207" s="347" t="s">
        <v>310</v>
      </c>
      <c r="Q207" s="348" t="str">
        <f t="array" ref="Q207">IFERROR(IF($Q$11="Yes",INDEX($L$13:$L$2313,SMALL(IF((County=$M$13:$M$2313),MATCH(ROW($M$13:$M$2313),ROW($M$13:$M$2313)),""),ROWS($A$13:A207))),""),"")</f>
        <v/>
      </c>
      <c r="S207" s="346">
        <v>33572</v>
      </c>
      <c r="T207" s="345" t="s">
        <v>337</v>
      </c>
      <c r="V207" s="345">
        <v>20.05</v>
      </c>
      <c r="W207" s="345" t="s">
        <v>345</v>
      </c>
      <c r="AB207" s="347">
        <v>14.04</v>
      </c>
      <c r="AC207" s="347" t="s">
        <v>351</v>
      </c>
      <c r="AD207" s="1138"/>
      <c r="AE207" s="346">
        <v>32712</v>
      </c>
      <c r="AF207" s="345" t="s">
        <v>359</v>
      </c>
      <c r="AI207" s="934"/>
      <c r="AJ207" s="345">
        <v>14</v>
      </c>
      <c r="AK207" s="345" t="s">
        <v>337</v>
      </c>
      <c r="AP207" s="347">
        <v>309.04000000000002</v>
      </c>
      <c r="AQ207" s="347" t="s">
        <v>310</v>
      </c>
      <c r="AS207" s="348" t="str">
        <f t="array" ref="AS207">IFERROR(IF($AS$11="Metro",INDEX($AJ$13:$AJ$814,SMALL(IF((County=$AK$13:$AK$814),MATCH(ROW($AK$13:$AK$814),ROW($AK$13:$AK$814)),""),ROWS($A$13:$A207))),INDEX($AM$13:$AM$48,SMALL(IF((County=$AN$13:$AN$48),MATCH(ROW($AN$13:$AN$48),ROW($AN$13:$AN$48)),""),ROWS($A$13:$A207)))),"")</f>
        <v/>
      </c>
      <c r="AU207" s="348" t="str">
        <f t="array" ref="AU207">IFERROR(IF($AU$11="Yes",INDEX($AP$13:$AP$2950,SMALL(IF((County=$AQ$13:$AQ$2950),MATCH(ROW($AQ$13:$AQ$2950),ROW($AQ$13:$AQ$2950)),""),ROWS($A$13:$A207))),""),"")</f>
        <v/>
      </c>
      <c r="AW207" s="346">
        <v>33496</v>
      </c>
      <c r="AX207" s="345" t="s">
        <v>361</v>
      </c>
      <c r="AZ207" s="345">
        <v>18.010000000000002</v>
      </c>
      <c r="BA207" s="345" t="s">
        <v>352</v>
      </c>
      <c r="BF207" s="347">
        <v>10.09</v>
      </c>
      <c r="BG207" s="347" t="s">
        <v>350</v>
      </c>
      <c r="BH207" s="1790"/>
      <c r="BI207" s="1791">
        <v>33172</v>
      </c>
      <c r="BJ207" s="345" t="s">
        <v>352</v>
      </c>
      <c r="BM207" s="1784"/>
      <c r="BN207" s="345">
        <v>652.4</v>
      </c>
      <c r="BO207" s="345" t="s">
        <v>309</v>
      </c>
      <c r="BQ207" s="237">
        <v>9701.0300000000007</v>
      </c>
      <c r="BR207" s="237" t="s">
        <v>379</v>
      </c>
      <c r="BT207" s="347">
        <v>204.21</v>
      </c>
      <c r="BU207" s="347" t="s">
        <v>310</v>
      </c>
      <c r="BW207" s="348" t="str">
        <f t="array" ref="BW207">IFERROR(IF($BW$11="Metro",INDEX($BN$13:$BN$4972,SMALL(IF((County=$BO$13:$BO$4972),MATCH(ROW($BO$13:$BO$4972),ROW($BO$13:$BO$4972)),""),ROWS($A$13:$A207))),INDEX($BQ$13:$BQ$212,SMALL(IF((County=$BR$13:$BR$212),MATCH(ROW($BR$13:$BR$212),ROW($BR$13:$BR$212)),""),ROWS($A$13:$A207)))),"")</f>
        <v/>
      </c>
      <c r="BY207" s="348" t="str">
        <f t="array" ref="BY207">IFERROR(IF($BY$11="Yes",INDEX($BT$13:$BT$2950,SMALL(IF((County=$BU$13:$BU$2950),MATCH(ROW($BU$13:$BU$2950),ROW($BU$13:$BU$2950)),""),ROWS($A$13:$A207))),""),"")</f>
        <v/>
      </c>
      <c r="CA207" s="1792">
        <v>33441</v>
      </c>
      <c r="CB207" s="345" t="s">
        <v>310</v>
      </c>
      <c r="CD207" s="237">
        <v>5.0199999999999996</v>
      </c>
      <c r="CE207" s="237" t="s">
        <v>350</v>
      </c>
      <c r="CG207" s="237">
        <v>9900</v>
      </c>
      <c r="CH207" s="237" t="s">
        <v>331</v>
      </c>
      <c r="CJ207" s="347">
        <v>11</v>
      </c>
      <c r="CK207" s="347" t="s">
        <v>297</v>
      </c>
      <c r="CL207" s="1789"/>
      <c r="CM207" s="2299"/>
      <c r="CN207" s="345"/>
      <c r="CR207" s="345"/>
      <c r="CS207" s="345"/>
      <c r="CU207" s="345"/>
      <c r="CV207" s="345"/>
      <c r="CX207" s="347"/>
      <c r="CY207" s="347"/>
      <c r="DA207" s="348"/>
      <c r="DC207" s="348"/>
      <c r="DE207" s="1792"/>
      <c r="DF207" s="345"/>
      <c r="DH207" s="237"/>
      <c r="DI207" s="237"/>
      <c r="DK207" s="345"/>
      <c r="DL207" s="345"/>
      <c r="DN207" s="347"/>
      <c r="DO207" s="347"/>
      <c r="DP207" s="2505"/>
      <c r="DT207" s="663"/>
      <c r="DU207" s="663"/>
      <c r="DV207" s="663"/>
      <c r="DW207" s="663"/>
      <c r="DX207" s="663"/>
      <c r="DY207" s="663"/>
      <c r="DZ207" s="663"/>
      <c r="EA207" s="663"/>
      <c r="EB207" s="663"/>
      <c r="EC207" s="663"/>
      <c r="ED207" s="663"/>
    </row>
    <row r="208" spans="1:134">
      <c r="A208" s="346">
        <v>32712</v>
      </c>
      <c r="B208" s="345" t="s">
        <v>359</v>
      </c>
      <c r="E208" s="934"/>
      <c r="F208" s="345">
        <v>38</v>
      </c>
      <c r="G208" s="345" t="s">
        <v>337</v>
      </c>
      <c r="L208" s="347">
        <v>433.01</v>
      </c>
      <c r="M208" s="347" t="s">
        <v>310</v>
      </c>
      <c r="Q208" s="348" t="str">
        <f t="array" ref="Q208">IFERROR(IF($Q$11="Yes",INDEX($L$13:$L$2313,SMALL(IF((County=$M$13:$M$2313),MATCH(ROW($M$13:$M$2313),ROW($M$13:$M$2313)),""),ROWS($A$13:A208))),""),"")</f>
        <v/>
      </c>
      <c r="S208" s="346">
        <v>33573</v>
      </c>
      <c r="T208" s="345" t="s">
        <v>337</v>
      </c>
      <c r="V208" s="345">
        <v>20.059999999999999</v>
      </c>
      <c r="W208" s="345" t="s">
        <v>345</v>
      </c>
      <c r="AB208" s="347">
        <v>14.06</v>
      </c>
      <c r="AC208" s="347" t="s">
        <v>351</v>
      </c>
      <c r="AD208" s="1138"/>
      <c r="AE208" s="346">
        <v>32751</v>
      </c>
      <c r="AF208" s="345" t="s">
        <v>359</v>
      </c>
      <c r="AI208" s="934"/>
      <c r="AJ208" s="345">
        <v>18</v>
      </c>
      <c r="AK208" s="345" t="s">
        <v>337</v>
      </c>
      <c r="AP208" s="347">
        <v>311.01</v>
      </c>
      <c r="AQ208" s="347" t="s">
        <v>310</v>
      </c>
      <c r="AS208" s="348" t="str">
        <f t="array" ref="AS208">IFERROR(IF($AS$11="Metro",INDEX($AJ$13:$AJ$814,SMALL(IF((County=$AK$13:$AK$814),MATCH(ROW($AK$13:$AK$814),ROW($AK$13:$AK$814)),""),ROWS($A$13:$A208))),INDEX($AM$13:$AM$48,SMALL(IF((County=$AN$13:$AN$48),MATCH(ROW($AN$13:$AN$48),ROW($AN$13:$AN$48)),""),ROWS($A$13:$A208)))),"")</f>
        <v/>
      </c>
      <c r="AU208" s="348" t="str">
        <f t="array" ref="AU208">IFERROR(IF($AU$11="Yes",INDEX($AP$13:$AP$2950,SMALL(IF((County=$AQ$13:$AQ$2950),MATCH(ROW($AQ$13:$AQ$2950),ROW($AQ$13:$AQ$2950)),""),ROWS($A$13:$A208))),""),"")</f>
        <v/>
      </c>
      <c r="AW208" s="346">
        <v>33498</v>
      </c>
      <c r="AX208" s="345" t="s">
        <v>361</v>
      </c>
      <c r="AZ208" s="345">
        <v>18.02</v>
      </c>
      <c r="BA208" s="345" t="s">
        <v>297</v>
      </c>
      <c r="BF208" s="347">
        <v>10.11</v>
      </c>
      <c r="BG208" s="347" t="s">
        <v>350</v>
      </c>
      <c r="BH208" s="1790"/>
      <c r="BI208" s="1791">
        <v>33173</v>
      </c>
      <c r="BJ208" s="345" t="s">
        <v>352</v>
      </c>
      <c r="BM208" s="1784"/>
      <c r="BN208" s="345">
        <v>661.01</v>
      </c>
      <c r="BO208" s="345" t="s">
        <v>309</v>
      </c>
      <c r="BQ208" s="237">
        <v>9701.0400000000009</v>
      </c>
      <c r="BR208" s="237" t="s">
        <v>379</v>
      </c>
      <c r="BT208" s="347">
        <v>301</v>
      </c>
      <c r="BU208" s="347" t="s">
        <v>310</v>
      </c>
      <c r="BW208" s="348" t="str">
        <f t="array" ref="BW208">IFERROR(IF($BW$11="Metro",INDEX($BN$13:$BN$4972,SMALL(IF((County=$BO$13:$BO$4972),MATCH(ROW($BO$13:$BO$4972),ROW($BO$13:$BO$4972)),""),ROWS($A$13:$A208))),INDEX($BQ$13:$BQ$212,SMALL(IF((County=$BR$13:$BR$212),MATCH(ROW($BR$13:$BR$212),ROW($BR$13:$BR$212)),""),ROWS($A$13:$A208)))),"")</f>
        <v/>
      </c>
      <c r="BY208" s="348" t="str">
        <f t="array" ref="BY208">IFERROR(IF($BY$11="Yes",INDEX($BT$13:$BT$2950,SMALL(IF((County=$BU$13:$BU$2950),MATCH(ROW($BU$13:$BU$2950),ROW($BU$13:$BU$2950)),""),ROWS($A$13:$A208))),""),"")</f>
        <v/>
      </c>
      <c r="CA208" s="1792">
        <v>33442</v>
      </c>
      <c r="CB208" s="345" t="s">
        <v>310</v>
      </c>
      <c r="CD208" s="237">
        <v>5.0199999999999996</v>
      </c>
      <c r="CE208" s="237" t="s">
        <v>351</v>
      </c>
      <c r="CG208" s="237">
        <v>9900</v>
      </c>
      <c r="CH208" s="237" t="s">
        <v>334</v>
      </c>
      <c r="CJ208" s="347">
        <v>11</v>
      </c>
      <c r="CK208" s="347" t="s">
        <v>323</v>
      </c>
      <c r="CL208" s="1789"/>
      <c r="CM208" s="2299"/>
      <c r="CN208" s="345"/>
      <c r="CR208" s="345"/>
      <c r="CS208" s="345"/>
      <c r="CU208" s="345"/>
      <c r="CV208" s="345"/>
      <c r="CX208" s="347"/>
      <c r="CY208" s="347"/>
      <c r="DA208" s="348"/>
      <c r="DC208" s="348"/>
      <c r="DE208" s="1792"/>
      <c r="DF208" s="345"/>
      <c r="DH208" s="237"/>
      <c r="DI208" s="237"/>
      <c r="DK208" s="345"/>
      <c r="DL208" s="345"/>
      <c r="DN208" s="347"/>
      <c r="DO208" s="347"/>
      <c r="DP208" s="2505"/>
      <c r="DT208" s="663"/>
      <c r="DU208" s="663"/>
      <c r="DV208" s="663"/>
      <c r="DW208" s="663"/>
      <c r="DX208" s="663"/>
      <c r="DY208" s="663"/>
      <c r="DZ208" s="663"/>
      <c r="EA208" s="663"/>
      <c r="EB208" s="663"/>
      <c r="EC208" s="663"/>
      <c r="ED208" s="663"/>
    </row>
    <row r="209" spans="1:134">
      <c r="A209" s="346">
        <v>32751</v>
      </c>
      <c r="B209" s="345" t="s">
        <v>359</v>
      </c>
      <c r="E209" s="934"/>
      <c r="F209" s="345">
        <v>39</v>
      </c>
      <c r="G209" s="345" t="s">
        <v>337</v>
      </c>
      <c r="L209" s="347">
        <v>502.04</v>
      </c>
      <c r="M209" s="347" t="s">
        <v>310</v>
      </c>
      <c r="Q209" s="348" t="str">
        <f t="array" ref="Q209">IFERROR(IF($Q$11="Yes",INDEX($L$13:$L$2313,SMALL(IF((County=$M$13:$M$2313),MATCH(ROW($M$13:$M$2313),ROW($M$13:$M$2313)),""),ROWS($A$13:A209))),""),"")</f>
        <v/>
      </c>
      <c r="S209" s="346">
        <v>33578</v>
      </c>
      <c r="T209" s="345" t="s">
        <v>337</v>
      </c>
      <c r="V209" s="345">
        <v>21</v>
      </c>
      <c r="W209" s="345" t="s">
        <v>325</v>
      </c>
      <c r="AB209" s="347">
        <v>14.09</v>
      </c>
      <c r="AC209" s="347" t="s">
        <v>351</v>
      </c>
      <c r="AD209" s="1138"/>
      <c r="AE209" s="346">
        <v>32789</v>
      </c>
      <c r="AF209" s="345" t="s">
        <v>359</v>
      </c>
      <c r="AI209" s="934"/>
      <c r="AJ209" s="345">
        <v>19</v>
      </c>
      <c r="AK209" s="345" t="s">
        <v>337</v>
      </c>
      <c r="AP209" s="347">
        <v>311.02</v>
      </c>
      <c r="AQ209" s="347" t="s">
        <v>310</v>
      </c>
      <c r="AS209" s="348" t="str">
        <f t="array" ref="AS209">IFERROR(IF($AS$11="Metro",INDEX($AJ$13:$AJ$814,SMALL(IF((County=$AK$13:$AK$814),MATCH(ROW($AK$13:$AK$814),ROW($AK$13:$AK$814)),""),ROWS($A$13:$A209))),INDEX($AM$13:$AM$48,SMALL(IF((County=$AN$13:$AN$48),MATCH(ROW($AN$13:$AN$48),ROW($AN$13:$AN$48)),""),ROWS($A$13:$A209)))),"")</f>
        <v/>
      </c>
      <c r="AU209" s="348" t="str">
        <f t="array" ref="AU209">IFERROR(IF($AU$11="Yes",INDEX($AP$13:$AP$2950,SMALL(IF((County=$AQ$13:$AQ$2950),MATCH(ROW($AQ$13:$AQ$2950),ROW($AQ$13:$AQ$2950)),""),ROWS($A$13:$A209))),""),"")</f>
        <v/>
      </c>
      <c r="AW209" s="346">
        <v>33503</v>
      </c>
      <c r="AX209" s="345" t="s">
        <v>337</v>
      </c>
      <c r="AZ209" s="345">
        <v>18.02</v>
      </c>
      <c r="BA209" s="345" t="s">
        <v>352</v>
      </c>
      <c r="BF209" s="347">
        <v>10.119999999999999</v>
      </c>
      <c r="BG209" s="347" t="s">
        <v>350</v>
      </c>
      <c r="BH209" s="1790"/>
      <c r="BI209" s="1791">
        <v>33174</v>
      </c>
      <c r="BJ209" s="345" t="s">
        <v>352</v>
      </c>
      <c r="BM209" s="1784"/>
      <c r="BN209" s="345">
        <v>661.03</v>
      </c>
      <c r="BO209" s="345" t="s">
        <v>309</v>
      </c>
      <c r="BQ209" s="237">
        <v>9702</v>
      </c>
      <c r="BR209" s="237" t="s">
        <v>379</v>
      </c>
      <c r="BT209" s="347">
        <v>307.02</v>
      </c>
      <c r="BU209" s="347" t="s">
        <v>310</v>
      </c>
      <c r="BW209" s="348" t="str">
        <f t="array" ref="BW209">IFERROR(IF($BW$11="Metro",INDEX($BN$13:$BN$4972,SMALL(IF((County=$BO$13:$BO$4972),MATCH(ROW($BO$13:$BO$4972),ROW($BO$13:$BO$4972)),""),ROWS($A$13:$A209))),INDEX($BQ$13:$BQ$212,SMALL(IF((County=$BR$13:$BR$212),MATCH(ROW($BR$13:$BR$212),ROW($BR$13:$BR$212)),""),ROWS($A$13:$A209)))),"")</f>
        <v/>
      </c>
      <c r="BY209" s="348" t="str">
        <f t="array" ref="BY209">IFERROR(IF($BY$11="Yes",INDEX($BT$13:$BT$2950,SMALL(IF((County=$BU$13:$BU$2950),MATCH(ROW($BU$13:$BU$2950),ROW($BU$13:$BU$2950)),""),ROWS($A$13:$A209))),""),"")</f>
        <v/>
      </c>
      <c r="CA209" s="1792">
        <v>33444</v>
      </c>
      <c r="CB209" s="345" t="s">
        <v>361</v>
      </c>
      <c r="CD209" s="237">
        <v>5.0199999999999996</v>
      </c>
      <c r="CE209" s="237" t="s">
        <v>368</v>
      </c>
      <c r="CG209" s="237">
        <v>9900</v>
      </c>
      <c r="CH209" s="237" t="s">
        <v>354</v>
      </c>
      <c r="CJ209" s="347">
        <v>11</v>
      </c>
      <c r="CK209" s="347" t="s">
        <v>337</v>
      </c>
      <c r="CL209" s="1789"/>
      <c r="CM209" s="2299"/>
      <c r="CN209" s="345"/>
      <c r="CR209" s="345"/>
      <c r="CS209" s="345"/>
      <c r="CU209" s="345"/>
      <c r="CV209" s="345"/>
      <c r="CX209" s="347"/>
      <c r="CY209" s="347"/>
      <c r="DA209" s="348"/>
      <c r="DC209" s="348"/>
      <c r="DE209" s="1792"/>
      <c r="DF209" s="345"/>
      <c r="DH209" s="237"/>
      <c r="DI209" s="237"/>
      <c r="DK209" s="345"/>
      <c r="DL209" s="345"/>
      <c r="DN209" s="347"/>
      <c r="DO209" s="347"/>
      <c r="DP209" s="2505"/>
      <c r="DT209" s="663"/>
      <c r="DU209" s="663"/>
      <c r="DV209" s="663"/>
      <c r="DW209" s="663"/>
      <c r="DX209" s="663"/>
      <c r="DY209" s="663"/>
      <c r="DZ209" s="663"/>
      <c r="EA209" s="663"/>
      <c r="EB209" s="663"/>
      <c r="EC209" s="663"/>
      <c r="ED209" s="663"/>
    </row>
    <row r="210" spans="1:134">
      <c r="A210" s="346">
        <v>32789</v>
      </c>
      <c r="B210" s="345" t="s">
        <v>359</v>
      </c>
      <c r="E210" s="934"/>
      <c r="F210" s="345">
        <v>40</v>
      </c>
      <c r="G210" s="345" t="s">
        <v>337</v>
      </c>
      <c r="L210" s="347">
        <v>502.05</v>
      </c>
      <c r="M210" s="347" t="s">
        <v>310</v>
      </c>
      <c r="Q210" s="348" t="str">
        <f t="array" ref="Q210">IFERROR(IF($Q$11="Yes",INDEX($L$13:$L$2313,SMALL(IF((County=$M$13:$M$2313),MATCH(ROW($M$13:$M$2313),ROW($M$13:$M$2313)),""),ROWS($A$13:A210))),""),"")</f>
        <v/>
      </c>
      <c r="S210" s="346">
        <v>33579</v>
      </c>
      <c r="T210" s="345" t="s">
        <v>337</v>
      </c>
      <c r="V210" s="345">
        <v>21</v>
      </c>
      <c r="W210" s="345" t="s">
        <v>361</v>
      </c>
      <c r="AB210" s="347">
        <v>15</v>
      </c>
      <c r="AC210" s="347" t="s">
        <v>337</v>
      </c>
      <c r="AD210" s="1138"/>
      <c r="AE210" s="346">
        <v>32792</v>
      </c>
      <c r="AF210" s="345" t="s">
        <v>359</v>
      </c>
      <c r="AI210" s="934"/>
      <c r="AJ210" s="345">
        <v>20</v>
      </c>
      <c r="AK210" s="345" t="s">
        <v>337</v>
      </c>
      <c r="AP210" s="347">
        <v>312.02999999999997</v>
      </c>
      <c r="AQ210" s="347" t="s">
        <v>310</v>
      </c>
      <c r="AS210" s="348" t="str">
        <f t="array" ref="AS210">IFERROR(IF($AS$11="Metro",INDEX($AJ$13:$AJ$814,SMALL(IF((County=$AK$13:$AK$814),MATCH(ROW($AK$13:$AK$814),ROW($AK$13:$AK$814)),""),ROWS($A$13:$A210))),INDEX($AM$13:$AM$48,SMALL(IF((County=$AN$13:$AN$48),MATCH(ROW($AN$13:$AN$48),ROW($AN$13:$AN$48)),""),ROWS($A$13:$A210)))),"")</f>
        <v/>
      </c>
      <c r="AU210" s="348" t="str">
        <f t="array" ref="AU210">IFERROR(IF($AU$11="Yes",INDEX($AP$13:$AP$2950,SMALL(IF((County=$AQ$13:$AQ$2950),MATCH(ROW($AQ$13:$AQ$2950),ROW($AQ$13:$AQ$2950)),""),ROWS($A$13:$A210))),""),"")</f>
        <v/>
      </c>
      <c r="AW210" s="346">
        <v>33511</v>
      </c>
      <c r="AX210" s="345" t="s">
        <v>337</v>
      </c>
      <c r="AZ210" s="345">
        <v>18.03</v>
      </c>
      <c r="BA210" s="345" t="s">
        <v>351</v>
      </c>
      <c r="BF210" s="347">
        <v>11</v>
      </c>
      <c r="BG210" s="347" t="s">
        <v>297</v>
      </c>
      <c r="BH210" s="1790"/>
      <c r="BI210" s="1791">
        <v>33175</v>
      </c>
      <c r="BJ210" s="345" t="s">
        <v>352</v>
      </c>
      <c r="BM210" s="1784"/>
      <c r="BN210" s="345">
        <v>661.04</v>
      </c>
      <c r="BO210" s="345" t="s">
        <v>309</v>
      </c>
      <c r="BQ210" s="237">
        <v>9703.01</v>
      </c>
      <c r="BR210" s="237" t="s">
        <v>379</v>
      </c>
      <c r="BT210" s="347">
        <v>309.02</v>
      </c>
      <c r="BU210" s="347" t="s">
        <v>310</v>
      </c>
      <c r="BW210" s="348" t="str">
        <f t="array" ref="BW210">IFERROR(IF($BW$11="Metro",INDEX($BN$13:$BN$4972,SMALL(IF((County=$BO$13:$BO$4972),MATCH(ROW($BO$13:$BO$4972),ROW($BO$13:$BO$4972)),""),ROWS($A$13:$A210))),INDEX($BQ$13:$BQ$212,SMALL(IF((County=$BR$13:$BR$212),MATCH(ROW($BR$13:$BR$212),ROW($BR$13:$BR$212)),""),ROWS($A$13:$A210)))),"")</f>
        <v/>
      </c>
      <c r="BY210" s="348" t="str">
        <f t="array" ref="BY210">IFERROR(IF($BY$11="Yes",INDEX($BT$13:$BT$2950,SMALL(IF((County=$BU$13:$BU$2950),MATCH(ROW($BU$13:$BU$2950),ROW($BU$13:$BU$2950)),""),ROWS($A$13:$A210))),""),"")</f>
        <v/>
      </c>
      <c r="CA210" s="1792">
        <v>33445</v>
      </c>
      <c r="CB210" s="345" t="s">
        <v>361</v>
      </c>
      <c r="CD210" s="237">
        <v>5.03</v>
      </c>
      <c r="CE210" s="237" t="s">
        <v>344</v>
      </c>
      <c r="CG210" s="237">
        <v>9900</v>
      </c>
      <c r="CH210" s="237" t="s">
        <v>358</v>
      </c>
      <c r="CJ210" s="347">
        <v>11.01</v>
      </c>
      <c r="CK210" s="347" t="s">
        <v>325</v>
      </c>
      <c r="CL210" s="1789"/>
      <c r="CM210" s="2299"/>
      <c r="CN210" s="345"/>
      <c r="CR210" s="345"/>
      <c r="CS210" s="345"/>
      <c r="CU210" s="345"/>
      <c r="CV210" s="345"/>
      <c r="CX210" s="347"/>
      <c r="CY210" s="347"/>
      <c r="DA210" s="348"/>
      <c r="DC210" s="348"/>
      <c r="DE210" s="1792"/>
      <c r="DF210" s="345"/>
      <c r="DH210" s="237"/>
      <c r="DI210" s="237"/>
      <c r="DK210" s="345"/>
      <c r="DL210" s="345"/>
      <c r="DN210" s="347"/>
      <c r="DO210" s="347"/>
      <c r="DP210" s="2505"/>
      <c r="DT210" s="663"/>
      <c r="DU210" s="663"/>
      <c r="DV210" s="663"/>
      <c r="DW210" s="663"/>
      <c r="DX210" s="663"/>
      <c r="DY210" s="663"/>
      <c r="DZ210" s="663"/>
      <c r="EA210" s="663"/>
      <c r="EB210" s="663"/>
      <c r="EC210" s="663"/>
      <c r="ED210" s="663"/>
    </row>
    <row r="211" spans="1:134">
      <c r="A211" s="346">
        <v>32792</v>
      </c>
      <c r="B211" s="345" t="s">
        <v>359</v>
      </c>
      <c r="E211" s="934"/>
      <c r="F211" s="345">
        <v>41</v>
      </c>
      <c r="G211" s="345" t="s">
        <v>337</v>
      </c>
      <c r="L211" s="347">
        <v>502.06</v>
      </c>
      <c r="M211" s="347" t="s">
        <v>310</v>
      </c>
      <c r="Q211" s="348" t="str">
        <f t="array" ref="Q211">IFERROR(IF($Q$11="Yes",INDEX($L$13:$L$2313,SMALL(IF((County=$M$13:$M$2313),MATCH(ROW($M$13:$M$2313),ROW($M$13:$M$2313)),""),ROWS($A$13:A211))),""),"")</f>
        <v/>
      </c>
      <c r="S211" s="346">
        <v>33584</v>
      </c>
      <c r="T211" s="345" t="s">
        <v>337</v>
      </c>
      <c r="V211" s="345">
        <v>21.03</v>
      </c>
      <c r="W211" s="345" t="s">
        <v>345</v>
      </c>
      <c r="AB211" s="347">
        <v>15</v>
      </c>
      <c r="AC211" s="347" t="s">
        <v>345</v>
      </c>
      <c r="AD211" s="1138"/>
      <c r="AE211" s="346">
        <v>32801</v>
      </c>
      <c r="AF211" s="345" t="s">
        <v>359</v>
      </c>
      <c r="AI211" s="934"/>
      <c r="AJ211" s="345">
        <v>25</v>
      </c>
      <c r="AK211" s="345" t="s">
        <v>337</v>
      </c>
      <c r="AP211" s="347">
        <v>312.04000000000002</v>
      </c>
      <c r="AQ211" s="347" t="s">
        <v>310</v>
      </c>
      <c r="AS211" s="348" t="str">
        <f t="array" ref="AS211">IFERROR(IF($AS$11="Metro",INDEX($AJ$13:$AJ$814,SMALL(IF((County=$AK$13:$AK$814),MATCH(ROW($AK$13:$AK$814),ROW($AK$13:$AK$814)),""),ROWS($A$13:$A211))),INDEX($AM$13:$AM$48,SMALL(IF((County=$AN$13:$AN$48),MATCH(ROW($AN$13:$AN$48),ROW($AN$13:$AN$48)),""),ROWS($A$13:$A211)))),"")</f>
        <v/>
      </c>
      <c r="AU211" s="348" t="str">
        <f t="array" ref="AU211">IFERROR(IF($AU$11="Yes",INDEX($AP$13:$AP$2950,SMALL(IF((County=$AQ$13:$AQ$2950),MATCH(ROW($AQ$13:$AQ$2950),ROW($AQ$13:$AQ$2950)),""),ROWS($A$13:$A211))),""),"")</f>
        <v/>
      </c>
      <c r="AW211" s="346">
        <v>33543</v>
      </c>
      <c r="AX211" s="345" t="s">
        <v>362</v>
      </c>
      <c r="AZ211" s="345">
        <v>18.03</v>
      </c>
      <c r="BA211" s="345" t="s">
        <v>352</v>
      </c>
      <c r="BF211" s="347">
        <v>11</v>
      </c>
      <c r="BG211" s="347" t="s">
        <v>323</v>
      </c>
      <c r="BH211" s="1790"/>
      <c r="BI211" s="1791">
        <v>33176</v>
      </c>
      <c r="BJ211" s="345" t="s">
        <v>352</v>
      </c>
      <c r="BM211" s="1784"/>
      <c r="BN211" s="345">
        <v>662</v>
      </c>
      <c r="BO211" s="345" t="s">
        <v>309</v>
      </c>
      <c r="BQ211" s="237">
        <v>9703.02</v>
      </c>
      <c r="BR211" s="237" t="s">
        <v>379</v>
      </c>
      <c r="BT211" s="347">
        <v>309.02999999999997</v>
      </c>
      <c r="BU211" s="347" t="s">
        <v>310</v>
      </c>
      <c r="BW211" s="348" t="str">
        <f t="array" ref="BW211">IFERROR(IF($BW$11="Metro",INDEX($BN$13:$BN$4972,SMALL(IF((County=$BO$13:$BO$4972),MATCH(ROW($BO$13:$BO$4972),ROW($BO$13:$BO$4972)),""),ROWS($A$13:$A211))),INDEX($BQ$13:$BQ$212,SMALL(IF((County=$BR$13:$BR$212),MATCH(ROW($BR$13:$BR$212),ROW($BR$13:$BR$212)),""),ROWS($A$13:$A211)))),"")</f>
        <v/>
      </c>
      <c r="BY211" s="348" t="str">
        <f t="array" ref="BY211">IFERROR(IF($BY$11="Yes",INDEX($BT$13:$BT$2950,SMALL(IF((County=$BU$13:$BU$2950),MATCH(ROW($BU$13:$BU$2950),ROW($BU$13:$BU$2950)),""),ROWS($A$13:$A211))),""),"")</f>
        <v/>
      </c>
      <c r="CA211" s="1792">
        <v>33449</v>
      </c>
      <c r="CB211" s="345" t="s">
        <v>361</v>
      </c>
      <c r="CD211" s="237">
        <v>5.03</v>
      </c>
      <c r="CE211" s="237" t="s">
        <v>349</v>
      </c>
      <c r="CG211" s="237">
        <v>9900</v>
      </c>
      <c r="CH211" s="237" t="s">
        <v>374</v>
      </c>
      <c r="CJ211" s="347">
        <v>11.02</v>
      </c>
      <c r="CK211" s="347" t="s">
        <v>361</v>
      </c>
      <c r="CL211" s="1789"/>
      <c r="CM211" s="2299"/>
      <c r="CN211" s="345"/>
      <c r="CR211" s="345"/>
      <c r="CS211" s="345"/>
      <c r="CU211" s="345"/>
      <c r="CV211" s="345"/>
      <c r="CX211" s="347"/>
      <c r="CY211" s="347"/>
      <c r="DA211" s="348"/>
      <c r="DC211" s="348"/>
      <c r="DE211" s="1792"/>
      <c r="DF211" s="345"/>
      <c r="DH211" s="237"/>
      <c r="DI211" s="237"/>
      <c r="DK211" s="345"/>
      <c r="DL211" s="345"/>
      <c r="DN211" s="347"/>
      <c r="DO211" s="347"/>
      <c r="DP211" s="2505"/>
      <c r="DT211" s="663"/>
      <c r="DU211" s="663"/>
      <c r="DV211" s="663"/>
      <c r="DW211" s="663"/>
      <c r="DX211" s="663"/>
      <c r="DY211" s="663"/>
      <c r="DZ211" s="663"/>
      <c r="EA211" s="663"/>
      <c r="EB211" s="663"/>
      <c r="EC211" s="663"/>
      <c r="ED211" s="663"/>
    </row>
    <row r="212" spans="1:134">
      <c r="A212" s="346">
        <v>32801</v>
      </c>
      <c r="B212" s="345" t="s">
        <v>359</v>
      </c>
      <c r="E212" s="934"/>
      <c r="F212" s="345">
        <v>42</v>
      </c>
      <c r="G212" s="345" t="s">
        <v>337</v>
      </c>
      <c r="L212" s="347">
        <v>504.01</v>
      </c>
      <c r="M212" s="347" t="s">
        <v>310</v>
      </c>
      <c r="Q212" s="348" t="str">
        <f t="array" ref="Q212">IFERROR(IF($Q$11="Yes",INDEX($L$13:$L$2313,SMALL(IF((County=$M$13:$M$2313),MATCH(ROW($M$13:$M$2313),ROW($M$13:$M$2313)),""),ROWS($A$13:A212))),""),"")</f>
        <v/>
      </c>
      <c r="S212" s="346">
        <v>33594</v>
      </c>
      <c r="T212" s="345" t="s">
        <v>337</v>
      </c>
      <c r="V212" s="345">
        <v>21.04</v>
      </c>
      <c r="W212" s="345" t="s">
        <v>345</v>
      </c>
      <c r="AB212" s="347">
        <v>15</v>
      </c>
      <c r="AC212" s="347" t="s">
        <v>351</v>
      </c>
      <c r="AD212" s="1138"/>
      <c r="AE212" s="346">
        <v>32803</v>
      </c>
      <c r="AF212" s="345" t="s">
        <v>359</v>
      </c>
      <c r="AI212" s="934"/>
      <c r="AJ212" s="345">
        <v>26</v>
      </c>
      <c r="AK212" s="345" t="s">
        <v>337</v>
      </c>
      <c r="AP212" s="347">
        <v>312.05</v>
      </c>
      <c r="AQ212" s="347" t="s">
        <v>310</v>
      </c>
      <c r="AS212" s="348" t="str">
        <f t="array" ref="AS212">IFERROR(IF($AS$11="Metro",INDEX($AJ$13:$AJ$814,SMALL(IF((County=$AK$13:$AK$814),MATCH(ROW($AK$13:$AK$814),ROW($AK$13:$AK$814)),""),ROWS($A$13:$A212))),INDEX($AM$13:$AM$48,SMALL(IF((County=$AN$13:$AN$48),MATCH(ROW($AN$13:$AN$48),ROW($AN$13:$AN$48)),""),ROWS($A$13:$A212)))),"")</f>
        <v/>
      </c>
      <c r="AU212" s="348" t="str">
        <f t="array" ref="AU212">IFERROR(IF($AU$11="Yes",INDEX($AP$13:$AP$2950,SMALL(IF((County=$AQ$13:$AQ$2950),MATCH(ROW($AQ$13:$AQ$2950),ROW($AQ$13:$AQ$2950)),""),ROWS($A$13:$A212))),""),"")</f>
        <v/>
      </c>
      <c r="AW212" s="346">
        <v>33544</v>
      </c>
      <c r="AX212" s="345" t="s">
        <v>362</v>
      </c>
      <c r="AZ212" s="345">
        <v>18.04</v>
      </c>
      <c r="BA212" s="345" t="s">
        <v>351</v>
      </c>
      <c r="BF212" s="347">
        <v>11</v>
      </c>
      <c r="BG212" s="347" t="s">
        <v>337</v>
      </c>
      <c r="BH212" s="1790"/>
      <c r="BI212" s="1791">
        <v>33178</v>
      </c>
      <c r="BJ212" s="345" t="s">
        <v>352</v>
      </c>
      <c r="BM212" s="1784"/>
      <c r="BN212" s="345">
        <v>663.01</v>
      </c>
      <c r="BO212" s="345" t="s">
        <v>309</v>
      </c>
      <c r="BQ212" s="237">
        <v>9703.0300000000007</v>
      </c>
      <c r="BR212" s="237" t="s">
        <v>379</v>
      </c>
      <c r="BT212" s="347">
        <v>309.04000000000002</v>
      </c>
      <c r="BU212" s="347" t="s">
        <v>310</v>
      </c>
      <c r="BW212" s="348" t="str">
        <f t="array" ref="BW212">IFERROR(IF($BW$11="Metro",INDEX($BN$13:$BN$4972,SMALL(IF((County=$BO$13:$BO$4972),MATCH(ROW($BO$13:$BO$4972),ROW($BO$13:$BO$4972)),""),ROWS($A$13:$A212))),INDEX($BQ$13:$BQ$212,SMALL(IF((County=$BR$13:$BR$212),MATCH(ROW($BR$13:$BR$212),ROW($BR$13:$BR$212)),""),ROWS($A$13:$A212)))),"")</f>
        <v/>
      </c>
      <c r="BY212" s="348" t="str">
        <f t="array" ref="BY212">IFERROR(IF($BY$11="Yes",INDEX($BT$13:$BT$2950,SMALL(IF((County=$BU$13:$BU$2950),MATCH(ROW($BU$13:$BU$2950),ROW($BU$13:$BU$2950)),""),ROWS($A$13:$A212))),""),"")</f>
        <v/>
      </c>
      <c r="CA212" s="2298">
        <v>33458</v>
      </c>
      <c r="CB212" s="345" t="s">
        <v>361</v>
      </c>
      <c r="CD212" s="237">
        <v>5.03</v>
      </c>
      <c r="CE212" s="237" t="s">
        <v>368</v>
      </c>
      <c r="CG212" s="237">
        <v>9901</v>
      </c>
      <c r="CH212" s="237" t="s">
        <v>327</v>
      </c>
      <c r="CJ212" s="347">
        <v>11.03</v>
      </c>
      <c r="CK212" s="347" t="s">
        <v>325</v>
      </c>
      <c r="CL212" s="1789"/>
      <c r="CM212" s="2299"/>
      <c r="CN212" s="345"/>
      <c r="CR212" s="345"/>
      <c r="CS212" s="345"/>
      <c r="CU212" s="345"/>
      <c r="CV212" s="345"/>
      <c r="CX212" s="347"/>
      <c r="CY212" s="347"/>
      <c r="DA212" s="348"/>
      <c r="DC212" s="348"/>
      <c r="DE212" s="1792"/>
      <c r="DF212" s="345"/>
      <c r="DH212" s="237"/>
      <c r="DI212" s="237"/>
      <c r="DK212" s="345"/>
      <c r="DL212" s="345"/>
      <c r="DN212" s="347"/>
      <c r="DO212" s="347"/>
      <c r="DP212" s="2505"/>
      <c r="DT212" s="663"/>
      <c r="DU212" s="663"/>
      <c r="DV212" s="663"/>
      <c r="DW212" s="663"/>
      <c r="DX212" s="663"/>
      <c r="DY212" s="663"/>
      <c r="DZ212" s="663"/>
      <c r="EA212" s="663"/>
      <c r="EB212" s="663"/>
      <c r="EC212" s="663"/>
      <c r="ED212" s="663"/>
    </row>
    <row r="213" spans="1:134">
      <c r="A213" s="346">
        <v>32803</v>
      </c>
      <c r="B213" s="345" t="s">
        <v>359</v>
      </c>
      <c r="E213" s="934"/>
      <c r="F213" s="345">
        <v>43</v>
      </c>
      <c r="G213" s="345" t="s">
        <v>337</v>
      </c>
      <c r="L213" s="347">
        <v>506.01</v>
      </c>
      <c r="M213" s="347" t="s">
        <v>310</v>
      </c>
      <c r="Q213" s="348" t="str">
        <f t="array" ref="Q213">IFERROR(IF($Q$11="Yes",INDEX($L$13:$L$2313,SMALL(IF((County=$M$13:$M$2313),MATCH(ROW($M$13:$M$2313),ROW($M$13:$M$2313)),""),ROWS($A$13:A213))),""),"")</f>
        <v/>
      </c>
      <c r="S213" s="346">
        <v>33596</v>
      </c>
      <c r="T213" s="345" t="s">
        <v>337</v>
      </c>
      <c r="V213" s="345">
        <v>22</v>
      </c>
      <c r="W213" s="345" t="s">
        <v>306</v>
      </c>
      <c r="AB213" s="347">
        <v>15.01</v>
      </c>
      <c r="AC213" s="347" t="s">
        <v>306</v>
      </c>
      <c r="AD213" s="1138"/>
      <c r="AE213" s="346">
        <v>32804</v>
      </c>
      <c r="AF213" s="345" t="s">
        <v>359</v>
      </c>
      <c r="AI213" s="934"/>
      <c r="AJ213" s="345">
        <v>30</v>
      </c>
      <c r="AK213" s="345" t="s">
        <v>337</v>
      </c>
      <c r="AP213" s="347">
        <v>312.06</v>
      </c>
      <c r="AQ213" s="347" t="s">
        <v>310</v>
      </c>
      <c r="AS213" s="348" t="str">
        <f t="array" ref="AS213">IFERROR(IF($AS$11="Metro",INDEX($AJ$13:$AJ$814,SMALL(IF((County=$AK$13:$AK$814),MATCH(ROW($AK$13:$AK$814),ROW($AK$13:$AK$814)),""),ROWS($A$13:$A213))),INDEX($AM$13:$AM$48,SMALL(IF((County=$AN$13:$AN$48),MATCH(ROW($AN$13:$AN$48),ROW($AN$13:$AN$48)),""),ROWS($A$13:$A213)))),"")</f>
        <v/>
      </c>
      <c r="AU213" s="348" t="str">
        <f t="array" ref="AU213">IFERROR(IF($AU$11="Yes",INDEX($AP$13:$AP$2950,SMALL(IF((County=$AQ$13:$AQ$2950),MATCH(ROW($AQ$13:$AQ$2950),ROW($AQ$13:$AQ$2950)),""),ROWS($A$13:$A213))),""),"")</f>
        <v/>
      </c>
      <c r="AW213" s="346">
        <v>33545</v>
      </c>
      <c r="AX213" s="345" t="s">
        <v>362</v>
      </c>
      <c r="AZ213" s="345">
        <v>19</v>
      </c>
      <c r="BA213" s="345" t="s">
        <v>325</v>
      </c>
      <c r="BF213" s="347">
        <v>11.01</v>
      </c>
      <c r="BG213" s="347" t="s">
        <v>325</v>
      </c>
      <c r="BH213" s="1790"/>
      <c r="BI213" s="1791">
        <v>33179</v>
      </c>
      <c r="BJ213" s="345" t="s">
        <v>352</v>
      </c>
      <c r="BM213" s="1784"/>
      <c r="BN213" s="345">
        <v>663.02</v>
      </c>
      <c r="BO213" s="345" t="s">
        <v>309</v>
      </c>
      <c r="BQ213" s="2831" t="s">
        <v>2309</v>
      </c>
      <c r="BR213" s="2832"/>
      <c r="BT213" s="347">
        <v>311.01</v>
      </c>
      <c r="BU213" s="347" t="s">
        <v>310</v>
      </c>
      <c r="BW213" s="348" t="str">
        <f t="array" ref="BW213">IFERROR(IF($BW$11="Metro",INDEX($BN$13:$BN$4972,SMALL(IF((County=$BO$13:$BO$4972),MATCH(ROW($BO$13:$BO$4972),ROW($BO$13:$BO$4972)),""),ROWS($A$13:$A213))),INDEX($BQ$13:$BQ$212,SMALL(IF((County=$BR$13:$BR$212),MATCH(ROW($BR$13:$BR$212),ROW($BR$13:$BR$212)),""),ROWS($A$13:$A213)))),"")</f>
        <v/>
      </c>
      <c r="BY213" s="348" t="str">
        <f t="array" ref="BY213">IFERROR(IF($BY$11="Yes",INDEX($BT$13:$BT$2950,SMALL(IF((County=$BU$13:$BU$2950),MATCH(ROW($BU$13:$BU$2950),ROW($BU$13:$BU$2950)),""),ROWS($A$13:$A213))),""),"")</f>
        <v/>
      </c>
      <c r="CA213" s="1792">
        <v>33462</v>
      </c>
      <c r="CB213" s="345" t="s">
        <v>361</v>
      </c>
      <c r="CD213" s="237">
        <v>5.04</v>
      </c>
      <c r="CE213" s="237" t="s">
        <v>344</v>
      </c>
      <c r="CG213" s="2831" t="s">
        <v>2309</v>
      </c>
      <c r="CH213" s="2832"/>
      <c r="CJ213" s="347">
        <v>11.03</v>
      </c>
      <c r="CK213" s="347" t="s">
        <v>350</v>
      </c>
      <c r="CL213" s="1789"/>
      <c r="CM213" s="2299"/>
      <c r="CN213" s="345"/>
      <c r="CR213" s="345"/>
      <c r="CS213" s="345"/>
      <c r="CU213" s="345"/>
      <c r="CV213" s="345"/>
      <c r="CX213" s="347"/>
      <c r="CY213" s="347"/>
      <c r="DA213" s="348"/>
      <c r="DC213" s="348"/>
      <c r="DE213" s="1792"/>
      <c r="DF213" s="345"/>
      <c r="DH213" s="237"/>
      <c r="DI213" s="237"/>
      <c r="DK213" s="345"/>
      <c r="DL213" s="345"/>
      <c r="DN213" s="347"/>
      <c r="DO213" s="347"/>
      <c r="DP213" s="2505"/>
      <c r="DT213" s="663"/>
      <c r="DU213" s="663"/>
      <c r="DV213" s="663"/>
      <c r="DW213" s="663"/>
      <c r="DX213" s="663"/>
      <c r="DY213" s="663"/>
      <c r="DZ213" s="663"/>
      <c r="EA213" s="663"/>
      <c r="EB213" s="663"/>
      <c r="EC213" s="663"/>
      <c r="ED213" s="663"/>
    </row>
    <row r="214" spans="1:134">
      <c r="A214" s="346">
        <v>32804</v>
      </c>
      <c r="B214" s="345" t="s">
        <v>359</v>
      </c>
      <c r="E214" s="934"/>
      <c r="F214" s="345">
        <v>44</v>
      </c>
      <c r="G214" s="345" t="s">
        <v>337</v>
      </c>
      <c r="L214" s="347">
        <v>506.02</v>
      </c>
      <c r="M214" s="347" t="s">
        <v>310</v>
      </c>
      <c r="Q214" s="348" t="str">
        <f t="array" ref="Q214">IFERROR(IF($Q$11="Yes",INDEX($L$13:$L$2313,SMALL(IF((County=$M$13:$M$2313),MATCH(ROW($M$13:$M$2313),ROW($M$13:$M$2313)),""),ROWS($A$13:A214))),""),"")</f>
        <v/>
      </c>
      <c r="S214" s="346">
        <v>33602</v>
      </c>
      <c r="T214" s="345" t="s">
        <v>337</v>
      </c>
      <c r="V214" s="345">
        <v>22</v>
      </c>
      <c r="W214" s="345" t="s">
        <v>325</v>
      </c>
      <c r="AB214" s="347">
        <v>15.01</v>
      </c>
      <c r="AC214" s="347" t="s">
        <v>344</v>
      </c>
      <c r="AD214" s="1138"/>
      <c r="AE214" s="346">
        <v>32806</v>
      </c>
      <c r="AF214" s="345" t="s">
        <v>359</v>
      </c>
      <c r="AI214" s="934"/>
      <c r="AJ214" s="345">
        <v>31</v>
      </c>
      <c r="AK214" s="345" t="s">
        <v>337</v>
      </c>
      <c r="AP214" s="347">
        <v>312.07</v>
      </c>
      <c r="AQ214" s="347" t="s">
        <v>310</v>
      </c>
      <c r="AS214" s="348" t="str">
        <f t="array" ref="AS214">IFERROR(IF($AS$11="Metro",INDEX($AJ$13:$AJ$814,SMALL(IF((County=$AK$13:$AK$814),MATCH(ROW($AK$13:$AK$814),ROW($AK$13:$AK$814)),""),ROWS($A$13:$A214))),INDEX($AM$13:$AM$48,SMALL(IF((County=$AN$13:$AN$48),MATCH(ROW($AN$13:$AN$48),ROW($AN$13:$AN$48)),""),ROWS($A$13:$A214)))),"")</f>
        <v/>
      </c>
      <c r="AU214" s="348" t="str">
        <f t="array" ref="AU214">IFERROR(IF($AU$11="Yes",INDEX($AP$13:$AP$2950,SMALL(IF((County=$AQ$13:$AQ$2950),MATCH(ROW($AQ$13:$AQ$2950),ROW($AQ$13:$AQ$2950)),""),ROWS($A$13:$A214))),""),"")</f>
        <v/>
      </c>
      <c r="AW214" s="346">
        <v>33547</v>
      </c>
      <c r="AX214" s="345" t="s">
        <v>337</v>
      </c>
      <c r="AZ214" s="345">
        <v>19</v>
      </c>
      <c r="BA214" s="345" t="s">
        <v>337</v>
      </c>
      <c r="BF214" s="347">
        <v>11.02</v>
      </c>
      <c r="BG214" s="347" t="s">
        <v>361</v>
      </c>
      <c r="BH214" s="1790"/>
      <c r="BI214" s="1791">
        <v>33180</v>
      </c>
      <c r="BJ214" s="345" t="s">
        <v>352</v>
      </c>
      <c r="BM214" s="1784"/>
      <c r="BN214" s="345">
        <v>664</v>
      </c>
      <c r="BO214" s="345" t="s">
        <v>309</v>
      </c>
      <c r="BT214" s="347">
        <v>311.02</v>
      </c>
      <c r="BU214" s="347" t="s">
        <v>310</v>
      </c>
      <c r="BW214" s="348" t="str">
        <f t="array" ref="BW214">IFERROR(IF($BW$11="Metro",INDEX($BN$13:$BN$4972,SMALL(IF((County=$BO$13:$BO$4972),MATCH(ROW($BO$13:$BO$4972),ROW($BO$13:$BO$4972)),""),ROWS($A$13:$A214))),INDEX($BQ$13:$BQ$212,SMALL(IF((County=$BR$13:$BR$212),MATCH(ROW($BR$13:$BR$212),ROW($BR$13:$BR$212)),""),ROWS($A$13:$A214)))),"")</f>
        <v/>
      </c>
      <c r="BY214" s="348" t="str">
        <f t="array" ref="BY214">IFERROR(IF($BY$11="Yes",INDEX($BT$13:$BT$2950,SMALL(IF((County=$BU$13:$BU$2950),MATCH(ROW($BU$13:$BU$2950),ROW($BU$13:$BU$2950)),""),ROWS($A$13:$A214))),""),"")</f>
        <v/>
      </c>
      <c r="CA214" s="1792">
        <v>33467</v>
      </c>
      <c r="CB214" s="345" t="s">
        <v>361</v>
      </c>
      <c r="CD214" s="237">
        <v>5.04</v>
      </c>
      <c r="CE214" s="237" t="s">
        <v>349</v>
      </c>
      <c r="CJ214" s="347">
        <v>11.03</v>
      </c>
      <c r="CK214" s="347" t="s">
        <v>351</v>
      </c>
      <c r="CL214" s="1789"/>
      <c r="CM214" s="2299"/>
      <c r="CN214" s="345"/>
      <c r="CR214" s="345"/>
      <c r="CS214" s="345"/>
      <c r="CU214" s="345"/>
      <c r="CV214" s="345"/>
      <c r="CX214" s="347"/>
      <c r="CY214" s="347"/>
      <c r="DA214" s="348"/>
      <c r="DC214" s="348"/>
      <c r="DE214" s="1792"/>
      <c r="DF214" s="345"/>
      <c r="DH214" s="237"/>
      <c r="DI214" s="237"/>
      <c r="DK214" s="345"/>
      <c r="DL214" s="345"/>
      <c r="DN214" s="347"/>
      <c r="DO214" s="347"/>
      <c r="DP214" s="2505"/>
      <c r="DT214" s="663"/>
      <c r="DU214" s="663"/>
      <c r="DV214" s="663"/>
      <c r="DW214" s="663"/>
      <c r="DX214" s="663"/>
      <c r="DY214" s="663"/>
      <c r="DZ214" s="663"/>
      <c r="EA214" s="663"/>
      <c r="EB214" s="663"/>
      <c r="EC214" s="663"/>
      <c r="ED214" s="663"/>
    </row>
    <row r="215" spans="1:134">
      <c r="A215" s="346">
        <v>32812</v>
      </c>
      <c r="B215" s="345" t="s">
        <v>359</v>
      </c>
      <c r="E215" s="934"/>
      <c r="F215" s="345">
        <v>50</v>
      </c>
      <c r="G215" s="345" t="s">
        <v>337</v>
      </c>
      <c r="L215" s="347">
        <v>509</v>
      </c>
      <c r="M215" s="347" t="s">
        <v>310</v>
      </c>
      <c r="Q215" s="348" t="str">
        <f t="array" ref="Q215">IFERROR(IF($Q$11="Yes",INDEX($L$13:$L$2313,SMALL(IF((County=$M$13:$M$2313),MATCH(ROW($M$13:$M$2313),ROW($M$13:$M$2313)),""),ROWS($A$13:A215))),""),"")</f>
        <v/>
      </c>
      <c r="S215" s="346">
        <v>33606</v>
      </c>
      <c r="T215" s="345" t="s">
        <v>337</v>
      </c>
      <c r="V215" s="345">
        <v>22</v>
      </c>
      <c r="W215" s="345" t="s">
        <v>361</v>
      </c>
      <c r="AB215" s="347">
        <v>15.03</v>
      </c>
      <c r="AC215" s="347" t="s">
        <v>368</v>
      </c>
      <c r="AD215" s="1138"/>
      <c r="AE215" s="346">
        <v>32811</v>
      </c>
      <c r="AF215" s="345" t="s">
        <v>359</v>
      </c>
      <c r="AI215" s="934"/>
      <c r="AJ215" s="345">
        <v>32</v>
      </c>
      <c r="AK215" s="345" t="s">
        <v>337</v>
      </c>
      <c r="AP215" s="347">
        <v>401.01</v>
      </c>
      <c r="AQ215" s="347" t="s">
        <v>310</v>
      </c>
      <c r="AS215" s="348" t="str">
        <f t="array" ref="AS215">IFERROR(IF($AS$11="Metro",INDEX($AJ$13:$AJ$814,SMALL(IF((County=$AK$13:$AK$814),MATCH(ROW($AK$13:$AK$814),ROW($AK$13:$AK$814)),""),ROWS($A$13:$A215))),INDEX($AM$13:$AM$48,SMALL(IF((County=$AN$13:$AN$48),MATCH(ROW($AN$13:$AN$48),ROW($AN$13:$AN$48)),""),ROWS($A$13:$A215)))),"")</f>
        <v/>
      </c>
      <c r="AU215" s="348" t="str">
        <f t="array" ref="AU215">IFERROR(IF($AU$11="Yes",INDEX($AP$13:$AP$2950,SMALL(IF((County=$AQ$13:$AQ$2950),MATCH(ROW($AQ$13:$AQ$2950),ROW($AQ$13:$AQ$2950)),""),ROWS($A$13:$A215))),""),"")</f>
        <v/>
      </c>
      <c r="AW215" s="346">
        <v>33548</v>
      </c>
      <c r="AX215" s="345" t="s">
        <v>337</v>
      </c>
      <c r="AZ215" s="345">
        <v>19</v>
      </c>
      <c r="BA215" s="345" t="s">
        <v>350</v>
      </c>
      <c r="BF215" s="347">
        <v>11.03</v>
      </c>
      <c r="BG215" s="347" t="s">
        <v>325</v>
      </c>
      <c r="BH215" s="1790"/>
      <c r="BI215" s="1791">
        <v>33182</v>
      </c>
      <c r="BJ215" s="345" t="s">
        <v>352</v>
      </c>
      <c r="BM215" s="1784"/>
      <c r="BN215" s="345">
        <v>665</v>
      </c>
      <c r="BO215" s="345" t="s">
        <v>309</v>
      </c>
      <c r="BT215" s="347">
        <v>312.02999999999997</v>
      </c>
      <c r="BU215" s="347" t="s">
        <v>310</v>
      </c>
      <c r="BW215" s="348" t="str">
        <f t="array" ref="BW215">IFERROR(IF($BW$11="Metro",INDEX($BN$13:$BN$4972,SMALL(IF((County=$BO$13:$BO$4972),MATCH(ROW($BO$13:$BO$4972),ROW($BO$13:$BO$4972)),""),ROWS($A$13:$A215))),INDEX($BQ$13:$BQ$212,SMALL(IF((County=$BR$13:$BR$212),MATCH(ROW($BR$13:$BR$212),ROW($BR$13:$BR$212)),""),ROWS($A$13:$A215)))),"")</f>
        <v/>
      </c>
      <c r="BY215" s="348" t="str">
        <f t="array" ref="BY215">IFERROR(IF($BY$11="Yes",INDEX($BT$13:$BT$2950,SMALL(IF((County=$BU$13:$BU$2950),MATCH(ROW($BU$13:$BU$2950),ROW($BU$13:$BU$2950)),""),ROWS($A$13:$A215))),""),"")</f>
        <v/>
      </c>
      <c r="CA215" s="2298">
        <v>33469</v>
      </c>
      <c r="CB215" s="345" t="s">
        <v>361</v>
      </c>
      <c r="CD215" s="237">
        <v>5.04</v>
      </c>
      <c r="CE215" s="237" t="s">
        <v>352</v>
      </c>
      <c r="CJ215" s="347">
        <v>11.04</v>
      </c>
      <c r="CK215" s="347" t="s">
        <v>325</v>
      </c>
      <c r="CL215" s="1789"/>
      <c r="CM215" s="2299"/>
      <c r="CN215" s="345"/>
      <c r="CR215" s="345"/>
      <c r="CS215" s="345"/>
      <c r="CU215" s="345"/>
      <c r="CV215" s="345"/>
      <c r="CX215" s="347"/>
      <c r="CY215" s="347"/>
      <c r="DA215" s="348"/>
      <c r="DC215" s="348"/>
      <c r="DE215" s="1792"/>
      <c r="DF215" s="345"/>
      <c r="DH215" s="237"/>
      <c r="DI215" s="237"/>
      <c r="DK215" s="345"/>
      <c r="DL215" s="345"/>
      <c r="DN215" s="347"/>
      <c r="DO215" s="347"/>
      <c r="DP215" s="2505"/>
      <c r="DT215" s="663"/>
      <c r="DU215" s="663"/>
      <c r="DV215" s="663"/>
      <c r="DW215" s="663"/>
      <c r="DX215" s="663"/>
      <c r="DY215" s="663"/>
      <c r="DZ215" s="663"/>
      <c r="EA215" s="663"/>
      <c r="EB215" s="663"/>
      <c r="EC215" s="663"/>
      <c r="ED215" s="663"/>
    </row>
    <row r="216" spans="1:134">
      <c r="A216" s="346">
        <v>32814</v>
      </c>
      <c r="B216" s="345" t="s">
        <v>359</v>
      </c>
      <c r="E216" s="934"/>
      <c r="F216" s="345">
        <v>53.02</v>
      </c>
      <c r="G216" s="345" t="s">
        <v>337</v>
      </c>
      <c r="L216" s="347">
        <v>510.01</v>
      </c>
      <c r="M216" s="347" t="s">
        <v>310</v>
      </c>
      <c r="Q216" s="348" t="str">
        <f t="array" ref="Q216">IFERROR(IF($Q$11="Yes",INDEX($L$13:$L$2313,SMALL(IF((County=$M$13:$M$2313),MATCH(ROW($M$13:$M$2313),ROW($M$13:$M$2313)),""),ROWS($A$13:A216))),""),"")</f>
        <v/>
      </c>
      <c r="S216" s="346">
        <v>33607</v>
      </c>
      <c r="T216" s="345" t="s">
        <v>337</v>
      </c>
      <c r="V216" s="345">
        <v>22.02</v>
      </c>
      <c r="W216" s="345" t="s">
        <v>352</v>
      </c>
      <c r="AB216" s="347">
        <v>15.05</v>
      </c>
      <c r="AC216" s="347" t="s">
        <v>368</v>
      </c>
      <c r="AD216" s="1138"/>
      <c r="AE216" s="346">
        <v>32812</v>
      </c>
      <c r="AF216" s="345" t="s">
        <v>359</v>
      </c>
      <c r="AI216" s="934"/>
      <c r="AJ216" s="345">
        <v>33</v>
      </c>
      <c r="AK216" s="345" t="s">
        <v>337</v>
      </c>
      <c r="AP216" s="347">
        <v>401.02</v>
      </c>
      <c r="AQ216" s="347" t="s">
        <v>310</v>
      </c>
      <c r="AS216" s="348" t="str">
        <f t="array" ref="AS216">IFERROR(IF($AS$11="Metro",INDEX($AJ$13:$AJ$814,SMALL(IF((County=$AK$13:$AK$814),MATCH(ROW($AK$13:$AK$814),ROW($AK$13:$AK$814)),""),ROWS($A$13:$A216))),INDEX($AM$13:$AM$48,SMALL(IF((County=$AN$13:$AN$48),MATCH(ROW($AN$13:$AN$48),ROW($AN$13:$AN$48)),""),ROWS($A$13:$A216)))),"")</f>
        <v/>
      </c>
      <c r="AU216" s="348" t="str">
        <f t="array" ref="AU216">IFERROR(IF($AU$11="Yes",INDEX($AP$13:$AP$2950,SMALL(IF((County=$AQ$13:$AQ$2950),MATCH(ROW($AQ$13:$AQ$2950),ROW($AQ$13:$AQ$2950)),""),ROWS($A$13:$A216))),""),"")</f>
        <v/>
      </c>
      <c r="AW216" s="346">
        <v>33556</v>
      </c>
      <c r="AX216" s="345" t="s">
        <v>337</v>
      </c>
      <c r="AZ216" s="345">
        <v>19.010000000000002</v>
      </c>
      <c r="BA216" s="345" t="s">
        <v>345</v>
      </c>
      <c r="BF216" s="347">
        <v>11.03</v>
      </c>
      <c r="BG216" s="347" t="s">
        <v>350</v>
      </c>
      <c r="BH216" s="1790"/>
      <c r="BI216" s="1791">
        <v>33183</v>
      </c>
      <c r="BJ216" s="345" t="s">
        <v>352</v>
      </c>
      <c r="BM216" s="1784"/>
      <c r="BN216" s="345">
        <v>666</v>
      </c>
      <c r="BO216" s="345" t="s">
        <v>309</v>
      </c>
      <c r="BT216" s="347">
        <v>312.05</v>
      </c>
      <c r="BU216" s="347" t="s">
        <v>310</v>
      </c>
      <c r="BW216" s="348" t="str">
        <f t="array" ref="BW216">IFERROR(IF($BW$11="Metro",INDEX($BN$13:$BN$4972,SMALL(IF((County=$BO$13:$BO$4972),MATCH(ROW($BO$13:$BO$4972),ROW($BO$13:$BO$4972)),""),ROWS($A$13:$A216))),INDEX($BQ$13:$BQ$212,SMALL(IF((County=$BR$13:$BR$212),MATCH(ROW($BR$13:$BR$212),ROW($BR$13:$BR$212)),""),ROWS($A$13:$A216)))),"")</f>
        <v/>
      </c>
      <c r="BY216" s="348" t="str">
        <f t="array" ref="BY216">IFERROR(IF($BY$11="Yes",INDEX($BT$13:$BT$2950,SMALL(IF((County=$BU$13:$BU$2950),MATCH(ROW($BU$13:$BU$2950),ROW($BU$13:$BU$2950)),""),ROWS($A$13:$A216))),""),"")</f>
        <v/>
      </c>
      <c r="CA216" s="1792">
        <v>33470</v>
      </c>
      <c r="CB216" s="345" t="s">
        <v>361</v>
      </c>
      <c r="CD216" s="237">
        <v>5.05</v>
      </c>
      <c r="CE216" s="237" t="s">
        <v>352</v>
      </c>
      <c r="CJ216" s="347">
        <v>11.04</v>
      </c>
      <c r="CK216" s="347" t="s">
        <v>352</v>
      </c>
      <c r="CL216" s="1789"/>
      <c r="CM216" s="2299"/>
      <c r="CN216" s="345"/>
      <c r="CR216" s="345"/>
      <c r="CS216" s="345"/>
      <c r="CU216" s="345"/>
      <c r="CV216" s="345"/>
      <c r="CX216" s="347"/>
      <c r="CY216" s="347"/>
      <c r="DA216" s="348"/>
      <c r="DC216" s="348"/>
      <c r="DE216" s="1792"/>
      <c r="DF216" s="345"/>
      <c r="DH216" s="237"/>
      <c r="DI216" s="237"/>
      <c r="DK216" s="345"/>
      <c r="DL216" s="345"/>
      <c r="DN216" s="347"/>
      <c r="DO216" s="347"/>
      <c r="DP216" s="2505"/>
      <c r="DT216" s="663"/>
      <c r="DU216" s="663"/>
      <c r="DV216" s="663"/>
      <c r="DW216" s="663"/>
      <c r="DX216" s="663"/>
      <c r="DY216" s="663"/>
      <c r="DZ216" s="663"/>
      <c r="EA216" s="663"/>
      <c r="EB216" s="663"/>
      <c r="EC216" s="663"/>
      <c r="ED216" s="663"/>
    </row>
    <row r="217" spans="1:134">
      <c r="A217" s="346">
        <v>32817</v>
      </c>
      <c r="B217" s="345" t="s">
        <v>359</v>
      </c>
      <c r="E217" s="934"/>
      <c r="F217" s="345">
        <v>70.02</v>
      </c>
      <c r="G217" s="345" t="s">
        <v>337</v>
      </c>
      <c r="L217" s="347">
        <v>510.02</v>
      </c>
      <c r="M217" s="347" t="s">
        <v>310</v>
      </c>
      <c r="Q217" s="348" t="str">
        <f t="array" ref="Q217">IFERROR(IF($Q$11="Yes",INDEX($L$13:$L$2313,SMALL(IF((County=$M$13:$M$2313),MATCH(ROW($M$13:$M$2313),ROW($M$13:$M$2313)),""),ROWS($A$13:A217))),""),"")</f>
        <v/>
      </c>
      <c r="S217" s="346">
        <v>33609</v>
      </c>
      <c r="T217" s="345" t="s">
        <v>337</v>
      </c>
      <c r="V217" s="345">
        <v>22.18</v>
      </c>
      <c r="W217" s="345" t="s">
        <v>297</v>
      </c>
      <c r="AB217" s="347">
        <v>15.06</v>
      </c>
      <c r="AC217" s="347" t="s">
        <v>368</v>
      </c>
      <c r="AD217" s="1138"/>
      <c r="AE217" s="346">
        <v>32814</v>
      </c>
      <c r="AF217" s="345" t="s">
        <v>359</v>
      </c>
      <c r="AI217" s="934"/>
      <c r="AJ217" s="345">
        <v>34</v>
      </c>
      <c r="AK217" s="345" t="s">
        <v>337</v>
      </c>
      <c r="AP217" s="347">
        <v>402.03</v>
      </c>
      <c r="AQ217" s="347" t="s">
        <v>310</v>
      </c>
      <c r="AS217" s="348" t="str">
        <f t="array" ref="AS217">IFERROR(IF($AS$11="Metro",INDEX($AJ$13:$AJ$814,SMALL(IF((County=$AK$13:$AK$814),MATCH(ROW($AK$13:$AK$814),ROW($AK$13:$AK$814)),""),ROWS($A$13:$A217))),INDEX($AM$13:$AM$48,SMALL(IF((County=$AN$13:$AN$48),MATCH(ROW($AN$13:$AN$48),ROW($AN$13:$AN$48)),""),ROWS($A$13:$A217)))),"")</f>
        <v/>
      </c>
      <c r="AU217" s="348" t="str">
        <f t="array" ref="AU217">IFERROR(IF($AU$11="Yes",INDEX($AP$13:$AP$2950,SMALL(IF((County=$AQ$13:$AQ$2950),MATCH(ROW($AQ$13:$AQ$2950),ROW($AQ$13:$AQ$2950)),""),ROWS($A$13:$A217))),""),"")</f>
        <v/>
      </c>
      <c r="AW217" s="346">
        <v>33559</v>
      </c>
      <c r="AX217" s="345" t="s">
        <v>337</v>
      </c>
      <c r="AZ217" s="345">
        <v>19.010000000000002</v>
      </c>
      <c r="BA217" s="345" t="s">
        <v>352</v>
      </c>
      <c r="BF217" s="347">
        <v>11.03</v>
      </c>
      <c r="BG217" s="347" t="s">
        <v>351</v>
      </c>
      <c r="BH217" s="1790"/>
      <c r="BI217" s="1791">
        <v>33184</v>
      </c>
      <c r="BJ217" s="345" t="s">
        <v>352</v>
      </c>
      <c r="BM217" s="1784"/>
      <c r="BN217" s="345">
        <v>667</v>
      </c>
      <c r="BO217" s="345" t="s">
        <v>309</v>
      </c>
      <c r="BT217" s="347">
        <v>312.06</v>
      </c>
      <c r="BU217" s="347" t="s">
        <v>310</v>
      </c>
      <c r="BW217" s="348" t="str">
        <f t="array" ref="BW217">IFERROR(IF($BW$11="Metro",INDEX($BN$13:$BN$4972,SMALL(IF((County=$BO$13:$BO$4972),MATCH(ROW($BO$13:$BO$4972),ROW($BO$13:$BO$4972)),""),ROWS($A$13:$A217))),INDEX($BQ$13:$BQ$212,SMALL(IF((County=$BR$13:$BR$212),MATCH(ROW($BR$13:$BR$212),ROW($BR$13:$BR$212)),""),ROWS($A$13:$A217)))),"")</f>
        <v/>
      </c>
      <c r="BY217" s="348" t="str">
        <f t="array" ref="BY217">IFERROR(IF($BY$11="Yes",INDEX($BT$13:$BT$2950,SMALL(IF((County=$BU$13:$BU$2950),MATCH(ROW($BU$13:$BU$2950),ROW($BU$13:$BU$2950)),""),ROWS($A$13:$A217))),""),"")</f>
        <v/>
      </c>
      <c r="CA217" s="1792">
        <v>33472</v>
      </c>
      <c r="CB217" s="345" t="s">
        <v>361</v>
      </c>
      <c r="CD217" s="237">
        <v>5.05</v>
      </c>
      <c r="CE217" s="237" t="s">
        <v>361</v>
      </c>
      <c r="CJ217" s="347">
        <v>11.05</v>
      </c>
      <c r="CK217" s="347" t="s">
        <v>349</v>
      </c>
      <c r="CL217" s="1789"/>
      <c r="CM217" s="2299"/>
      <c r="CN217" s="345"/>
      <c r="CR217" s="345"/>
      <c r="CS217" s="345"/>
      <c r="CU217" s="345"/>
      <c r="CV217" s="345"/>
      <c r="CX217" s="347"/>
      <c r="CY217" s="347"/>
      <c r="DA217" s="348"/>
      <c r="DC217" s="348"/>
      <c r="DE217" s="1792"/>
      <c r="DF217" s="345"/>
      <c r="DH217" s="237"/>
      <c r="DI217" s="237"/>
      <c r="DK217" s="345"/>
      <c r="DL217" s="345"/>
      <c r="DN217" s="347"/>
      <c r="DO217" s="347"/>
      <c r="DP217" s="2505"/>
      <c r="DT217" s="663"/>
      <c r="DU217" s="663"/>
      <c r="DV217" s="663"/>
      <c r="DW217" s="663"/>
      <c r="DX217" s="663"/>
      <c r="DY217" s="663"/>
      <c r="DZ217" s="663"/>
      <c r="EA217" s="663"/>
      <c r="EB217" s="663"/>
      <c r="EC217" s="663"/>
      <c r="ED217" s="663"/>
    </row>
    <row r="218" spans="1:134">
      <c r="A218" s="346">
        <v>32819</v>
      </c>
      <c r="B218" s="345" t="s">
        <v>359</v>
      </c>
      <c r="E218" s="934"/>
      <c r="F218" s="345">
        <v>102.03</v>
      </c>
      <c r="G218" s="345" t="s">
        <v>337</v>
      </c>
      <c r="L218" s="347">
        <v>601.11</v>
      </c>
      <c r="M218" s="347" t="s">
        <v>310</v>
      </c>
      <c r="Q218" s="348" t="str">
        <f t="array" ref="Q218">IFERROR(IF($Q$11="Yes",INDEX($L$13:$L$2313,SMALL(IF((County=$M$13:$M$2313),MATCH(ROW($M$13:$M$2313),ROW($M$13:$M$2313)),""),ROWS($A$13:A218))),""),"")</f>
        <v/>
      </c>
      <c r="S218" s="346">
        <v>33611</v>
      </c>
      <c r="T218" s="345" t="s">
        <v>337</v>
      </c>
      <c r="V218" s="345">
        <v>23</v>
      </c>
      <c r="W218" s="345" t="s">
        <v>352</v>
      </c>
      <c r="AB218" s="347">
        <v>15.07</v>
      </c>
      <c r="AC218" s="347" t="s">
        <v>368</v>
      </c>
      <c r="AD218" s="1138"/>
      <c r="AE218" s="346">
        <v>32817</v>
      </c>
      <c r="AF218" s="345" t="s">
        <v>359</v>
      </c>
      <c r="AI218" s="934"/>
      <c r="AJ218" s="345">
        <v>35</v>
      </c>
      <c r="AK218" s="345" t="s">
        <v>337</v>
      </c>
      <c r="AP218" s="347">
        <v>402.04</v>
      </c>
      <c r="AQ218" s="347" t="s">
        <v>310</v>
      </c>
      <c r="AS218" s="348" t="str">
        <f t="array" ref="AS218">IFERROR(IF($AS$11="Metro",INDEX($AJ$13:$AJ$814,SMALL(IF((County=$AK$13:$AK$814),MATCH(ROW($AK$13:$AK$814),ROW($AK$13:$AK$814)),""),ROWS($A$13:$A218))),INDEX($AM$13:$AM$48,SMALL(IF((County=$AN$13:$AN$48),MATCH(ROW($AN$13:$AN$48),ROW($AN$13:$AN$48)),""),ROWS($A$13:$A218)))),"")</f>
        <v/>
      </c>
      <c r="AU218" s="348" t="str">
        <f t="array" ref="AU218">IFERROR(IF($AU$11="Yes",INDEX($AP$13:$AP$2950,SMALL(IF((County=$AQ$13:$AQ$2950),MATCH(ROW($AQ$13:$AQ$2950),ROW($AQ$13:$AQ$2950)),""),ROWS($A$13:$A218))),""),"")</f>
        <v/>
      </c>
      <c r="AW218" s="346">
        <v>33569</v>
      </c>
      <c r="AX218" s="345" t="s">
        <v>337</v>
      </c>
      <c r="AZ218" s="345">
        <v>19.02</v>
      </c>
      <c r="BA218" s="345" t="s">
        <v>297</v>
      </c>
      <c r="BF218" s="347">
        <v>11.03</v>
      </c>
      <c r="BG218" s="347" t="s">
        <v>352</v>
      </c>
      <c r="BH218" s="1790"/>
      <c r="BI218" s="1791">
        <v>33185</v>
      </c>
      <c r="BJ218" s="345" t="s">
        <v>352</v>
      </c>
      <c r="BM218" s="1784"/>
      <c r="BN218" s="345">
        <v>668</v>
      </c>
      <c r="BO218" s="345" t="s">
        <v>309</v>
      </c>
      <c r="BT218" s="347">
        <v>312.07</v>
      </c>
      <c r="BU218" s="347" t="s">
        <v>310</v>
      </c>
      <c r="BW218" s="348" t="str">
        <f t="array" ref="BW218">IFERROR(IF($BW$11="Metro",INDEX($BN$13:$BN$4972,SMALL(IF((County=$BO$13:$BO$4972),MATCH(ROW($BO$13:$BO$4972),ROW($BO$13:$BO$4972)),""),ROWS($A$13:$A218))),INDEX($BQ$13:$BQ$212,SMALL(IF((County=$BR$13:$BR$212),MATCH(ROW($BR$13:$BR$212),ROW($BR$13:$BR$212)),""),ROWS($A$13:$A218)))),"")</f>
        <v/>
      </c>
      <c r="BY218" s="348" t="str">
        <f t="array" ref="BY218">IFERROR(IF($BY$11="Yes",INDEX($BT$13:$BT$2950,SMALL(IF((County=$BU$13:$BU$2950),MATCH(ROW($BU$13:$BU$2950),ROW($BU$13:$BU$2950)),""),ROWS($A$13:$A218))),""),"")</f>
        <v/>
      </c>
      <c r="CA218" s="1792">
        <v>33473</v>
      </c>
      <c r="CB218" s="345" t="s">
        <v>361</v>
      </c>
      <c r="CD218" s="237">
        <v>5.0599999999999996</v>
      </c>
      <c r="CE218" s="237" t="s">
        <v>352</v>
      </c>
      <c r="CJ218" s="347">
        <v>11.05</v>
      </c>
      <c r="CK218" s="347" t="s">
        <v>350</v>
      </c>
      <c r="CL218" s="1789"/>
      <c r="CM218" s="2299"/>
      <c r="CN218" s="345"/>
      <c r="CR218" s="345"/>
      <c r="CS218" s="345"/>
      <c r="CU218" s="345"/>
      <c r="CV218" s="345"/>
      <c r="CX218" s="347"/>
      <c r="CY218" s="347"/>
      <c r="DA218" s="348"/>
      <c r="DC218" s="348"/>
      <c r="DE218" s="1792"/>
      <c r="DF218" s="345"/>
      <c r="DH218" s="237"/>
      <c r="DI218" s="237"/>
      <c r="DK218" s="345"/>
      <c r="DL218" s="345"/>
      <c r="DN218" s="347"/>
      <c r="DO218" s="347"/>
      <c r="DP218" s="2505"/>
      <c r="DT218" s="663"/>
      <c r="DU218" s="663"/>
      <c r="DV218" s="663"/>
      <c r="DW218" s="663"/>
      <c r="DX218" s="663"/>
      <c r="DY218" s="663"/>
      <c r="DZ218" s="663"/>
      <c r="EA218" s="663"/>
      <c r="EB218" s="663"/>
      <c r="EC218" s="663"/>
      <c r="ED218" s="663"/>
    </row>
    <row r="219" spans="1:134">
      <c r="A219" s="346">
        <v>32820</v>
      </c>
      <c r="B219" s="345" t="s">
        <v>359</v>
      </c>
      <c r="E219" s="934"/>
      <c r="F219" s="345">
        <v>102.13</v>
      </c>
      <c r="G219" s="345" t="s">
        <v>337</v>
      </c>
      <c r="L219" s="347">
        <v>601.14</v>
      </c>
      <c r="M219" s="347" t="s">
        <v>310</v>
      </c>
      <c r="Q219" s="348" t="str">
        <f t="array" ref="Q219">IFERROR(IF($Q$11="Yes",INDEX($L$13:$L$2313,SMALL(IF((County=$M$13:$M$2313),MATCH(ROW($M$13:$M$2313),ROW($M$13:$M$2313)),""),ROWS($A$13:A219))),""),"")</f>
        <v/>
      </c>
      <c r="S219" s="346">
        <v>33615</v>
      </c>
      <c r="T219" s="345" t="s">
        <v>337</v>
      </c>
      <c r="V219" s="345">
        <v>24</v>
      </c>
      <c r="W219" s="345" t="s">
        <v>306</v>
      </c>
      <c r="AB219" s="347">
        <v>15.14</v>
      </c>
      <c r="AC219" s="347" t="s">
        <v>297</v>
      </c>
      <c r="AD219" s="1138"/>
      <c r="AE219" s="346">
        <v>32819</v>
      </c>
      <c r="AF219" s="345" t="s">
        <v>359</v>
      </c>
      <c r="AI219" s="934"/>
      <c r="AJ219" s="345">
        <v>36</v>
      </c>
      <c r="AK219" s="345" t="s">
        <v>337</v>
      </c>
      <c r="AP219" s="347">
        <v>402.05</v>
      </c>
      <c r="AQ219" s="347" t="s">
        <v>310</v>
      </c>
      <c r="AS219" s="348" t="str">
        <f t="array" ref="AS219">IFERROR(IF($AS$11="Metro",INDEX($AJ$13:$AJ$814,SMALL(IF((County=$AK$13:$AK$814),MATCH(ROW($AK$13:$AK$814),ROW($AK$13:$AK$814)),""),ROWS($A$13:$A219))),INDEX($AM$13:$AM$48,SMALL(IF((County=$AN$13:$AN$48),MATCH(ROW($AN$13:$AN$48),ROW($AN$13:$AN$48)),""),ROWS($A$13:$A219)))),"")</f>
        <v/>
      </c>
      <c r="AU219" s="348" t="str">
        <f t="array" ref="AU219">IFERROR(IF($AU$11="Yes",INDEX($AP$13:$AP$2950,SMALL(IF((County=$AQ$13:$AQ$2950),MATCH(ROW($AQ$13:$AQ$2950),ROW($AQ$13:$AQ$2950)),""),ROWS($A$13:$A219))),""),"")</f>
        <v/>
      </c>
      <c r="AW219" s="346">
        <v>33572</v>
      </c>
      <c r="AX219" s="345" t="s">
        <v>337</v>
      </c>
      <c r="AZ219" s="345">
        <v>19.02</v>
      </c>
      <c r="BA219" s="345" t="s">
        <v>345</v>
      </c>
      <c r="BF219" s="347">
        <v>11.04</v>
      </c>
      <c r="BG219" s="347" t="s">
        <v>325</v>
      </c>
      <c r="BH219" s="1790"/>
      <c r="BI219" s="1791">
        <v>33186</v>
      </c>
      <c r="BJ219" s="345" t="s">
        <v>352</v>
      </c>
      <c r="BM219" s="1784"/>
      <c r="BN219" s="345">
        <v>669</v>
      </c>
      <c r="BO219" s="345" t="s">
        <v>309</v>
      </c>
      <c r="BT219" s="347">
        <v>401.02</v>
      </c>
      <c r="BU219" s="347" t="s">
        <v>310</v>
      </c>
      <c r="BW219" s="348" t="str">
        <f t="array" ref="BW219">IFERROR(IF($BW$11="Metro",INDEX($BN$13:$BN$4972,SMALL(IF((County=$BO$13:$BO$4972),MATCH(ROW($BO$13:$BO$4972),ROW($BO$13:$BO$4972)),""),ROWS($A$13:$A219))),INDEX($BQ$13:$BQ$212,SMALL(IF((County=$BR$13:$BR$212),MATCH(ROW($BR$13:$BR$212),ROW($BR$13:$BR$212)),""),ROWS($A$13:$A219)))),"")</f>
        <v/>
      </c>
      <c r="BY219" s="348" t="str">
        <f t="array" ref="BY219">IFERROR(IF($BY$11="Yes",INDEX($BT$13:$BT$2950,SMALL(IF((County=$BU$13:$BU$2950),MATCH(ROW($BU$13:$BU$2950),ROW($BU$13:$BU$2950)),""),ROWS($A$13:$A219))),""),"")</f>
        <v/>
      </c>
      <c r="CA219" s="1792">
        <v>33477</v>
      </c>
      <c r="CB219" s="345" t="s">
        <v>361</v>
      </c>
      <c r="CD219" s="237">
        <v>5.07</v>
      </c>
      <c r="CE219" s="237" t="s">
        <v>352</v>
      </c>
      <c r="CJ219" s="347">
        <v>11.05</v>
      </c>
      <c r="CK219" s="347" t="s">
        <v>351</v>
      </c>
      <c r="CL219" s="1789"/>
      <c r="CM219" s="2299"/>
      <c r="CN219" s="345"/>
      <c r="CR219" s="345"/>
      <c r="CS219" s="345"/>
      <c r="CU219" s="345"/>
      <c r="CV219" s="345"/>
      <c r="CX219" s="347"/>
      <c r="CY219" s="347"/>
      <c r="DA219" s="348"/>
      <c r="DC219" s="348"/>
      <c r="DE219" s="1792"/>
      <c r="DF219" s="345"/>
      <c r="DH219" s="237"/>
      <c r="DI219" s="237"/>
      <c r="DK219" s="345"/>
      <c r="DL219" s="345"/>
      <c r="DN219" s="347"/>
      <c r="DO219" s="347"/>
      <c r="DP219" s="2505"/>
      <c r="DT219" s="663"/>
      <c r="DU219" s="663"/>
      <c r="DV219" s="663"/>
      <c r="DW219" s="663"/>
      <c r="DX219" s="663"/>
      <c r="DY219" s="663"/>
      <c r="DZ219" s="663"/>
      <c r="EA219" s="663"/>
      <c r="EB219" s="663"/>
      <c r="EC219" s="663"/>
      <c r="ED219" s="663"/>
    </row>
    <row r="220" spans="1:134">
      <c r="A220" s="346">
        <v>32821</v>
      </c>
      <c r="B220" s="345" t="s">
        <v>359</v>
      </c>
      <c r="E220" s="934"/>
      <c r="F220" s="345">
        <v>103.03</v>
      </c>
      <c r="G220" s="345" t="s">
        <v>337</v>
      </c>
      <c r="L220" s="347">
        <v>601.15</v>
      </c>
      <c r="M220" s="347" t="s">
        <v>310</v>
      </c>
      <c r="Q220" s="348" t="str">
        <f t="array" ref="Q220">IFERROR(IF($Q$11="Yes",INDEX($L$13:$L$2313,SMALL(IF((County=$M$13:$M$2313),MATCH(ROW($M$13:$M$2313),ROW($M$13:$M$2313)),""),ROWS($A$13:A220))),""),"")</f>
        <v/>
      </c>
      <c r="S220" s="346">
        <v>33616</v>
      </c>
      <c r="T220" s="345" t="s">
        <v>337</v>
      </c>
      <c r="V220" s="345">
        <v>24</v>
      </c>
      <c r="W220" s="345" t="s">
        <v>361</v>
      </c>
      <c r="AB220" s="347">
        <v>15.17</v>
      </c>
      <c r="AC220" s="347" t="s">
        <v>297</v>
      </c>
      <c r="AD220" s="1138"/>
      <c r="AE220" s="346">
        <v>32820</v>
      </c>
      <c r="AF220" s="345" t="s">
        <v>359</v>
      </c>
      <c r="AI220" s="934"/>
      <c r="AJ220" s="345">
        <v>37</v>
      </c>
      <c r="AK220" s="345" t="s">
        <v>337</v>
      </c>
      <c r="AP220" s="347">
        <v>402.06</v>
      </c>
      <c r="AQ220" s="347" t="s">
        <v>310</v>
      </c>
      <c r="AS220" s="348" t="str">
        <f t="array" ref="AS220">IFERROR(IF($AS$11="Metro",INDEX($AJ$13:$AJ$814,SMALL(IF((County=$AK$13:$AK$814),MATCH(ROW($AK$13:$AK$814),ROW($AK$13:$AK$814)),""),ROWS($A$13:$A220))),INDEX($AM$13:$AM$48,SMALL(IF((County=$AN$13:$AN$48),MATCH(ROW($AN$13:$AN$48),ROW($AN$13:$AN$48)),""),ROWS($A$13:$A220)))),"")</f>
        <v/>
      </c>
      <c r="AU220" s="348" t="str">
        <f t="array" ref="AU220">IFERROR(IF($AU$11="Yes",INDEX($AP$13:$AP$2950,SMALL(IF((County=$AQ$13:$AQ$2950),MATCH(ROW($AQ$13:$AQ$2950),ROW($AQ$13:$AQ$2950)),""),ROWS($A$13:$A220))),""),"")</f>
        <v/>
      </c>
      <c r="AW220" s="346">
        <v>33573</v>
      </c>
      <c r="AX220" s="345" t="s">
        <v>337</v>
      </c>
      <c r="AZ220" s="345">
        <v>19.03</v>
      </c>
      <c r="BA220" s="345" t="s">
        <v>352</v>
      </c>
      <c r="BF220" s="347">
        <v>11.04</v>
      </c>
      <c r="BG220" s="347" t="s">
        <v>349</v>
      </c>
      <c r="BH220" s="1790"/>
      <c r="BI220" s="1791">
        <v>33187</v>
      </c>
      <c r="BJ220" s="345" t="s">
        <v>352</v>
      </c>
      <c r="BM220" s="1784"/>
      <c r="BN220" s="345">
        <v>671</v>
      </c>
      <c r="BO220" s="345" t="s">
        <v>309</v>
      </c>
      <c r="BT220" s="347">
        <v>402.03</v>
      </c>
      <c r="BU220" s="347" t="s">
        <v>310</v>
      </c>
      <c r="BW220" s="348" t="str">
        <f t="array" ref="BW220">IFERROR(IF($BW$11="Metro",INDEX($BN$13:$BN$4972,SMALL(IF((County=$BO$13:$BO$4972),MATCH(ROW($BO$13:$BO$4972),ROW($BO$13:$BO$4972)),""),ROWS($A$13:$A220))),INDEX($BQ$13:$BQ$212,SMALL(IF((County=$BR$13:$BR$212),MATCH(ROW($BR$13:$BR$212),ROW($BR$13:$BR$212)),""),ROWS($A$13:$A220)))),"")</f>
        <v/>
      </c>
      <c r="BY220" s="348" t="str">
        <f t="array" ref="BY220">IFERROR(IF($BY$11="Yes",INDEX($BT$13:$BT$2950,SMALL(IF((County=$BU$13:$BU$2950),MATCH(ROW($BU$13:$BU$2950),ROW($BU$13:$BU$2950)),""),ROWS($A$13:$A220))),""),"")</f>
        <v/>
      </c>
      <c r="CA220" s="2298">
        <v>33478</v>
      </c>
      <c r="CB220" s="345" t="s">
        <v>361</v>
      </c>
      <c r="CD220" s="237">
        <v>5.07</v>
      </c>
      <c r="CE220" s="237" t="s">
        <v>361</v>
      </c>
      <c r="CJ220" s="347">
        <v>11.06</v>
      </c>
      <c r="CK220" s="347" t="s">
        <v>350</v>
      </c>
      <c r="CL220" s="1789"/>
      <c r="CM220" s="2299"/>
      <c r="CN220" s="345"/>
      <c r="CR220" s="345"/>
      <c r="CS220" s="345"/>
      <c r="CU220" s="345"/>
      <c r="CV220" s="345"/>
      <c r="CX220" s="347"/>
      <c r="CY220" s="347"/>
      <c r="DA220" s="348"/>
      <c r="DC220" s="348"/>
      <c r="DE220" s="1792"/>
      <c r="DF220" s="345"/>
      <c r="DH220" s="237"/>
      <c r="DI220" s="237"/>
      <c r="DK220" s="345"/>
      <c r="DL220" s="345"/>
      <c r="DN220" s="347"/>
      <c r="DO220" s="347"/>
      <c r="DP220" s="2505"/>
      <c r="DT220" s="663"/>
      <c r="DU220" s="663"/>
      <c r="DV220" s="663"/>
      <c r="DW220" s="663"/>
      <c r="DX220" s="663"/>
      <c r="DY220" s="663"/>
      <c r="DZ220" s="663"/>
      <c r="EA220" s="663"/>
      <c r="EB220" s="663"/>
      <c r="EC220" s="663"/>
      <c r="ED220" s="663"/>
    </row>
    <row r="221" spans="1:134">
      <c r="A221" s="346">
        <v>32824</v>
      </c>
      <c r="B221" s="345" t="s">
        <v>359</v>
      </c>
      <c r="E221" s="934"/>
      <c r="F221" s="345">
        <v>105.01</v>
      </c>
      <c r="G221" s="345" t="s">
        <v>337</v>
      </c>
      <c r="L221" s="347">
        <v>601.16</v>
      </c>
      <c r="M221" s="347" t="s">
        <v>310</v>
      </c>
      <c r="Q221" s="348" t="str">
        <f t="array" ref="Q221">IFERROR(IF($Q$11="Yes",INDEX($L$13:$L$2313,SMALL(IF((County=$M$13:$M$2313),MATCH(ROW($M$13:$M$2313),ROW($M$13:$M$2313)),""),ROWS($A$13:A221))),""),"")</f>
        <v/>
      </c>
      <c r="S221" s="346">
        <v>33618</v>
      </c>
      <c r="T221" s="345" t="s">
        <v>337</v>
      </c>
      <c r="V221" s="345">
        <v>24.02</v>
      </c>
      <c r="W221" s="345" t="s">
        <v>352</v>
      </c>
      <c r="AB221" s="347">
        <v>16</v>
      </c>
      <c r="AC221" s="347" t="s">
        <v>337</v>
      </c>
      <c r="AD221" s="1138"/>
      <c r="AE221" s="346">
        <v>32821</v>
      </c>
      <c r="AF221" s="345" t="s">
        <v>359</v>
      </c>
      <c r="AI221" s="934"/>
      <c r="AJ221" s="345">
        <v>38</v>
      </c>
      <c r="AK221" s="345" t="s">
        <v>337</v>
      </c>
      <c r="AP221" s="347">
        <v>403</v>
      </c>
      <c r="AQ221" s="347" t="s">
        <v>310</v>
      </c>
      <c r="AS221" s="348" t="str">
        <f t="array" ref="AS221">IFERROR(IF($AS$11="Metro",INDEX($AJ$13:$AJ$814,SMALL(IF((County=$AK$13:$AK$814),MATCH(ROW($AK$13:$AK$814),ROW($AK$13:$AK$814)),""),ROWS($A$13:$A221))),INDEX($AM$13:$AM$48,SMALL(IF((County=$AN$13:$AN$48),MATCH(ROW($AN$13:$AN$48),ROW($AN$13:$AN$48)),""),ROWS($A$13:$A221)))),"")</f>
        <v/>
      </c>
      <c r="AU221" s="348" t="str">
        <f t="array" ref="AU221">IFERROR(IF($AU$11="Yes",INDEX($AP$13:$AP$2950,SMALL(IF((County=$AQ$13:$AQ$2950),MATCH(ROW($AQ$13:$AQ$2950),ROW($AQ$13:$AQ$2950)),""),ROWS($A$13:$A221))),""),"")</f>
        <v/>
      </c>
      <c r="AW221" s="346">
        <v>33578</v>
      </c>
      <c r="AX221" s="345" t="s">
        <v>337</v>
      </c>
      <c r="AZ221" s="345">
        <v>19.04</v>
      </c>
      <c r="BA221" s="345" t="s">
        <v>352</v>
      </c>
      <c r="BF221" s="347">
        <v>11.04</v>
      </c>
      <c r="BG221" s="347" t="s">
        <v>352</v>
      </c>
      <c r="BH221" s="1790"/>
      <c r="BI221" s="1791">
        <v>33190</v>
      </c>
      <c r="BJ221" s="345" t="s">
        <v>352</v>
      </c>
      <c r="BM221" s="1784"/>
      <c r="BN221" s="345">
        <v>681.01</v>
      </c>
      <c r="BO221" s="345" t="s">
        <v>309</v>
      </c>
      <c r="BT221" s="347">
        <v>402.04</v>
      </c>
      <c r="BU221" s="347" t="s">
        <v>310</v>
      </c>
      <c r="BW221" s="348" t="str">
        <f t="array" ref="BW221">IFERROR(IF($BW$11="Metro",INDEX($BN$13:$BN$4972,SMALL(IF((County=$BO$13:$BO$4972),MATCH(ROW($BO$13:$BO$4972),ROW($BO$13:$BO$4972)),""),ROWS($A$13:$A221))),INDEX($BQ$13:$BQ$212,SMALL(IF((County=$BR$13:$BR$212),MATCH(ROW($BR$13:$BR$212),ROW($BR$13:$BR$212)),""),ROWS($A$13:$A221)))),"")</f>
        <v/>
      </c>
      <c r="BY221" s="348" t="str">
        <f t="array" ref="BY221">IFERROR(IF($BY$11="Yes",INDEX($BT$13:$BT$2950,SMALL(IF((County=$BU$13:$BU$2950),MATCH(ROW($BU$13:$BU$2950),ROW($BU$13:$BU$2950)),""),ROWS($A$13:$A221))),""),"")</f>
        <v/>
      </c>
      <c r="CA221" s="1792">
        <v>33480</v>
      </c>
      <c r="CB221" s="345" t="s">
        <v>361</v>
      </c>
      <c r="CD221" s="237">
        <v>5.08</v>
      </c>
      <c r="CE221" s="237" t="s">
        <v>352</v>
      </c>
      <c r="CJ221" s="347">
        <v>11.06</v>
      </c>
      <c r="CK221" s="347" t="s">
        <v>351</v>
      </c>
      <c r="CL221" s="1789"/>
      <c r="CM221" s="2299"/>
      <c r="CN221" s="345"/>
      <c r="CR221" s="345"/>
      <c r="CS221" s="345"/>
      <c r="CU221" s="345"/>
      <c r="CV221" s="345"/>
      <c r="CX221" s="347"/>
      <c r="CY221" s="347"/>
      <c r="DA221" s="348"/>
      <c r="DC221" s="348"/>
      <c r="DE221" s="1792"/>
      <c r="DF221" s="345"/>
      <c r="DH221" s="237"/>
      <c r="DI221" s="237"/>
      <c r="DK221" s="345"/>
      <c r="DL221" s="345"/>
      <c r="DN221" s="347"/>
      <c r="DO221" s="347"/>
      <c r="DP221" s="2505"/>
      <c r="DT221" s="663"/>
      <c r="DU221" s="663"/>
      <c r="DV221" s="663"/>
      <c r="DW221" s="663"/>
      <c r="DX221" s="663"/>
      <c r="DY221" s="663"/>
      <c r="DZ221" s="663"/>
      <c r="EA221" s="663"/>
      <c r="EB221" s="663"/>
      <c r="EC221" s="663"/>
      <c r="ED221" s="663"/>
    </row>
    <row r="222" spans="1:134">
      <c r="A222" s="346">
        <v>32827</v>
      </c>
      <c r="B222" s="345" t="s">
        <v>359</v>
      </c>
      <c r="E222" s="934"/>
      <c r="F222" s="345">
        <v>108.05</v>
      </c>
      <c r="G222" s="345" t="s">
        <v>337</v>
      </c>
      <c r="L222" s="347">
        <v>601.19000000000005</v>
      </c>
      <c r="M222" s="347" t="s">
        <v>310</v>
      </c>
      <c r="Q222" s="348" t="str">
        <f t="array" ref="Q222">IFERROR(IF($Q$11="Yes",INDEX($L$13:$L$2313,SMALL(IF((County=$M$13:$M$2313),MATCH(ROW($M$13:$M$2313),ROW($M$13:$M$2313)),""),ROWS($A$13:A222))),""),"")</f>
        <v/>
      </c>
      <c r="S222" s="346">
        <v>33621</v>
      </c>
      <c r="T222" s="345" t="s">
        <v>337</v>
      </c>
      <c r="V222" s="345">
        <v>24.03</v>
      </c>
      <c r="W222" s="345" t="s">
        <v>352</v>
      </c>
      <c r="AB222" s="347">
        <v>16.010000000000002</v>
      </c>
      <c r="AC222" s="347" t="s">
        <v>344</v>
      </c>
      <c r="AD222" s="1138"/>
      <c r="AE222" s="346">
        <v>32822</v>
      </c>
      <c r="AF222" s="345" t="s">
        <v>359</v>
      </c>
      <c r="AI222" s="934"/>
      <c r="AJ222" s="345">
        <v>41</v>
      </c>
      <c r="AK222" s="345" t="s">
        <v>337</v>
      </c>
      <c r="AP222" s="347">
        <v>404.01</v>
      </c>
      <c r="AQ222" s="347" t="s">
        <v>310</v>
      </c>
      <c r="AS222" s="348" t="str">
        <f t="array" ref="AS222">IFERROR(IF($AS$11="Metro",INDEX($AJ$13:$AJ$814,SMALL(IF((County=$AK$13:$AK$814),MATCH(ROW($AK$13:$AK$814),ROW($AK$13:$AK$814)),""),ROWS($A$13:$A222))),INDEX($AM$13:$AM$48,SMALL(IF((County=$AN$13:$AN$48),MATCH(ROW($AN$13:$AN$48),ROW($AN$13:$AN$48)),""),ROWS($A$13:$A222)))),"")</f>
        <v/>
      </c>
      <c r="AU222" s="348" t="str">
        <f t="array" ref="AU222">IFERROR(IF($AU$11="Yes",INDEX($AP$13:$AP$2950,SMALL(IF((County=$AQ$13:$AQ$2950),MATCH(ROW($AQ$13:$AQ$2950),ROW($AQ$13:$AQ$2950)),""),ROWS($A$13:$A222))),""),"")</f>
        <v/>
      </c>
      <c r="AW222" s="346">
        <v>33579</v>
      </c>
      <c r="AX222" s="345" t="s">
        <v>337</v>
      </c>
      <c r="AZ222" s="345">
        <v>19.09</v>
      </c>
      <c r="BA222" s="345" t="s">
        <v>361</v>
      </c>
      <c r="BF222" s="347">
        <v>11.05</v>
      </c>
      <c r="BG222" s="347" t="s">
        <v>349</v>
      </c>
      <c r="BH222" s="1790"/>
      <c r="BI222" s="1791">
        <v>33193</v>
      </c>
      <c r="BJ222" s="345" t="s">
        <v>352</v>
      </c>
      <c r="BM222" s="1784"/>
      <c r="BN222" s="345">
        <v>681.02</v>
      </c>
      <c r="BO222" s="345" t="s">
        <v>309</v>
      </c>
      <c r="BT222" s="347">
        <v>402.05</v>
      </c>
      <c r="BU222" s="347" t="s">
        <v>310</v>
      </c>
      <c r="BW222" s="348" t="str">
        <f t="array" ref="BW222">IFERROR(IF($BW$11="Metro",INDEX($BN$13:$BN$4972,SMALL(IF((County=$BO$13:$BO$4972),MATCH(ROW($BO$13:$BO$4972),ROW($BO$13:$BO$4972)),""),ROWS($A$13:$A222))),INDEX($BQ$13:$BQ$212,SMALL(IF((County=$BR$13:$BR$212),MATCH(ROW($BR$13:$BR$212),ROW($BR$13:$BR$212)),""),ROWS($A$13:$A222)))),"")</f>
        <v/>
      </c>
      <c r="BY222" s="348" t="str">
        <f t="array" ref="BY222">IFERROR(IF($BY$11="Yes",INDEX($BT$13:$BT$2950,SMALL(IF((County=$BU$13:$BU$2950),MATCH(ROW($BU$13:$BU$2950),ROW($BU$13:$BU$2950)),""),ROWS($A$13:$A222))),""),"")</f>
        <v/>
      </c>
      <c r="CA222" s="1792">
        <v>33483</v>
      </c>
      <c r="CB222" s="345" t="s">
        <v>361</v>
      </c>
      <c r="CD222" s="237">
        <v>5.09</v>
      </c>
      <c r="CE222" s="237" t="s">
        <v>352</v>
      </c>
      <c r="CJ222" s="347">
        <v>11.07</v>
      </c>
      <c r="CK222" s="347" t="s">
        <v>349</v>
      </c>
      <c r="CL222" s="1789"/>
      <c r="CM222" s="2299"/>
      <c r="CN222" s="345"/>
      <c r="CR222" s="345"/>
      <c r="CS222" s="345"/>
      <c r="CU222" s="345"/>
      <c r="CV222" s="345"/>
      <c r="CX222" s="347"/>
      <c r="CY222" s="347"/>
      <c r="DA222" s="348"/>
      <c r="DC222" s="348"/>
      <c r="DE222" s="1792"/>
      <c r="DF222" s="345"/>
      <c r="DH222" s="237"/>
      <c r="DI222" s="237"/>
      <c r="DK222" s="345"/>
      <c r="DL222" s="345"/>
      <c r="DN222" s="347"/>
      <c r="DO222" s="347"/>
      <c r="DP222" s="2505"/>
      <c r="DT222" s="663"/>
      <c r="DU222" s="663"/>
      <c r="DV222" s="663"/>
      <c r="DW222" s="663"/>
      <c r="DX222" s="663"/>
      <c r="DY222" s="663"/>
      <c r="DZ222" s="663"/>
      <c r="EA222" s="663"/>
      <c r="EB222" s="663"/>
      <c r="EC222" s="663"/>
      <c r="ED222" s="663"/>
    </row>
    <row r="223" spans="1:134">
      <c r="A223" s="346">
        <v>32828</v>
      </c>
      <c r="B223" s="345" t="s">
        <v>359</v>
      </c>
      <c r="E223" s="934"/>
      <c r="F223" s="345">
        <v>108.08</v>
      </c>
      <c r="G223" s="345" t="s">
        <v>337</v>
      </c>
      <c r="L223" s="347">
        <v>601.20000000000005</v>
      </c>
      <c r="M223" s="347" t="s">
        <v>310</v>
      </c>
      <c r="Q223" s="348" t="str">
        <f t="array" ref="Q223">IFERROR(IF($Q$11="Yes",INDEX($L$13:$L$2313,SMALL(IF((County=$M$13:$M$2313),MATCH(ROW($M$13:$M$2313),ROW($M$13:$M$2313)),""),ROWS($A$13:A223))),""),"")</f>
        <v/>
      </c>
      <c r="S223" s="346">
        <v>33624</v>
      </c>
      <c r="T223" s="345" t="s">
        <v>337</v>
      </c>
      <c r="V223" s="345">
        <v>24.04</v>
      </c>
      <c r="W223" s="345" t="s">
        <v>352</v>
      </c>
      <c r="AB223" s="347">
        <v>16.010000000000002</v>
      </c>
      <c r="AC223" s="347" t="s">
        <v>351</v>
      </c>
      <c r="AD223" s="1138"/>
      <c r="AE223" s="346">
        <v>32824</v>
      </c>
      <c r="AF223" s="345" t="s">
        <v>359</v>
      </c>
      <c r="AI223" s="934"/>
      <c r="AJ223" s="345">
        <v>42</v>
      </c>
      <c r="AK223" s="345" t="s">
        <v>337</v>
      </c>
      <c r="AP223" s="347">
        <v>404.02</v>
      </c>
      <c r="AQ223" s="347" t="s">
        <v>310</v>
      </c>
      <c r="AS223" s="348" t="str">
        <f t="array" ref="AS223">IFERROR(IF($AS$11="Metro",INDEX($AJ$13:$AJ$814,SMALL(IF((County=$AK$13:$AK$814),MATCH(ROW($AK$13:$AK$814),ROW($AK$13:$AK$814)),""),ROWS($A$13:$A223))),INDEX($AM$13:$AM$48,SMALL(IF((County=$AN$13:$AN$48),MATCH(ROW($AN$13:$AN$48),ROW($AN$13:$AN$48)),""),ROWS($A$13:$A223)))),"")</f>
        <v/>
      </c>
      <c r="AU223" s="348" t="str">
        <f t="array" ref="AU223">IFERROR(IF($AU$11="Yes",INDEX($AP$13:$AP$2950,SMALL(IF((County=$AQ$13:$AQ$2950),MATCH(ROW($AQ$13:$AQ$2950),ROW($AQ$13:$AQ$2950)),""),ROWS($A$13:$A223))),""),"")</f>
        <v/>
      </c>
      <c r="AW223" s="346">
        <v>33584</v>
      </c>
      <c r="AX223" s="345" t="s">
        <v>337</v>
      </c>
      <c r="AZ223" s="345">
        <v>19.100000000000001</v>
      </c>
      <c r="BA223" s="345" t="s">
        <v>361</v>
      </c>
      <c r="BF223" s="347">
        <v>11.05</v>
      </c>
      <c r="BG223" s="347" t="s">
        <v>350</v>
      </c>
      <c r="BH223" s="1790"/>
      <c r="BI223" s="1791">
        <v>33194</v>
      </c>
      <c r="BJ223" s="345" t="s">
        <v>352</v>
      </c>
      <c r="BM223" s="1784"/>
      <c r="BN223" s="345">
        <v>684</v>
      </c>
      <c r="BO223" s="345" t="s">
        <v>309</v>
      </c>
      <c r="BT223" s="347">
        <v>402.06</v>
      </c>
      <c r="BU223" s="347" t="s">
        <v>310</v>
      </c>
      <c r="BW223" s="348" t="str">
        <f t="array" ref="BW223">IFERROR(IF($BW$11="Metro",INDEX($BN$13:$BN$4972,SMALL(IF((County=$BO$13:$BO$4972),MATCH(ROW($BO$13:$BO$4972),ROW($BO$13:$BO$4972)),""),ROWS($A$13:$A223))),INDEX($BQ$13:$BQ$212,SMALL(IF((County=$BR$13:$BR$212),MATCH(ROW($BR$13:$BR$212),ROW($BR$13:$BR$212)),""),ROWS($A$13:$A223)))),"")</f>
        <v/>
      </c>
      <c r="BY223" s="348" t="str">
        <f t="array" ref="BY223">IFERROR(IF($BY$11="Yes",INDEX($BT$13:$BT$2950,SMALL(IF((County=$BU$13:$BU$2950),MATCH(ROW($BU$13:$BU$2950),ROW($BU$13:$BU$2950)),""),ROWS($A$13:$A223))),""),"")</f>
        <v/>
      </c>
      <c r="CA223" s="1792">
        <v>33484</v>
      </c>
      <c r="CB223" s="345" t="s">
        <v>361</v>
      </c>
      <c r="CD223" s="237">
        <v>5.09</v>
      </c>
      <c r="CE223" s="237" t="s">
        <v>361</v>
      </c>
      <c r="CJ223" s="347">
        <v>11.08</v>
      </c>
      <c r="CK223" s="347" t="s">
        <v>349</v>
      </c>
      <c r="CL223" s="1789"/>
      <c r="CM223" s="2299"/>
      <c r="CN223" s="345"/>
      <c r="CR223" s="345"/>
      <c r="CS223" s="345"/>
      <c r="CU223" s="345"/>
      <c r="CV223" s="345"/>
      <c r="CX223" s="347"/>
      <c r="CY223" s="347"/>
      <c r="DA223" s="348"/>
      <c r="DC223" s="348"/>
      <c r="DE223" s="1792"/>
      <c r="DF223" s="345"/>
      <c r="DH223" s="237"/>
      <c r="DI223" s="237"/>
      <c r="DK223" s="345"/>
      <c r="DL223" s="345"/>
      <c r="DN223" s="347"/>
      <c r="DO223" s="347"/>
      <c r="DP223" s="2505"/>
      <c r="DT223" s="663"/>
      <c r="DU223" s="663"/>
      <c r="DV223" s="663"/>
      <c r="DW223" s="663"/>
      <c r="DX223" s="663"/>
      <c r="DY223" s="663"/>
      <c r="DZ223" s="663"/>
      <c r="EA223" s="663"/>
      <c r="EB223" s="663"/>
      <c r="EC223" s="663"/>
      <c r="ED223" s="663"/>
    </row>
    <row r="224" spans="1:134">
      <c r="A224" s="346">
        <v>32829</v>
      </c>
      <c r="B224" s="345" t="s">
        <v>359</v>
      </c>
      <c r="E224" s="934"/>
      <c r="F224" s="345">
        <v>108.09</v>
      </c>
      <c r="G224" s="345" t="s">
        <v>337</v>
      </c>
      <c r="L224" s="347">
        <v>601.21</v>
      </c>
      <c r="M224" s="347" t="s">
        <v>310</v>
      </c>
      <c r="Q224" s="348" t="str">
        <f t="array" ref="Q224">IFERROR(IF($Q$11="Yes",INDEX($L$13:$L$2313,SMALL(IF((County=$M$13:$M$2313),MATCH(ROW($M$13:$M$2313),ROW($M$13:$M$2313)),""),ROWS($A$13:A224))),""),"")</f>
        <v/>
      </c>
      <c r="S224" s="346">
        <v>33625</v>
      </c>
      <c r="T224" s="345" t="s">
        <v>337</v>
      </c>
      <c r="V224" s="345">
        <v>25</v>
      </c>
      <c r="W224" s="345" t="s">
        <v>337</v>
      </c>
      <c r="AB224" s="347">
        <v>16.02</v>
      </c>
      <c r="AC224" s="347" t="s">
        <v>344</v>
      </c>
      <c r="AD224" s="1138"/>
      <c r="AE224" s="346">
        <v>32827</v>
      </c>
      <c r="AF224" s="345" t="s">
        <v>359</v>
      </c>
      <c r="AI224" s="934"/>
      <c r="AJ224" s="345">
        <v>43</v>
      </c>
      <c r="AK224" s="345" t="s">
        <v>337</v>
      </c>
      <c r="AP224" s="347">
        <v>405.02</v>
      </c>
      <c r="AQ224" s="347" t="s">
        <v>310</v>
      </c>
      <c r="AS224" s="348" t="str">
        <f t="array" ref="AS224">IFERROR(IF($AS$11="Metro",INDEX($AJ$13:$AJ$814,SMALL(IF((County=$AK$13:$AK$814),MATCH(ROW($AK$13:$AK$814),ROW($AK$13:$AK$814)),""),ROWS($A$13:$A224))),INDEX($AM$13:$AM$48,SMALL(IF((County=$AN$13:$AN$48),MATCH(ROW($AN$13:$AN$48),ROW($AN$13:$AN$48)),""),ROWS($A$13:$A224)))),"")</f>
        <v/>
      </c>
      <c r="AU224" s="348" t="str">
        <f t="array" ref="AU224">IFERROR(IF($AU$11="Yes",INDEX($AP$13:$AP$2950,SMALL(IF((County=$AQ$13:$AQ$2950),MATCH(ROW($AQ$13:$AQ$2950),ROW($AQ$13:$AQ$2950)),""),ROWS($A$13:$A224))),""),"")</f>
        <v/>
      </c>
      <c r="AW224" s="346">
        <v>33594</v>
      </c>
      <c r="AX224" s="345" t="s">
        <v>337</v>
      </c>
      <c r="AZ224" s="345">
        <v>19.11</v>
      </c>
      <c r="BA224" s="345" t="s">
        <v>361</v>
      </c>
      <c r="BF224" s="347">
        <v>11.05</v>
      </c>
      <c r="BG224" s="347" t="s">
        <v>351</v>
      </c>
      <c r="BH224" s="1790"/>
      <c r="BI224" s="1791">
        <v>33196</v>
      </c>
      <c r="BJ224" s="345" t="s">
        <v>352</v>
      </c>
      <c r="BM224" s="1784"/>
      <c r="BN224" s="345">
        <v>685.01</v>
      </c>
      <c r="BO224" s="345" t="s">
        <v>309</v>
      </c>
      <c r="BT224" s="347">
        <v>404.01</v>
      </c>
      <c r="BU224" s="347" t="s">
        <v>310</v>
      </c>
      <c r="BW224" s="348" t="str">
        <f t="array" ref="BW224">IFERROR(IF($BW$11="Metro",INDEX($BN$13:$BN$4972,SMALL(IF((County=$BO$13:$BO$4972),MATCH(ROW($BO$13:$BO$4972),ROW($BO$13:$BO$4972)),""),ROWS($A$13:$A224))),INDEX($BQ$13:$BQ$212,SMALL(IF((County=$BR$13:$BR$212),MATCH(ROW($BR$13:$BR$212),ROW($BR$13:$BR$212)),""),ROWS($A$13:$A224)))),"")</f>
        <v/>
      </c>
      <c r="BY224" s="348" t="str">
        <f t="array" ref="BY224">IFERROR(IF($BY$11="Yes",INDEX($BT$13:$BT$2950,SMALL(IF((County=$BU$13:$BU$2950),MATCH(ROW($BU$13:$BU$2950),ROW($BU$13:$BU$2950)),""),ROWS($A$13:$A224))),""),"")</f>
        <v/>
      </c>
      <c r="CA224" s="1792">
        <v>33486</v>
      </c>
      <c r="CB224" s="345" t="s">
        <v>361</v>
      </c>
      <c r="CD224" s="237">
        <v>5.12</v>
      </c>
      <c r="CE224" s="237" t="s">
        <v>361</v>
      </c>
      <c r="CJ224" s="347">
        <v>11.08</v>
      </c>
      <c r="CK224" s="347" t="s">
        <v>351</v>
      </c>
      <c r="CL224" s="1789"/>
      <c r="CM224" s="2299"/>
      <c r="CN224" s="345"/>
      <c r="CR224" s="345"/>
      <c r="CS224" s="345"/>
      <c r="CU224" s="345"/>
      <c r="CV224" s="345"/>
      <c r="CX224" s="347"/>
      <c r="CY224" s="347"/>
      <c r="DA224" s="348"/>
      <c r="DC224" s="348"/>
      <c r="DE224" s="1792"/>
      <c r="DF224" s="345"/>
      <c r="DH224" s="237"/>
      <c r="DI224" s="237"/>
      <c r="DK224" s="345"/>
      <c r="DL224" s="345"/>
      <c r="DN224" s="347"/>
      <c r="DO224" s="347"/>
      <c r="DP224" s="2505"/>
      <c r="DT224" s="663"/>
      <c r="DU224" s="663"/>
      <c r="DV224" s="663"/>
      <c r="DW224" s="663"/>
      <c r="DX224" s="663"/>
      <c r="DY224" s="663"/>
      <c r="DZ224" s="663"/>
      <c r="EA224" s="663"/>
      <c r="EB224" s="663"/>
      <c r="EC224" s="663"/>
      <c r="ED224" s="663"/>
    </row>
    <row r="225" spans="1:134">
      <c r="A225" s="346">
        <v>32831</v>
      </c>
      <c r="B225" s="345" t="s">
        <v>359</v>
      </c>
      <c r="E225" s="934"/>
      <c r="F225" s="345">
        <v>108.11</v>
      </c>
      <c r="G225" s="345" t="s">
        <v>337</v>
      </c>
      <c r="L225" s="347">
        <v>601.22</v>
      </c>
      <c r="M225" s="347" t="s">
        <v>310</v>
      </c>
      <c r="Q225" s="348" t="str">
        <f t="array" ref="Q225">IFERROR(IF($Q$11="Yes",INDEX($L$13:$L$2313,SMALL(IF((County=$M$13:$M$2313),MATCH(ROW($M$13:$M$2313),ROW($M$13:$M$2313)),""),ROWS($A$13:A225))),""),"")</f>
        <v/>
      </c>
      <c r="S225" s="346">
        <v>33626</v>
      </c>
      <c r="T225" s="345" t="s">
        <v>337</v>
      </c>
      <c r="V225" s="345">
        <v>25.01</v>
      </c>
      <c r="W225" s="345" t="s">
        <v>323</v>
      </c>
      <c r="AB225" s="347">
        <v>16.02</v>
      </c>
      <c r="AC225" s="347" t="s">
        <v>345</v>
      </c>
      <c r="AD225" s="1138"/>
      <c r="AE225" s="346">
        <v>32828</v>
      </c>
      <c r="AF225" s="345" t="s">
        <v>359</v>
      </c>
      <c r="AI225" s="934"/>
      <c r="AJ225" s="345">
        <v>44</v>
      </c>
      <c r="AK225" s="345" t="s">
        <v>337</v>
      </c>
      <c r="AP225" s="347">
        <v>405.05</v>
      </c>
      <c r="AQ225" s="347" t="s">
        <v>310</v>
      </c>
      <c r="AS225" s="348" t="str">
        <f t="array" ref="AS225">IFERROR(IF($AS$11="Metro",INDEX($AJ$13:$AJ$814,SMALL(IF((County=$AK$13:$AK$814),MATCH(ROW($AK$13:$AK$814),ROW($AK$13:$AK$814)),""),ROWS($A$13:$A225))),INDEX($AM$13:$AM$48,SMALL(IF((County=$AN$13:$AN$48),MATCH(ROW($AN$13:$AN$48),ROW($AN$13:$AN$48)),""),ROWS($A$13:$A225)))),"")</f>
        <v/>
      </c>
      <c r="AU225" s="348" t="str">
        <f t="array" ref="AU225">IFERROR(IF($AU$11="Yes",INDEX($AP$13:$AP$2950,SMALL(IF((County=$AQ$13:$AQ$2950),MATCH(ROW($AQ$13:$AQ$2950),ROW($AQ$13:$AQ$2950)),""),ROWS($A$13:$A225))),""),"")</f>
        <v/>
      </c>
      <c r="AW225" s="346">
        <v>33596</v>
      </c>
      <c r="AX225" s="345" t="s">
        <v>337</v>
      </c>
      <c r="AZ225" s="345">
        <v>19.12</v>
      </c>
      <c r="BA225" s="345" t="s">
        <v>361</v>
      </c>
      <c r="BF225" s="347">
        <v>11.06</v>
      </c>
      <c r="BG225" s="347" t="s">
        <v>351</v>
      </c>
      <c r="BH225" s="1790"/>
      <c r="BI225" s="1791">
        <v>32541</v>
      </c>
      <c r="BJ225" s="345" t="s">
        <v>357</v>
      </c>
      <c r="BM225" s="1784"/>
      <c r="BN225" s="345">
        <v>685.02</v>
      </c>
      <c r="BO225" s="345" t="s">
        <v>309</v>
      </c>
      <c r="BT225" s="347">
        <v>404.02</v>
      </c>
      <c r="BU225" s="347" t="s">
        <v>310</v>
      </c>
      <c r="BW225" s="348" t="str">
        <f t="array" ref="BW225">IFERROR(IF($BW$11="Metro",INDEX($BN$13:$BN$4972,SMALL(IF((County=$BO$13:$BO$4972),MATCH(ROW($BO$13:$BO$4972),ROW($BO$13:$BO$4972)),""),ROWS($A$13:$A225))),INDEX($BQ$13:$BQ$212,SMALL(IF((County=$BR$13:$BR$212),MATCH(ROW($BR$13:$BR$212),ROW($BR$13:$BR$212)),""),ROWS($A$13:$A225)))),"")</f>
        <v/>
      </c>
      <c r="BY225" s="348" t="str">
        <f t="array" ref="BY225">IFERROR(IF($BY$11="Yes",INDEX($BT$13:$BT$2950,SMALL(IF((County=$BU$13:$BU$2950),MATCH(ROW($BU$13:$BU$2950),ROW($BU$13:$BU$2950)),""),ROWS($A$13:$A225))),""),"")</f>
        <v/>
      </c>
      <c r="CA225" s="1792">
        <v>33487</v>
      </c>
      <c r="CB225" s="345" t="s">
        <v>361</v>
      </c>
      <c r="CD225" s="237">
        <v>5.13</v>
      </c>
      <c r="CE225" s="237" t="s">
        <v>361</v>
      </c>
      <c r="CJ225" s="347">
        <v>12</v>
      </c>
      <c r="CK225" s="347" t="s">
        <v>323</v>
      </c>
      <c r="CL225" s="1789"/>
      <c r="CM225" s="2299"/>
      <c r="CN225" s="345"/>
      <c r="CR225" s="345"/>
      <c r="CS225" s="345"/>
      <c r="CU225" s="345"/>
      <c r="CV225" s="345"/>
      <c r="CX225" s="347"/>
      <c r="CY225" s="347"/>
      <c r="DA225" s="348"/>
      <c r="DC225" s="348"/>
      <c r="DE225" s="1792"/>
      <c r="DF225" s="345"/>
      <c r="DH225" s="237"/>
      <c r="DI225" s="237"/>
      <c r="DK225" s="345"/>
      <c r="DL225" s="345"/>
      <c r="DN225" s="347"/>
      <c r="DO225" s="347"/>
      <c r="DP225" s="2505"/>
      <c r="DT225" s="663"/>
      <c r="DU225" s="663"/>
      <c r="DV225" s="663"/>
      <c r="DW225" s="663"/>
      <c r="DX225" s="663"/>
      <c r="DY225" s="663"/>
      <c r="DZ225" s="663"/>
      <c r="EA225" s="663"/>
      <c r="EB225" s="663"/>
      <c r="EC225" s="663"/>
      <c r="ED225" s="663"/>
    </row>
    <row r="226" spans="1:134">
      <c r="A226" s="346">
        <v>32832</v>
      </c>
      <c r="B226" s="345" t="s">
        <v>359</v>
      </c>
      <c r="E226" s="934"/>
      <c r="F226" s="345">
        <v>108.12</v>
      </c>
      <c r="G226" s="345" t="s">
        <v>337</v>
      </c>
      <c r="L226" s="347">
        <v>601.25</v>
      </c>
      <c r="M226" s="347" t="s">
        <v>310</v>
      </c>
      <c r="Q226" s="348" t="str">
        <f t="array" ref="Q226">IFERROR(IF($Q$11="Yes",INDEX($L$13:$L$2313,SMALL(IF((County=$M$13:$M$2313),MATCH(ROW($M$13:$M$2313),ROW($M$13:$M$2313)),""),ROWS($A$13:A226))),""),"")</f>
        <v/>
      </c>
      <c r="S226" s="346">
        <v>33629</v>
      </c>
      <c r="T226" s="345" t="s">
        <v>337</v>
      </c>
      <c r="V226" s="345">
        <v>25.01</v>
      </c>
      <c r="W226" s="345" t="s">
        <v>352</v>
      </c>
      <c r="AB226" s="347">
        <v>16.02</v>
      </c>
      <c r="AC226" s="347" t="s">
        <v>351</v>
      </c>
      <c r="AD226" s="1138"/>
      <c r="AE226" s="346">
        <v>32829</v>
      </c>
      <c r="AF226" s="345" t="s">
        <v>359</v>
      </c>
      <c r="AI226" s="934"/>
      <c r="AJ226" s="345">
        <v>50</v>
      </c>
      <c r="AK226" s="345" t="s">
        <v>337</v>
      </c>
      <c r="AP226" s="347">
        <v>405.06</v>
      </c>
      <c r="AQ226" s="347" t="s">
        <v>310</v>
      </c>
      <c r="AS226" s="348" t="str">
        <f t="array" ref="AS226">IFERROR(IF($AS$11="Metro",INDEX($AJ$13:$AJ$814,SMALL(IF((County=$AK$13:$AK$814),MATCH(ROW($AK$13:$AK$814),ROW($AK$13:$AK$814)),""),ROWS($A$13:$A226))),INDEX($AM$13:$AM$48,SMALL(IF((County=$AN$13:$AN$48),MATCH(ROW($AN$13:$AN$48),ROW($AN$13:$AN$48)),""),ROWS($A$13:$A226)))),"")</f>
        <v/>
      </c>
      <c r="AU226" s="348" t="str">
        <f t="array" ref="AU226">IFERROR(IF($AU$11="Yes",INDEX($AP$13:$AP$2950,SMALL(IF((County=$AQ$13:$AQ$2950),MATCH(ROW($AQ$13:$AQ$2950),ROW($AQ$13:$AQ$2950)),""),ROWS($A$13:$A226))),""),"")</f>
        <v/>
      </c>
      <c r="AW226" s="346">
        <v>33602</v>
      </c>
      <c r="AX226" s="345" t="s">
        <v>337</v>
      </c>
      <c r="AZ226" s="345">
        <v>20</v>
      </c>
      <c r="BA226" s="345" t="s">
        <v>306</v>
      </c>
      <c r="BF226" s="347">
        <v>11.07</v>
      </c>
      <c r="BG226" s="347" t="s">
        <v>349</v>
      </c>
      <c r="BH226" s="1790"/>
      <c r="BI226" s="1791">
        <v>32542</v>
      </c>
      <c r="BJ226" s="345" t="s">
        <v>357</v>
      </c>
      <c r="BM226" s="1784"/>
      <c r="BN226" s="345">
        <v>686.01</v>
      </c>
      <c r="BO226" s="345" t="s">
        <v>309</v>
      </c>
      <c r="BT226" s="347">
        <v>405.02</v>
      </c>
      <c r="BU226" s="347" t="s">
        <v>310</v>
      </c>
      <c r="BW226" s="348" t="str">
        <f t="array" ref="BW226">IFERROR(IF($BW$11="Metro",INDEX($BN$13:$BN$4972,SMALL(IF((County=$BO$13:$BO$4972),MATCH(ROW($BO$13:$BO$4972),ROW($BO$13:$BO$4972)),""),ROWS($A$13:$A226))),INDEX($BQ$13:$BQ$212,SMALL(IF((County=$BR$13:$BR$212),MATCH(ROW($BR$13:$BR$212),ROW($BR$13:$BR$212)),""),ROWS($A$13:$A226)))),"")</f>
        <v/>
      </c>
      <c r="BY226" s="348" t="str">
        <f t="array" ref="BY226">IFERROR(IF($BY$11="Yes",INDEX($BT$13:$BT$2950,SMALL(IF((County=$BU$13:$BU$2950),MATCH(ROW($BU$13:$BU$2950),ROW($BU$13:$BU$2950)),""),ROWS($A$13:$A226))),""),"")</f>
        <v/>
      </c>
      <c r="CA226" s="1792">
        <v>33496</v>
      </c>
      <c r="CB226" s="345" t="s">
        <v>361</v>
      </c>
      <c r="CD226" s="345">
        <v>6</v>
      </c>
      <c r="CE226" s="345" t="s">
        <v>297</v>
      </c>
      <c r="CJ226" s="347">
        <v>12.01</v>
      </c>
      <c r="CK226" s="347" t="s">
        <v>297</v>
      </c>
      <c r="CL226" s="1789"/>
      <c r="CM226" s="2299"/>
      <c r="CN226" s="345"/>
      <c r="CR226" s="345"/>
      <c r="CS226" s="345"/>
      <c r="CU226" s="345"/>
      <c r="CV226" s="345"/>
      <c r="CX226" s="347"/>
      <c r="CY226" s="347"/>
      <c r="DA226" s="348"/>
      <c r="DC226" s="348"/>
      <c r="DE226" s="1792"/>
      <c r="DF226" s="345"/>
      <c r="DH226" s="237"/>
      <c r="DI226" s="237"/>
      <c r="DK226" s="345"/>
      <c r="DL226" s="345"/>
      <c r="DN226" s="347"/>
      <c r="DO226" s="347"/>
      <c r="DP226" s="2505"/>
      <c r="DT226" s="663"/>
      <c r="DU226" s="663"/>
      <c r="DV226" s="663"/>
      <c r="DW226" s="663"/>
      <c r="DX226" s="663"/>
      <c r="DY226" s="663"/>
      <c r="DZ226" s="663"/>
      <c r="EA226" s="663"/>
      <c r="EB226" s="663"/>
      <c r="EC226" s="663"/>
      <c r="ED226" s="663"/>
    </row>
    <row r="227" spans="1:134">
      <c r="A227" s="346">
        <v>32833</v>
      </c>
      <c r="B227" s="345" t="s">
        <v>359</v>
      </c>
      <c r="E227" s="934"/>
      <c r="F227" s="345">
        <v>108.13</v>
      </c>
      <c r="G227" s="345" t="s">
        <v>337</v>
      </c>
      <c r="L227" s="347">
        <v>601.26</v>
      </c>
      <c r="M227" s="347" t="s">
        <v>310</v>
      </c>
      <c r="Q227" s="348" t="str">
        <f t="array" ref="Q227">IFERROR(IF($Q$11="Yes",INDEX($L$13:$L$2313,SMALL(IF((County=$M$13:$M$2313),MATCH(ROW($M$13:$M$2313),ROW($M$13:$M$2313)),""),ROWS($A$13:A227))),""),"")</f>
        <v/>
      </c>
      <c r="S227" s="346">
        <v>33634</v>
      </c>
      <c r="T227" s="345" t="s">
        <v>337</v>
      </c>
      <c r="V227" s="345">
        <v>25.02</v>
      </c>
      <c r="W227" s="345" t="s">
        <v>352</v>
      </c>
      <c r="AB227" s="347">
        <v>16.03</v>
      </c>
      <c r="AC227" s="347" t="s">
        <v>297</v>
      </c>
      <c r="AD227" s="1138"/>
      <c r="AE227" s="346">
        <v>32831</v>
      </c>
      <c r="AF227" s="345" t="s">
        <v>359</v>
      </c>
      <c r="AI227" s="934"/>
      <c r="AJ227" s="345">
        <v>53.02</v>
      </c>
      <c r="AK227" s="345" t="s">
        <v>337</v>
      </c>
      <c r="AP227" s="347">
        <v>406.01</v>
      </c>
      <c r="AQ227" s="347" t="s">
        <v>310</v>
      </c>
      <c r="AS227" s="348" t="str">
        <f t="array" ref="AS227">IFERROR(IF($AS$11="Metro",INDEX($AJ$13:$AJ$814,SMALL(IF((County=$AK$13:$AK$814),MATCH(ROW($AK$13:$AK$814),ROW($AK$13:$AK$814)),""),ROWS($A$13:$A227))),INDEX($AM$13:$AM$48,SMALL(IF((County=$AN$13:$AN$48),MATCH(ROW($AN$13:$AN$48),ROW($AN$13:$AN$48)),""),ROWS($A$13:$A227)))),"")</f>
        <v/>
      </c>
      <c r="AU227" s="348" t="str">
        <f t="array" ref="AU227">IFERROR(IF($AU$11="Yes",INDEX($AP$13:$AP$2950,SMALL(IF((County=$AQ$13:$AQ$2950),MATCH(ROW($AQ$13:$AQ$2950),ROW($AQ$13:$AQ$2950)),""),ROWS($A$13:$A227))),""),"")</f>
        <v/>
      </c>
      <c r="AW227" s="346">
        <v>33606</v>
      </c>
      <c r="AX227" s="345" t="s">
        <v>337</v>
      </c>
      <c r="AZ227" s="345">
        <v>20</v>
      </c>
      <c r="BA227" s="345" t="s">
        <v>325</v>
      </c>
      <c r="BF227" s="347">
        <v>11.08</v>
      </c>
      <c r="BG227" s="347" t="s">
        <v>349</v>
      </c>
      <c r="BH227" s="1790"/>
      <c r="BI227" s="1791">
        <v>32544</v>
      </c>
      <c r="BJ227" s="345" t="s">
        <v>357</v>
      </c>
      <c r="BM227" s="1784"/>
      <c r="BN227" s="345">
        <v>686.03</v>
      </c>
      <c r="BO227" s="345" t="s">
        <v>309</v>
      </c>
      <c r="BT227" s="347">
        <v>405.03</v>
      </c>
      <c r="BU227" s="347" t="s">
        <v>310</v>
      </c>
      <c r="BW227" s="348" t="str">
        <f t="array" ref="BW227">IFERROR(IF($BW$11="Metro",INDEX($BN$13:$BN$4972,SMALL(IF((County=$BO$13:$BO$4972),MATCH(ROW($BO$13:$BO$4972),ROW($BO$13:$BO$4972)),""),ROWS($A$13:$A227))),INDEX($BQ$13:$BQ$212,SMALL(IF((County=$BR$13:$BR$212),MATCH(ROW($BR$13:$BR$212),ROW($BR$13:$BR$212)),""),ROWS($A$13:$A227)))),"")</f>
        <v/>
      </c>
      <c r="BY227" s="348" t="str">
        <f t="array" ref="BY227">IFERROR(IF($BY$11="Yes",INDEX($BT$13:$BT$2950,SMALL(IF((County=$BU$13:$BU$2950),MATCH(ROW($BU$13:$BU$2950),ROW($BU$13:$BU$2950)),""),ROWS($A$13:$A227))),""),"")</f>
        <v/>
      </c>
      <c r="CA227" s="1792">
        <v>33498</v>
      </c>
      <c r="CB227" s="345" t="s">
        <v>361</v>
      </c>
      <c r="CD227" s="345">
        <v>6</v>
      </c>
      <c r="CE227" s="345" t="s">
        <v>306</v>
      </c>
      <c r="CJ227" s="347">
        <v>12.01</v>
      </c>
      <c r="CK227" s="347" t="s">
        <v>325</v>
      </c>
      <c r="CL227" s="1789"/>
      <c r="CM227" s="2299"/>
      <c r="CN227" s="345"/>
      <c r="CR227" s="345"/>
      <c r="CS227" s="345"/>
      <c r="CU227" s="345"/>
      <c r="CV227" s="345"/>
      <c r="CX227" s="347"/>
      <c r="CY227" s="347"/>
      <c r="DA227" s="348"/>
      <c r="DC227" s="348"/>
      <c r="DE227" s="1792"/>
      <c r="DF227" s="345"/>
      <c r="DH227" s="237"/>
      <c r="DI227" s="237"/>
      <c r="DK227" s="345"/>
      <c r="DL227" s="345"/>
      <c r="DN227" s="347"/>
      <c r="DO227" s="347"/>
      <c r="DP227" s="2505"/>
      <c r="DT227" s="663"/>
      <c r="DU227" s="663"/>
      <c r="DV227" s="663"/>
      <c r="DW227" s="663"/>
      <c r="DX227" s="663"/>
      <c r="DY227" s="663"/>
      <c r="DZ227" s="663"/>
      <c r="EA227" s="663"/>
      <c r="EB227" s="663"/>
      <c r="EC227" s="663"/>
      <c r="ED227" s="663"/>
    </row>
    <row r="228" spans="1:134">
      <c r="A228" s="346">
        <v>32835</v>
      </c>
      <c r="B228" s="345" t="s">
        <v>359</v>
      </c>
      <c r="E228" s="934"/>
      <c r="F228" s="345">
        <v>108.14</v>
      </c>
      <c r="G228" s="345" t="s">
        <v>337</v>
      </c>
      <c r="L228" s="347">
        <v>602.1</v>
      </c>
      <c r="M228" s="347" t="s">
        <v>310</v>
      </c>
      <c r="Q228" s="348" t="str">
        <f t="array" ref="Q228">IFERROR(IF($Q$11="Yes",INDEX($L$13:$L$2313,SMALL(IF((County=$M$13:$M$2313),MATCH(ROW($M$13:$M$2313),ROW($M$13:$M$2313)),""),ROWS($A$13:A228))),""),"")</f>
        <v/>
      </c>
      <c r="S228" s="346">
        <v>33635</v>
      </c>
      <c r="T228" s="345" t="s">
        <v>337</v>
      </c>
      <c r="V228" s="345">
        <v>25.04</v>
      </c>
      <c r="W228" s="345" t="s">
        <v>350</v>
      </c>
      <c r="AB228" s="347">
        <v>16.03</v>
      </c>
      <c r="AC228" s="347" t="s">
        <v>352</v>
      </c>
      <c r="AD228" s="1138"/>
      <c r="AE228" s="346">
        <v>32832</v>
      </c>
      <c r="AF228" s="345" t="s">
        <v>359</v>
      </c>
      <c r="AI228" s="934"/>
      <c r="AJ228" s="345">
        <v>70.02</v>
      </c>
      <c r="AK228" s="345" t="s">
        <v>337</v>
      </c>
      <c r="AP228" s="347">
        <v>406.02</v>
      </c>
      <c r="AQ228" s="347" t="s">
        <v>310</v>
      </c>
      <c r="AS228" s="348" t="str">
        <f t="array" ref="AS228">IFERROR(IF($AS$11="Metro",INDEX($AJ$13:$AJ$814,SMALL(IF((County=$AK$13:$AK$814),MATCH(ROW($AK$13:$AK$814),ROW($AK$13:$AK$814)),""),ROWS($A$13:$A228))),INDEX($AM$13:$AM$48,SMALL(IF((County=$AN$13:$AN$48),MATCH(ROW($AN$13:$AN$48),ROW($AN$13:$AN$48)),""),ROWS($A$13:$A228)))),"")</f>
        <v/>
      </c>
      <c r="AU228" s="348" t="str">
        <f t="array" ref="AU228">IFERROR(IF($AU$11="Yes",INDEX($AP$13:$AP$2950,SMALL(IF((County=$AQ$13:$AQ$2950),MATCH(ROW($AQ$13:$AQ$2950),ROW($AQ$13:$AQ$2950)),""),ROWS($A$13:$A228))),""),"")</f>
        <v/>
      </c>
      <c r="AW228" s="346">
        <v>33607</v>
      </c>
      <c r="AX228" s="345" t="s">
        <v>337</v>
      </c>
      <c r="AZ228" s="345">
        <v>20</v>
      </c>
      <c r="BA228" s="345" t="s">
        <v>337</v>
      </c>
      <c r="BF228" s="347">
        <v>11.08</v>
      </c>
      <c r="BG228" s="347" t="s">
        <v>351</v>
      </c>
      <c r="BH228" s="1790"/>
      <c r="BI228" s="2299">
        <v>32712</v>
      </c>
      <c r="BJ228" s="345" t="s">
        <v>359</v>
      </c>
      <c r="BM228" s="1784"/>
      <c r="BN228" s="345">
        <v>686.04</v>
      </c>
      <c r="BO228" s="345" t="s">
        <v>309</v>
      </c>
      <c r="BT228" s="347">
        <v>405.05</v>
      </c>
      <c r="BU228" s="347" t="s">
        <v>310</v>
      </c>
      <c r="BW228" s="348" t="str">
        <f t="array" ref="BW228">IFERROR(IF($BW$11="Metro",INDEX($BN$13:$BN$4972,SMALL(IF((County=$BO$13:$BO$4972),MATCH(ROW($BO$13:$BO$4972),ROW($BO$13:$BO$4972)),""),ROWS($A$13:$A228))),INDEX($BQ$13:$BQ$212,SMALL(IF((County=$BR$13:$BR$212),MATCH(ROW($BR$13:$BR$212),ROW($BR$13:$BR$212)),""),ROWS($A$13:$A228)))),"")</f>
        <v/>
      </c>
      <c r="BY228" s="348" t="str">
        <f t="array" ref="BY228">IFERROR(IF($BY$11="Yes",INDEX($BT$13:$BT$2950,SMALL(IF((County=$BU$13:$BU$2950),MATCH(ROW($BU$13:$BU$2950),ROW($BU$13:$BU$2950)),""),ROWS($A$13:$A228))),""),"")</f>
        <v/>
      </c>
      <c r="CA228" s="2298">
        <v>33503</v>
      </c>
      <c r="CB228" s="345" t="s">
        <v>337</v>
      </c>
      <c r="CD228" s="237">
        <v>6</v>
      </c>
      <c r="CE228" s="237" t="s">
        <v>318</v>
      </c>
      <c r="CJ228" s="347">
        <v>12.02</v>
      </c>
      <c r="CK228" s="347" t="s">
        <v>297</v>
      </c>
      <c r="CL228" s="1789"/>
      <c r="CM228" s="2299"/>
      <c r="CN228" s="345"/>
      <c r="CR228" s="345"/>
      <c r="CS228" s="345"/>
      <c r="CU228" s="345"/>
      <c r="CV228" s="345"/>
      <c r="CX228" s="347"/>
      <c r="CY228" s="347"/>
      <c r="DA228" s="348"/>
      <c r="DC228" s="348"/>
      <c r="DE228" s="1792"/>
      <c r="DF228" s="345"/>
      <c r="DH228" s="237"/>
      <c r="DI228" s="237"/>
      <c r="DK228" s="345"/>
      <c r="DL228" s="345"/>
      <c r="DN228" s="347"/>
      <c r="DO228" s="347"/>
      <c r="DP228" s="2505"/>
      <c r="DT228" s="663"/>
      <c r="DU228" s="663"/>
      <c r="DV228" s="663"/>
      <c r="DW228" s="663"/>
      <c r="DX228" s="663"/>
      <c r="DY228" s="663"/>
      <c r="DZ228" s="663"/>
      <c r="EA228" s="663"/>
      <c r="EB228" s="663"/>
      <c r="EC228" s="663"/>
      <c r="ED228" s="663"/>
    </row>
    <row r="229" spans="1:134">
      <c r="A229" s="346">
        <v>32836</v>
      </c>
      <c r="B229" s="345" t="s">
        <v>359</v>
      </c>
      <c r="E229" s="934"/>
      <c r="F229" s="345">
        <v>108.15</v>
      </c>
      <c r="G229" s="345" t="s">
        <v>337</v>
      </c>
      <c r="L229" s="347">
        <v>602.12</v>
      </c>
      <c r="M229" s="347" t="s">
        <v>310</v>
      </c>
      <c r="Q229" s="348" t="str">
        <f t="array" ref="Q229">IFERROR(IF($Q$11="Yes",INDEX($L$13:$L$2313,SMALL(IF((County=$M$13:$M$2313),MATCH(ROW($M$13:$M$2313),ROW($M$13:$M$2313)),""),ROWS($A$13:A229))),""),"")</f>
        <v/>
      </c>
      <c r="S229" s="346">
        <v>33637</v>
      </c>
      <c r="T229" s="345" t="s">
        <v>337</v>
      </c>
      <c r="V229" s="345">
        <v>26</v>
      </c>
      <c r="W229" s="345" t="s">
        <v>323</v>
      </c>
      <c r="AB229" s="347">
        <v>16.04</v>
      </c>
      <c r="AC229" s="347" t="s">
        <v>297</v>
      </c>
      <c r="AD229" s="1138"/>
      <c r="AE229" s="346">
        <v>32833</v>
      </c>
      <c r="AF229" s="345" t="s">
        <v>359</v>
      </c>
      <c r="AI229" s="934"/>
      <c r="AJ229" s="345">
        <v>102.03</v>
      </c>
      <c r="AK229" s="345" t="s">
        <v>337</v>
      </c>
      <c r="AP229" s="347">
        <v>407.01</v>
      </c>
      <c r="AQ229" s="347" t="s">
        <v>310</v>
      </c>
      <c r="AS229" s="348" t="str">
        <f t="array" ref="AS229">IFERROR(IF($AS$11="Metro",INDEX($AJ$13:$AJ$814,SMALL(IF((County=$AK$13:$AK$814),MATCH(ROW($AK$13:$AK$814),ROW($AK$13:$AK$814)),""),ROWS($A$13:$A229))),INDEX($AM$13:$AM$48,SMALL(IF((County=$AN$13:$AN$48),MATCH(ROW($AN$13:$AN$48),ROW($AN$13:$AN$48)),""),ROWS($A$13:$A229)))),"")</f>
        <v/>
      </c>
      <c r="AU229" s="348" t="str">
        <f t="array" ref="AU229">IFERROR(IF($AU$11="Yes",INDEX($AP$13:$AP$2950,SMALL(IF((County=$AQ$13:$AQ$2950),MATCH(ROW($AQ$13:$AQ$2950),ROW($AQ$13:$AQ$2950)),""),ROWS($A$13:$A229))),""),"")</f>
        <v/>
      </c>
      <c r="AW229" s="346">
        <v>33609</v>
      </c>
      <c r="AX229" s="345" t="s">
        <v>337</v>
      </c>
      <c r="AZ229" s="345">
        <v>20.010000000000002</v>
      </c>
      <c r="BA229" s="345" t="s">
        <v>350</v>
      </c>
      <c r="BF229" s="347">
        <v>12.01</v>
      </c>
      <c r="BG229" s="347" t="s">
        <v>297</v>
      </c>
      <c r="BH229" s="1790"/>
      <c r="BI229" s="2299">
        <v>32751</v>
      </c>
      <c r="BJ229" s="345" t="s">
        <v>359</v>
      </c>
      <c r="BM229" s="1784"/>
      <c r="BN229" s="345">
        <v>691</v>
      </c>
      <c r="BO229" s="345" t="s">
        <v>309</v>
      </c>
      <c r="BT229" s="347">
        <v>405.06</v>
      </c>
      <c r="BU229" s="347" t="s">
        <v>310</v>
      </c>
      <c r="BW229" s="348" t="str">
        <f t="array" ref="BW229">IFERROR(IF($BW$11="Metro",INDEX($BN$13:$BN$4972,SMALL(IF((County=$BO$13:$BO$4972),MATCH(ROW($BO$13:$BO$4972),ROW($BO$13:$BO$4972)),""),ROWS($A$13:$A229))),INDEX($BQ$13:$BQ$212,SMALL(IF((County=$BR$13:$BR$212),MATCH(ROW($BR$13:$BR$212),ROW($BR$13:$BR$212)),""),ROWS($A$13:$A229)))),"")</f>
        <v/>
      </c>
      <c r="BY229" s="348" t="str">
        <f t="array" ref="BY229">IFERROR(IF($BY$11="Yes",INDEX($BT$13:$BT$2950,SMALL(IF((County=$BU$13:$BU$2950),MATCH(ROW($BU$13:$BU$2950),ROW($BU$13:$BU$2950)),""),ROWS($A$13:$A229))),""),"")</f>
        <v/>
      </c>
      <c r="CA229" s="2298">
        <v>33510</v>
      </c>
      <c r="CB229" s="345" t="s">
        <v>337</v>
      </c>
      <c r="CD229" s="237">
        <v>6</v>
      </c>
      <c r="CE229" s="237" t="s">
        <v>323</v>
      </c>
      <c r="CJ229" s="347">
        <v>12.02</v>
      </c>
      <c r="CK229" s="347" t="s">
        <v>349</v>
      </c>
      <c r="CL229" s="1789"/>
      <c r="CM229" s="2299"/>
      <c r="CN229" s="345"/>
      <c r="CR229" s="345"/>
      <c r="CS229" s="345"/>
      <c r="CU229" s="345"/>
      <c r="CV229" s="345"/>
      <c r="CX229" s="347"/>
      <c r="CY229" s="347"/>
      <c r="DA229" s="348"/>
      <c r="DC229" s="348"/>
      <c r="DE229" s="1792"/>
      <c r="DF229" s="345"/>
      <c r="DH229" s="237"/>
      <c r="DI229" s="237"/>
      <c r="DK229" s="345"/>
      <c r="DL229" s="345"/>
      <c r="DN229" s="347"/>
      <c r="DO229" s="347"/>
      <c r="DP229" s="2505"/>
      <c r="DT229" s="663"/>
      <c r="DU229" s="663"/>
      <c r="DV229" s="663"/>
      <c r="DW229" s="663"/>
      <c r="DX229" s="663"/>
      <c r="DY229" s="663"/>
      <c r="DZ229" s="663"/>
      <c r="EA229" s="663"/>
      <c r="EB229" s="663"/>
      <c r="EC229" s="663"/>
      <c r="ED229" s="663"/>
    </row>
    <row r="230" spans="1:134">
      <c r="A230" s="346">
        <v>32837</v>
      </c>
      <c r="B230" s="345" t="s">
        <v>359</v>
      </c>
      <c r="E230" s="934"/>
      <c r="F230" s="345">
        <v>108.16</v>
      </c>
      <c r="G230" s="345" t="s">
        <v>337</v>
      </c>
      <c r="L230" s="347">
        <v>603.05999999999995</v>
      </c>
      <c r="M230" s="347" t="s">
        <v>310</v>
      </c>
      <c r="Q230" s="348" t="str">
        <f t="array" ref="Q230">IFERROR(IF($Q$11="Yes",INDEX($L$13:$L$2313,SMALL(IF((County=$M$13:$M$2313),MATCH(ROW($M$13:$M$2313),ROW($M$13:$M$2313)),""),ROWS($A$13:A230))),""),"")</f>
        <v/>
      </c>
      <c r="S230" s="346">
        <v>33647</v>
      </c>
      <c r="T230" s="345" t="s">
        <v>337</v>
      </c>
      <c r="V230" s="345">
        <v>26</v>
      </c>
      <c r="W230" s="345" t="s">
        <v>337</v>
      </c>
      <c r="AB230" s="347">
        <v>17</v>
      </c>
      <c r="AC230" s="347" t="s">
        <v>337</v>
      </c>
      <c r="AD230" s="1138"/>
      <c r="AE230" s="346">
        <v>32835</v>
      </c>
      <c r="AF230" s="345" t="s">
        <v>359</v>
      </c>
      <c r="AI230" s="934"/>
      <c r="AJ230" s="345">
        <v>102.13</v>
      </c>
      <c r="AK230" s="345" t="s">
        <v>337</v>
      </c>
      <c r="AP230" s="347">
        <v>407.02</v>
      </c>
      <c r="AQ230" s="347" t="s">
        <v>310</v>
      </c>
      <c r="AS230" s="348" t="str">
        <f t="array" ref="AS230">IFERROR(IF($AS$11="Metro",INDEX($AJ$13:$AJ$814,SMALL(IF((County=$AK$13:$AK$814),MATCH(ROW($AK$13:$AK$814),ROW($AK$13:$AK$814)),""),ROWS($A$13:$A230))),INDEX($AM$13:$AM$48,SMALL(IF((County=$AN$13:$AN$48),MATCH(ROW($AN$13:$AN$48),ROW($AN$13:$AN$48)),""),ROWS($A$13:$A230)))),"")</f>
        <v/>
      </c>
      <c r="AU230" s="348" t="str">
        <f t="array" ref="AU230">IFERROR(IF($AU$11="Yes",INDEX($AP$13:$AP$2950,SMALL(IF((County=$AQ$13:$AQ$2950),MATCH(ROW($AQ$13:$AQ$2950),ROW($AQ$13:$AQ$2950)),""),ROWS($A$13:$A230))),""),"")</f>
        <v/>
      </c>
      <c r="AW230" s="346">
        <v>33611</v>
      </c>
      <c r="AX230" s="345" t="s">
        <v>337</v>
      </c>
      <c r="AZ230" s="345">
        <v>20.010000000000002</v>
      </c>
      <c r="BA230" s="345" t="s">
        <v>352</v>
      </c>
      <c r="BF230" s="347">
        <v>12.01</v>
      </c>
      <c r="BG230" s="347" t="s">
        <v>325</v>
      </c>
      <c r="BH230" s="1790"/>
      <c r="BI230" s="2299">
        <v>32789</v>
      </c>
      <c r="BJ230" s="345" t="s">
        <v>359</v>
      </c>
      <c r="BM230" s="1784"/>
      <c r="BN230" s="345">
        <v>692</v>
      </c>
      <c r="BO230" s="345" t="s">
        <v>309</v>
      </c>
      <c r="BT230" s="347">
        <v>406.01</v>
      </c>
      <c r="BU230" s="347" t="s">
        <v>310</v>
      </c>
      <c r="BW230" s="348" t="str">
        <f t="array" ref="BW230">IFERROR(IF($BW$11="Metro",INDEX($BN$13:$BN$4972,SMALL(IF((County=$BO$13:$BO$4972),MATCH(ROW($BO$13:$BO$4972),ROW($BO$13:$BO$4972)),""),ROWS($A$13:$A230))),INDEX($BQ$13:$BQ$212,SMALL(IF((County=$BR$13:$BR$212),MATCH(ROW($BR$13:$BR$212),ROW($BR$13:$BR$212)),""),ROWS($A$13:$A230)))),"")</f>
        <v/>
      </c>
      <c r="BY230" s="348" t="str">
        <f t="array" ref="BY230">IFERROR(IF($BY$11="Yes",INDEX($BT$13:$BT$2950,SMALL(IF((County=$BU$13:$BU$2950),MATCH(ROW($BU$13:$BU$2950),ROW($BU$13:$BU$2950)),""),ROWS($A$13:$A230))),""),"")</f>
        <v/>
      </c>
      <c r="CA230" s="2298">
        <v>33511</v>
      </c>
      <c r="CB230" s="345" t="s">
        <v>337</v>
      </c>
      <c r="CD230" s="237">
        <v>6</v>
      </c>
      <c r="CE230" s="237" t="s">
        <v>325</v>
      </c>
      <c r="CJ230" s="347">
        <v>12.03</v>
      </c>
      <c r="CK230" s="347" t="s">
        <v>297</v>
      </c>
      <c r="CL230" s="1789"/>
      <c r="CM230" s="2299"/>
      <c r="CN230" s="345"/>
      <c r="CR230" s="345"/>
      <c r="CS230" s="345"/>
      <c r="CU230" s="345"/>
      <c r="CV230" s="345"/>
      <c r="CX230" s="347"/>
      <c r="CY230" s="347"/>
      <c r="DA230" s="348"/>
      <c r="DC230" s="348"/>
      <c r="DE230" s="1792"/>
      <c r="DF230" s="345"/>
      <c r="DH230" s="237"/>
      <c r="DI230" s="237"/>
      <c r="DK230" s="345"/>
      <c r="DL230" s="345"/>
      <c r="DN230" s="347"/>
      <c r="DO230" s="347"/>
      <c r="DP230" s="2505"/>
      <c r="DT230" s="663"/>
      <c r="DU230" s="663"/>
      <c r="DV230" s="663"/>
      <c r="DW230" s="663"/>
      <c r="DX230" s="663"/>
      <c r="DY230" s="663"/>
      <c r="DZ230" s="663"/>
      <c r="EA230" s="663"/>
      <c r="EB230" s="663"/>
      <c r="EC230" s="663"/>
      <c r="ED230" s="663"/>
    </row>
    <row r="231" spans="1:134">
      <c r="A231" s="346">
        <v>34734</v>
      </c>
      <c r="B231" s="345" t="s">
        <v>359</v>
      </c>
      <c r="E231" s="934"/>
      <c r="F231" s="345">
        <v>108.17</v>
      </c>
      <c r="G231" s="345" t="s">
        <v>337</v>
      </c>
      <c r="L231" s="347">
        <v>605.01</v>
      </c>
      <c r="M231" s="347" t="s">
        <v>310</v>
      </c>
      <c r="Q231" s="348" t="str">
        <f t="array" ref="Q231">IFERROR(IF($Q$11="Yes",INDEX($L$13:$L$2313,SMALL(IF((County=$M$13:$M$2313),MATCH(ROW($M$13:$M$2313),ROW($M$13:$M$2313)),""),ROWS($A$13:A231))),""),"")</f>
        <v/>
      </c>
      <c r="S231" s="346">
        <v>33703</v>
      </c>
      <c r="T231" s="345" t="s">
        <v>363</v>
      </c>
      <c r="V231" s="345">
        <v>26</v>
      </c>
      <c r="W231" s="345" t="s">
        <v>352</v>
      </c>
      <c r="AB231" s="347">
        <v>17</v>
      </c>
      <c r="AC231" s="347" t="s">
        <v>345</v>
      </c>
      <c r="AD231" s="1138"/>
      <c r="AE231" s="346">
        <v>32836</v>
      </c>
      <c r="AF231" s="345" t="s">
        <v>359</v>
      </c>
      <c r="AI231" s="934"/>
      <c r="AJ231" s="345">
        <v>105.01</v>
      </c>
      <c r="AK231" s="345" t="s">
        <v>337</v>
      </c>
      <c r="AP231" s="347">
        <v>408.02</v>
      </c>
      <c r="AQ231" s="347" t="s">
        <v>310</v>
      </c>
      <c r="AS231" s="348" t="str">
        <f t="array" ref="AS231">IFERROR(IF($AS$11="Metro",INDEX($AJ$13:$AJ$814,SMALL(IF((County=$AK$13:$AK$814),MATCH(ROW($AK$13:$AK$814),ROW($AK$13:$AK$814)),""),ROWS($A$13:$A231))),INDEX($AM$13:$AM$48,SMALL(IF((County=$AN$13:$AN$48),MATCH(ROW($AN$13:$AN$48),ROW($AN$13:$AN$48)),""),ROWS($A$13:$A231)))),"")</f>
        <v/>
      </c>
      <c r="AU231" s="348" t="str">
        <f t="array" ref="AU231">IFERROR(IF($AU$11="Yes",INDEX($AP$13:$AP$2950,SMALL(IF((County=$AQ$13:$AQ$2950),MATCH(ROW($AQ$13:$AQ$2950),ROW($AQ$13:$AQ$2950)),""),ROWS($A$13:$A231))),""),"")</f>
        <v/>
      </c>
      <c r="AW231" s="346">
        <v>33615</v>
      </c>
      <c r="AX231" s="345" t="s">
        <v>337</v>
      </c>
      <c r="AZ231" s="345">
        <v>20.03</v>
      </c>
      <c r="BA231" s="345" t="s">
        <v>345</v>
      </c>
      <c r="BF231" s="347">
        <v>12.02</v>
      </c>
      <c r="BG231" s="347" t="s">
        <v>297</v>
      </c>
      <c r="BH231" s="1790"/>
      <c r="BI231" s="2299">
        <v>32792</v>
      </c>
      <c r="BJ231" s="345" t="s">
        <v>359</v>
      </c>
      <c r="BM231" s="1784"/>
      <c r="BN231" s="345">
        <v>693</v>
      </c>
      <c r="BO231" s="345" t="s">
        <v>309</v>
      </c>
      <c r="BT231" s="347">
        <v>406.02</v>
      </c>
      <c r="BU231" s="347" t="s">
        <v>310</v>
      </c>
      <c r="BW231" s="348" t="str">
        <f t="array" ref="BW231">IFERROR(IF($BW$11="Metro",INDEX($BN$13:$BN$4972,SMALL(IF((County=$BO$13:$BO$4972),MATCH(ROW($BO$13:$BO$4972),ROW($BO$13:$BO$4972)),""),ROWS($A$13:$A231))),INDEX($BQ$13:$BQ$212,SMALL(IF((County=$BR$13:$BR$212),MATCH(ROW($BR$13:$BR$212),ROW($BR$13:$BR$212)),""),ROWS($A$13:$A231)))),"")</f>
        <v/>
      </c>
      <c r="BY231" s="348" t="str">
        <f t="array" ref="BY231">IFERROR(IF($BY$11="Yes",INDEX($BT$13:$BT$2950,SMALL(IF((County=$BU$13:$BU$2950),MATCH(ROW($BU$13:$BU$2950),ROW($BU$13:$BU$2950)),""),ROWS($A$13:$A231))),""),"")</f>
        <v/>
      </c>
      <c r="CA231" s="2298">
        <v>33543</v>
      </c>
      <c r="CB231" s="345" t="s">
        <v>362</v>
      </c>
      <c r="CD231" s="237">
        <v>6</v>
      </c>
      <c r="CE231" s="237" t="s">
        <v>344</v>
      </c>
      <c r="CJ231" s="347">
        <v>12.03</v>
      </c>
      <c r="CK231" s="347" t="s">
        <v>349</v>
      </c>
      <c r="CL231" s="1789"/>
      <c r="CM231" s="2299"/>
      <c r="CN231" s="345"/>
      <c r="CR231" s="345"/>
      <c r="CS231" s="345"/>
      <c r="CU231" s="345"/>
      <c r="CV231" s="345"/>
      <c r="CX231" s="347"/>
      <c r="CY231" s="347"/>
      <c r="DA231" s="348"/>
      <c r="DC231" s="348"/>
      <c r="DE231" s="1792"/>
      <c r="DF231" s="345"/>
      <c r="DH231" s="237"/>
      <c r="DI231" s="237"/>
      <c r="DK231" s="345"/>
      <c r="DL231" s="345"/>
      <c r="DN231" s="347"/>
      <c r="DO231" s="347"/>
      <c r="DP231" s="2505"/>
      <c r="DT231" s="663"/>
      <c r="DU231" s="663"/>
      <c r="DV231" s="663"/>
      <c r="DW231" s="663"/>
      <c r="DX231" s="663"/>
      <c r="DY231" s="663"/>
      <c r="DZ231" s="663"/>
      <c r="EA231" s="663"/>
      <c r="EB231" s="663"/>
      <c r="EC231" s="663"/>
      <c r="ED231" s="663"/>
    </row>
    <row r="232" spans="1:134">
      <c r="A232" s="346">
        <v>34761</v>
      </c>
      <c r="B232" s="345" t="s">
        <v>359</v>
      </c>
      <c r="E232" s="934"/>
      <c r="F232" s="345">
        <v>108.18</v>
      </c>
      <c r="G232" s="345" t="s">
        <v>337</v>
      </c>
      <c r="L232" s="347">
        <v>605.03</v>
      </c>
      <c r="M232" s="347" t="s">
        <v>310</v>
      </c>
      <c r="Q232" s="348" t="str">
        <f t="array" ref="Q232">IFERROR(IF($Q$11="Yes",INDEX($L$13:$L$2313,SMALL(IF((County=$M$13:$M$2313),MATCH(ROW($M$13:$M$2313),ROW($M$13:$M$2313)),""),ROWS($A$13:A232))),""),"")</f>
        <v/>
      </c>
      <c r="S232" s="346">
        <v>33705</v>
      </c>
      <c r="T232" s="345" t="s">
        <v>363</v>
      </c>
      <c r="V232" s="345">
        <v>27.01</v>
      </c>
      <c r="W232" s="345" t="s">
        <v>323</v>
      </c>
      <c r="AB232" s="347">
        <v>17</v>
      </c>
      <c r="AC232" s="347" t="s">
        <v>351</v>
      </c>
      <c r="AD232" s="1138"/>
      <c r="AE232" s="346">
        <v>32837</v>
      </c>
      <c r="AF232" s="345" t="s">
        <v>359</v>
      </c>
      <c r="AI232" s="934"/>
      <c r="AJ232" s="345">
        <v>108.05</v>
      </c>
      <c r="AK232" s="345" t="s">
        <v>337</v>
      </c>
      <c r="AP232" s="347">
        <v>418.01</v>
      </c>
      <c r="AQ232" s="347" t="s">
        <v>310</v>
      </c>
      <c r="AS232" s="348" t="str">
        <f t="array" ref="AS232">IFERROR(IF($AS$11="Metro",INDEX($AJ$13:$AJ$814,SMALL(IF((County=$AK$13:$AK$814),MATCH(ROW($AK$13:$AK$814),ROW($AK$13:$AK$814)),""),ROWS($A$13:$A232))),INDEX($AM$13:$AM$48,SMALL(IF((County=$AN$13:$AN$48),MATCH(ROW($AN$13:$AN$48),ROW($AN$13:$AN$48)),""),ROWS($A$13:$A232)))),"")</f>
        <v/>
      </c>
      <c r="AU232" s="348" t="str">
        <f t="array" ref="AU232">IFERROR(IF($AU$11="Yes",INDEX($AP$13:$AP$2950,SMALL(IF((County=$AQ$13:$AQ$2950),MATCH(ROW($AQ$13:$AQ$2950),ROW($AQ$13:$AQ$2950)),""),ROWS($A$13:$A232))),""),"")</f>
        <v/>
      </c>
      <c r="AW232" s="346">
        <v>33616</v>
      </c>
      <c r="AX232" s="345" t="s">
        <v>337</v>
      </c>
      <c r="AZ232" s="345">
        <v>20.03</v>
      </c>
      <c r="BA232" s="345" t="s">
        <v>352</v>
      </c>
      <c r="BF232" s="347">
        <v>12.02</v>
      </c>
      <c r="BG232" s="347" t="s">
        <v>349</v>
      </c>
      <c r="BH232" s="1790"/>
      <c r="BI232" s="2298">
        <v>32801</v>
      </c>
      <c r="BJ232" s="237" t="s">
        <v>359</v>
      </c>
      <c r="BM232" s="1784"/>
      <c r="BN232" s="345">
        <v>694</v>
      </c>
      <c r="BO232" s="345" t="s">
        <v>309</v>
      </c>
      <c r="BT232" s="347">
        <v>407.01</v>
      </c>
      <c r="BU232" s="347" t="s">
        <v>310</v>
      </c>
      <c r="BW232" s="348" t="str">
        <f t="array" ref="BW232">IFERROR(IF($BW$11="Metro",INDEX($BN$13:$BN$4972,SMALL(IF((County=$BO$13:$BO$4972),MATCH(ROW($BO$13:$BO$4972),ROW($BO$13:$BO$4972)),""),ROWS($A$13:$A232))),INDEX($BQ$13:$BQ$212,SMALL(IF((County=$BR$13:$BR$212),MATCH(ROW($BR$13:$BR$212),ROW($BR$13:$BR$212)),""),ROWS($A$13:$A232)))),"")</f>
        <v/>
      </c>
      <c r="BY232" s="348" t="str">
        <f t="array" ref="BY232">IFERROR(IF($BY$11="Yes",INDEX($BT$13:$BT$2950,SMALL(IF((County=$BU$13:$BU$2950),MATCH(ROW($BU$13:$BU$2950),ROW($BU$13:$BU$2950)),""),ROWS($A$13:$A232))),""),"")</f>
        <v/>
      </c>
      <c r="CA232" s="2298">
        <v>33544</v>
      </c>
      <c r="CB232" s="345" t="s">
        <v>362</v>
      </c>
      <c r="CD232" s="237">
        <v>6</v>
      </c>
      <c r="CE232" s="237" t="s">
        <v>345</v>
      </c>
      <c r="CJ232" s="347">
        <v>12.03</v>
      </c>
      <c r="CK232" s="347" t="s">
        <v>368</v>
      </c>
      <c r="CL232" s="1789"/>
      <c r="CM232" s="2299"/>
      <c r="CN232" s="345"/>
      <c r="CR232" s="345"/>
      <c r="CS232" s="345"/>
      <c r="CU232" s="345"/>
      <c r="CV232" s="345"/>
      <c r="CX232" s="347"/>
      <c r="CY232" s="347"/>
      <c r="DA232" s="348"/>
      <c r="DC232" s="348"/>
      <c r="DE232" s="1792"/>
      <c r="DF232" s="345"/>
      <c r="DH232" s="237"/>
      <c r="DI232" s="237"/>
      <c r="DK232" s="345"/>
      <c r="DL232" s="345"/>
      <c r="DN232" s="347"/>
      <c r="DO232" s="347"/>
      <c r="DP232" s="2505"/>
      <c r="DT232" s="663"/>
      <c r="DU232" s="663"/>
      <c r="DV232" s="663"/>
      <c r="DW232" s="663"/>
      <c r="DX232" s="663"/>
      <c r="DY232" s="663"/>
      <c r="DZ232" s="663"/>
      <c r="EA232" s="663"/>
      <c r="EB232" s="663"/>
      <c r="EC232" s="663"/>
      <c r="ED232" s="663"/>
    </row>
    <row r="233" spans="1:134">
      <c r="A233" s="346">
        <v>34786</v>
      </c>
      <c r="B233" s="345" t="s">
        <v>359</v>
      </c>
      <c r="E233" s="934"/>
      <c r="F233" s="345">
        <v>110.1</v>
      </c>
      <c r="G233" s="345" t="s">
        <v>337</v>
      </c>
      <c r="L233" s="347">
        <v>605.04</v>
      </c>
      <c r="M233" s="347" t="s">
        <v>310</v>
      </c>
      <c r="Q233" s="348" t="str">
        <f t="array" ref="Q233">IFERROR(IF($Q$11="Yes",INDEX($L$13:$L$2313,SMALL(IF((County=$M$13:$M$2313),MATCH(ROW($M$13:$M$2313),ROW($M$13:$M$2313)),""),ROWS($A$13:A233))),""),"")</f>
        <v/>
      </c>
      <c r="S233" s="346">
        <v>33706</v>
      </c>
      <c r="T233" s="345" t="s">
        <v>363</v>
      </c>
      <c r="V233" s="345">
        <v>27.02</v>
      </c>
      <c r="W233" s="345" t="s">
        <v>323</v>
      </c>
      <c r="AB233" s="347">
        <v>17.010000000000002</v>
      </c>
      <c r="AC233" s="347" t="s">
        <v>297</v>
      </c>
      <c r="AD233" s="1138"/>
      <c r="AE233" s="346">
        <v>34734</v>
      </c>
      <c r="AF233" s="345" t="s">
        <v>359</v>
      </c>
      <c r="AI233" s="934"/>
      <c r="AJ233" s="345">
        <v>108.08</v>
      </c>
      <c r="AK233" s="345" t="s">
        <v>337</v>
      </c>
      <c r="AP233" s="347">
        <v>419</v>
      </c>
      <c r="AQ233" s="347" t="s">
        <v>310</v>
      </c>
      <c r="AS233" s="348" t="str">
        <f t="array" ref="AS233">IFERROR(IF($AS$11="Metro",INDEX($AJ$13:$AJ$814,SMALL(IF((County=$AK$13:$AK$814),MATCH(ROW($AK$13:$AK$814),ROW($AK$13:$AK$814)),""),ROWS($A$13:$A233))),INDEX($AM$13:$AM$48,SMALL(IF((County=$AN$13:$AN$48),MATCH(ROW($AN$13:$AN$48),ROW($AN$13:$AN$48)),""),ROWS($A$13:$A233)))),"")</f>
        <v/>
      </c>
      <c r="AU233" s="348" t="str">
        <f t="array" ref="AU233">IFERROR(IF($AU$11="Yes",INDEX($AP$13:$AP$2950,SMALL(IF((County=$AQ$13:$AQ$2950),MATCH(ROW($AQ$13:$AQ$2950),ROW($AQ$13:$AQ$2950)),""),ROWS($A$13:$A233))),""),"")</f>
        <v/>
      </c>
      <c r="AW233" s="346">
        <v>33621</v>
      </c>
      <c r="AX233" s="345" t="s">
        <v>337</v>
      </c>
      <c r="AZ233" s="345">
        <v>20.04</v>
      </c>
      <c r="BA233" s="345" t="s">
        <v>352</v>
      </c>
      <c r="BF233" s="347">
        <v>12.02</v>
      </c>
      <c r="BG233" s="347" t="s">
        <v>368</v>
      </c>
      <c r="BH233" s="1790"/>
      <c r="BI233" s="2299">
        <v>32803</v>
      </c>
      <c r="BJ233" s="345" t="s">
        <v>359</v>
      </c>
      <c r="BM233" s="1784"/>
      <c r="BN233" s="345">
        <v>697</v>
      </c>
      <c r="BO233" s="345" t="s">
        <v>309</v>
      </c>
      <c r="BT233" s="347">
        <v>407.02</v>
      </c>
      <c r="BU233" s="347" t="s">
        <v>310</v>
      </c>
      <c r="BW233" s="348" t="str">
        <f t="array" ref="BW233">IFERROR(IF($BW$11="Metro",INDEX($BN$13:$BN$4972,SMALL(IF((County=$BO$13:$BO$4972),MATCH(ROW($BO$13:$BO$4972),ROW($BO$13:$BO$4972)),""),ROWS($A$13:$A233))),INDEX($BQ$13:$BQ$212,SMALL(IF((County=$BR$13:$BR$212),MATCH(ROW($BR$13:$BR$212),ROW($BR$13:$BR$212)),""),ROWS($A$13:$A233)))),"")</f>
        <v/>
      </c>
      <c r="BY233" s="348" t="str">
        <f t="array" ref="BY233">IFERROR(IF($BY$11="Yes",INDEX($BT$13:$BT$2950,SMALL(IF((County=$BU$13:$BU$2950),MATCH(ROW($BU$13:$BU$2950),ROW($BU$13:$BU$2950)),""),ROWS($A$13:$A233))),""),"")</f>
        <v/>
      </c>
      <c r="CA233" s="2298">
        <v>33545</v>
      </c>
      <c r="CB233" s="345" t="s">
        <v>362</v>
      </c>
      <c r="CD233" s="237">
        <v>6</v>
      </c>
      <c r="CE233" s="237" t="s">
        <v>361</v>
      </c>
      <c r="CJ233" s="347">
        <v>12.04</v>
      </c>
      <c r="CK233" s="347" t="s">
        <v>344</v>
      </c>
      <c r="CL233" s="1789"/>
      <c r="CM233" s="2299"/>
      <c r="CN233" s="345"/>
      <c r="CR233" s="345"/>
      <c r="CS233" s="345"/>
      <c r="CU233" s="345"/>
      <c r="CV233" s="345"/>
      <c r="CX233" s="347"/>
      <c r="CY233" s="347"/>
      <c r="DA233" s="348"/>
      <c r="DC233" s="348"/>
      <c r="DE233" s="1792"/>
      <c r="DF233" s="345"/>
      <c r="DH233" s="237"/>
      <c r="DI233" s="237"/>
      <c r="DK233" s="345"/>
      <c r="DL233" s="345"/>
      <c r="DN233" s="347"/>
      <c r="DO233" s="347"/>
      <c r="DP233" s="2505"/>
      <c r="DT233" s="663"/>
      <c r="DU233" s="663"/>
      <c r="DV233" s="663"/>
      <c r="DW233" s="663"/>
      <c r="DX233" s="663"/>
      <c r="DY233" s="663"/>
      <c r="DZ233" s="663"/>
      <c r="EA233" s="663"/>
      <c r="EB233" s="663"/>
      <c r="EC233" s="663"/>
      <c r="ED233" s="663"/>
    </row>
    <row r="234" spans="1:134">
      <c r="A234" s="346">
        <v>33848</v>
      </c>
      <c r="B234" s="345" t="s">
        <v>360</v>
      </c>
      <c r="E234" s="934"/>
      <c r="F234" s="345">
        <v>112.06</v>
      </c>
      <c r="G234" s="345" t="s">
        <v>337</v>
      </c>
      <c r="L234" s="347">
        <v>606.03</v>
      </c>
      <c r="M234" s="347" t="s">
        <v>310</v>
      </c>
      <c r="Q234" s="348" t="str">
        <f t="array" ref="Q234">IFERROR(IF($Q$11="Yes",INDEX($L$13:$L$2313,SMALL(IF((County=$M$13:$M$2313),MATCH(ROW($M$13:$M$2313),ROW($M$13:$M$2313)),""),ROWS($A$13:A234))),""),"")</f>
        <v/>
      </c>
      <c r="S234" s="346">
        <v>33707</v>
      </c>
      <c r="T234" s="345" t="s">
        <v>363</v>
      </c>
      <c r="V234" s="345">
        <v>27.03</v>
      </c>
      <c r="W234" s="345" t="s">
        <v>325</v>
      </c>
      <c r="AB234" s="347">
        <v>17.010000000000002</v>
      </c>
      <c r="AC234" s="347" t="s">
        <v>344</v>
      </c>
      <c r="AD234" s="1138"/>
      <c r="AE234" s="346">
        <v>34760</v>
      </c>
      <c r="AF234" s="345" t="s">
        <v>359</v>
      </c>
      <c r="AI234" s="934"/>
      <c r="AJ234" s="345">
        <v>108.09</v>
      </c>
      <c r="AK234" s="345" t="s">
        <v>337</v>
      </c>
      <c r="AP234" s="347">
        <v>420</v>
      </c>
      <c r="AQ234" s="347" t="s">
        <v>310</v>
      </c>
      <c r="AS234" s="348" t="str">
        <f t="array" ref="AS234">IFERROR(IF($AS$11="Metro",INDEX($AJ$13:$AJ$814,SMALL(IF((County=$AK$13:$AK$814),MATCH(ROW($AK$13:$AK$814),ROW($AK$13:$AK$814)),""),ROWS($A$13:$A234))),INDEX($AM$13:$AM$48,SMALL(IF((County=$AN$13:$AN$48),MATCH(ROW($AN$13:$AN$48),ROW($AN$13:$AN$48)),""),ROWS($A$13:$A234)))),"")</f>
        <v/>
      </c>
      <c r="AU234" s="348" t="str">
        <f t="array" ref="AU234">IFERROR(IF($AU$11="Yes",INDEX($AP$13:$AP$2950,SMALL(IF((County=$AQ$13:$AQ$2950),MATCH(ROW($AQ$13:$AQ$2950),ROW($AQ$13:$AQ$2950)),""),ROWS($A$13:$A234))),""),"")</f>
        <v/>
      </c>
      <c r="AW234" s="346">
        <v>33624</v>
      </c>
      <c r="AX234" s="345" t="s">
        <v>337</v>
      </c>
      <c r="AZ234" s="345">
        <v>20.05</v>
      </c>
      <c r="BA234" s="345" t="s">
        <v>345</v>
      </c>
      <c r="BF234" s="347">
        <v>12.03</v>
      </c>
      <c r="BG234" s="347" t="s">
        <v>297</v>
      </c>
      <c r="BH234" s="1790"/>
      <c r="BI234" s="2299">
        <v>32805</v>
      </c>
      <c r="BJ234" s="345" t="s">
        <v>359</v>
      </c>
      <c r="BM234" s="1784"/>
      <c r="BN234" s="345">
        <v>698.01</v>
      </c>
      <c r="BO234" s="345" t="s">
        <v>309</v>
      </c>
      <c r="BT234" s="347">
        <v>408.02</v>
      </c>
      <c r="BU234" s="347" t="s">
        <v>310</v>
      </c>
      <c r="BW234" s="348" t="str">
        <f t="array" ref="BW234">IFERROR(IF($BW$11="Metro",INDEX($BN$13:$BN$4972,SMALL(IF((County=$BO$13:$BO$4972),MATCH(ROW($BO$13:$BO$4972),ROW($BO$13:$BO$4972)),""),ROWS($A$13:$A234))),INDEX($BQ$13:$BQ$212,SMALL(IF((County=$BR$13:$BR$212),MATCH(ROW($BR$13:$BR$212),ROW($BR$13:$BR$212)),""),ROWS($A$13:$A234)))),"")</f>
        <v/>
      </c>
      <c r="BY234" s="348" t="str">
        <f t="array" ref="BY234">IFERROR(IF($BY$11="Yes",INDEX($BT$13:$BT$2950,SMALL(IF((County=$BU$13:$BU$2950),MATCH(ROW($BU$13:$BU$2950),ROW($BU$13:$BU$2950)),""),ROWS($A$13:$A234))),""),"")</f>
        <v/>
      </c>
      <c r="CA234" s="2298">
        <v>33547</v>
      </c>
      <c r="CB234" s="345" t="s">
        <v>337</v>
      </c>
      <c r="CD234" s="237">
        <v>6.01</v>
      </c>
      <c r="CE234" s="237" t="s">
        <v>337</v>
      </c>
      <c r="CJ234" s="347">
        <v>12.04</v>
      </c>
      <c r="CK234" s="347" t="s">
        <v>349</v>
      </c>
      <c r="CL234" s="1789"/>
      <c r="CM234" s="2299"/>
      <c r="CN234" s="345"/>
      <c r="CR234" s="345"/>
      <c r="CS234" s="345"/>
      <c r="CU234" s="345"/>
      <c r="CV234" s="345"/>
      <c r="CX234" s="347"/>
      <c r="CY234" s="347"/>
      <c r="DA234" s="348"/>
      <c r="DC234" s="348"/>
      <c r="DE234" s="1792"/>
      <c r="DF234" s="345"/>
      <c r="DH234" s="237"/>
      <c r="DI234" s="237"/>
      <c r="DK234" s="345"/>
      <c r="DL234" s="345"/>
      <c r="DN234" s="347"/>
      <c r="DO234" s="347"/>
      <c r="DP234" s="2505"/>
      <c r="DT234" s="663"/>
      <c r="DU234" s="663"/>
      <c r="DV234" s="663"/>
      <c r="DW234" s="663"/>
      <c r="DX234" s="663"/>
      <c r="DY234" s="663"/>
      <c r="DZ234" s="663"/>
      <c r="EA234" s="663"/>
      <c r="EB234" s="663"/>
      <c r="EC234" s="663"/>
      <c r="ED234" s="663"/>
    </row>
    <row r="235" spans="1:134">
      <c r="A235" s="346">
        <v>34743</v>
      </c>
      <c r="B235" s="345" t="s">
        <v>360</v>
      </c>
      <c r="E235" s="934"/>
      <c r="F235" s="345">
        <v>116.1</v>
      </c>
      <c r="G235" s="345" t="s">
        <v>337</v>
      </c>
      <c r="L235" s="347">
        <v>606.04999999999995</v>
      </c>
      <c r="M235" s="347" t="s">
        <v>310</v>
      </c>
      <c r="Q235" s="348" t="str">
        <f t="array" ref="Q235">IFERROR(IF($Q$11="Yes",INDEX($L$13:$L$2313,SMALL(IF((County=$M$13:$M$2313),MATCH(ROW($M$13:$M$2313),ROW($M$13:$M$2313)),""),ROWS($A$13:A235))),""),"")</f>
        <v/>
      </c>
      <c r="S235" s="346">
        <v>33708</v>
      </c>
      <c r="T235" s="345" t="s">
        <v>363</v>
      </c>
      <c r="V235" s="345">
        <v>28</v>
      </c>
      <c r="W235" s="345" t="s">
        <v>352</v>
      </c>
      <c r="AB235" s="347">
        <v>17.010000000000002</v>
      </c>
      <c r="AC235" s="347" t="s">
        <v>349</v>
      </c>
      <c r="AD235" s="1138"/>
      <c r="AE235" s="346">
        <v>34761</v>
      </c>
      <c r="AF235" s="345" t="s">
        <v>359</v>
      </c>
      <c r="AI235" s="934"/>
      <c r="AJ235" s="345">
        <v>108.11</v>
      </c>
      <c r="AK235" s="345" t="s">
        <v>337</v>
      </c>
      <c r="AP235" s="347">
        <v>421</v>
      </c>
      <c r="AQ235" s="347" t="s">
        <v>310</v>
      </c>
      <c r="AS235" s="348" t="str">
        <f t="array" ref="AS235">IFERROR(IF($AS$11="Metro",INDEX($AJ$13:$AJ$814,SMALL(IF((County=$AK$13:$AK$814),MATCH(ROW($AK$13:$AK$814),ROW($AK$13:$AK$814)),""),ROWS($A$13:$A235))),INDEX($AM$13:$AM$48,SMALL(IF((County=$AN$13:$AN$48),MATCH(ROW($AN$13:$AN$48),ROW($AN$13:$AN$48)),""),ROWS($A$13:$A235)))),"")</f>
        <v/>
      </c>
      <c r="AU235" s="348" t="str">
        <f t="array" ref="AU235">IFERROR(IF($AU$11="Yes",INDEX($AP$13:$AP$2950,SMALL(IF((County=$AQ$13:$AQ$2950),MATCH(ROW($AQ$13:$AQ$2950),ROW($AQ$13:$AQ$2950)),""),ROWS($A$13:$A235))),""),"")</f>
        <v/>
      </c>
      <c r="AW235" s="346">
        <v>33625</v>
      </c>
      <c r="AX235" s="345" t="s">
        <v>337</v>
      </c>
      <c r="AZ235" s="345">
        <v>20.059999999999999</v>
      </c>
      <c r="BA235" s="345" t="s">
        <v>345</v>
      </c>
      <c r="BF235" s="347">
        <v>12.03</v>
      </c>
      <c r="BG235" s="347" t="s">
        <v>349</v>
      </c>
      <c r="BH235" s="1790"/>
      <c r="BI235" s="2298">
        <v>32806</v>
      </c>
      <c r="BJ235" s="237" t="s">
        <v>359</v>
      </c>
      <c r="BM235" s="1784"/>
      <c r="BN235" s="345">
        <v>698.02</v>
      </c>
      <c r="BO235" s="345" t="s">
        <v>309</v>
      </c>
      <c r="BT235" s="347">
        <v>418.01</v>
      </c>
      <c r="BU235" s="347" t="s">
        <v>310</v>
      </c>
      <c r="BW235" s="348" t="str">
        <f t="array" ref="BW235">IFERROR(IF($BW$11="Metro",INDEX($BN$13:$BN$4972,SMALL(IF((County=$BO$13:$BO$4972),MATCH(ROW($BO$13:$BO$4972),ROW($BO$13:$BO$4972)),""),ROWS($A$13:$A235))),INDEX($BQ$13:$BQ$212,SMALL(IF((County=$BR$13:$BR$212),MATCH(ROW($BR$13:$BR$212),ROW($BR$13:$BR$212)),""),ROWS($A$13:$A235)))),"")</f>
        <v/>
      </c>
      <c r="BY235" s="348" t="str">
        <f t="array" ref="BY235">IFERROR(IF($BY$11="Yes",INDEX($BT$13:$BT$2950,SMALL(IF((County=$BU$13:$BU$2950),MATCH(ROW($BU$13:$BU$2950),ROW($BU$13:$BU$2950)),""),ROWS($A$13:$A235))),""),"")</f>
        <v/>
      </c>
      <c r="CA235" s="2298">
        <v>33548</v>
      </c>
      <c r="CB235" s="345" t="s">
        <v>337</v>
      </c>
      <c r="CD235" s="237">
        <v>6.01</v>
      </c>
      <c r="CE235" s="237" t="s">
        <v>349</v>
      </c>
      <c r="CJ235" s="347">
        <v>12.04</v>
      </c>
      <c r="CK235" s="347" t="s">
        <v>352</v>
      </c>
      <c r="CL235" s="1789"/>
      <c r="CM235" s="2299"/>
      <c r="CN235" s="345"/>
      <c r="CR235" s="345"/>
      <c r="CS235" s="345"/>
      <c r="CU235" s="345"/>
      <c r="CV235" s="345"/>
      <c r="CX235" s="347"/>
      <c r="CY235" s="347"/>
      <c r="DA235" s="348"/>
      <c r="DC235" s="348"/>
      <c r="DE235" s="1792"/>
      <c r="DF235" s="345"/>
      <c r="DH235" s="237"/>
      <c r="DI235" s="237"/>
      <c r="DK235" s="345"/>
      <c r="DL235" s="345"/>
      <c r="DN235" s="347"/>
      <c r="DO235" s="347"/>
      <c r="DP235" s="2505"/>
      <c r="DT235" s="663"/>
      <c r="DU235" s="663"/>
      <c r="DV235" s="663"/>
      <c r="DW235" s="663"/>
      <c r="DX235" s="663"/>
      <c r="DY235" s="663"/>
      <c r="DZ235" s="663"/>
      <c r="EA235" s="663"/>
      <c r="EB235" s="663"/>
      <c r="EC235" s="663"/>
      <c r="ED235" s="663"/>
    </row>
    <row r="236" spans="1:134">
      <c r="A236" s="346">
        <v>34744</v>
      </c>
      <c r="B236" s="345" t="s">
        <v>360</v>
      </c>
      <c r="E236" s="934"/>
      <c r="F236" s="345">
        <v>116.14</v>
      </c>
      <c r="G236" s="345" t="s">
        <v>337</v>
      </c>
      <c r="L236" s="347">
        <v>606.07000000000005</v>
      </c>
      <c r="M236" s="347" t="s">
        <v>310</v>
      </c>
      <c r="Q236" s="348" t="str">
        <f t="array" ref="Q236">IFERROR(IF($Q$11="Yes",INDEX($L$13:$L$2313,SMALL(IF((County=$M$13:$M$2313),MATCH(ROW($M$13:$M$2313),ROW($M$13:$M$2313)),""),ROWS($A$13:A236))),""),"")</f>
        <v/>
      </c>
      <c r="S236" s="346">
        <v>33711</v>
      </c>
      <c r="T236" s="345" t="s">
        <v>363</v>
      </c>
      <c r="V236" s="345">
        <v>28.01</v>
      </c>
      <c r="W236" s="345" t="s">
        <v>323</v>
      </c>
      <c r="AB236" s="347">
        <v>17.02</v>
      </c>
      <c r="AC236" s="347" t="s">
        <v>297</v>
      </c>
      <c r="AD236" s="1138"/>
      <c r="AE236" s="346">
        <v>34786</v>
      </c>
      <c r="AF236" s="345" t="s">
        <v>359</v>
      </c>
      <c r="AI236" s="934"/>
      <c r="AJ236" s="345">
        <v>108.14</v>
      </c>
      <c r="AK236" s="345" t="s">
        <v>337</v>
      </c>
      <c r="AP236" s="347">
        <v>422</v>
      </c>
      <c r="AQ236" s="347" t="s">
        <v>310</v>
      </c>
      <c r="AS236" s="1788" t="s">
        <v>2595</v>
      </c>
      <c r="AU236" s="348" t="str">
        <f t="array" ref="AU236">IFERROR(IF($AU$11="Yes",INDEX($AP$13:$AP$2950,SMALL(IF((County=$AQ$13:$AQ$2950),MATCH(ROW($AQ$13:$AQ$2950),ROW($AQ$13:$AQ$2950)),""),ROWS($A$13:$A236))),""),"")</f>
        <v/>
      </c>
      <c r="AW236" s="346">
        <v>33626</v>
      </c>
      <c r="AX236" s="345" t="s">
        <v>337</v>
      </c>
      <c r="AZ236" s="345">
        <v>20.07</v>
      </c>
      <c r="BA236" s="345" t="s">
        <v>345</v>
      </c>
      <c r="BF236" s="347">
        <v>12.03</v>
      </c>
      <c r="BG236" s="347" t="s">
        <v>368</v>
      </c>
      <c r="BH236" s="1790"/>
      <c r="BI236" s="2299">
        <v>32811</v>
      </c>
      <c r="BJ236" s="345" t="s">
        <v>359</v>
      </c>
      <c r="BM236" s="1784"/>
      <c r="BN236" s="345">
        <v>699.03</v>
      </c>
      <c r="BO236" s="345" t="s">
        <v>309</v>
      </c>
      <c r="BT236" s="347">
        <v>418.02</v>
      </c>
      <c r="BU236" s="347" t="s">
        <v>310</v>
      </c>
      <c r="BW236" s="348" t="str">
        <f t="array" ref="BW236">IFERROR(IF($BW$11="Metro",INDEX($BN$13:$BN$4972,SMALL(IF((County=$BO$13:$BO$4972),MATCH(ROW($BO$13:$BO$4972),ROW($BO$13:$BO$4972)),""),ROWS($A$13:$A236))),INDEX($BQ$13:$BQ$212,SMALL(IF((County=$BR$13:$BR$212),MATCH(ROW($BR$13:$BR$212),ROW($BR$13:$BR$212)),""),ROWS($A$13:$A236)))),"")</f>
        <v/>
      </c>
      <c r="BY236" s="348" t="str">
        <f t="array" ref="BY236">IFERROR(IF($BY$11="Yes",INDEX($BT$13:$BT$2950,SMALL(IF((County=$BU$13:$BU$2950),MATCH(ROW($BU$13:$BU$2950),ROW($BU$13:$BU$2950)),""),ROWS($A$13:$A236))),""),"")</f>
        <v/>
      </c>
      <c r="CA236" s="2298">
        <v>33549</v>
      </c>
      <c r="CB236" s="345" t="s">
        <v>337</v>
      </c>
      <c r="CD236" s="237">
        <v>6.01</v>
      </c>
      <c r="CE236" s="237" t="s">
        <v>350</v>
      </c>
      <c r="CJ236" s="347">
        <v>12.04</v>
      </c>
      <c r="CK236" s="347" t="s">
        <v>368</v>
      </c>
      <c r="CL236" s="1789"/>
      <c r="CM236" s="2299"/>
      <c r="CN236" s="345"/>
      <c r="CR236" s="345"/>
      <c r="CS236" s="345"/>
      <c r="CU236" s="345"/>
      <c r="CV236" s="345"/>
      <c r="CX236" s="347"/>
      <c r="CY236" s="347"/>
      <c r="DA236" s="348"/>
      <c r="DC236" s="348"/>
      <c r="DE236" s="1792"/>
      <c r="DF236" s="345"/>
      <c r="DH236" s="237"/>
      <c r="DI236" s="237"/>
      <c r="DK236" s="345"/>
      <c r="DL236" s="345"/>
      <c r="DN236" s="347"/>
      <c r="DO236" s="347"/>
      <c r="DP236" s="2505"/>
      <c r="DT236" s="663"/>
      <c r="DU236" s="663"/>
      <c r="DV236" s="663"/>
      <c r="DW236" s="663"/>
      <c r="DX236" s="663"/>
      <c r="DY236" s="663"/>
      <c r="DZ236" s="663"/>
      <c r="EA236" s="663"/>
      <c r="EB236" s="663"/>
      <c r="EC236" s="663"/>
      <c r="ED236" s="663"/>
    </row>
    <row r="237" spans="1:134">
      <c r="A237" s="346">
        <v>34746</v>
      </c>
      <c r="B237" s="345" t="s">
        <v>360</v>
      </c>
      <c r="E237" s="934"/>
      <c r="F237" s="345">
        <v>116.15</v>
      </c>
      <c r="G237" s="345" t="s">
        <v>337</v>
      </c>
      <c r="L237" s="347">
        <v>606.08000000000004</v>
      </c>
      <c r="M237" s="347" t="s">
        <v>310</v>
      </c>
      <c r="Q237" s="348" t="str">
        <f t="array" ref="Q237">IFERROR(IF($Q$11="Yes",INDEX($L$13:$L$2313,SMALL(IF((County=$M$13:$M$2313),MATCH(ROW($M$13:$M$2313),ROW($M$13:$M$2313)),""),ROWS($A$13:A237))),""),"")</f>
        <v/>
      </c>
      <c r="S237" s="346">
        <v>33713</v>
      </c>
      <c r="T237" s="345" t="s">
        <v>363</v>
      </c>
      <c r="V237" s="345">
        <v>28.02</v>
      </c>
      <c r="W237" s="345" t="s">
        <v>323</v>
      </c>
      <c r="AB237" s="347">
        <v>17.02</v>
      </c>
      <c r="AC237" s="347" t="s">
        <v>368</v>
      </c>
      <c r="AD237" s="1138"/>
      <c r="AE237" s="346">
        <v>33848</v>
      </c>
      <c r="AF237" s="345" t="s">
        <v>360</v>
      </c>
      <c r="AI237" s="934"/>
      <c r="AJ237" s="345">
        <v>108.15</v>
      </c>
      <c r="AK237" s="345" t="s">
        <v>337</v>
      </c>
      <c r="AP237" s="347">
        <v>423.01</v>
      </c>
      <c r="AQ237" s="347" t="s">
        <v>310</v>
      </c>
      <c r="AU237" s="348" t="str">
        <f t="array" ref="AU237">IFERROR(IF($AU$11="Yes",INDEX($AP$13:$AP$2950,SMALL(IF((County=$AQ$13:$AQ$2950),MATCH(ROW($AQ$13:$AQ$2950),ROW($AQ$13:$AQ$2950)),""),ROWS($A$13:$A237))),""),"")</f>
        <v/>
      </c>
      <c r="AW237" s="346">
        <v>33629</v>
      </c>
      <c r="AX237" s="345" t="s">
        <v>337</v>
      </c>
      <c r="AZ237" s="345">
        <v>20.079999999999998</v>
      </c>
      <c r="BA237" s="345" t="s">
        <v>345</v>
      </c>
      <c r="BF237" s="347">
        <v>12.04</v>
      </c>
      <c r="BG237" s="347" t="s">
        <v>344</v>
      </c>
      <c r="BH237" s="1790"/>
      <c r="BI237" s="2299">
        <v>32812</v>
      </c>
      <c r="BJ237" s="345" t="s">
        <v>359</v>
      </c>
      <c r="BM237" s="1784"/>
      <c r="BN237" s="345">
        <v>699.04</v>
      </c>
      <c r="BO237" s="345" t="s">
        <v>309</v>
      </c>
      <c r="BT237" s="347">
        <v>419</v>
      </c>
      <c r="BU237" s="347" t="s">
        <v>310</v>
      </c>
      <c r="BW237" s="348" t="str">
        <f t="array" ref="BW237">IFERROR(IF($BW$11="Metro",INDEX($BN$13:$BN$4972,SMALL(IF((County=$BO$13:$BO$4972),MATCH(ROW($BO$13:$BO$4972),ROW($BO$13:$BO$4972)),""),ROWS($A$13:$A237))),INDEX($BQ$13:$BQ$212,SMALL(IF((County=$BR$13:$BR$212),MATCH(ROW($BR$13:$BR$212),ROW($BR$13:$BR$212)),""),ROWS($A$13:$A237)))),"")</f>
        <v/>
      </c>
      <c r="BY237" s="348" t="str">
        <f t="array" ref="BY237">IFERROR(IF($BY$11="Yes",INDEX($BT$13:$BT$2950,SMALL(IF((County=$BU$13:$BU$2950),MATCH(ROW($BU$13:$BU$2950),ROW($BU$13:$BU$2950)),""),ROWS($A$13:$A237))),""),"")</f>
        <v/>
      </c>
      <c r="CA237" s="2298">
        <v>33556</v>
      </c>
      <c r="CB237" s="345" t="s">
        <v>337</v>
      </c>
      <c r="CD237" s="237">
        <v>6.01</v>
      </c>
      <c r="CE237" s="237" t="s">
        <v>352</v>
      </c>
      <c r="CJ237" s="347">
        <v>12.05</v>
      </c>
      <c r="CK237" s="347" t="s">
        <v>344</v>
      </c>
      <c r="CL237" s="1789"/>
      <c r="CM237" s="2299"/>
      <c r="CN237" s="345"/>
      <c r="CR237" s="345"/>
      <c r="CS237" s="345"/>
      <c r="CU237" s="345"/>
      <c r="CV237" s="345"/>
      <c r="CX237" s="347"/>
      <c r="CY237" s="347"/>
      <c r="DA237" s="348"/>
      <c r="DC237" s="348"/>
      <c r="DE237" s="1792"/>
      <c r="DF237" s="345"/>
      <c r="DH237" s="237"/>
      <c r="DI237" s="237"/>
      <c r="DK237" s="345"/>
      <c r="DL237" s="345"/>
      <c r="DN237" s="347"/>
      <c r="DO237" s="347"/>
      <c r="DP237" s="2505"/>
      <c r="DT237" s="663"/>
      <c r="DU237" s="663"/>
      <c r="DV237" s="663"/>
      <c r="DW237" s="663"/>
      <c r="DX237" s="663"/>
      <c r="DY237" s="663"/>
      <c r="DZ237" s="663"/>
      <c r="EA237" s="663"/>
      <c r="EB237" s="663"/>
      <c r="EC237" s="663"/>
      <c r="ED237" s="663"/>
    </row>
    <row r="238" spans="1:134">
      <c r="A238" s="346">
        <v>34747</v>
      </c>
      <c r="B238" s="345" t="s">
        <v>360</v>
      </c>
      <c r="E238" s="934"/>
      <c r="F238" s="345">
        <v>119.04</v>
      </c>
      <c r="G238" s="345" t="s">
        <v>337</v>
      </c>
      <c r="L238" s="347">
        <v>606.09</v>
      </c>
      <c r="M238" s="347" t="s">
        <v>310</v>
      </c>
      <c r="Q238" s="348" t="str">
        <f t="array" ref="Q238">IFERROR(IF($Q$11="Yes",INDEX($L$13:$L$2313,SMALL(IF((County=$M$13:$M$2313),MATCH(ROW($M$13:$M$2313),ROW($M$13:$M$2313)),""),ROWS($A$13:A238))),""),"")</f>
        <v/>
      </c>
      <c r="S238" s="346">
        <v>33715</v>
      </c>
      <c r="T238" s="345" t="s">
        <v>363</v>
      </c>
      <c r="V238" s="345">
        <v>29</v>
      </c>
      <c r="W238" s="345" t="s">
        <v>325</v>
      </c>
      <c r="AB238" s="347">
        <v>17.03</v>
      </c>
      <c r="AC238" s="347" t="s">
        <v>344</v>
      </c>
      <c r="AD238" s="1138"/>
      <c r="AE238" s="346">
        <v>34743</v>
      </c>
      <c r="AF238" s="345" t="s">
        <v>360</v>
      </c>
      <c r="AI238" s="934"/>
      <c r="AJ238" s="345">
        <v>108.16</v>
      </c>
      <c r="AK238" s="345" t="s">
        <v>337</v>
      </c>
      <c r="AP238" s="347">
        <v>423.02</v>
      </c>
      <c r="AQ238" s="347" t="s">
        <v>310</v>
      </c>
      <c r="AU238" s="348" t="str">
        <f t="array" ref="AU238">IFERROR(IF($AU$11="Yes",INDEX($AP$13:$AP$2950,SMALL(IF((County=$AQ$13:$AQ$2950),MATCH(ROW($AQ$13:$AQ$2950),ROW($AQ$13:$AQ$2950)),""),ROWS($A$13:$A238))),""),"")</f>
        <v/>
      </c>
      <c r="AW238" s="346">
        <v>33634</v>
      </c>
      <c r="AX238" s="345" t="s">
        <v>337</v>
      </c>
      <c r="AZ238" s="345">
        <v>21</v>
      </c>
      <c r="BA238" s="345" t="s">
        <v>325</v>
      </c>
      <c r="BF238" s="347">
        <v>12.04</v>
      </c>
      <c r="BG238" s="347" t="s">
        <v>349</v>
      </c>
      <c r="BH238" s="1790"/>
      <c r="BI238" s="2299">
        <v>32814</v>
      </c>
      <c r="BJ238" s="345" t="s">
        <v>359</v>
      </c>
      <c r="BM238" s="1784"/>
      <c r="BN238" s="345">
        <v>699.05</v>
      </c>
      <c r="BO238" s="345" t="s">
        <v>309</v>
      </c>
      <c r="BT238" s="347">
        <v>420</v>
      </c>
      <c r="BU238" s="347" t="s">
        <v>310</v>
      </c>
      <c r="BW238" s="348" t="str">
        <f t="array" ref="BW238">IFERROR(IF($BW$11="Metro",INDEX($BN$13:$BN$4972,SMALL(IF((County=$BO$13:$BO$4972),MATCH(ROW($BO$13:$BO$4972),ROW($BO$13:$BO$4972)),""),ROWS($A$13:$A238))),INDEX($BQ$13:$BQ$212,SMALL(IF((County=$BR$13:$BR$212),MATCH(ROW($BR$13:$BR$212),ROW($BR$13:$BR$212)),""),ROWS($A$13:$A238)))),"")</f>
        <v/>
      </c>
      <c r="BY238" s="348" t="str">
        <f t="array" ref="BY238">IFERROR(IF($BY$11="Yes",INDEX($BT$13:$BT$2950,SMALL(IF((County=$BU$13:$BU$2950),MATCH(ROW($BU$13:$BU$2950),ROW($BU$13:$BU$2950)),""),ROWS($A$13:$A238))),""),"")</f>
        <v/>
      </c>
      <c r="CA238" s="2298">
        <v>33558</v>
      </c>
      <c r="CB238" s="345" t="s">
        <v>337</v>
      </c>
      <c r="CD238" s="237">
        <v>6.01</v>
      </c>
      <c r="CE238" s="237" t="s">
        <v>368</v>
      </c>
      <c r="CJ238" s="347">
        <v>12.05</v>
      </c>
      <c r="CK238" s="347" t="s">
        <v>350</v>
      </c>
      <c r="CL238" s="1789"/>
      <c r="CM238" s="2299"/>
      <c r="CN238" s="345"/>
      <c r="CR238" s="345"/>
      <c r="CS238" s="345"/>
      <c r="CU238" s="345"/>
      <c r="CV238" s="345"/>
      <c r="CX238" s="347"/>
      <c r="CY238" s="347"/>
      <c r="DA238" s="348"/>
      <c r="DC238" s="348"/>
      <c r="DE238" s="1792"/>
      <c r="DF238" s="345"/>
      <c r="DH238" s="237"/>
      <c r="DI238" s="237"/>
      <c r="DK238" s="345"/>
      <c r="DL238" s="345"/>
      <c r="DN238" s="347"/>
      <c r="DO238" s="347"/>
      <c r="DP238" s="2505"/>
      <c r="DT238" s="663"/>
      <c r="DU238" s="663"/>
      <c r="DV238" s="663"/>
      <c r="DW238" s="663"/>
      <c r="DX238" s="663"/>
      <c r="DY238" s="663"/>
      <c r="DZ238" s="663"/>
      <c r="EA238" s="663"/>
      <c r="EB238" s="663"/>
      <c r="EC238" s="663"/>
      <c r="ED238" s="663"/>
    </row>
    <row r="239" spans="1:134">
      <c r="A239" s="346">
        <v>34758</v>
      </c>
      <c r="B239" s="345" t="s">
        <v>360</v>
      </c>
      <c r="E239" s="934"/>
      <c r="F239" s="345">
        <v>119.05</v>
      </c>
      <c r="G239" s="345" t="s">
        <v>337</v>
      </c>
      <c r="L239" s="347">
        <v>607</v>
      </c>
      <c r="M239" s="347" t="s">
        <v>310</v>
      </c>
      <c r="Q239" s="348" t="str">
        <f t="array" ref="Q239">IFERROR(IF($Q$11="Yes",INDEX($L$13:$L$2313,SMALL(IF((County=$M$13:$M$2313),MATCH(ROW($M$13:$M$2313),ROW($M$13:$M$2313)),""),ROWS($A$13:A239))),""),"")</f>
        <v/>
      </c>
      <c r="S239" s="346">
        <v>33716</v>
      </c>
      <c r="T239" s="345" t="s">
        <v>363</v>
      </c>
      <c r="V239" s="345">
        <v>29</v>
      </c>
      <c r="W239" s="345" t="s">
        <v>352</v>
      </c>
      <c r="AB239" s="347">
        <v>17.03</v>
      </c>
      <c r="AC239" s="347" t="s">
        <v>349</v>
      </c>
      <c r="AD239" s="1138"/>
      <c r="AE239" s="346">
        <v>34744</v>
      </c>
      <c r="AF239" s="345" t="s">
        <v>360</v>
      </c>
      <c r="AI239" s="934"/>
      <c r="AJ239" s="345">
        <v>108.17</v>
      </c>
      <c r="AK239" s="345" t="s">
        <v>337</v>
      </c>
      <c r="AP239" s="347">
        <v>424</v>
      </c>
      <c r="AQ239" s="347" t="s">
        <v>310</v>
      </c>
      <c r="AU239" s="348" t="str">
        <f t="array" ref="AU239">IFERROR(IF($AU$11="Yes",INDEX($AP$13:$AP$2950,SMALL(IF((County=$AQ$13:$AQ$2950),MATCH(ROW($AQ$13:$AQ$2950),ROW($AQ$13:$AQ$2950)),""),ROWS($A$13:$A239))),""),"")</f>
        <v/>
      </c>
      <c r="AW239" s="346">
        <v>33635</v>
      </c>
      <c r="AX239" s="345" t="s">
        <v>337</v>
      </c>
      <c r="AZ239" s="345">
        <v>21</v>
      </c>
      <c r="BA239" s="345" t="s">
        <v>361</v>
      </c>
      <c r="BF239" s="347">
        <v>12.04</v>
      </c>
      <c r="BG239" s="347" t="s">
        <v>352</v>
      </c>
      <c r="BH239" s="1790"/>
      <c r="BI239" s="2299">
        <v>32817</v>
      </c>
      <c r="BJ239" s="345" t="s">
        <v>359</v>
      </c>
      <c r="BM239" s="1784"/>
      <c r="BN239" s="345">
        <v>699.06</v>
      </c>
      <c r="BO239" s="345" t="s">
        <v>309</v>
      </c>
      <c r="BT239" s="347">
        <v>421</v>
      </c>
      <c r="BU239" s="347" t="s">
        <v>310</v>
      </c>
      <c r="BW239" s="348" t="str">
        <f t="array" ref="BW239">IFERROR(IF($BW$11="Metro",INDEX($BN$13:$BN$4972,SMALL(IF((County=$BO$13:$BO$4972),MATCH(ROW($BO$13:$BO$4972),ROW($BO$13:$BO$4972)),""),ROWS($A$13:$A239))),INDEX($BQ$13:$BQ$212,SMALL(IF((County=$BR$13:$BR$212),MATCH(ROW($BR$13:$BR$212),ROW($BR$13:$BR$212)),""),ROWS($A$13:$A239)))),"")</f>
        <v/>
      </c>
      <c r="BY239" s="348" t="str">
        <f t="array" ref="BY239">IFERROR(IF($BY$11="Yes",INDEX($BT$13:$BT$2950,SMALL(IF((County=$BU$13:$BU$2950),MATCH(ROW($BU$13:$BU$2950),ROW($BU$13:$BU$2950)),""),ROWS($A$13:$A239))),""),"")</f>
        <v/>
      </c>
      <c r="CA239" s="2298">
        <v>33559</v>
      </c>
      <c r="CB239" s="345" t="s">
        <v>337</v>
      </c>
      <c r="CD239" s="237">
        <v>6.02</v>
      </c>
      <c r="CE239" s="237" t="s">
        <v>337</v>
      </c>
      <c r="CJ239" s="347">
        <v>12.05</v>
      </c>
      <c r="CK239" s="347" t="s">
        <v>352</v>
      </c>
      <c r="CL239" s="1789"/>
      <c r="CM239" s="2299"/>
      <c r="CN239" s="345"/>
      <c r="CR239" s="345"/>
      <c r="CS239" s="345"/>
      <c r="CU239" s="345"/>
      <c r="CV239" s="345"/>
      <c r="CX239" s="347"/>
      <c r="CY239" s="347"/>
      <c r="DA239" s="348"/>
      <c r="DC239" s="348"/>
      <c r="DE239" s="1792"/>
      <c r="DF239" s="345"/>
      <c r="DH239" s="237"/>
      <c r="DI239" s="237"/>
      <c r="DK239" s="345"/>
      <c r="DL239" s="345"/>
      <c r="DN239" s="347"/>
      <c r="DO239" s="347"/>
      <c r="DP239" s="2505"/>
      <c r="DT239" s="663"/>
      <c r="DU239" s="663"/>
      <c r="DV239" s="663"/>
      <c r="DW239" s="663"/>
      <c r="DX239" s="663"/>
      <c r="DY239" s="663"/>
      <c r="DZ239" s="663"/>
      <c r="EA239" s="663"/>
      <c r="EB239" s="663"/>
      <c r="EC239" s="663"/>
      <c r="ED239" s="663"/>
    </row>
    <row r="240" spans="1:134">
      <c r="A240" s="346">
        <v>34771</v>
      </c>
      <c r="B240" s="345" t="s">
        <v>360</v>
      </c>
      <c r="E240" s="934"/>
      <c r="F240" s="345">
        <v>120.02</v>
      </c>
      <c r="G240" s="345" t="s">
        <v>337</v>
      </c>
      <c r="L240" s="347">
        <v>609</v>
      </c>
      <c r="M240" s="347" t="s">
        <v>310</v>
      </c>
      <c r="Q240" s="348" t="str">
        <f t="array" ref="Q240">IFERROR(IF($Q$11="Yes",INDEX($L$13:$L$2313,SMALL(IF((County=$M$13:$M$2313),MATCH(ROW($M$13:$M$2313),ROW($M$13:$M$2313)),""),ROWS($A$13:A240))),""),"")</f>
        <v/>
      </c>
      <c r="S240" s="346">
        <v>33744</v>
      </c>
      <c r="T240" s="345" t="s">
        <v>363</v>
      </c>
      <c r="V240" s="345">
        <v>29</v>
      </c>
      <c r="W240" s="345" t="s">
        <v>361</v>
      </c>
      <c r="AB240" s="347">
        <v>17.04</v>
      </c>
      <c r="AC240" s="347" t="s">
        <v>349</v>
      </c>
      <c r="AD240" s="1138"/>
      <c r="AE240" s="346">
        <v>34746</v>
      </c>
      <c r="AF240" s="345" t="s">
        <v>360</v>
      </c>
      <c r="AI240" s="934"/>
      <c r="AJ240" s="345">
        <v>108.19</v>
      </c>
      <c r="AK240" s="345" t="s">
        <v>337</v>
      </c>
      <c r="AP240" s="347">
        <v>425.01</v>
      </c>
      <c r="AQ240" s="347" t="s">
        <v>310</v>
      </c>
      <c r="AU240" s="348" t="str">
        <f t="array" ref="AU240">IFERROR(IF($AU$11="Yes",INDEX($AP$13:$AP$2950,SMALL(IF((County=$AQ$13:$AQ$2950),MATCH(ROW($AQ$13:$AQ$2950),ROW($AQ$13:$AQ$2950)),""),ROWS($A$13:$A240))),""),"")</f>
        <v/>
      </c>
      <c r="AW240" s="346">
        <v>33647</v>
      </c>
      <c r="AX240" s="345" t="s">
        <v>337</v>
      </c>
      <c r="AZ240" s="345">
        <v>21.03</v>
      </c>
      <c r="BA240" s="345" t="s">
        <v>345</v>
      </c>
      <c r="BF240" s="347">
        <v>12.04</v>
      </c>
      <c r="BG240" s="347" t="s">
        <v>368</v>
      </c>
      <c r="BH240" s="1790"/>
      <c r="BI240" s="2299">
        <v>32819</v>
      </c>
      <c r="BJ240" s="345" t="s">
        <v>359</v>
      </c>
      <c r="BM240" s="1784"/>
      <c r="BN240" s="345">
        <v>699.07</v>
      </c>
      <c r="BO240" s="345" t="s">
        <v>309</v>
      </c>
      <c r="BT240" s="347">
        <v>422</v>
      </c>
      <c r="BU240" s="347" t="s">
        <v>310</v>
      </c>
      <c r="BW240" s="348" t="str">
        <f t="array" ref="BW240">IFERROR(IF($BW$11="Metro",INDEX($BN$13:$BN$4972,SMALL(IF((County=$BO$13:$BO$4972),MATCH(ROW($BO$13:$BO$4972),ROW($BO$13:$BO$4972)),""),ROWS($A$13:$A240))),INDEX($BQ$13:$BQ$212,SMALL(IF((County=$BR$13:$BR$212),MATCH(ROW($BR$13:$BR$212),ROW($BR$13:$BR$212)),""),ROWS($A$13:$A240)))),"")</f>
        <v/>
      </c>
      <c r="BY240" s="348" t="str">
        <f t="array" ref="BY240">IFERROR(IF($BY$11="Yes",INDEX($BT$13:$BT$2950,SMALL(IF((County=$BU$13:$BU$2950),MATCH(ROW($BU$13:$BU$2950),ROW($BU$13:$BU$2950)),""),ROWS($A$13:$A240))),""),"")</f>
        <v/>
      </c>
      <c r="CA240" s="2298">
        <v>33569</v>
      </c>
      <c r="CB240" s="345" t="s">
        <v>337</v>
      </c>
      <c r="CD240" s="237">
        <v>6.02</v>
      </c>
      <c r="CE240" s="237" t="s">
        <v>352</v>
      </c>
      <c r="CJ240" s="347">
        <v>12.05</v>
      </c>
      <c r="CK240" s="347" t="s">
        <v>368</v>
      </c>
      <c r="CL240" s="1789"/>
      <c r="CM240" s="2299"/>
      <c r="CN240" s="345"/>
      <c r="CR240" s="345"/>
      <c r="CS240" s="345"/>
      <c r="CU240" s="345"/>
      <c r="CV240" s="345"/>
      <c r="CX240" s="347"/>
      <c r="CY240" s="347"/>
      <c r="DA240" s="348"/>
      <c r="DC240" s="348"/>
      <c r="DE240" s="1792"/>
      <c r="DF240" s="345"/>
      <c r="DH240" s="237"/>
      <c r="DI240" s="237"/>
      <c r="DK240" s="345"/>
      <c r="DL240" s="345"/>
      <c r="DN240" s="347"/>
      <c r="DO240" s="347"/>
      <c r="DP240" s="2505"/>
      <c r="DT240" s="663"/>
      <c r="DU240" s="663"/>
      <c r="DV240" s="663"/>
      <c r="DW240" s="663"/>
      <c r="DX240" s="663"/>
      <c r="DY240" s="663"/>
      <c r="DZ240" s="663"/>
      <c r="EA240" s="663"/>
      <c r="EB240" s="663"/>
      <c r="EC240" s="663"/>
      <c r="ED240" s="663"/>
    </row>
    <row r="241" spans="1:134">
      <c r="A241" s="346">
        <v>34772</v>
      </c>
      <c r="B241" s="345" t="s">
        <v>360</v>
      </c>
      <c r="E241" s="934"/>
      <c r="F241" s="345">
        <v>121.03</v>
      </c>
      <c r="G241" s="345" t="s">
        <v>337</v>
      </c>
      <c r="L241" s="347">
        <v>610.01</v>
      </c>
      <c r="M241" s="347" t="s">
        <v>310</v>
      </c>
      <c r="Q241" s="348" t="str">
        <f t="array" ref="Q241">IFERROR(IF($Q$11="Yes",INDEX($L$13:$L$2313,SMALL(IF((County=$M$13:$M$2313),MATCH(ROW($M$13:$M$2313),ROW($M$13:$M$2313)),""),ROWS($A$13:A241))),""),"")</f>
        <v/>
      </c>
      <c r="S241" s="346">
        <v>33759</v>
      </c>
      <c r="T241" s="345" t="s">
        <v>363</v>
      </c>
      <c r="V241" s="345">
        <v>29.01</v>
      </c>
      <c r="W241" s="345" t="s">
        <v>323</v>
      </c>
      <c r="AB241" s="347">
        <v>17.04</v>
      </c>
      <c r="AC241" s="347" t="s">
        <v>368</v>
      </c>
      <c r="AD241" s="1138"/>
      <c r="AE241" s="346">
        <v>34747</v>
      </c>
      <c r="AF241" s="345" t="s">
        <v>360</v>
      </c>
      <c r="AI241" s="934"/>
      <c r="AJ241" s="345">
        <v>108.2</v>
      </c>
      <c r="AK241" s="345" t="s">
        <v>337</v>
      </c>
      <c r="AP241" s="347">
        <v>425.02</v>
      </c>
      <c r="AQ241" s="347" t="s">
        <v>310</v>
      </c>
      <c r="AU241" s="348" t="str">
        <f t="array" ref="AU241">IFERROR(IF($AU$11="Yes",INDEX($AP$13:$AP$2950,SMALL(IF((County=$AQ$13:$AQ$2950),MATCH(ROW($AQ$13:$AQ$2950),ROW($AQ$13:$AQ$2950)),""),ROWS($A$13:$A241))),""),"")</f>
        <v/>
      </c>
      <c r="AW241" s="346">
        <v>33703</v>
      </c>
      <c r="AX241" s="345" t="s">
        <v>363</v>
      </c>
      <c r="AZ241" s="345">
        <v>21.05</v>
      </c>
      <c r="BA241" s="345" t="s">
        <v>345</v>
      </c>
      <c r="BF241" s="347">
        <v>12.05</v>
      </c>
      <c r="BG241" s="347" t="s">
        <v>344</v>
      </c>
      <c r="BH241" s="1790"/>
      <c r="BI241" s="2299">
        <v>32820</v>
      </c>
      <c r="BJ241" s="345" t="s">
        <v>359</v>
      </c>
      <c r="BM241" s="1784"/>
      <c r="BN241" s="345">
        <v>711</v>
      </c>
      <c r="BO241" s="345" t="s">
        <v>309</v>
      </c>
      <c r="BT241" s="347">
        <v>423.01</v>
      </c>
      <c r="BU241" s="347" t="s">
        <v>310</v>
      </c>
      <c r="BW241" s="348" t="str">
        <f t="array" ref="BW241">IFERROR(IF($BW$11="Metro",INDEX($BN$13:$BN$4972,SMALL(IF((County=$BO$13:$BO$4972),MATCH(ROW($BO$13:$BO$4972),ROW($BO$13:$BO$4972)),""),ROWS($A$13:$A241))),INDEX($BQ$13:$BQ$212,SMALL(IF((County=$BR$13:$BR$212),MATCH(ROW($BR$13:$BR$212),ROW($BR$13:$BR$212)),""),ROWS($A$13:$A241)))),"")</f>
        <v/>
      </c>
      <c r="BY241" s="348" t="str">
        <f t="array" ref="BY241">IFERROR(IF($BY$11="Yes",INDEX($BT$13:$BT$2950,SMALL(IF((County=$BU$13:$BU$2950),MATCH(ROW($BU$13:$BU$2950),ROW($BU$13:$BU$2950)),""),ROWS($A$13:$A241))),""),"")</f>
        <v/>
      </c>
      <c r="CA241" s="2298">
        <v>33572</v>
      </c>
      <c r="CB241" s="345" t="s">
        <v>337</v>
      </c>
      <c r="CD241" s="237">
        <v>6.02</v>
      </c>
      <c r="CE241" s="237" t="s">
        <v>368</v>
      </c>
      <c r="CJ241" s="347">
        <v>12.06</v>
      </c>
      <c r="CK241" s="347" t="s">
        <v>344</v>
      </c>
      <c r="CL241" s="1789"/>
      <c r="CM241" s="2299"/>
      <c r="CN241" s="345"/>
      <c r="CR241" s="345"/>
      <c r="CS241" s="345"/>
      <c r="CU241" s="345"/>
      <c r="CV241" s="345"/>
      <c r="CX241" s="347"/>
      <c r="CY241" s="347"/>
      <c r="DA241" s="348"/>
      <c r="DC241" s="348"/>
      <c r="DE241" s="1792"/>
      <c r="DF241" s="345"/>
      <c r="DH241" s="237"/>
      <c r="DI241" s="237"/>
      <c r="DK241" s="345"/>
      <c r="DL241" s="345"/>
      <c r="DN241" s="347"/>
      <c r="DO241" s="347"/>
      <c r="DP241" s="2505"/>
      <c r="DT241" s="663"/>
      <c r="DU241" s="663"/>
      <c r="DV241" s="663"/>
      <c r="DW241" s="663"/>
      <c r="DX241" s="663"/>
      <c r="DY241" s="663"/>
      <c r="DZ241" s="663"/>
      <c r="EA241" s="663"/>
      <c r="EB241" s="663"/>
      <c r="EC241" s="663"/>
      <c r="ED241" s="663"/>
    </row>
    <row r="242" spans="1:134">
      <c r="A242" s="346">
        <v>33410</v>
      </c>
      <c r="B242" s="345" t="s">
        <v>361</v>
      </c>
      <c r="E242" s="934"/>
      <c r="F242" s="345">
        <v>121.04</v>
      </c>
      <c r="G242" s="345" t="s">
        <v>337</v>
      </c>
      <c r="L242" s="347">
        <v>610.02</v>
      </c>
      <c r="M242" s="347" t="s">
        <v>310</v>
      </c>
      <c r="Q242" s="348" t="str">
        <f t="array" ref="Q242">IFERROR(IF($Q$11="Yes",INDEX($L$13:$L$2313,SMALL(IF((County=$M$13:$M$2313),MATCH(ROW($M$13:$M$2313),ROW($M$13:$M$2313)),""),ROWS($A$13:A242))),""),"")</f>
        <v/>
      </c>
      <c r="S242" s="346">
        <v>33762</v>
      </c>
      <c r="T242" s="345" t="s">
        <v>363</v>
      </c>
      <c r="V242" s="345">
        <v>29.02</v>
      </c>
      <c r="W242" s="345" t="s">
        <v>323</v>
      </c>
      <c r="AB242" s="347">
        <v>17.05</v>
      </c>
      <c r="AC242" s="347" t="s">
        <v>344</v>
      </c>
      <c r="AD242" s="1138"/>
      <c r="AE242" s="346">
        <v>34758</v>
      </c>
      <c r="AF242" s="345" t="s">
        <v>360</v>
      </c>
      <c r="AI242" s="934"/>
      <c r="AJ242" s="345">
        <v>108.21</v>
      </c>
      <c r="AK242" s="345" t="s">
        <v>337</v>
      </c>
      <c r="AP242" s="347">
        <v>426.01</v>
      </c>
      <c r="AQ242" s="347" t="s">
        <v>310</v>
      </c>
      <c r="AU242" s="348" t="str">
        <f t="array" ref="AU242">IFERROR(IF($AU$11="Yes",INDEX($AP$13:$AP$2950,SMALL(IF((County=$AQ$13:$AQ$2950),MATCH(ROW($AQ$13:$AQ$2950),ROW($AQ$13:$AQ$2950)),""),ROWS($A$13:$A242))),""),"")</f>
        <v/>
      </c>
      <c r="AW242" s="346">
        <v>33705</v>
      </c>
      <c r="AX242" s="345" t="s">
        <v>363</v>
      </c>
      <c r="AZ242" s="345">
        <v>21.06</v>
      </c>
      <c r="BA242" s="345" t="s">
        <v>345</v>
      </c>
      <c r="BF242" s="347">
        <v>12.05</v>
      </c>
      <c r="BG242" s="347" t="s">
        <v>350</v>
      </c>
      <c r="BH242" s="1790"/>
      <c r="BI242" s="2299">
        <v>32821</v>
      </c>
      <c r="BJ242" s="345" t="s">
        <v>359</v>
      </c>
      <c r="BM242" s="1784"/>
      <c r="BN242" s="345">
        <v>712.01</v>
      </c>
      <c r="BO242" s="345" t="s">
        <v>309</v>
      </c>
      <c r="BT242" s="347">
        <v>423.02</v>
      </c>
      <c r="BU242" s="347" t="s">
        <v>310</v>
      </c>
      <c r="BW242" s="348" t="str">
        <f t="array" ref="BW242">IFERROR(IF($BW$11="Metro",INDEX($BN$13:$BN$4972,SMALL(IF((County=$BO$13:$BO$4972),MATCH(ROW($BO$13:$BO$4972),ROW($BO$13:$BO$4972)),""),ROWS($A$13:$A242))),INDEX($BQ$13:$BQ$212,SMALL(IF((County=$BR$13:$BR$212),MATCH(ROW($BR$13:$BR$212),ROW($BR$13:$BR$212)),""),ROWS($A$13:$A242)))),"")</f>
        <v/>
      </c>
      <c r="BY242" s="348" t="str">
        <f t="array" ref="BY242">IFERROR(IF($BY$11="Yes",INDEX($BT$13:$BT$2950,SMALL(IF((County=$BU$13:$BU$2950),MATCH(ROW($BU$13:$BU$2950),ROW($BU$13:$BU$2950)),""),ROWS($A$13:$A242))),""),"")</f>
        <v/>
      </c>
      <c r="CA242" s="2298">
        <v>33573</v>
      </c>
      <c r="CB242" s="345" t="s">
        <v>337</v>
      </c>
      <c r="CD242" s="237">
        <v>6.03</v>
      </c>
      <c r="CE242" s="237" t="s">
        <v>349</v>
      </c>
      <c r="CJ242" s="347">
        <v>12.06</v>
      </c>
      <c r="CK242" s="347" t="s">
        <v>352</v>
      </c>
      <c r="CL242" s="1789"/>
      <c r="CM242" s="2299"/>
      <c r="CN242" s="345"/>
      <c r="CR242" s="345"/>
      <c r="CS242" s="345"/>
      <c r="CU242" s="345"/>
      <c r="CV242" s="345"/>
      <c r="CX242" s="347"/>
      <c r="CY242" s="347"/>
      <c r="DA242" s="348"/>
      <c r="DC242" s="348"/>
      <c r="DE242" s="1792"/>
      <c r="DF242" s="345"/>
      <c r="DH242" s="237"/>
      <c r="DI242" s="237"/>
      <c r="DK242" s="345"/>
      <c r="DL242" s="345"/>
      <c r="DN242" s="347"/>
      <c r="DO242" s="347"/>
      <c r="DP242" s="2505"/>
      <c r="DT242" s="663"/>
      <c r="DU242" s="663"/>
      <c r="DV242" s="663"/>
      <c r="DW242" s="663"/>
      <c r="DX242" s="663"/>
      <c r="DY242" s="663"/>
      <c r="DZ242" s="663"/>
      <c r="EA242" s="663"/>
      <c r="EB242" s="663"/>
      <c r="EC242" s="663"/>
      <c r="ED242" s="663"/>
    </row>
    <row r="243" spans="1:134">
      <c r="A243" s="346">
        <v>33412</v>
      </c>
      <c r="B243" s="345" t="s">
        <v>361</v>
      </c>
      <c r="E243" s="934"/>
      <c r="F243" s="345">
        <v>122.11</v>
      </c>
      <c r="G243" s="345" t="s">
        <v>337</v>
      </c>
      <c r="L243" s="347">
        <v>702.05</v>
      </c>
      <c r="M243" s="347" t="s">
        <v>310</v>
      </c>
      <c r="Q243" s="348" t="str">
        <f t="array" ref="Q243">IFERROR(IF($Q$11="Yes",INDEX($L$13:$L$2313,SMALL(IF((County=$M$13:$M$2313),MATCH(ROW($M$13:$M$2313),ROW($M$13:$M$2313)),""),ROWS($A$13:A243))),""),"")</f>
        <v/>
      </c>
      <c r="S243" s="346">
        <v>33767</v>
      </c>
      <c r="T243" s="345" t="s">
        <v>363</v>
      </c>
      <c r="V243" s="345">
        <v>30</v>
      </c>
      <c r="W243" s="345" t="s">
        <v>337</v>
      </c>
      <c r="AB243" s="347">
        <v>17.059999999999999</v>
      </c>
      <c r="AC243" s="347" t="s">
        <v>344</v>
      </c>
      <c r="AD243" s="1138"/>
      <c r="AE243" s="346">
        <v>34772</v>
      </c>
      <c r="AF243" s="345" t="s">
        <v>360</v>
      </c>
      <c r="AI243" s="934"/>
      <c r="AJ243" s="345">
        <v>108.22</v>
      </c>
      <c r="AK243" s="345" t="s">
        <v>337</v>
      </c>
      <c r="AP243" s="347">
        <v>426.02</v>
      </c>
      <c r="AQ243" s="347" t="s">
        <v>310</v>
      </c>
      <c r="AU243" s="348" t="str">
        <f t="array" ref="AU243">IFERROR(IF($AU$11="Yes",INDEX($AP$13:$AP$2950,SMALL(IF((County=$AQ$13:$AQ$2950),MATCH(ROW($AQ$13:$AQ$2950),ROW($AQ$13:$AQ$2950)),""),ROWS($A$13:$A243))),""),"")</f>
        <v/>
      </c>
      <c r="AW243" s="346">
        <v>33706</v>
      </c>
      <c r="AX243" s="345" t="s">
        <v>363</v>
      </c>
      <c r="AZ243" s="345">
        <v>22</v>
      </c>
      <c r="BA243" s="345" t="s">
        <v>306</v>
      </c>
      <c r="BF243" s="347">
        <v>12.05</v>
      </c>
      <c r="BG243" s="347" t="s">
        <v>352</v>
      </c>
      <c r="BH243" s="1790"/>
      <c r="BI243" s="2299">
        <v>32822</v>
      </c>
      <c r="BJ243" s="345" t="s">
        <v>359</v>
      </c>
      <c r="BM243" s="1784"/>
      <c r="BN243" s="345">
        <v>712.02</v>
      </c>
      <c r="BO243" s="345" t="s">
        <v>309</v>
      </c>
      <c r="BT243" s="347">
        <v>424</v>
      </c>
      <c r="BU243" s="347" t="s">
        <v>310</v>
      </c>
      <c r="BW243" s="348" t="str">
        <f t="array" ref="BW243">IFERROR(IF($BW$11="Metro",INDEX($BN$13:$BN$4972,SMALL(IF((County=$BO$13:$BO$4972),MATCH(ROW($BO$13:$BO$4972),ROW($BO$13:$BO$4972)),""),ROWS($A$13:$A243))),INDEX($BQ$13:$BQ$212,SMALL(IF((County=$BR$13:$BR$212),MATCH(ROW($BR$13:$BR$212),ROW($BR$13:$BR$212)),""),ROWS($A$13:$A243)))),"")</f>
        <v/>
      </c>
      <c r="BY243" s="348" t="str">
        <f t="array" ref="BY243">IFERROR(IF($BY$11="Yes",INDEX($BT$13:$BT$2950,SMALL(IF((County=$BU$13:$BU$2950),MATCH(ROW($BU$13:$BU$2950),ROW($BU$13:$BU$2950)),""),ROWS($A$13:$A243))),""),"")</f>
        <v/>
      </c>
      <c r="CA243" s="2298">
        <v>33578</v>
      </c>
      <c r="CB243" s="345" t="s">
        <v>337</v>
      </c>
      <c r="CD243" s="237">
        <v>6.03</v>
      </c>
      <c r="CE243" s="237" t="s">
        <v>351</v>
      </c>
      <c r="CJ243" s="347">
        <v>12.06</v>
      </c>
      <c r="CK243" s="347" t="s">
        <v>368</v>
      </c>
      <c r="CL243" s="1789"/>
      <c r="CM243" s="2299"/>
      <c r="CN243" s="345"/>
      <c r="CR243" s="345"/>
      <c r="CS243" s="345"/>
      <c r="CU243" s="345"/>
      <c r="CV243" s="345"/>
      <c r="CX243" s="347"/>
      <c r="CY243" s="347"/>
      <c r="DA243" s="348"/>
      <c r="DC243" s="348"/>
      <c r="DE243" s="1792"/>
      <c r="DF243" s="345"/>
      <c r="DH243" s="237"/>
      <c r="DI243" s="237"/>
      <c r="DK243" s="345"/>
      <c r="DL243" s="345"/>
      <c r="DN243" s="347"/>
      <c r="DO243" s="347"/>
      <c r="DP243" s="2505"/>
      <c r="DT243" s="663"/>
      <c r="DU243" s="663"/>
      <c r="DV243" s="663"/>
      <c r="DW243" s="663"/>
      <c r="DX243" s="663"/>
      <c r="DY243" s="663"/>
      <c r="DZ243" s="663"/>
      <c r="EA243" s="663"/>
      <c r="EB243" s="663"/>
      <c r="EC243" s="663"/>
      <c r="ED243" s="663"/>
    </row>
    <row r="244" spans="1:134">
      <c r="A244" s="346">
        <v>33413</v>
      </c>
      <c r="B244" s="345" t="s">
        <v>361</v>
      </c>
      <c r="E244" s="934"/>
      <c r="F244" s="345">
        <v>122.12</v>
      </c>
      <c r="G244" s="345" t="s">
        <v>337</v>
      </c>
      <c r="L244" s="347">
        <v>702.07</v>
      </c>
      <c r="M244" s="347" t="s">
        <v>310</v>
      </c>
      <c r="Q244" s="348" t="str">
        <f t="array" ref="Q244">IFERROR(IF($Q$11="Yes",INDEX($L$13:$L$2313,SMALL(IF((County=$M$13:$M$2313),MATCH(ROW($M$13:$M$2313),ROW($M$13:$M$2313)),""),ROWS($A$13:A244))),""),"")</f>
        <v/>
      </c>
      <c r="S244" s="346">
        <v>33772</v>
      </c>
      <c r="T244" s="345" t="s">
        <v>363</v>
      </c>
      <c r="V244" s="345">
        <v>30</v>
      </c>
      <c r="W244" s="345" t="s">
        <v>361</v>
      </c>
      <c r="AB244" s="347">
        <v>18</v>
      </c>
      <c r="AC244" s="347" t="s">
        <v>349</v>
      </c>
      <c r="AD244" s="1138"/>
      <c r="AE244" s="346">
        <v>34773</v>
      </c>
      <c r="AF244" s="345" t="s">
        <v>360</v>
      </c>
      <c r="AI244" s="934"/>
      <c r="AJ244" s="345">
        <v>108.23</v>
      </c>
      <c r="AK244" s="345" t="s">
        <v>337</v>
      </c>
      <c r="AP244" s="347">
        <v>430.01</v>
      </c>
      <c r="AQ244" s="347" t="s">
        <v>310</v>
      </c>
      <c r="AU244" s="348" t="str">
        <f t="array" ref="AU244">IFERROR(IF($AU$11="Yes",INDEX($AP$13:$AP$2950,SMALL(IF((County=$AQ$13:$AQ$2950),MATCH(ROW($AQ$13:$AQ$2950),ROW($AQ$13:$AQ$2950)),""),ROWS($A$13:$A244))),""),"")</f>
        <v/>
      </c>
      <c r="AW244" s="346">
        <v>33708</v>
      </c>
      <c r="AX244" s="345" t="s">
        <v>363</v>
      </c>
      <c r="AZ244" s="345">
        <v>22</v>
      </c>
      <c r="BA244" s="345" t="s">
        <v>361</v>
      </c>
      <c r="BF244" s="347">
        <v>12.05</v>
      </c>
      <c r="BG244" s="347" t="s">
        <v>368</v>
      </c>
      <c r="BH244" s="1790"/>
      <c r="BI244" s="2299">
        <v>32824</v>
      </c>
      <c r="BJ244" s="345" t="s">
        <v>359</v>
      </c>
      <c r="BM244" s="1784"/>
      <c r="BN244" s="345">
        <v>712.03</v>
      </c>
      <c r="BO244" s="345" t="s">
        <v>309</v>
      </c>
      <c r="BT244" s="347">
        <v>425.01</v>
      </c>
      <c r="BU244" s="347" t="s">
        <v>310</v>
      </c>
      <c r="BW244" s="348" t="str">
        <f t="array" ref="BW244">IFERROR(IF($BW$11="Metro",INDEX($BN$13:$BN$4972,SMALL(IF((County=$BO$13:$BO$4972),MATCH(ROW($BO$13:$BO$4972),ROW($BO$13:$BO$4972)),""),ROWS($A$13:$A244))),INDEX($BQ$13:$BQ$212,SMALL(IF((County=$BR$13:$BR$212),MATCH(ROW($BR$13:$BR$212),ROW($BR$13:$BR$212)),""),ROWS($A$13:$A244)))),"")</f>
        <v/>
      </c>
      <c r="BY244" s="348" t="str">
        <f t="array" ref="BY244">IFERROR(IF($BY$11="Yes",INDEX($BT$13:$BT$2950,SMALL(IF((County=$BU$13:$BU$2950),MATCH(ROW($BU$13:$BU$2950),ROW($BU$13:$BU$2950)),""),ROWS($A$13:$A244))),""),"")</f>
        <v/>
      </c>
      <c r="CA244" s="2298">
        <v>33579</v>
      </c>
      <c r="CB244" s="345" t="s">
        <v>337</v>
      </c>
      <c r="CD244" s="237">
        <v>6.03</v>
      </c>
      <c r="CE244" s="237" t="s">
        <v>352</v>
      </c>
      <c r="CJ244" s="347">
        <v>12.07</v>
      </c>
      <c r="CK244" s="347" t="s">
        <v>344</v>
      </c>
      <c r="CL244" s="1789"/>
      <c r="CM244" s="2299"/>
      <c r="CN244" s="345"/>
      <c r="CR244" s="345"/>
      <c r="CS244" s="345"/>
      <c r="CU244" s="345"/>
      <c r="CV244" s="345"/>
      <c r="CX244" s="347"/>
      <c r="CY244" s="347"/>
      <c r="DA244" s="348"/>
      <c r="DC244" s="348"/>
      <c r="DE244" s="1792"/>
      <c r="DF244" s="345"/>
      <c r="DH244" s="237"/>
      <c r="DI244" s="237"/>
      <c r="DK244" s="345"/>
      <c r="DL244" s="345"/>
      <c r="DN244" s="347"/>
      <c r="DO244" s="347"/>
      <c r="DP244" s="2505"/>
      <c r="DT244" s="663"/>
      <c r="DU244" s="663"/>
      <c r="DV244" s="663"/>
      <c r="DW244" s="663"/>
      <c r="DX244" s="663"/>
      <c r="DY244" s="663"/>
      <c r="DZ244" s="663"/>
      <c r="EA244" s="663"/>
      <c r="EB244" s="663"/>
      <c r="EC244" s="663"/>
      <c r="ED244" s="663"/>
    </row>
    <row r="245" spans="1:134">
      <c r="A245" s="346">
        <v>33414</v>
      </c>
      <c r="B245" s="345" t="s">
        <v>361</v>
      </c>
      <c r="E245" s="934"/>
      <c r="F245" s="345">
        <v>124.01</v>
      </c>
      <c r="G245" s="345" t="s">
        <v>337</v>
      </c>
      <c r="L245" s="347">
        <v>702.08</v>
      </c>
      <c r="M245" s="347" t="s">
        <v>310</v>
      </c>
      <c r="Q245" s="348" t="str">
        <f t="array" ref="Q245">IFERROR(IF($Q$11="Yes",INDEX($L$13:$L$2313,SMALL(IF((County=$M$13:$M$2313),MATCH(ROW($M$13:$M$2313),ROW($M$13:$M$2313)),""),ROWS($A$13:A245))),""),"")</f>
        <v/>
      </c>
      <c r="S245" s="346">
        <v>33776</v>
      </c>
      <c r="T245" s="345" t="s">
        <v>363</v>
      </c>
      <c r="V245" s="345">
        <v>30.01</v>
      </c>
      <c r="W245" s="345" t="s">
        <v>352</v>
      </c>
      <c r="AB245" s="347">
        <v>18.010000000000002</v>
      </c>
      <c r="AC245" s="347" t="s">
        <v>297</v>
      </c>
      <c r="AD245" s="1138"/>
      <c r="AE245" s="346">
        <v>33410</v>
      </c>
      <c r="AF245" s="345" t="s">
        <v>361</v>
      </c>
      <c r="AI245" s="934"/>
      <c r="AJ245" s="345">
        <v>108.24</v>
      </c>
      <c r="AK245" s="345" t="s">
        <v>337</v>
      </c>
      <c r="AP245" s="347">
        <v>431</v>
      </c>
      <c r="AQ245" s="347" t="s">
        <v>310</v>
      </c>
      <c r="AU245" s="348" t="str">
        <f t="array" ref="AU245">IFERROR(IF($AU$11="Yes",INDEX($AP$13:$AP$2950,SMALL(IF((County=$AQ$13:$AQ$2950),MATCH(ROW($AQ$13:$AQ$2950),ROW($AQ$13:$AQ$2950)),""),ROWS($A$13:$A245))),""),"")</f>
        <v/>
      </c>
      <c r="AW245" s="346">
        <v>33711</v>
      </c>
      <c r="AX245" s="345" t="s">
        <v>363</v>
      </c>
      <c r="AZ245" s="345">
        <v>22.02</v>
      </c>
      <c r="BA245" s="345" t="s">
        <v>352</v>
      </c>
      <c r="BF245" s="347">
        <v>12.06</v>
      </c>
      <c r="BG245" s="347" t="s">
        <v>344</v>
      </c>
      <c r="BH245" s="1790"/>
      <c r="BI245" s="2299">
        <v>32825</v>
      </c>
      <c r="BJ245" s="345" t="s">
        <v>359</v>
      </c>
      <c r="BM245" s="1784"/>
      <c r="BN245" s="345">
        <v>712.04</v>
      </c>
      <c r="BO245" s="345" t="s">
        <v>309</v>
      </c>
      <c r="BT245" s="347">
        <v>425.02</v>
      </c>
      <c r="BU245" s="347" t="s">
        <v>310</v>
      </c>
      <c r="BW245" s="348" t="str">
        <f t="array" ref="BW245">IFERROR(IF($BW$11="Metro",INDEX($BN$13:$BN$4972,SMALL(IF((County=$BO$13:$BO$4972),MATCH(ROW($BO$13:$BO$4972),ROW($BO$13:$BO$4972)),""),ROWS($A$13:$A245))),INDEX($BQ$13:$BQ$212,SMALL(IF((County=$BR$13:$BR$212),MATCH(ROW($BR$13:$BR$212),ROW($BR$13:$BR$212)),""),ROWS($A$13:$A245)))),"")</f>
        <v/>
      </c>
      <c r="BY245" s="348" t="str">
        <f t="array" ref="BY245">IFERROR(IF($BY$11="Yes",INDEX($BT$13:$BT$2950,SMALL(IF((County=$BU$13:$BU$2950),MATCH(ROW($BU$13:$BU$2950),ROW($BU$13:$BU$2950)),""),ROWS($A$13:$A245))),""),"")</f>
        <v/>
      </c>
      <c r="CA245" s="2298">
        <v>33584</v>
      </c>
      <c r="CB245" s="345" t="s">
        <v>337</v>
      </c>
      <c r="CD245" s="237">
        <v>6.04</v>
      </c>
      <c r="CE245" s="237" t="s">
        <v>349</v>
      </c>
      <c r="CJ245" s="347">
        <v>12.07</v>
      </c>
      <c r="CK245" s="347" t="s">
        <v>352</v>
      </c>
      <c r="CL245" s="1789"/>
      <c r="CM245" s="2299"/>
      <c r="CN245" s="345"/>
      <c r="CR245" s="345"/>
      <c r="CS245" s="345"/>
      <c r="CU245" s="345"/>
      <c r="CV245" s="345"/>
      <c r="CX245" s="347"/>
      <c r="CY245" s="347"/>
      <c r="DA245" s="348"/>
      <c r="DC245" s="348"/>
      <c r="DE245" s="1792"/>
      <c r="DF245" s="345"/>
      <c r="DH245" s="237"/>
      <c r="DI245" s="237"/>
      <c r="DK245" s="345"/>
      <c r="DL245" s="345"/>
      <c r="DN245" s="347"/>
      <c r="DO245" s="347"/>
      <c r="DP245" s="2505"/>
      <c r="DT245" s="663"/>
      <c r="DU245" s="663"/>
      <c r="DV245" s="663"/>
      <c r="DW245" s="663"/>
      <c r="DX245" s="663"/>
      <c r="DY245" s="663"/>
      <c r="DZ245" s="663"/>
      <c r="EA245" s="663"/>
      <c r="EB245" s="663"/>
      <c r="EC245" s="663"/>
      <c r="ED245" s="663"/>
    </row>
    <row r="246" spans="1:134">
      <c r="A246" s="346">
        <v>33418</v>
      </c>
      <c r="B246" s="345" t="s">
        <v>361</v>
      </c>
      <c r="E246" s="934"/>
      <c r="F246" s="345">
        <v>124.02</v>
      </c>
      <c r="G246" s="345" t="s">
        <v>337</v>
      </c>
      <c r="L246" s="347">
        <v>702.09</v>
      </c>
      <c r="M246" s="347" t="s">
        <v>310</v>
      </c>
      <c r="Q246" s="348" t="str">
        <f t="array" ref="Q246">IFERROR(IF($Q$11="Yes",INDEX($L$13:$L$2313,SMALL(IF((County=$M$13:$M$2313),MATCH(ROW($M$13:$M$2313),ROW($M$13:$M$2313)),""),ROWS($A$13:A246))),""),"")</f>
        <v/>
      </c>
      <c r="S246" s="346">
        <v>33777</v>
      </c>
      <c r="T246" s="345" t="s">
        <v>363</v>
      </c>
      <c r="V246" s="345">
        <v>30.03</v>
      </c>
      <c r="W246" s="345" t="s">
        <v>352</v>
      </c>
      <c r="AB246" s="347">
        <v>18.010000000000002</v>
      </c>
      <c r="AC246" s="347" t="s">
        <v>344</v>
      </c>
      <c r="AD246" s="1138"/>
      <c r="AE246" s="346">
        <v>33412</v>
      </c>
      <c r="AF246" s="345" t="s">
        <v>361</v>
      </c>
      <c r="AI246" s="934"/>
      <c r="AJ246" s="345">
        <v>110.1</v>
      </c>
      <c r="AK246" s="345" t="s">
        <v>337</v>
      </c>
      <c r="AP246" s="347">
        <v>433.01</v>
      </c>
      <c r="AQ246" s="347" t="s">
        <v>310</v>
      </c>
      <c r="AU246" s="348" t="str">
        <f t="array" ref="AU246">IFERROR(IF($AU$11="Yes",INDEX($AP$13:$AP$2950,SMALL(IF((County=$AQ$13:$AQ$2950),MATCH(ROW($AQ$13:$AQ$2950),ROW($AQ$13:$AQ$2950)),""),ROWS($A$13:$A246))),""),"")</f>
        <v/>
      </c>
      <c r="AW246" s="346">
        <v>33713</v>
      </c>
      <c r="AX246" s="345" t="s">
        <v>363</v>
      </c>
      <c r="AZ246" s="345">
        <v>22.18</v>
      </c>
      <c r="BA246" s="345" t="s">
        <v>297</v>
      </c>
      <c r="BF246" s="347">
        <v>12.06</v>
      </c>
      <c r="BG246" s="347" t="s">
        <v>352</v>
      </c>
      <c r="BH246" s="1790"/>
      <c r="BI246" s="2299">
        <v>32827</v>
      </c>
      <c r="BJ246" s="345" t="s">
        <v>359</v>
      </c>
      <c r="BM246" s="1784"/>
      <c r="BN246" s="345">
        <v>712.05</v>
      </c>
      <c r="BO246" s="345" t="s">
        <v>309</v>
      </c>
      <c r="BT246" s="347">
        <v>426.01</v>
      </c>
      <c r="BU246" s="347" t="s">
        <v>310</v>
      </c>
      <c r="BW246" s="348" t="str">
        <f t="array" ref="BW246">IFERROR(IF($BW$11="Metro",INDEX($BN$13:$BN$4972,SMALL(IF((County=$BO$13:$BO$4972),MATCH(ROW($BO$13:$BO$4972),ROW($BO$13:$BO$4972)),""),ROWS($A$13:$A246))),INDEX($BQ$13:$BQ$212,SMALL(IF((County=$BR$13:$BR$212),MATCH(ROW($BR$13:$BR$212),ROW($BR$13:$BR$212)),""),ROWS($A$13:$A246)))),"")</f>
        <v/>
      </c>
      <c r="BY246" s="348" t="str">
        <f t="array" ref="BY246">IFERROR(IF($BY$11="Yes",INDEX($BT$13:$BT$2950,SMALL(IF((County=$BU$13:$BU$2950),MATCH(ROW($BU$13:$BU$2950),ROW($BU$13:$BU$2950)),""),ROWS($A$13:$A246))),""),"")</f>
        <v/>
      </c>
      <c r="CA246" s="2298">
        <v>33594</v>
      </c>
      <c r="CB246" s="345" t="s">
        <v>337</v>
      </c>
      <c r="CD246" s="237">
        <v>6.04</v>
      </c>
      <c r="CE246" s="237" t="s">
        <v>350</v>
      </c>
      <c r="CJ246" s="347">
        <v>12.08</v>
      </c>
      <c r="CK246" s="347" t="s">
        <v>344</v>
      </c>
      <c r="CL246" s="1789"/>
      <c r="CM246" s="2299"/>
      <c r="CN246" s="345"/>
      <c r="CR246" s="345"/>
      <c r="CS246" s="345"/>
      <c r="CU246" s="345"/>
      <c r="CV246" s="345"/>
      <c r="CX246" s="347"/>
      <c r="CY246" s="347"/>
      <c r="DA246" s="348"/>
      <c r="DC246" s="348"/>
      <c r="DE246" s="1792"/>
      <c r="DF246" s="345"/>
      <c r="DH246" s="237"/>
      <c r="DI246" s="237"/>
      <c r="DK246" s="345"/>
      <c r="DL246" s="345"/>
      <c r="DN246" s="347"/>
      <c r="DO246" s="347"/>
      <c r="DP246" s="2505"/>
      <c r="DT246" s="663"/>
      <c r="DU246" s="663"/>
      <c r="DV246" s="663"/>
      <c r="DW246" s="663"/>
      <c r="DX246" s="663"/>
      <c r="DY246" s="663"/>
      <c r="DZ246" s="663"/>
      <c r="EA246" s="663"/>
      <c r="EB246" s="663"/>
      <c r="EC246" s="663"/>
      <c r="ED246" s="663"/>
    </row>
    <row r="247" spans="1:134">
      <c r="A247" s="346">
        <v>33426</v>
      </c>
      <c r="B247" s="345" t="s">
        <v>361</v>
      </c>
      <c r="E247" s="934"/>
      <c r="F247" s="345">
        <v>124.03</v>
      </c>
      <c r="G247" s="345" t="s">
        <v>337</v>
      </c>
      <c r="L247" s="347">
        <v>702.11</v>
      </c>
      <c r="M247" s="347" t="s">
        <v>310</v>
      </c>
      <c r="Q247" s="348" t="str">
        <f t="array" ref="Q247">IFERROR(IF($Q$11="Yes",INDEX($L$13:$L$2313,SMALL(IF((County=$M$13:$M$2313),MATCH(ROW($M$13:$M$2313),ROW($M$13:$M$2313)),""),ROWS($A$13:A247))),""),"")</f>
        <v/>
      </c>
      <c r="S247" s="346">
        <v>33782</v>
      </c>
      <c r="T247" s="345" t="s">
        <v>363</v>
      </c>
      <c r="V247" s="345">
        <v>30.04</v>
      </c>
      <c r="W247" s="345" t="s">
        <v>352</v>
      </c>
      <c r="AB247" s="347">
        <v>18.010000000000002</v>
      </c>
      <c r="AC247" s="347" t="s">
        <v>368</v>
      </c>
      <c r="AD247" s="1138"/>
      <c r="AE247" s="346">
        <v>33413</v>
      </c>
      <c r="AF247" s="345" t="s">
        <v>361</v>
      </c>
      <c r="AI247" s="934"/>
      <c r="AJ247" s="345">
        <v>112.06</v>
      </c>
      <c r="AK247" s="345" t="s">
        <v>337</v>
      </c>
      <c r="AP247" s="347">
        <v>502.05</v>
      </c>
      <c r="AQ247" s="347" t="s">
        <v>310</v>
      </c>
      <c r="AU247" s="348" t="str">
        <f t="array" ref="AU247">IFERROR(IF($AU$11="Yes",INDEX($AP$13:$AP$2950,SMALL(IF((County=$AQ$13:$AQ$2950),MATCH(ROW($AQ$13:$AQ$2950),ROW($AQ$13:$AQ$2950)),""),ROWS($A$13:$A247))),""),"")</f>
        <v/>
      </c>
      <c r="AW247" s="346">
        <v>33715</v>
      </c>
      <c r="AX247" s="345" t="s">
        <v>363</v>
      </c>
      <c r="AZ247" s="345">
        <v>23</v>
      </c>
      <c r="BA247" s="345" t="s">
        <v>352</v>
      </c>
      <c r="BF247" s="347">
        <v>12.06</v>
      </c>
      <c r="BG247" s="347" t="s">
        <v>368</v>
      </c>
      <c r="BH247" s="1790"/>
      <c r="BI247" s="2299">
        <v>32828</v>
      </c>
      <c r="BJ247" s="345" t="s">
        <v>359</v>
      </c>
      <c r="BM247" s="1784"/>
      <c r="BN247" s="345">
        <v>713.35</v>
      </c>
      <c r="BO247" s="345" t="s">
        <v>309</v>
      </c>
      <c r="BT247" s="347">
        <v>426.02</v>
      </c>
      <c r="BU247" s="347" t="s">
        <v>310</v>
      </c>
      <c r="BW247" s="348" t="str">
        <f t="array" ref="BW247">IFERROR(IF($BW$11="Metro",INDEX($BN$13:$BN$4972,SMALL(IF((County=$BO$13:$BO$4972),MATCH(ROW($BO$13:$BO$4972),ROW($BO$13:$BO$4972)),""),ROWS($A$13:$A247))),INDEX($BQ$13:$BQ$212,SMALL(IF((County=$BR$13:$BR$212),MATCH(ROW($BR$13:$BR$212),ROW($BR$13:$BR$212)),""),ROWS($A$13:$A247)))),"")</f>
        <v/>
      </c>
      <c r="BY247" s="348" t="str">
        <f t="array" ref="BY247">IFERROR(IF($BY$11="Yes",INDEX($BT$13:$BT$2950,SMALL(IF((County=$BU$13:$BU$2950),MATCH(ROW($BU$13:$BU$2950),ROW($BU$13:$BU$2950)),""),ROWS($A$13:$A247))),""),"")</f>
        <v/>
      </c>
      <c r="CA247" s="2298">
        <v>33596</v>
      </c>
      <c r="CB247" s="345" t="s">
        <v>337</v>
      </c>
      <c r="CD247" s="237">
        <v>6.04</v>
      </c>
      <c r="CE247" s="237" t="s">
        <v>351</v>
      </c>
      <c r="CJ247" s="347">
        <v>12.08</v>
      </c>
      <c r="CK247" s="347" t="s">
        <v>350</v>
      </c>
      <c r="CL247" s="1789"/>
      <c r="CM247" s="2299"/>
      <c r="CN247" s="345"/>
      <c r="CR247" s="345"/>
      <c r="CS247" s="345"/>
      <c r="CU247" s="345"/>
      <c r="CV247" s="345"/>
      <c r="CX247" s="347"/>
      <c r="CY247" s="347"/>
      <c r="DA247" s="348"/>
      <c r="DC247" s="348"/>
      <c r="DE247" s="1792"/>
      <c r="DF247" s="345"/>
      <c r="DH247" s="237"/>
      <c r="DI247" s="237"/>
      <c r="DK247" s="345"/>
      <c r="DL247" s="345"/>
      <c r="DN247" s="347"/>
      <c r="DO247" s="347"/>
      <c r="DP247" s="2505"/>
      <c r="DT247" s="663"/>
      <c r="DU247" s="663"/>
      <c r="DV247" s="663"/>
      <c r="DW247" s="663"/>
      <c r="DX247" s="663"/>
      <c r="DY247" s="663"/>
      <c r="DZ247" s="663"/>
      <c r="EA247" s="663"/>
      <c r="EB247" s="663"/>
      <c r="EC247" s="663"/>
      <c r="ED247" s="663"/>
    </row>
    <row r="248" spans="1:134">
      <c r="A248" s="346">
        <v>33428</v>
      </c>
      <c r="B248" s="345" t="s">
        <v>361</v>
      </c>
      <c r="E248" s="934"/>
      <c r="F248" s="345">
        <v>129</v>
      </c>
      <c r="G248" s="345" t="s">
        <v>337</v>
      </c>
      <c r="L248" s="347">
        <v>703.04</v>
      </c>
      <c r="M248" s="347" t="s">
        <v>310</v>
      </c>
      <c r="Q248" s="348" t="str">
        <f t="array" ref="Q248">IFERROR(IF($Q$11="Yes",INDEX($L$13:$L$2313,SMALL(IF((County=$M$13:$M$2313),MATCH(ROW($M$13:$M$2313),ROW($M$13:$M$2313)),""),ROWS($A$13:A248))),""),"")</f>
        <v/>
      </c>
      <c r="S248" s="346">
        <v>33785</v>
      </c>
      <c r="T248" s="345" t="s">
        <v>363</v>
      </c>
      <c r="V248" s="345">
        <v>31</v>
      </c>
      <c r="W248" s="345" t="s">
        <v>337</v>
      </c>
      <c r="AB248" s="347">
        <v>18.02</v>
      </c>
      <c r="AC248" s="347" t="s">
        <v>344</v>
      </c>
      <c r="AD248" s="1138"/>
      <c r="AE248" s="346">
        <v>33414</v>
      </c>
      <c r="AF248" s="345" t="s">
        <v>361</v>
      </c>
      <c r="AI248" s="934"/>
      <c r="AJ248" s="345">
        <v>116.1</v>
      </c>
      <c r="AK248" s="345" t="s">
        <v>337</v>
      </c>
      <c r="AP248" s="347">
        <v>502.06</v>
      </c>
      <c r="AQ248" s="347" t="s">
        <v>310</v>
      </c>
      <c r="AU248" s="348" t="str">
        <f t="array" ref="AU248">IFERROR(IF($AU$11="Yes",INDEX($AP$13:$AP$2950,SMALL(IF((County=$AQ$13:$AQ$2950),MATCH(ROW($AQ$13:$AQ$2950),ROW($AQ$13:$AQ$2950)),""),ROWS($A$13:$A248))),""),"")</f>
        <v/>
      </c>
      <c r="AW248" s="346">
        <v>33716</v>
      </c>
      <c r="AX248" s="345" t="s">
        <v>363</v>
      </c>
      <c r="AZ248" s="345">
        <v>24</v>
      </c>
      <c r="BA248" s="345" t="s">
        <v>306</v>
      </c>
      <c r="BF248" s="347">
        <v>12.07</v>
      </c>
      <c r="BG248" s="347" t="s">
        <v>344</v>
      </c>
      <c r="BH248" s="1790"/>
      <c r="BI248" s="2299">
        <v>32829</v>
      </c>
      <c r="BJ248" s="345" t="s">
        <v>359</v>
      </c>
      <c r="BM248" s="1784"/>
      <c r="BN248" s="345">
        <v>713.37</v>
      </c>
      <c r="BO248" s="345" t="s">
        <v>309</v>
      </c>
      <c r="BT248" s="347">
        <v>430.01</v>
      </c>
      <c r="BU248" s="347" t="s">
        <v>310</v>
      </c>
      <c r="BW248" s="348" t="str">
        <f t="array" ref="BW248">IFERROR(IF($BW$11="Metro",INDEX($BN$13:$BN$4972,SMALL(IF((County=$BO$13:$BO$4972),MATCH(ROW($BO$13:$BO$4972),ROW($BO$13:$BO$4972)),""),ROWS($A$13:$A248))),INDEX($BQ$13:$BQ$212,SMALL(IF((County=$BR$13:$BR$212),MATCH(ROW($BR$13:$BR$212),ROW($BR$13:$BR$212)),""),ROWS($A$13:$A248)))),"")</f>
        <v/>
      </c>
      <c r="BY248" s="348" t="str">
        <f t="array" ref="BY248">IFERROR(IF($BY$11="Yes",INDEX($BT$13:$BT$2950,SMALL(IF((County=$BU$13:$BU$2950),MATCH(ROW($BU$13:$BU$2950),ROW($BU$13:$BU$2950)),""),ROWS($A$13:$A248))),""),"")</f>
        <v/>
      </c>
      <c r="CA248" s="2298">
        <v>33602</v>
      </c>
      <c r="CB248" s="345" t="s">
        <v>337</v>
      </c>
      <c r="CD248" s="237">
        <v>6.05</v>
      </c>
      <c r="CE248" s="237" t="s">
        <v>350</v>
      </c>
      <c r="CJ248" s="347">
        <v>12.08</v>
      </c>
      <c r="CK248" s="347" t="s">
        <v>352</v>
      </c>
      <c r="CL248" s="1789"/>
      <c r="CM248" s="2299"/>
      <c r="CN248" s="345"/>
      <c r="CR248" s="345"/>
      <c r="CS248" s="345"/>
      <c r="CU248" s="345"/>
      <c r="CV248" s="345"/>
      <c r="CX248" s="347"/>
      <c r="CY248" s="347"/>
      <c r="DA248" s="348"/>
      <c r="DC248" s="348"/>
      <c r="DE248" s="1792"/>
      <c r="DF248" s="345"/>
      <c r="DH248" s="237"/>
      <c r="DI248" s="237"/>
      <c r="DK248" s="345"/>
      <c r="DL248" s="345"/>
      <c r="DN248" s="347"/>
      <c r="DO248" s="347"/>
      <c r="DP248" s="2505"/>
      <c r="DT248" s="663"/>
      <c r="DU248" s="663"/>
      <c r="DV248" s="663"/>
      <c r="DW248" s="663"/>
      <c r="DX248" s="663"/>
      <c r="DY248" s="663"/>
      <c r="DZ248" s="663"/>
      <c r="EA248" s="663"/>
      <c r="EB248" s="663"/>
      <c r="EC248" s="663"/>
      <c r="ED248" s="663"/>
    </row>
    <row r="249" spans="1:134">
      <c r="A249" s="346">
        <v>33431</v>
      </c>
      <c r="B249" s="345" t="s">
        <v>361</v>
      </c>
      <c r="E249" s="934"/>
      <c r="F249" s="345">
        <v>133.16999999999999</v>
      </c>
      <c r="G249" s="345" t="s">
        <v>337</v>
      </c>
      <c r="L249" s="347">
        <v>703.06</v>
      </c>
      <c r="M249" s="347" t="s">
        <v>310</v>
      </c>
      <c r="Q249" s="348" t="str">
        <f t="array" ref="Q249">IFERROR(IF($Q$11="Yes",INDEX($L$13:$L$2313,SMALL(IF((County=$M$13:$M$2313),MATCH(ROW($M$13:$M$2313),ROW($M$13:$M$2313)),""),ROWS($A$13:A249))),""),"")</f>
        <v/>
      </c>
      <c r="S249" s="346">
        <v>33786</v>
      </c>
      <c r="T249" s="345" t="s">
        <v>363</v>
      </c>
      <c r="V249" s="345">
        <v>31</v>
      </c>
      <c r="W249" s="345" t="s">
        <v>352</v>
      </c>
      <c r="AB249" s="347">
        <v>18.05</v>
      </c>
      <c r="AC249" s="347" t="s">
        <v>297</v>
      </c>
      <c r="AD249" s="1138"/>
      <c r="AE249" s="346">
        <v>33418</v>
      </c>
      <c r="AF249" s="345" t="s">
        <v>361</v>
      </c>
      <c r="AI249" s="934"/>
      <c r="AJ249" s="345">
        <v>116.14</v>
      </c>
      <c r="AK249" s="345" t="s">
        <v>337</v>
      </c>
      <c r="AP249" s="347">
        <v>504.01</v>
      </c>
      <c r="AQ249" s="347" t="s">
        <v>310</v>
      </c>
      <c r="AU249" s="348" t="str">
        <f t="array" ref="AU249">IFERROR(IF($AU$11="Yes",INDEX($AP$13:$AP$2950,SMALL(IF((County=$AQ$13:$AQ$2950),MATCH(ROW($AQ$13:$AQ$2950),ROW($AQ$13:$AQ$2950)),""),ROWS($A$13:$A249))),""),"")</f>
        <v/>
      </c>
      <c r="AW249" s="346">
        <v>33744</v>
      </c>
      <c r="AX249" s="345" t="s">
        <v>363</v>
      </c>
      <c r="AZ249" s="345">
        <v>24</v>
      </c>
      <c r="BA249" s="345" t="s">
        <v>361</v>
      </c>
      <c r="BF249" s="347">
        <v>12.07</v>
      </c>
      <c r="BG249" s="347" t="s">
        <v>352</v>
      </c>
      <c r="BH249" s="1790"/>
      <c r="BI249" s="2299">
        <v>32831</v>
      </c>
      <c r="BJ249" s="345" t="s">
        <v>359</v>
      </c>
      <c r="BM249" s="1784"/>
      <c r="BN249" s="345">
        <v>713.39</v>
      </c>
      <c r="BO249" s="345" t="s">
        <v>309</v>
      </c>
      <c r="BT249" s="347">
        <v>430.02</v>
      </c>
      <c r="BU249" s="347" t="s">
        <v>310</v>
      </c>
      <c r="BW249" s="348" t="str">
        <f t="array" ref="BW249">IFERROR(IF($BW$11="Metro",INDEX($BN$13:$BN$4972,SMALL(IF((County=$BO$13:$BO$4972),MATCH(ROW($BO$13:$BO$4972),ROW($BO$13:$BO$4972)),""),ROWS($A$13:$A249))),INDEX($BQ$13:$BQ$212,SMALL(IF((County=$BR$13:$BR$212),MATCH(ROW($BR$13:$BR$212),ROW($BR$13:$BR$212)),""),ROWS($A$13:$A249)))),"")</f>
        <v/>
      </c>
      <c r="BY249" s="348" t="str">
        <f t="array" ref="BY249">IFERROR(IF($BY$11="Yes",INDEX($BT$13:$BT$2950,SMALL(IF((County=$BU$13:$BU$2950),MATCH(ROW($BU$13:$BU$2950),ROW($BU$13:$BU$2950)),""),ROWS($A$13:$A249))),""),"")</f>
        <v/>
      </c>
      <c r="CA249" s="2298">
        <v>33606</v>
      </c>
      <c r="CB249" s="345" t="s">
        <v>337</v>
      </c>
      <c r="CD249" s="237">
        <v>6.05</v>
      </c>
      <c r="CE249" s="237" t="s">
        <v>352</v>
      </c>
      <c r="CJ249" s="347">
        <v>12.09</v>
      </c>
      <c r="CK249" s="347" t="s">
        <v>344</v>
      </c>
      <c r="CL249" s="1789"/>
      <c r="CM249" s="2299"/>
      <c r="CN249" s="345"/>
      <c r="CR249" s="345"/>
      <c r="CS249" s="345"/>
      <c r="CU249" s="345"/>
      <c r="CV249" s="345"/>
      <c r="CX249" s="347"/>
      <c r="CY249" s="347"/>
      <c r="DA249" s="348"/>
      <c r="DC249" s="348"/>
      <c r="DE249" s="1792"/>
      <c r="DF249" s="345"/>
      <c r="DH249" s="237"/>
      <c r="DI249" s="237"/>
      <c r="DK249" s="345"/>
      <c r="DL249" s="345"/>
      <c r="DN249" s="347"/>
      <c r="DO249" s="347"/>
      <c r="DP249" s="2505"/>
      <c r="DT249" s="663"/>
      <c r="DU249" s="663"/>
      <c r="DV249" s="663"/>
      <c r="DW249" s="663"/>
      <c r="DX249" s="663"/>
      <c r="DY249" s="663"/>
      <c r="DZ249" s="663"/>
      <c r="EA249" s="663"/>
      <c r="EB249" s="663"/>
      <c r="EC249" s="663"/>
      <c r="ED249" s="663"/>
    </row>
    <row r="250" spans="1:134">
      <c r="A250" s="346">
        <v>33432</v>
      </c>
      <c r="B250" s="345" t="s">
        <v>361</v>
      </c>
      <c r="E250" s="934"/>
      <c r="F250" s="345">
        <v>135.04</v>
      </c>
      <c r="G250" s="345" t="s">
        <v>337</v>
      </c>
      <c r="L250" s="347">
        <v>703.1</v>
      </c>
      <c r="M250" s="347" t="s">
        <v>310</v>
      </c>
      <c r="Q250" s="348" t="str">
        <f t="array" ref="Q250">IFERROR(IF($Q$11="Yes",INDEX($L$13:$L$2313,SMALL(IF((County=$M$13:$M$2313),MATCH(ROW($M$13:$M$2313),ROW($M$13:$M$2313)),""),ROWS($A$13:A250))),""),"")</f>
        <v/>
      </c>
      <c r="S250" s="346">
        <v>33803</v>
      </c>
      <c r="T250" s="345" t="s">
        <v>365</v>
      </c>
      <c r="V250" s="345">
        <v>31.02</v>
      </c>
      <c r="W250" s="345" t="s">
        <v>361</v>
      </c>
      <c r="AB250" s="347">
        <v>18.05</v>
      </c>
      <c r="AC250" s="347" t="s">
        <v>368</v>
      </c>
      <c r="AD250" s="1138"/>
      <c r="AE250" s="346">
        <v>33426</v>
      </c>
      <c r="AF250" s="345" t="s">
        <v>361</v>
      </c>
      <c r="AI250" s="934"/>
      <c r="AJ250" s="345">
        <v>119.05</v>
      </c>
      <c r="AK250" s="345" t="s">
        <v>337</v>
      </c>
      <c r="AP250" s="347">
        <v>506.01</v>
      </c>
      <c r="AQ250" s="347" t="s">
        <v>310</v>
      </c>
      <c r="AU250" s="348" t="str">
        <f t="array" ref="AU250">IFERROR(IF($AU$11="Yes",INDEX($AP$13:$AP$2950,SMALL(IF((County=$AQ$13:$AQ$2950),MATCH(ROW($AQ$13:$AQ$2950),ROW($AQ$13:$AQ$2950)),""),ROWS($A$13:$A250))),""),"")</f>
        <v/>
      </c>
      <c r="AW250" s="346">
        <v>33759</v>
      </c>
      <c r="AX250" s="345" t="s">
        <v>363</v>
      </c>
      <c r="AZ250" s="345">
        <v>24.02</v>
      </c>
      <c r="BA250" s="345" t="s">
        <v>352</v>
      </c>
      <c r="BF250" s="347">
        <v>12.08</v>
      </c>
      <c r="BG250" s="347" t="s">
        <v>344</v>
      </c>
      <c r="BH250" s="1790"/>
      <c r="BI250" s="2299">
        <v>32832</v>
      </c>
      <c r="BJ250" s="345" t="s">
        <v>359</v>
      </c>
      <c r="BM250" s="1784"/>
      <c r="BN250" s="345">
        <v>713.41</v>
      </c>
      <c r="BO250" s="345" t="s">
        <v>309</v>
      </c>
      <c r="BT250" s="347">
        <v>433.01</v>
      </c>
      <c r="BU250" s="347" t="s">
        <v>310</v>
      </c>
      <c r="BW250" s="348" t="str">
        <f t="array" ref="BW250">IFERROR(IF($BW$11="Metro",INDEX($BN$13:$BN$4972,SMALL(IF((County=$BO$13:$BO$4972),MATCH(ROW($BO$13:$BO$4972),ROW($BO$13:$BO$4972)),""),ROWS($A$13:$A250))),INDEX($BQ$13:$BQ$212,SMALL(IF((County=$BR$13:$BR$212),MATCH(ROW($BR$13:$BR$212),ROW($BR$13:$BR$212)),""),ROWS($A$13:$A250)))),"")</f>
        <v/>
      </c>
      <c r="BY250" s="348" t="str">
        <f t="array" ref="BY250">IFERROR(IF($BY$11="Yes",INDEX($BT$13:$BT$2950,SMALL(IF((County=$BU$13:$BU$2950),MATCH(ROW($BU$13:$BU$2950),ROW($BU$13:$BU$2950)),""),ROWS($A$13:$A250))),""),"")</f>
        <v/>
      </c>
      <c r="CA250" s="2298">
        <v>33607</v>
      </c>
      <c r="CB250" s="345" t="s">
        <v>337</v>
      </c>
      <c r="CD250" s="237">
        <v>6.06</v>
      </c>
      <c r="CE250" s="237" t="s">
        <v>350</v>
      </c>
      <c r="CJ250" s="347">
        <v>12.09</v>
      </c>
      <c r="CK250" s="347" t="s">
        <v>350</v>
      </c>
      <c r="CL250" s="1789"/>
      <c r="CM250" s="2299"/>
      <c r="CN250" s="345"/>
      <c r="CR250" s="345"/>
      <c r="CS250" s="345"/>
      <c r="CU250" s="345"/>
      <c r="CV250" s="345"/>
      <c r="CX250" s="347"/>
      <c r="CY250" s="347"/>
      <c r="DA250" s="348"/>
      <c r="DC250" s="348"/>
      <c r="DE250" s="1792"/>
      <c r="DF250" s="345"/>
      <c r="DH250" s="237"/>
      <c r="DI250" s="237"/>
      <c r="DK250" s="345"/>
      <c r="DL250" s="345"/>
      <c r="DN250" s="347"/>
      <c r="DO250" s="347"/>
      <c r="DP250" s="2505"/>
      <c r="DT250" s="663"/>
      <c r="DU250" s="663"/>
      <c r="DV250" s="663"/>
      <c r="DW250" s="663"/>
      <c r="DX250" s="663"/>
      <c r="DY250" s="663"/>
      <c r="DZ250" s="663"/>
      <c r="EA250" s="663"/>
      <c r="EB250" s="663"/>
      <c r="EC250" s="663"/>
      <c r="ED250" s="663"/>
    </row>
    <row r="251" spans="1:134">
      <c r="A251" s="346">
        <v>33433</v>
      </c>
      <c r="B251" s="345" t="s">
        <v>361</v>
      </c>
      <c r="E251" s="934"/>
      <c r="F251" s="345">
        <v>135.05000000000001</v>
      </c>
      <c r="G251" s="345" t="s">
        <v>337</v>
      </c>
      <c r="L251" s="347">
        <v>703.11</v>
      </c>
      <c r="M251" s="347" t="s">
        <v>310</v>
      </c>
      <c r="Q251" s="348" t="str">
        <f t="array" ref="Q251">IFERROR(IF($Q$11="Yes",INDEX($L$13:$L$2313,SMALL(IF((County=$M$13:$M$2313),MATCH(ROW($M$13:$M$2313),ROW($M$13:$M$2313)),""),ROWS($A$13:A251))),""),"")</f>
        <v/>
      </c>
      <c r="S251" s="346">
        <v>33805</v>
      </c>
      <c r="T251" s="345" t="s">
        <v>365</v>
      </c>
      <c r="V251" s="345">
        <v>32</v>
      </c>
      <c r="W251" s="345" t="s">
        <v>337</v>
      </c>
      <c r="AB251" s="347">
        <v>18.059999999999999</v>
      </c>
      <c r="AC251" s="347" t="s">
        <v>297</v>
      </c>
      <c r="AD251" s="1138"/>
      <c r="AE251" s="346">
        <v>33428</v>
      </c>
      <c r="AF251" s="345" t="s">
        <v>361</v>
      </c>
      <c r="AI251" s="934"/>
      <c r="AJ251" s="345">
        <v>120.02</v>
      </c>
      <c r="AK251" s="345" t="s">
        <v>337</v>
      </c>
      <c r="AP251" s="347">
        <v>509</v>
      </c>
      <c r="AQ251" s="347" t="s">
        <v>310</v>
      </c>
      <c r="AU251" s="348" t="str">
        <f t="array" ref="AU251">IFERROR(IF($AU$11="Yes",INDEX($AP$13:$AP$2950,SMALL(IF((County=$AQ$13:$AQ$2950),MATCH(ROW($AQ$13:$AQ$2950),ROW($AQ$13:$AQ$2950)),""),ROWS($A$13:$A251))),""),"")</f>
        <v/>
      </c>
      <c r="AW251" s="346">
        <v>33762</v>
      </c>
      <c r="AX251" s="345" t="s">
        <v>363</v>
      </c>
      <c r="AZ251" s="345">
        <v>24.03</v>
      </c>
      <c r="BA251" s="345" t="s">
        <v>352</v>
      </c>
      <c r="BF251" s="347">
        <v>12.08</v>
      </c>
      <c r="BG251" s="347" t="s">
        <v>350</v>
      </c>
      <c r="BH251" s="1790"/>
      <c r="BI251" s="2299">
        <v>32835</v>
      </c>
      <c r="BJ251" s="345" t="s">
        <v>359</v>
      </c>
      <c r="BM251" s="1784"/>
      <c r="BN251" s="345">
        <v>713.42</v>
      </c>
      <c r="BO251" s="345" t="s">
        <v>309</v>
      </c>
      <c r="BT251" s="347">
        <v>502.05</v>
      </c>
      <c r="BU251" s="347" t="s">
        <v>310</v>
      </c>
      <c r="BW251" s="348" t="str">
        <f t="array" ref="BW251">IFERROR(IF($BW$11="Metro",INDEX($BN$13:$BN$4972,SMALL(IF((County=$BO$13:$BO$4972),MATCH(ROW($BO$13:$BO$4972),ROW($BO$13:$BO$4972)),""),ROWS($A$13:$A251))),INDEX($BQ$13:$BQ$212,SMALL(IF((County=$BR$13:$BR$212),MATCH(ROW($BR$13:$BR$212),ROW($BR$13:$BR$212)),""),ROWS($A$13:$A251)))),"")</f>
        <v/>
      </c>
      <c r="BY251" s="348" t="str">
        <f t="array" ref="BY251">IFERROR(IF($BY$11="Yes",INDEX($BT$13:$BT$2950,SMALL(IF((County=$BU$13:$BU$2950),MATCH(ROW($BU$13:$BU$2950),ROW($BU$13:$BU$2950)),""),ROWS($A$13:$A251))),""),"")</f>
        <v/>
      </c>
      <c r="CA251" s="2298">
        <v>33609</v>
      </c>
      <c r="CB251" s="345" t="s">
        <v>337</v>
      </c>
      <c r="CD251" s="237">
        <v>6.06</v>
      </c>
      <c r="CE251" s="237" t="s">
        <v>351</v>
      </c>
      <c r="CJ251" s="347">
        <v>12.1</v>
      </c>
      <c r="CK251" s="347" t="s">
        <v>350</v>
      </c>
      <c r="CL251" s="1789"/>
      <c r="CM251" s="2299"/>
      <c r="CN251" s="345"/>
      <c r="CR251" s="345"/>
      <c r="CS251" s="345"/>
      <c r="CU251" s="2831" t="s">
        <v>2309</v>
      </c>
      <c r="CV251" s="2832"/>
      <c r="CX251" s="347"/>
      <c r="CY251" s="347"/>
      <c r="DA251" s="348"/>
      <c r="DC251" s="348"/>
      <c r="DE251" s="1792"/>
      <c r="DF251" s="345"/>
      <c r="DH251" s="237"/>
      <c r="DI251" s="237"/>
      <c r="DK251" s="2831" t="s">
        <v>2309</v>
      </c>
      <c r="DL251" s="2832"/>
      <c r="DN251" s="347"/>
      <c r="DO251" s="347"/>
      <c r="DP251" s="2505"/>
      <c r="DT251" s="663"/>
      <c r="DU251" s="663"/>
      <c r="DV251" s="663"/>
      <c r="DW251" s="663"/>
      <c r="DX251" s="663"/>
      <c r="DY251" s="663"/>
      <c r="DZ251" s="663"/>
      <c r="EA251" s="663"/>
      <c r="EB251" s="663"/>
      <c r="EC251" s="663"/>
      <c r="ED251" s="663"/>
    </row>
    <row r="252" spans="1:134">
      <c r="A252" s="346">
        <v>33435</v>
      </c>
      <c r="B252" s="345" t="s">
        <v>361</v>
      </c>
      <c r="E252" s="934"/>
      <c r="F252" s="345">
        <v>136.02000000000001</v>
      </c>
      <c r="G252" s="345" t="s">
        <v>337</v>
      </c>
      <c r="L252" s="347">
        <v>703.12</v>
      </c>
      <c r="M252" s="347" t="s">
        <v>310</v>
      </c>
      <c r="Q252" s="348" t="str">
        <f t="array" ref="Q252">IFERROR(IF($Q$11="Yes",INDEX($L$13:$L$2313,SMALL(IF((County=$M$13:$M$2313),MATCH(ROW($M$13:$M$2313),ROW($M$13:$M$2313)),""),ROWS($A$13:A252))),""),"")</f>
        <v/>
      </c>
      <c r="S252" s="346">
        <v>33809</v>
      </c>
      <c r="T252" s="345" t="s">
        <v>365</v>
      </c>
      <c r="V252" s="345">
        <v>33</v>
      </c>
      <c r="W252" s="345" t="s">
        <v>337</v>
      </c>
      <c r="AB252" s="347">
        <v>18.11</v>
      </c>
      <c r="AC252" s="347" t="s">
        <v>297</v>
      </c>
      <c r="AD252" s="1138"/>
      <c r="AE252" s="346">
        <v>33431</v>
      </c>
      <c r="AF252" s="345" t="s">
        <v>361</v>
      </c>
      <c r="AI252" s="934"/>
      <c r="AJ252" s="345">
        <v>122.11</v>
      </c>
      <c r="AK252" s="345" t="s">
        <v>337</v>
      </c>
      <c r="AP252" s="347">
        <v>510.01</v>
      </c>
      <c r="AQ252" s="347" t="s">
        <v>310</v>
      </c>
      <c r="AU252" s="348" t="str">
        <f t="array" ref="AU252">IFERROR(IF($AU$11="Yes",INDEX($AP$13:$AP$2950,SMALL(IF((County=$AQ$13:$AQ$2950),MATCH(ROW($AQ$13:$AQ$2950),ROW($AQ$13:$AQ$2950)),""),ROWS($A$13:$A252))),""),"")</f>
        <v/>
      </c>
      <c r="AW252" s="346">
        <v>33767</v>
      </c>
      <c r="AX252" s="345" t="s">
        <v>363</v>
      </c>
      <c r="AZ252" s="345">
        <v>24.04</v>
      </c>
      <c r="BA252" s="345" t="s">
        <v>352</v>
      </c>
      <c r="BF252" s="347">
        <v>12.09</v>
      </c>
      <c r="BG252" s="347" t="s">
        <v>344</v>
      </c>
      <c r="BH252" s="1790"/>
      <c r="BI252" s="2299">
        <v>32836</v>
      </c>
      <c r="BJ252" s="345" t="s">
        <v>359</v>
      </c>
      <c r="BM252" s="1784"/>
      <c r="BN252" s="345">
        <v>713.43</v>
      </c>
      <c r="BO252" s="345" t="s">
        <v>309</v>
      </c>
      <c r="BT252" s="347">
        <v>502.06</v>
      </c>
      <c r="BU252" s="347" t="s">
        <v>310</v>
      </c>
      <c r="BW252" s="348" t="str">
        <f t="array" ref="BW252">IFERROR(IF($BW$11="Metro",INDEX($BN$13:$BN$4972,SMALL(IF((County=$BO$13:$BO$4972),MATCH(ROW($BO$13:$BO$4972),ROW($BO$13:$BO$4972)),""),ROWS($A$13:$A252))),INDEX($BQ$13:$BQ$212,SMALL(IF((County=$BR$13:$BR$212),MATCH(ROW($BR$13:$BR$212),ROW($BR$13:$BR$212)),""),ROWS($A$13:$A252)))),"")</f>
        <v/>
      </c>
      <c r="BY252" s="348" t="str">
        <f t="array" ref="BY252">IFERROR(IF($BY$11="Yes",INDEX($BT$13:$BT$2950,SMALL(IF((County=$BU$13:$BU$2950),MATCH(ROW($BU$13:$BU$2950),ROW($BU$13:$BU$2950)),""),ROWS($A$13:$A252))),""),"")</f>
        <v/>
      </c>
      <c r="CA252" s="2298">
        <v>33611</v>
      </c>
      <c r="CB252" s="345" t="s">
        <v>337</v>
      </c>
      <c r="CD252" s="237">
        <v>6.07</v>
      </c>
      <c r="CE252" s="237" t="s">
        <v>350</v>
      </c>
      <c r="CJ252" s="347">
        <v>13.01</v>
      </c>
      <c r="CK252" s="347" t="s">
        <v>306</v>
      </c>
      <c r="CL252" s="1789"/>
      <c r="CM252" s="2299"/>
      <c r="CN252" s="345"/>
      <c r="CR252" s="345"/>
      <c r="CS252" s="345"/>
      <c r="CX252" s="347"/>
      <c r="CY252" s="347"/>
      <c r="DA252" s="348"/>
      <c r="DC252" s="348"/>
      <c r="DE252" s="1792"/>
      <c r="DF252" s="345"/>
      <c r="DH252" s="237"/>
      <c r="DI252" s="237"/>
      <c r="DN252" s="347"/>
      <c r="DO252" s="347"/>
      <c r="DP252" s="2505"/>
      <c r="DT252" s="663"/>
      <c r="DU252" s="663"/>
      <c r="DV252" s="663"/>
      <c r="DW252" s="663"/>
      <c r="DX252" s="663"/>
      <c r="DY252" s="663"/>
      <c r="DZ252" s="663"/>
      <c r="EA252" s="663"/>
      <c r="EB252" s="663"/>
      <c r="EC252" s="663"/>
      <c r="ED252" s="663"/>
    </row>
    <row r="253" spans="1:134">
      <c r="A253" s="346">
        <v>33436</v>
      </c>
      <c r="B253" s="345" t="s">
        <v>361</v>
      </c>
      <c r="E253" s="934"/>
      <c r="F253" s="345">
        <v>136.04</v>
      </c>
      <c r="G253" s="345" t="s">
        <v>337</v>
      </c>
      <c r="L253" s="347">
        <v>703.13</v>
      </c>
      <c r="M253" s="347" t="s">
        <v>310</v>
      </c>
      <c r="Q253" s="348" t="str">
        <f t="array" ref="Q253">IFERROR(IF($Q$11="Yes",INDEX($L$13:$L$2313,SMALL(IF((County=$M$13:$M$2313),MATCH(ROW($M$13:$M$2313),ROW($M$13:$M$2313)),""),ROWS($A$13:A253))),""),"")</f>
        <v/>
      </c>
      <c r="S253" s="346">
        <v>33810</v>
      </c>
      <c r="T253" s="345" t="s">
        <v>365</v>
      </c>
      <c r="V253" s="345">
        <v>34</v>
      </c>
      <c r="W253" s="345" t="s">
        <v>337</v>
      </c>
      <c r="AB253" s="347">
        <v>18.13</v>
      </c>
      <c r="AC253" s="347" t="s">
        <v>297</v>
      </c>
      <c r="AD253" s="1138"/>
      <c r="AE253" s="346">
        <v>33432</v>
      </c>
      <c r="AF253" s="345" t="s">
        <v>361</v>
      </c>
      <c r="AI253" s="934"/>
      <c r="AJ253" s="345">
        <v>124.01</v>
      </c>
      <c r="AK253" s="345" t="s">
        <v>337</v>
      </c>
      <c r="AP253" s="347">
        <v>510.02</v>
      </c>
      <c r="AQ253" s="347" t="s">
        <v>310</v>
      </c>
      <c r="AU253" s="348" t="str">
        <f t="array" ref="AU253">IFERROR(IF($AU$11="Yes",INDEX($AP$13:$AP$2950,SMALL(IF((County=$AQ$13:$AQ$2950),MATCH(ROW($AQ$13:$AQ$2950),ROW($AQ$13:$AQ$2950)),""),ROWS($A$13:$A253))),""),"")</f>
        <v/>
      </c>
      <c r="AW253" s="346">
        <v>33772</v>
      </c>
      <c r="AX253" s="345" t="s">
        <v>363</v>
      </c>
      <c r="AZ253" s="345">
        <v>25</v>
      </c>
      <c r="BA253" s="345" t="s">
        <v>337</v>
      </c>
      <c r="BF253" s="347">
        <v>12.09</v>
      </c>
      <c r="BG253" s="347" t="s">
        <v>350</v>
      </c>
      <c r="BH253" s="1790"/>
      <c r="BI253" s="2299">
        <v>32837</v>
      </c>
      <c r="BJ253" s="345" t="s">
        <v>359</v>
      </c>
      <c r="BM253" s="1784"/>
      <c r="BN253" s="345">
        <v>713.44</v>
      </c>
      <c r="BO253" s="345" t="s">
        <v>309</v>
      </c>
      <c r="BT253" s="347">
        <v>504.01</v>
      </c>
      <c r="BU253" s="347" t="s">
        <v>310</v>
      </c>
      <c r="BW253" s="348" t="str">
        <f t="array" ref="BW253">IFERROR(IF($BW$11="Metro",INDEX($BN$13:$BN$4972,SMALL(IF((County=$BO$13:$BO$4972),MATCH(ROW($BO$13:$BO$4972),ROW($BO$13:$BO$4972)),""),ROWS($A$13:$A253))),INDEX($BQ$13:$BQ$212,SMALL(IF((County=$BR$13:$BR$212),MATCH(ROW($BR$13:$BR$212),ROW($BR$13:$BR$212)),""),ROWS($A$13:$A253)))),"")</f>
        <v/>
      </c>
      <c r="BY253" s="348" t="str">
        <f t="array" ref="BY253">IFERROR(IF($BY$11="Yes",INDEX($BT$13:$BT$2950,SMALL(IF((County=$BU$13:$BU$2950),MATCH(ROW($BU$13:$BU$2950),ROW($BU$13:$BU$2950)),""),ROWS($A$13:$A253))),""),"")</f>
        <v/>
      </c>
      <c r="CA253" s="2298">
        <v>33614</v>
      </c>
      <c r="CB253" s="345" t="s">
        <v>337</v>
      </c>
      <c r="CD253" s="237">
        <v>6.07</v>
      </c>
      <c r="CE253" s="237" t="s">
        <v>351</v>
      </c>
      <c r="CJ253" s="347">
        <v>13.01</v>
      </c>
      <c r="CK253" s="347" t="s">
        <v>350</v>
      </c>
      <c r="CL253" s="1789"/>
      <c r="CM253" s="2299"/>
      <c r="CN253" s="345"/>
      <c r="CR253" s="345"/>
      <c r="CS253" s="345"/>
      <c r="CX253" s="347"/>
      <c r="CY253" s="347"/>
      <c r="DA253" s="348"/>
      <c r="DC253" s="348"/>
      <c r="DE253" s="1792"/>
      <c r="DF253" s="345"/>
      <c r="DH253" s="237"/>
      <c r="DI253" s="237"/>
      <c r="DN253" s="347"/>
      <c r="DO253" s="347"/>
      <c r="DP253" s="2505"/>
      <c r="DT253" s="663"/>
      <c r="DU253" s="663"/>
      <c r="DV253" s="663"/>
      <c r="DW253" s="663"/>
      <c r="DX253" s="663"/>
      <c r="DY253" s="663"/>
      <c r="DZ253" s="663"/>
      <c r="EA253" s="663"/>
      <c r="EB253" s="663"/>
      <c r="EC253" s="663"/>
      <c r="ED253" s="663"/>
    </row>
    <row r="254" spans="1:134">
      <c r="A254" s="346">
        <v>33437</v>
      </c>
      <c r="B254" s="345" t="s">
        <v>361</v>
      </c>
      <c r="E254" s="934"/>
      <c r="F254" s="345">
        <v>138.01</v>
      </c>
      <c r="G254" s="345" t="s">
        <v>337</v>
      </c>
      <c r="L254" s="347">
        <v>703.14</v>
      </c>
      <c r="M254" s="347" t="s">
        <v>310</v>
      </c>
      <c r="Q254" s="348" t="str">
        <f t="array" ref="Q254">IFERROR(IF($Q$11="Yes",INDEX($L$13:$L$2313,SMALL(IF((County=$M$13:$M$2313),MATCH(ROW($M$13:$M$2313),ROW($M$13:$M$2313)),""),ROWS($A$13:A254))),""),"")</f>
        <v/>
      </c>
      <c r="S254" s="346">
        <v>33811</v>
      </c>
      <c r="T254" s="345" t="s">
        <v>365</v>
      </c>
      <c r="V254" s="345">
        <v>34</v>
      </c>
      <c r="W254" s="345" t="s">
        <v>352</v>
      </c>
      <c r="AB254" s="347">
        <v>18.14</v>
      </c>
      <c r="AC254" s="347" t="s">
        <v>297</v>
      </c>
      <c r="AD254" s="1138"/>
      <c r="AE254" s="346">
        <v>33433</v>
      </c>
      <c r="AF254" s="345" t="s">
        <v>361</v>
      </c>
      <c r="AI254" s="934"/>
      <c r="AJ254" s="345">
        <v>124.03</v>
      </c>
      <c r="AK254" s="345" t="s">
        <v>337</v>
      </c>
      <c r="AP254" s="347">
        <v>601.09</v>
      </c>
      <c r="AQ254" s="347" t="s">
        <v>310</v>
      </c>
      <c r="AU254" s="348" t="str">
        <f t="array" ref="AU254">IFERROR(IF($AU$11="Yes",INDEX($AP$13:$AP$2950,SMALL(IF((County=$AQ$13:$AQ$2950),MATCH(ROW($AQ$13:$AQ$2950),ROW($AQ$13:$AQ$2950)),""),ROWS($A$13:$A254))),""),"")</f>
        <v/>
      </c>
      <c r="AW254" s="346">
        <v>33776</v>
      </c>
      <c r="AX254" s="345" t="s">
        <v>363</v>
      </c>
      <c r="AZ254" s="345">
        <v>25.01</v>
      </c>
      <c r="BA254" s="345" t="s">
        <v>323</v>
      </c>
      <c r="BF254" s="347">
        <v>12.1</v>
      </c>
      <c r="BG254" s="347" t="s">
        <v>350</v>
      </c>
      <c r="BH254" s="1790"/>
      <c r="BI254" s="2299">
        <v>34734</v>
      </c>
      <c r="BJ254" s="345" t="s">
        <v>359</v>
      </c>
      <c r="BM254" s="1784"/>
      <c r="BN254" s="345">
        <v>713.45</v>
      </c>
      <c r="BO254" s="345" t="s">
        <v>309</v>
      </c>
      <c r="BT254" s="347">
        <v>505.02</v>
      </c>
      <c r="BU254" s="347" t="s">
        <v>310</v>
      </c>
      <c r="BW254" s="348" t="str">
        <f t="array" ref="BW254">IFERROR(IF($BW$11="Metro",INDEX($BN$13:$BN$4972,SMALL(IF((County=$BO$13:$BO$4972),MATCH(ROW($BO$13:$BO$4972),ROW($BO$13:$BO$4972)),""),ROWS($A$13:$A254))),INDEX($BQ$13:$BQ$212,SMALL(IF((County=$BR$13:$BR$212),MATCH(ROW($BR$13:$BR$212),ROW($BR$13:$BR$212)),""),ROWS($A$13:$A254)))),"")</f>
        <v/>
      </c>
      <c r="BY254" s="348" t="str">
        <f t="array" ref="BY254">IFERROR(IF($BY$11="Yes",INDEX($BT$13:$BT$2950,SMALL(IF((County=$BU$13:$BU$2950),MATCH(ROW($BU$13:$BU$2950),ROW($BU$13:$BU$2950)),""),ROWS($A$13:$A254))),""),"")</f>
        <v/>
      </c>
      <c r="CA254" s="2298">
        <v>33615</v>
      </c>
      <c r="CB254" s="345" t="s">
        <v>337</v>
      </c>
      <c r="CD254" s="237">
        <v>6.07</v>
      </c>
      <c r="CE254" s="237" t="s">
        <v>352</v>
      </c>
      <c r="CJ254" s="347">
        <v>13.01</v>
      </c>
      <c r="CK254" s="347" t="s">
        <v>352</v>
      </c>
      <c r="CL254" s="1789"/>
      <c r="CM254" s="2299"/>
      <c r="CN254" s="345"/>
      <c r="CR254" s="345"/>
      <c r="CS254" s="345"/>
      <c r="CX254" s="347"/>
      <c r="CY254" s="347"/>
      <c r="DA254" s="348"/>
      <c r="DC254" s="348"/>
      <c r="DE254" s="1792"/>
      <c r="DF254" s="345"/>
      <c r="DH254" s="237"/>
      <c r="DI254" s="237"/>
      <c r="DN254" s="347"/>
      <c r="DO254" s="347"/>
      <c r="DP254" s="2505"/>
      <c r="DT254" s="663"/>
      <c r="DU254" s="663"/>
      <c r="DV254" s="663"/>
      <c r="DW254" s="663"/>
      <c r="DX254" s="663"/>
      <c r="DY254" s="663"/>
      <c r="DZ254" s="663"/>
      <c r="EA254" s="663"/>
      <c r="EB254" s="663"/>
      <c r="EC254" s="663"/>
      <c r="ED254" s="663"/>
    </row>
    <row r="255" spans="1:134">
      <c r="A255" s="346">
        <v>33445</v>
      </c>
      <c r="B255" s="345" t="s">
        <v>361</v>
      </c>
      <c r="E255" s="934"/>
      <c r="F255" s="345">
        <v>138.03</v>
      </c>
      <c r="G255" s="345" t="s">
        <v>337</v>
      </c>
      <c r="L255" s="347">
        <v>703.15</v>
      </c>
      <c r="M255" s="347" t="s">
        <v>310</v>
      </c>
      <c r="Q255" s="348" t="str">
        <f t="array" ref="Q255">IFERROR(IF($Q$11="Yes",INDEX($L$13:$L$2313,SMALL(IF((County=$M$13:$M$2313),MATCH(ROW($M$13:$M$2313),ROW($M$13:$M$2313)),""),ROWS($A$13:A255))),""),"")</f>
        <v/>
      </c>
      <c r="S255" s="346">
        <v>33812</v>
      </c>
      <c r="T255" s="345" t="s">
        <v>365</v>
      </c>
      <c r="V255" s="345">
        <v>35</v>
      </c>
      <c r="W255" s="345" t="s">
        <v>337</v>
      </c>
      <c r="AB255" s="347">
        <v>19</v>
      </c>
      <c r="AC255" s="347" t="s">
        <v>306</v>
      </c>
      <c r="AD255" s="1138"/>
      <c r="AE255" s="346">
        <v>33435</v>
      </c>
      <c r="AF255" s="345" t="s">
        <v>361</v>
      </c>
      <c r="AI255" s="934"/>
      <c r="AJ255" s="345">
        <v>129</v>
      </c>
      <c r="AK255" s="345" t="s">
        <v>337</v>
      </c>
      <c r="AP255" s="347">
        <v>601.11</v>
      </c>
      <c r="AQ255" s="347" t="s">
        <v>310</v>
      </c>
      <c r="AU255" s="348" t="str">
        <f t="array" ref="AU255">IFERROR(IF($AU$11="Yes",INDEX($AP$13:$AP$2950,SMALL(IF((County=$AQ$13:$AQ$2950),MATCH(ROW($AQ$13:$AQ$2950),ROW($AQ$13:$AQ$2950)),""),ROWS($A$13:$A255))),""),"")</f>
        <v/>
      </c>
      <c r="AW255" s="346">
        <v>33777</v>
      </c>
      <c r="AX255" s="345" t="s">
        <v>363</v>
      </c>
      <c r="AZ255" s="345">
        <v>25.01</v>
      </c>
      <c r="BA255" s="345" t="s">
        <v>352</v>
      </c>
      <c r="BF255" s="347">
        <v>13.01</v>
      </c>
      <c r="BG255" s="347" t="s">
        <v>306</v>
      </c>
      <c r="BH255" s="1790"/>
      <c r="BI255" s="2299">
        <v>34760</v>
      </c>
      <c r="BJ255" s="345" t="s">
        <v>359</v>
      </c>
      <c r="BM255" s="1784"/>
      <c r="BN255" s="345">
        <v>713.46</v>
      </c>
      <c r="BO255" s="345" t="s">
        <v>309</v>
      </c>
      <c r="BT255" s="347">
        <v>506.01</v>
      </c>
      <c r="BU255" s="347" t="s">
        <v>310</v>
      </c>
      <c r="BW255" s="348" t="str">
        <f t="array" ref="BW255">IFERROR(IF($BW$11="Metro",INDEX($BN$13:$BN$4972,SMALL(IF((County=$BO$13:$BO$4972),MATCH(ROW($BO$13:$BO$4972),ROW($BO$13:$BO$4972)),""),ROWS($A$13:$A255))),INDEX($BQ$13:$BQ$212,SMALL(IF((County=$BR$13:$BR$212),MATCH(ROW($BR$13:$BR$212),ROW($BR$13:$BR$212)),""),ROWS($A$13:$A255)))),"")</f>
        <v/>
      </c>
      <c r="BY255" s="348" t="str">
        <f t="array" ref="BY255">IFERROR(IF($BY$11="Yes",INDEX($BT$13:$BT$2950,SMALL(IF((County=$BU$13:$BU$2950),MATCH(ROW($BU$13:$BU$2950),ROW($BU$13:$BU$2950)),""),ROWS($A$13:$A255))),""),"")</f>
        <v/>
      </c>
      <c r="CA255" s="2298">
        <v>33616</v>
      </c>
      <c r="CB255" s="345" t="s">
        <v>337</v>
      </c>
      <c r="CD255" s="237">
        <v>6.09</v>
      </c>
      <c r="CE255" s="237" t="s">
        <v>352</v>
      </c>
      <c r="CJ255" s="347">
        <v>13.01</v>
      </c>
      <c r="CK255" s="347" t="s">
        <v>368</v>
      </c>
      <c r="CL255" s="1789"/>
      <c r="CM255" s="2299"/>
      <c r="CN255" s="345"/>
      <c r="CR255" s="345"/>
      <c r="CS255" s="345"/>
      <c r="CX255" s="347"/>
      <c r="CY255" s="347"/>
      <c r="DA255" s="348"/>
      <c r="DC255" s="348"/>
      <c r="DE255" s="1792"/>
      <c r="DF255" s="345"/>
      <c r="DH255" s="237"/>
      <c r="DI255" s="237"/>
      <c r="DN255" s="347"/>
      <c r="DO255" s="347"/>
      <c r="DP255" s="2505"/>
      <c r="DT255" s="663"/>
      <c r="DU255" s="663"/>
      <c r="DV255" s="663"/>
      <c r="DW255" s="663"/>
      <c r="DX255" s="663"/>
      <c r="DY255" s="663"/>
      <c r="DZ255" s="663"/>
      <c r="EA255" s="663"/>
      <c r="EB255" s="663"/>
      <c r="EC255" s="663"/>
      <c r="ED255" s="663"/>
    </row>
    <row r="256" spans="1:134">
      <c r="A256" s="346">
        <v>33449</v>
      </c>
      <c r="B256" s="345" t="s">
        <v>361</v>
      </c>
      <c r="E256" s="934"/>
      <c r="F256" s="345">
        <v>140.02000000000001</v>
      </c>
      <c r="G256" s="345" t="s">
        <v>337</v>
      </c>
      <c r="L256" s="347">
        <v>703.16</v>
      </c>
      <c r="M256" s="347" t="s">
        <v>310</v>
      </c>
      <c r="Q256" s="348" t="str">
        <f t="array" ref="Q256">IFERROR(IF($Q$11="Yes",INDEX($L$13:$L$2313,SMALL(IF((County=$M$13:$M$2313),MATCH(ROW($M$13:$M$2313),ROW($M$13:$M$2313)),""),ROWS($A$13:A256))),""),"")</f>
        <v/>
      </c>
      <c r="S256" s="346">
        <v>33813</v>
      </c>
      <c r="T256" s="345" t="s">
        <v>365</v>
      </c>
      <c r="V256" s="345">
        <v>35.06</v>
      </c>
      <c r="W256" s="345" t="s">
        <v>325</v>
      </c>
      <c r="AB256" s="347">
        <v>19.03</v>
      </c>
      <c r="AC256" s="347" t="s">
        <v>344</v>
      </c>
      <c r="AD256" s="1138"/>
      <c r="AE256" s="346">
        <v>33436</v>
      </c>
      <c r="AF256" s="345" t="s">
        <v>361</v>
      </c>
      <c r="AI256" s="934"/>
      <c r="AJ256" s="345">
        <v>133.16999999999999</v>
      </c>
      <c r="AK256" s="345" t="s">
        <v>337</v>
      </c>
      <c r="AP256" s="347">
        <v>601.14</v>
      </c>
      <c r="AQ256" s="347" t="s">
        <v>310</v>
      </c>
      <c r="AU256" s="348" t="str">
        <f t="array" ref="AU256">IFERROR(IF($AU$11="Yes",INDEX($AP$13:$AP$2950,SMALL(IF((County=$AQ$13:$AQ$2950),MATCH(ROW($AQ$13:$AQ$2950),ROW($AQ$13:$AQ$2950)),""),ROWS($A$13:$A256))),""),"")</f>
        <v/>
      </c>
      <c r="AW256" s="346">
        <v>33782</v>
      </c>
      <c r="AX256" s="345" t="s">
        <v>363</v>
      </c>
      <c r="AZ256" s="345">
        <v>25.02</v>
      </c>
      <c r="BA256" s="345" t="s">
        <v>352</v>
      </c>
      <c r="BF256" s="347">
        <v>13.01</v>
      </c>
      <c r="BG256" s="347" t="s">
        <v>350</v>
      </c>
      <c r="BH256" s="1790"/>
      <c r="BI256" s="2299">
        <v>34761</v>
      </c>
      <c r="BJ256" s="345" t="s">
        <v>359</v>
      </c>
      <c r="BM256" s="1784"/>
      <c r="BN256" s="345">
        <v>713.47</v>
      </c>
      <c r="BO256" s="345" t="s">
        <v>309</v>
      </c>
      <c r="BT256" s="347">
        <v>509</v>
      </c>
      <c r="BU256" s="347" t="s">
        <v>310</v>
      </c>
      <c r="BW256" s="348" t="str">
        <f t="array" ref="BW256">IFERROR(IF($BW$11="Metro",INDEX($BN$13:$BN$4972,SMALL(IF((County=$BO$13:$BO$4972),MATCH(ROW($BO$13:$BO$4972),ROW($BO$13:$BO$4972)),""),ROWS($A$13:$A256))),INDEX($BQ$13:$BQ$212,SMALL(IF((County=$BR$13:$BR$212),MATCH(ROW($BR$13:$BR$212),ROW($BR$13:$BR$212)),""),ROWS($A$13:$A256)))),"")</f>
        <v/>
      </c>
      <c r="BY256" s="348" t="str">
        <f t="array" ref="BY256">IFERROR(IF($BY$11="Yes",INDEX($BT$13:$BT$2950,SMALL(IF((County=$BU$13:$BU$2950),MATCH(ROW($BU$13:$BU$2950),ROW($BU$13:$BU$2950)),""),ROWS($A$13:$A256))),""),"")</f>
        <v/>
      </c>
      <c r="CA256" s="2298">
        <v>33617</v>
      </c>
      <c r="CB256" s="345" t="s">
        <v>337</v>
      </c>
      <c r="CD256" s="237">
        <v>6.1</v>
      </c>
      <c r="CE256" s="237" t="s">
        <v>351</v>
      </c>
      <c r="CJ256" s="347">
        <v>13.02</v>
      </c>
      <c r="CK256" s="347" t="s">
        <v>306</v>
      </c>
      <c r="CL256" s="1789"/>
      <c r="CM256" s="2299"/>
      <c r="CN256" s="345"/>
      <c r="CR256" s="345"/>
      <c r="CS256" s="345"/>
      <c r="CX256" s="347"/>
      <c r="CY256" s="347"/>
      <c r="DA256" s="348"/>
      <c r="DC256" s="348"/>
      <c r="DE256" s="1792"/>
      <c r="DF256" s="345"/>
      <c r="DH256" s="237"/>
      <c r="DI256" s="237"/>
      <c r="DN256" s="347"/>
      <c r="DO256" s="347"/>
      <c r="DP256" s="2505"/>
      <c r="DT256" s="663"/>
      <c r="DU256" s="663"/>
      <c r="DV256" s="663"/>
      <c r="DW256" s="663"/>
      <c r="DX256" s="663"/>
      <c r="DY256" s="663"/>
      <c r="DZ256" s="663"/>
      <c r="EA256" s="663"/>
      <c r="EB256" s="663"/>
      <c r="EC256" s="663"/>
      <c r="ED256" s="663"/>
    </row>
    <row r="257" spans="1:134">
      <c r="A257" s="346">
        <v>33458</v>
      </c>
      <c r="B257" s="345" t="s">
        <v>361</v>
      </c>
      <c r="E257" s="934"/>
      <c r="F257" s="345">
        <v>140.13</v>
      </c>
      <c r="G257" s="345" t="s">
        <v>337</v>
      </c>
      <c r="L257" s="347">
        <v>703.17</v>
      </c>
      <c r="M257" s="347" t="s">
        <v>310</v>
      </c>
      <c r="Q257" s="348" t="str">
        <f t="array" ref="Q257">IFERROR(IF($Q$11="Yes",INDEX($L$13:$L$2313,SMALL(IF((County=$M$13:$M$2313),MATCH(ROW($M$13:$M$2313),ROW($M$13:$M$2313)),""),ROWS($A$13:A257))),""),"")</f>
        <v/>
      </c>
      <c r="S257" s="346">
        <v>33837</v>
      </c>
      <c r="T257" s="345" t="s">
        <v>365</v>
      </c>
      <c r="V257" s="345">
        <v>36</v>
      </c>
      <c r="W257" s="345" t="s">
        <v>337</v>
      </c>
      <c r="AB257" s="347">
        <v>19.03</v>
      </c>
      <c r="AC257" s="347" t="s">
        <v>368</v>
      </c>
      <c r="AD257" s="1138"/>
      <c r="AE257" s="346">
        <v>33437</v>
      </c>
      <c r="AF257" s="345" t="s">
        <v>361</v>
      </c>
      <c r="AI257" s="934"/>
      <c r="AJ257" s="345">
        <v>135.04</v>
      </c>
      <c r="AK257" s="345" t="s">
        <v>337</v>
      </c>
      <c r="AP257" s="347">
        <v>601.15</v>
      </c>
      <c r="AQ257" s="347" t="s">
        <v>310</v>
      </c>
      <c r="AU257" s="348" t="str">
        <f t="array" ref="AU257">IFERROR(IF($AU$11="Yes",INDEX($AP$13:$AP$2950,SMALL(IF((County=$AQ$13:$AQ$2950),MATCH(ROW($AQ$13:$AQ$2950),ROW($AQ$13:$AQ$2950)),""),ROWS($A$13:$A257))),""),"")</f>
        <v/>
      </c>
      <c r="AW257" s="346">
        <v>33785</v>
      </c>
      <c r="AX257" s="345" t="s">
        <v>363</v>
      </c>
      <c r="AZ257" s="345">
        <v>25.04</v>
      </c>
      <c r="BA257" s="345" t="s">
        <v>350</v>
      </c>
      <c r="BF257" s="347">
        <v>13.01</v>
      </c>
      <c r="BG257" s="347" t="s">
        <v>352</v>
      </c>
      <c r="BH257" s="1790"/>
      <c r="BI257" s="2299">
        <v>34786</v>
      </c>
      <c r="BJ257" s="345" t="s">
        <v>359</v>
      </c>
      <c r="BM257" s="1784"/>
      <c r="BN257" s="345">
        <v>713.48</v>
      </c>
      <c r="BO257" s="345" t="s">
        <v>309</v>
      </c>
      <c r="BT257" s="347">
        <v>510.01</v>
      </c>
      <c r="BU257" s="347" t="s">
        <v>310</v>
      </c>
      <c r="BW257" s="348" t="str">
        <f t="array" ref="BW257">IFERROR(IF($BW$11="Metro",INDEX($BN$13:$BN$4972,SMALL(IF((County=$BO$13:$BO$4972),MATCH(ROW($BO$13:$BO$4972),ROW($BO$13:$BO$4972)),""),ROWS($A$13:$A257))),INDEX($BQ$13:$BQ$212,SMALL(IF((County=$BR$13:$BR$212),MATCH(ROW($BR$13:$BR$212),ROW($BR$13:$BR$212)),""),ROWS($A$13:$A257)))),"")</f>
        <v/>
      </c>
      <c r="BY257" s="348" t="str">
        <f t="array" ref="BY257">IFERROR(IF($BY$11="Yes",INDEX($BT$13:$BT$2950,SMALL(IF((County=$BU$13:$BU$2950),MATCH(ROW($BU$13:$BU$2950),ROW($BU$13:$BU$2950)),""),ROWS($A$13:$A257))),""),"")</f>
        <v/>
      </c>
      <c r="CA257" s="2298">
        <v>33618</v>
      </c>
      <c r="CB257" s="345" t="s">
        <v>337</v>
      </c>
      <c r="CD257" s="237">
        <v>6.1</v>
      </c>
      <c r="CE257" s="237" t="s">
        <v>352</v>
      </c>
      <c r="CJ257" s="347">
        <v>13.02</v>
      </c>
      <c r="CK257" s="347" t="s">
        <v>351</v>
      </c>
      <c r="CL257" s="1789"/>
      <c r="CM257" s="2299"/>
      <c r="CN257" s="345"/>
      <c r="CR257" s="345"/>
      <c r="CS257" s="345"/>
      <c r="CX257" s="347"/>
      <c r="CY257" s="347"/>
      <c r="DA257" s="348"/>
      <c r="DC257" s="348"/>
      <c r="DE257" s="1792"/>
      <c r="DF257" s="345"/>
      <c r="DH257" s="237"/>
      <c r="DI257" s="237"/>
      <c r="DN257" s="347"/>
      <c r="DO257" s="347"/>
      <c r="DP257" s="2505"/>
      <c r="DT257" s="663"/>
      <c r="DU257" s="663"/>
      <c r="DV257" s="663"/>
      <c r="DW257" s="663"/>
      <c r="DX257" s="663"/>
      <c r="DY257" s="663"/>
      <c r="DZ257" s="663"/>
      <c r="EA257" s="663"/>
      <c r="EB257" s="663"/>
      <c r="EC257" s="663"/>
      <c r="ED257" s="663"/>
    </row>
    <row r="258" spans="1:134">
      <c r="A258" s="346">
        <v>33467</v>
      </c>
      <c r="B258" s="345" t="s">
        <v>361</v>
      </c>
      <c r="E258" s="934"/>
      <c r="F258" s="345">
        <v>141.08000000000001</v>
      </c>
      <c r="G258" s="345" t="s">
        <v>337</v>
      </c>
      <c r="L258" s="347">
        <v>703.18</v>
      </c>
      <c r="M258" s="347" t="s">
        <v>310</v>
      </c>
      <c r="Q258" s="348" t="str">
        <f t="array" ref="Q258">IFERROR(IF($Q$11="Yes",INDEX($L$13:$L$2313,SMALL(IF((County=$M$13:$M$2313),MATCH(ROW($M$13:$M$2313),ROW($M$13:$M$2313)),""),ROWS($A$13:A258))),""),"")</f>
        <v/>
      </c>
      <c r="S258" s="346">
        <v>33848</v>
      </c>
      <c r="T258" s="345" t="s">
        <v>360</v>
      </c>
      <c r="V258" s="345">
        <v>36.01</v>
      </c>
      <c r="W258" s="345" t="s">
        <v>352</v>
      </c>
      <c r="AB258" s="347">
        <v>19.04</v>
      </c>
      <c r="AC258" s="347" t="s">
        <v>361</v>
      </c>
      <c r="AD258" s="1138"/>
      <c r="AE258" s="346">
        <v>33444</v>
      </c>
      <c r="AF258" s="345" t="s">
        <v>361</v>
      </c>
      <c r="AI258" s="934"/>
      <c r="AJ258" s="345">
        <v>138.01</v>
      </c>
      <c r="AK258" s="345" t="s">
        <v>337</v>
      </c>
      <c r="AP258" s="347">
        <v>601.16</v>
      </c>
      <c r="AQ258" s="347" t="s">
        <v>310</v>
      </c>
      <c r="AU258" s="348" t="str">
        <f t="array" ref="AU258">IFERROR(IF($AU$11="Yes",INDEX($AP$13:$AP$2950,SMALL(IF((County=$AQ$13:$AQ$2950),MATCH(ROW($AQ$13:$AQ$2950),ROW($AQ$13:$AQ$2950)),""),ROWS($A$13:$A258))),""),"")</f>
        <v/>
      </c>
      <c r="AW258" s="346">
        <v>33786</v>
      </c>
      <c r="AX258" s="345" t="s">
        <v>363</v>
      </c>
      <c r="AZ258" s="345">
        <v>26</v>
      </c>
      <c r="BA258" s="345" t="s">
        <v>323</v>
      </c>
      <c r="BF258" s="347">
        <v>13.01</v>
      </c>
      <c r="BG258" s="347" t="s">
        <v>368</v>
      </c>
      <c r="BH258" s="1790"/>
      <c r="BI258" s="2299">
        <v>34787</v>
      </c>
      <c r="BJ258" s="345" t="s">
        <v>359</v>
      </c>
      <c r="BM258" s="1784"/>
      <c r="BN258" s="345">
        <v>713.49</v>
      </c>
      <c r="BO258" s="345" t="s">
        <v>309</v>
      </c>
      <c r="BT258" s="347">
        <v>510.02</v>
      </c>
      <c r="BU258" s="347" t="s">
        <v>310</v>
      </c>
      <c r="BW258" s="348" t="str">
        <f t="array" ref="BW258">IFERROR(IF($BW$11="Metro",INDEX($BN$13:$BN$4972,SMALL(IF((County=$BO$13:$BO$4972),MATCH(ROW($BO$13:$BO$4972),ROW($BO$13:$BO$4972)),""),ROWS($A$13:$A258))),INDEX($BQ$13:$BQ$212,SMALL(IF((County=$BR$13:$BR$212),MATCH(ROW($BR$13:$BR$212),ROW($BR$13:$BR$212)),""),ROWS($A$13:$A258)))),"")</f>
        <v/>
      </c>
      <c r="BY258" s="348" t="str">
        <f t="array" ref="BY258">IFERROR(IF($BY$11="Yes",INDEX($BT$13:$BT$2950,SMALL(IF((County=$BU$13:$BU$2950),MATCH(ROW($BU$13:$BU$2950),ROW($BU$13:$BU$2950)),""),ROWS($A$13:$A258))),""),"")</f>
        <v/>
      </c>
      <c r="CA258" s="2298">
        <v>33619</v>
      </c>
      <c r="CB258" s="345" t="s">
        <v>337</v>
      </c>
      <c r="CD258" s="237">
        <v>6.11</v>
      </c>
      <c r="CE258" s="237" t="s">
        <v>352</v>
      </c>
      <c r="CJ258" s="347">
        <v>13.02</v>
      </c>
      <c r="CK258" s="347" t="s">
        <v>352</v>
      </c>
      <c r="CL258" s="1789"/>
      <c r="CM258" s="2299"/>
      <c r="CN258" s="345"/>
      <c r="CR258" s="345"/>
      <c r="CS258" s="345"/>
      <c r="CX258" s="347"/>
      <c r="CY258" s="347"/>
      <c r="DA258" s="348"/>
      <c r="DC258" s="348"/>
      <c r="DE258" s="1792"/>
      <c r="DF258" s="345"/>
      <c r="DH258" s="237"/>
      <c r="DI258" s="237"/>
      <c r="DN258" s="347"/>
      <c r="DO258" s="347"/>
      <c r="DP258" s="2505"/>
      <c r="DT258" s="663"/>
      <c r="DU258" s="663"/>
      <c r="DV258" s="663"/>
      <c r="DW258" s="663"/>
      <c r="DX258" s="663"/>
      <c r="DY258" s="663"/>
      <c r="DZ258" s="663"/>
      <c r="EA258" s="663"/>
      <c r="EB258" s="663"/>
      <c r="EC258" s="663"/>
      <c r="ED258" s="663"/>
    </row>
    <row r="259" spans="1:134">
      <c r="A259" s="346">
        <v>33469</v>
      </c>
      <c r="B259" s="345" t="s">
        <v>361</v>
      </c>
      <c r="E259" s="934"/>
      <c r="F259" s="345">
        <v>503.02</v>
      </c>
      <c r="G259" s="345" t="s">
        <v>339</v>
      </c>
      <c r="L259" s="347">
        <v>703.19</v>
      </c>
      <c r="M259" s="347" t="s">
        <v>310</v>
      </c>
      <c r="Q259" s="348" t="str">
        <f t="array" ref="Q259">IFERROR(IF($Q$11="Yes",INDEX($L$13:$L$2313,SMALL(IF((County=$M$13:$M$2313),MATCH(ROW($M$13:$M$2313),ROW($M$13:$M$2313)),""),ROWS($A$13:A259))),""),"")</f>
        <v/>
      </c>
      <c r="S259" s="346">
        <v>33851</v>
      </c>
      <c r="T259" s="345" t="s">
        <v>365</v>
      </c>
      <c r="V259" s="345">
        <v>36.020000000000003</v>
      </c>
      <c r="W259" s="345" t="s">
        <v>352</v>
      </c>
      <c r="AB259" s="347">
        <v>19.04</v>
      </c>
      <c r="AC259" s="347" t="s">
        <v>368</v>
      </c>
      <c r="AD259" s="1138"/>
      <c r="AE259" s="346">
        <v>33445</v>
      </c>
      <c r="AF259" s="345" t="s">
        <v>361</v>
      </c>
      <c r="AI259" s="934"/>
      <c r="AJ259" s="345">
        <v>138.03</v>
      </c>
      <c r="AK259" s="345" t="s">
        <v>337</v>
      </c>
      <c r="AP259" s="347">
        <v>601.19000000000005</v>
      </c>
      <c r="AQ259" s="347" t="s">
        <v>310</v>
      </c>
      <c r="AU259" s="348" t="str">
        <f t="array" ref="AU259">IFERROR(IF($AU$11="Yes",INDEX($AP$13:$AP$2950,SMALL(IF((County=$AQ$13:$AQ$2950),MATCH(ROW($AQ$13:$AQ$2950),ROW($AQ$13:$AQ$2950)),""),ROWS($A$13:$A259))),""),"")</f>
        <v/>
      </c>
      <c r="AW259" s="346">
        <v>33803</v>
      </c>
      <c r="AX259" s="345" t="s">
        <v>365</v>
      </c>
      <c r="AZ259" s="345">
        <v>26</v>
      </c>
      <c r="BA259" s="345" t="s">
        <v>337</v>
      </c>
      <c r="BF259" s="347">
        <v>13.02</v>
      </c>
      <c r="BG259" s="347" t="s">
        <v>350</v>
      </c>
      <c r="BH259" s="1790"/>
      <c r="BI259" s="2299">
        <v>33848</v>
      </c>
      <c r="BJ259" s="345" t="s">
        <v>360</v>
      </c>
      <c r="BM259" s="1784"/>
      <c r="BN259" s="345">
        <v>713.5</v>
      </c>
      <c r="BO259" s="345" t="s">
        <v>309</v>
      </c>
      <c r="BT259" s="347">
        <v>601.09</v>
      </c>
      <c r="BU259" s="347" t="s">
        <v>310</v>
      </c>
      <c r="BW259" s="348" t="str">
        <f t="array" ref="BW259">IFERROR(IF($BW$11="Metro",INDEX($BN$13:$BN$4972,SMALL(IF((County=$BO$13:$BO$4972),MATCH(ROW($BO$13:$BO$4972),ROW($BO$13:$BO$4972)),""),ROWS($A$13:$A259))),INDEX($BQ$13:$BQ$212,SMALL(IF((County=$BR$13:$BR$212),MATCH(ROW($BR$13:$BR$212),ROW($BR$13:$BR$212)),""),ROWS($A$13:$A259)))),"")</f>
        <v/>
      </c>
      <c r="BY259" s="348" t="str">
        <f t="array" ref="BY259">IFERROR(IF($BY$11="Yes",INDEX($BT$13:$BT$2950,SMALL(IF((County=$BU$13:$BU$2950),MATCH(ROW($BU$13:$BU$2950),ROW($BU$13:$BU$2950)),""),ROWS($A$13:$A259))),""),"")</f>
        <v/>
      </c>
      <c r="CA259" s="2298">
        <v>33621</v>
      </c>
      <c r="CB259" s="345" t="s">
        <v>337</v>
      </c>
      <c r="CD259" s="237">
        <v>6.12</v>
      </c>
      <c r="CE259" s="237" t="s">
        <v>352</v>
      </c>
      <c r="CJ259" s="347">
        <v>13.02</v>
      </c>
      <c r="CK259" s="347" t="s">
        <v>368</v>
      </c>
      <c r="CL259" s="1789"/>
      <c r="CM259" s="2299"/>
      <c r="CN259" s="345"/>
      <c r="CR259" s="345"/>
      <c r="CS259" s="345"/>
      <c r="CX259" s="347"/>
      <c r="CY259" s="347"/>
      <c r="DA259" s="348"/>
      <c r="DC259" s="348"/>
      <c r="DE259" s="1792"/>
      <c r="DF259" s="345"/>
      <c r="DH259" s="237"/>
      <c r="DI259" s="237"/>
      <c r="DN259" s="347"/>
      <c r="DO259" s="347"/>
      <c r="DP259" s="2505"/>
      <c r="DT259" s="663"/>
      <c r="DU259" s="663"/>
      <c r="DV259" s="663"/>
      <c r="DW259" s="663"/>
      <c r="DX259" s="663"/>
      <c r="DY259" s="663"/>
      <c r="DZ259" s="663"/>
      <c r="EA259" s="663"/>
      <c r="EB259" s="663"/>
      <c r="EC259" s="663"/>
      <c r="ED259" s="663"/>
    </row>
    <row r="260" spans="1:134">
      <c r="A260" s="346">
        <v>33470</v>
      </c>
      <c r="B260" s="345" t="s">
        <v>361</v>
      </c>
      <c r="E260" s="934"/>
      <c r="F260" s="345">
        <v>504.01</v>
      </c>
      <c r="G260" s="345" t="s">
        <v>339</v>
      </c>
      <c r="L260" s="347">
        <v>703.2</v>
      </c>
      <c r="M260" s="347" t="s">
        <v>310</v>
      </c>
      <c r="Q260" s="348" t="str">
        <f t="array" ref="Q260">IFERROR(IF($Q$11="Yes",INDEX($L$13:$L$2313,SMALL(IF((County=$M$13:$M$2313),MATCH(ROW($M$13:$M$2313),ROW($M$13:$M$2313)),""),ROWS($A$13:A260))),""),"")</f>
        <v/>
      </c>
      <c r="S260" s="346">
        <v>33872</v>
      </c>
      <c r="T260" s="345" t="s">
        <v>336</v>
      </c>
      <c r="V260" s="345">
        <v>36.07</v>
      </c>
      <c r="W260" s="345" t="s">
        <v>325</v>
      </c>
      <c r="AB260" s="347">
        <v>19.05</v>
      </c>
      <c r="AC260" s="347" t="s">
        <v>368</v>
      </c>
      <c r="AD260" s="1138"/>
      <c r="AE260" s="346">
        <v>33449</v>
      </c>
      <c r="AF260" s="345" t="s">
        <v>361</v>
      </c>
      <c r="AI260" s="934"/>
      <c r="AJ260" s="345">
        <v>140.02000000000001</v>
      </c>
      <c r="AK260" s="345" t="s">
        <v>337</v>
      </c>
      <c r="AP260" s="347">
        <v>601.20000000000005</v>
      </c>
      <c r="AQ260" s="347" t="s">
        <v>310</v>
      </c>
      <c r="AU260" s="348" t="str">
        <f t="array" ref="AU260">IFERROR(IF($AU$11="Yes",INDEX($AP$13:$AP$2950,SMALL(IF((County=$AQ$13:$AQ$2950),MATCH(ROW($AQ$13:$AQ$2950),ROW($AQ$13:$AQ$2950)),""),ROWS($A$13:$A260))),""),"")</f>
        <v/>
      </c>
      <c r="AW260" s="346">
        <v>33805</v>
      </c>
      <c r="AX260" s="345" t="s">
        <v>365</v>
      </c>
      <c r="AZ260" s="345">
        <v>27.01</v>
      </c>
      <c r="BA260" s="345" t="s">
        <v>323</v>
      </c>
      <c r="BF260" s="347">
        <v>13.02</v>
      </c>
      <c r="BG260" s="347" t="s">
        <v>351</v>
      </c>
      <c r="BH260" s="1790"/>
      <c r="BI260" s="2299">
        <v>34743</v>
      </c>
      <c r="BJ260" s="345" t="s">
        <v>360</v>
      </c>
      <c r="BM260" s="1784"/>
      <c r="BN260" s="345">
        <v>713.51</v>
      </c>
      <c r="BO260" s="345" t="s">
        <v>309</v>
      </c>
      <c r="BT260" s="347">
        <v>601.13</v>
      </c>
      <c r="BU260" s="347" t="s">
        <v>310</v>
      </c>
      <c r="BW260" s="348" t="str">
        <f t="array" ref="BW260">IFERROR(IF($BW$11="Metro",INDEX($BN$13:$BN$4972,SMALL(IF((County=$BO$13:$BO$4972),MATCH(ROW($BO$13:$BO$4972),ROW($BO$13:$BO$4972)),""),ROWS($A$13:$A260))),INDEX($BQ$13:$BQ$212,SMALL(IF((County=$BR$13:$BR$212),MATCH(ROW($BR$13:$BR$212),ROW($BR$13:$BR$212)),""),ROWS($A$13:$A260)))),"")</f>
        <v/>
      </c>
      <c r="BY260" s="348" t="str">
        <f t="array" ref="BY260">IFERROR(IF($BY$11="Yes",INDEX($BT$13:$BT$2950,SMALL(IF((County=$BU$13:$BU$2950),MATCH(ROW($BU$13:$BU$2950),ROW($BU$13:$BU$2950)),""),ROWS($A$13:$A260))),""),"")</f>
        <v/>
      </c>
      <c r="CA260" s="2298">
        <v>33624</v>
      </c>
      <c r="CB260" s="345" t="s">
        <v>337</v>
      </c>
      <c r="CD260" s="345">
        <v>7</v>
      </c>
      <c r="CE260" s="345" t="s">
        <v>297</v>
      </c>
      <c r="CJ260" s="347">
        <v>13.03</v>
      </c>
      <c r="CK260" s="347" t="s">
        <v>368</v>
      </c>
      <c r="CL260" s="1789"/>
      <c r="CM260" s="2299"/>
      <c r="CN260" s="345"/>
      <c r="CR260" s="345"/>
      <c r="CS260" s="345"/>
      <c r="CX260" s="347"/>
      <c r="CY260" s="347"/>
      <c r="DA260" s="348"/>
      <c r="DC260" s="348"/>
      <c r="DE260" s="1792"/>
      <c r="DF260" s="345"/>
      <c r="DH260" s="237"/>
      <c r="DI260" s="237"/>
      <c r="DN260" s="347"/>
      <c r="DO260" s="347"/>
      <c r="DP260" s="2505"/>
      <c r="DT260" s="663"/>
      <c r="DU260" s="663"/>
      <c r="DV260" s="663"/>
      <c r="DW260" s="663"/>
      <c r="DX260" s="663"/>
      <c r="DY260" s="663"/>
      <c r="DZ260" s="663"/>
      <c r="EA260" s="663"/>
      <c r="EB260" s="663"/>
      <c r="EC260" s="663"/>
      <c r="ED260" s="663"/>
    </row>
    <row r="261" spans="1:134">
      <c r="A261" s="346">
        <v>33472</v>
      </c>
      <c r="B261" s="345" t="s">
        <v>361</v>
      </c>
      <c r="E261" s="934"/>
      <c r="F261" s="345">
        <v>509.04</v>
      </c>
      <c r="G261" s="345" t="s">
        <v>339</v>
      </c>
      <c r="L261" s="347">
        <v>703.21</v>
      </c>
      <c r="M261" s="347" t="s">
        <v>310</v>
      </c>
      <c r="Q261" s="348" t="str">
        <f t="array" ref="Q261">IFERROR(IF($Q$11="Yes",INDEX($L$13:$L$2313,SMALL(IF((County=$M$13:$M$2313),MATCH(ROW($M$13:$M$2313),ROW($M$13:$M$2313)),""),ROWS($A$13:A261))),""),"")</f>
        <v/>
      </c>
      <c r="S261" s="346">
        <v>33875</v>
      </c>
      <c r="T261" s="345" t="s">
        <v>336</v>
      </c>
      <c r="V261" s="345">
        <v>37</v>
      </c>
      <c r="W261" s="345" t="s">
        <v>337</v>
      </c>
      <c r="AB261" s="347">
        <v>19.059999999999999</v>
      </c>
      <c r="AC261" s="347" t="s">
        <v>344</v>
      </c>
      <c r="AD261" s="1138"/>
      <c r="AE261" s="346">
        <v>33458</v>
      </c>
      <c r="AF261" s="345" t="s">
        <v>361</v>
      </c>
      <c r="AI261" s="934"/>
      <c r="AJ261" s="345">
        <v>140.13</v>
      </c>
      <c r="AK261" s="345" t="s">
        <v>337</v>
      </c>
      <c r="AP261" s="347">
        <v>601.21</v>
      </c>
      <c r="AQ261" s="347" t="s">
        <v>310</v>
      </c>
      <c r="AU261" s="348" t="str">
        <f t="array" ref="AU261">IFERROR(IF($AU$11="Yes",INDEX($AP$13:$AP$2950,SMALL(IF((County=$AQ$13:$AQ$2950),MATCH(ROW($AQ$13:$AQ$2950),ROW($AQ$13:$AQ$2950)),""),ROWS($A$13:$A261))),""),"")</f>
        <v/>
      </c>
      <c r="AW261" s="346">
        <v>33809</v>
      </c>
      <c r="AX261" s="345" t="s">
        <v>365</v>
      </c>
      <c r="AZ261" s="345">
        <v>27.02</v>
      </c>
      <c r="BA261" s="345" t="s">
        <v>323</v>
      </c>
      <c r="BF261" s="347">
        <v>13.02</v>
      </c>
      <c r="BG261" s="347" t="s">
        <v>352</v>
      </c>
      <c r="BH261" s="1790"/>
      <c r="BI261" s="2299">
        <v>34744</v>
      </c>
      <c r="BJ261" s="345" t="s">
        <v>360</v>
      </c>
      <c r="BM261" s="1784"/>
      <c r="BN261" s="345">
        <v>713.52</v>
      </c>
      <c r="BO261" s="345" t="s">
        <v>309</v>
      </c>
      <c r="BT261" s="347">
        <v>601.14</v>
      </c>
      <c r="BU261" s="347" t="s">
        <v>310</v>
      </c>
      <c r="BW261" s="348" t="str">
        <f t="array" ref="BW261">IFERROR(IF($BW$11="Metro",INDEX($BN$13:$BN$4972,SMALL(IF((County=$BO$13:$BO$4972),MATCH(ROW($BO$13:$BO$4972),ROW($BO$13:$BO$4972)),""),ROWS($A$13:$A261))),INDEX($BQ$13:$BQ$212,SMALL(IF((County=$BR$13:$BR$212),MATCH(ROW($BR$13:$BR$212),ROW($BR$13:$BR$212)),""),ROWS($A$13:$A261)))),"")</f>
        <v/>
      </c>
      <c r="BY261" s="348" t="str">
        <f t="array" ref="BY261">IFERROR(IF($BY$11="Yes",INDEX($BT$13:$BT$2950,SMALL(IF((County=$BU$13:$BU$2950),MATCH(ROW($BU$13:$BU$2950),ROW($BU$13:$BU$2950)),""),ROWS($A$13:$A261))),""),"")</f>
        <v/>
      </c>
      <c r="CA261" s="2298">
        <v>33625</v>
      </c>
      <c r="CB261" s="345" t="s">
        <v>337</v>
      </c>
      <c r="CD261" s="345">
        <v>7</v>
      </c>
      <c r="CE261" s="345" t="s">
        <v>306</v>
      </c>
      <c r="CJ261" s="347">
        <v>13.04</v>
      </c>
      <c r="CK261" s="347" t="s">
        <v>368</v>
      </c>
      <c r="CL261" s="1789"/>
      <c r="CM261" s="2299"/>
      <c r="CN261" s="345"/>
      <c r="CR261" s="345"/>
      <c r="CS261" s="345"/>
      <c r="CX261" s="347"/>
      <c r="CY261" s="347"/>
      <c r="DA261" s="348"/>
      <c r="DC261" s="348"/>
      <c r="DE261" s="1792"/>
      <c r="DF261" s="345"/>
      <c r="DH261" s="237"/>
      <c r="DI261" s="237"/>
      <c r="DN261" s="347"/>
      <c r="DO261" s="347"/>
      <c r="DP261" s="2505"/>
      <c r="DT261" s="663"/>
      <c r="DU261" s="663"/>
      <c r="DV261" s="663"/>
      <c r="DW261" s="663"/>
      <c r="DX261" s="663"/>
      <c r="DY261" s="663"/>
      <c r="DZ261" s="663"/>
      <c r="EA261" s="663"/>
      <c r="EB261" s="663"/>
      <c r="EC261" s="663"/>
      <c r="ED261" s="663"/>
    </row>
    <row r="262" spans="1:134">
      <c r="A262" s="346">
        <v>33473</v>
      </c>
      <c r="B262" s="345" t="s">
        <v>361</v>
      </c>
      <c r="E262" s="934"/>
      <c r="F262" s="345">
        <v>301.02</v>
      </c>
      <c r="G262" s="345" t="s">
        <v>343</v>
      </c>
      <c r="L262" s="347">
        <v>703.22</v>
      </c>
      <c r="M262" s="347" t="s">
        <v>310</v>
      </c>
      <c r="Q262" s="348" t="str">
        <f t="array" ref="Q262">IFERROR(IF($Q$11="Yes",INDEX($L$13:$L$2313,SMALL(IF((County=$M$13:$M$2313),MATCH(ROW($M$13:$M$2313),ROW($M$13:$M$2313)),""),ROWS($A$13:A262))),""),"")</f>
        <v/>
      </c>
      <c r="S262" s="346">
        <v>33876</v>
      </c>
      <c r="T262" s="345" t="s">
        <v>336</v>
      </c>
      <c r="V262" s="345">
        <v>37</v>
      </c>
      <c r="W262" s="345" t="s">
        <v>361</v>
      </c>
      <c r="AB262" s="347">
        <v>19.07</v>
      </c>
      <c r="AC262" s="347" t="s">
        <v>344</v>
      </c>
      <c r="AD262" s="1138"/>
      <c r="AE262" s="346">
        <v>33469</v>
      </c>
      <c r="AF262" s="345" t="s">
        <v>361</v>
      </c>
      <c r="AI262" s="934"/>
      <c r="AJ262" s="345">
        <v>141.08000000000001</v>
      </c>
      <c r="AK262" s="345" t="s">
        <v>337</v>
      </c>
      <c r="AP262" s="347">
        <v>601.22</v>
      </c>
      <c r="AQ262" s="347" t="s">
        <v>310</v>
      </c>
      <c r="AU262" s="348" t="str">
        <f t="array" ref="AU262">IFERROR(IF($AU$11="Yes",INDEX($AP$13:$AP$2950,SMALL(IF((County=$AQ$13:$AQ$2950),MATCH(ROW($AQ$13:$AQ$2950),ROW($AQ$13:$AQ$2950)),""),ROWS($A$13:$A262))),""),"")</f>
        <v/>
      </c>
      <c r="AW262" s="346">
        <v>33810</v>
      </c>
      <c r="AX262" s="345" t="s">
        <v>365</v>
      </c>
      <c r="AZ262" s="345">
        <v>27.03</v>
      </c>
      <c r="BA262" s="345" t="s">
        <v>325</v>
      </c>
      <c r="BF262" s="347">
        <v>13.02</v>
      </c>
      <c r="BG262" s="347" t="s">
        <v>368</v>
      </c>
      <c r="BH262" s="1790"/>
      <c r="BI262" s="2299">
        <v>34746</v>
      </c>
      <c r="BJ262" s="345" t="s">
        <v>360</v>
      </c>
      <c r="BM262" s="1784"/>
      <c r="BN262" s="345">
        <v>713.53</v>
      </c>
      <c r="BO262" s="345" t="s">
        <v>309</v>
      </c>
      <c r="BT262" s="347">
        <v>601.16</v>
      </c>
      <c r="BU262" s="347" t="s">
        <v>310</v>
      </c>
      <c r="BW262" s="348" t="str">
        <f t="array" ref="BW262">IFERROR(IF($BW$11="Metro",INDEX($BN$13:$BN$4972,SMALL(IF((County=$BO$13:$BO$4972),MATCH(ROW($BO$13:$BO$4972),ROW($BO$13:$BO$4972)),""),ROWS($A$13:$A262))),INDEX($BQ$13:$BQ$212,SMALL(IF((County=$BR$13:$BR$212),MATCH(ROW($BR$13:$BR$212),ROW($BR$13:$BR$212)),""),ROWS($A$13:$A262)))),"")</f>
        <v/>
      </c>
      <c r="BY262" s="348" t="str">
        <f t="array" ref="BY262">IFERROR(IF($BY$11="Yes",INDEX($BT$13:$BT$2950,SMALL(IF((County=$BU$13:$BU$2950),MATCH(ROW($BU$13:$BU$2950),ROW($BU$13:$BU$2950)),""),ROWS($A$13:$A262))),""),"")</f>
        <v/>
      </c>
      <c r="CA262" s="2298">
        <v>33626</v>
      </c>
      <c r="CB262" s="345" t="s">
        <v>337</v>
      </c>
      <c r="CD262" s="237">
        <v>7</v>
      </c>
      <c r="CE262" s="237" t="s">
        <v>318</v>
      </c>
      <c r="CJ262" s="347">
        <v>14.01</v>
      </c>
      <c r="CK262" s="347" t="s">
        <v>325</v>
      </c>
      <c r="CL262" s="1789"/>
      <c r="CM262" s="2299"/>
      <c r="CN262" s="345"/>
      <c r="CR262" s="345"/>
      <c r="CS262" s="345"/>
      <c r="CX262" s="347"/>
      <c r="CY262" s="347"/>
      <c r="DA262" s="348"/>
      <c r="DC262" s="348"/>
      <c r="DE262" s="1792"/>
      <c r="DF262" s="345"/>
      <c r="DH262" s="237"/>
      <c r="DI262" s="237"/>
      <c r="DN262" s="347"/>
      <c r="DO262" s="347"/>
      <c r="DP262" s="2505"/>
      <c r="DT262" s="663"/>
      <c r="DU262" s="663"/>
      <c r="DV262" s="663"/>
      <c r="DW262" s="663"/>
      <c r="DX262" s="663"/>
      <c r="DY262" s="663"/>
      <c r="DZ262" s="663"/>
      <c r="EA262" s="663"/>
      <c r="EB262" s="663"/>
      <c r="EC262" s="663"/>
      <c r="ED262" s="663"/>
    </row>
    <row r="263" spans="1:134">
      <c r="A263" s="346">
        <v>33477</v>
      </c>
      <c r="B263" s="345" t="s">
        <v>361</v>
      </c>
      <c r="E263" s="934"/>
      <c r="F263" s="345">
        <v>301.06</v>
      </c>
      <c r="G263" s="345" t="s">
        <v>343</v>
      </c>
      <c r="L263" s="347">
        <v>704.01</v>
      </c>
      <c r="M263" s="347" t="s">
        <v>310</v>
      </c>
      <c r="Q263" s="348" t="str">
        <f t="array" ref="Q263">IFERROR(IF($Q$11="Yes",INDEX($L$13:$L$2313,SMALL(IF((County=$M$13:$M$2313),MATCH(ROW($M$13:$M$2313),ROW($M$13:$M$2313)),""),ROWS($A$13:A263))),""),"")</f>
        <v/>
      </c>
      <c r="S263" s="346">
        <v>33884</v>
      </c>
      <c r="T263" s="345" t="s">
        <v>365</v>
      </c>
      <c r="V263" s="345">
        <v>38</v>
      </c>
      <c r="W263" s="345" t="s">
        <v>337</v>
      </c>
      <c r="AB263" s="347">
        <v>19.07</v>
      </c>
      <c r="AC263" s="347" t="s">
        <v>349</v>
      </c>
      <c r="AD263" s="1138"/>
      <c r="AE263" s="346">
        <v>33470</v>
      </c>
      <c r="AF263" s="345" t="s">
        <v>361</v>
      </c>
      <c r="AI263" s="934"/>
      <c r="AJ263" s="345">
        <v>142</v>
      </c>
      <c r="AK263" s="345" t="s">
        <v>337</v>
      </c>
      <c r="AP263" s="347">
        <v>601.23</v>
      </c>
      <c r="AQ263" s="347" t="s">
        <v>310</v>
      </c>
      <c r="AU263" s="348" t="str">
        <f t="array" ref="AU263">IFERROR(IF($AU$11="Yes",INDEX($AP$13:$AP$2950,SMALL(IF((County=$AQ$13:$AQ$2950),MATCH(ROW($AQ$13:$AQ$2950),ROW($AQ$13:$AQ$2950)),""),ROWS($A$13:$A263))),""),"")</f>
        <v/>
      </c>
      <c r="AW263" s="346">
        <v>33811</v>
      </c>
      <c r="AX263" s="345" t="s">
        <v>365</v>
      </c>
      <c r="AZ263" s="345">
        <v>28</v>
      </c>
      <c r="BA263" s="345" t="s">
        <v>352</v>
      </c>
      <c r="BF263" s="347">
        <v>13.03</v>
      </c>
      <c r="BG263" s="347" t="s">
        <v>368</v>
      </c>
      <c r="BH263" s="1790"/>
      <c r="BI263" s="2299">
        <v>34747</v>
      </c>
      <c r="BJ263" s="345" t="s">
        <v>360</v>
      </c>
      <c r="BM263" s="1784"/>
      <c r="BN263" s="345">
        <v>713.54</v>
      </c>
      <c r="BO263" s="345" t="s">
        <v>309</v>
      </c>
      <c r="BT263" s="347">
        <v>601.17999999999995</v>
      </c>
      <c r="BU263" s="347" t="s">
        <v>310</v>
      </c>
      <c r="BW263" s="348" t="str">
        <f t="array" ref="BW263">IFERROR(IF($BW$11="Metro",INDEX($BN$13:$BN$4972,SMALL(IF((County=$BO$13:$BO$4972),MATCH(ROW($BO$13:$BO$4972),ROW($BO$13:$BO$4972)),""),ROWS($A$13:$A263))),INDEX($BQ$13:$BQ$212,SMALL(IF((County=$BR$13:$BR$212),MATCH(ROW($BR$13:$BR$212),ROW($BR$13:$BR$212)),""),ROWS($A$13:$A263)))),"")</f>
        <v/>
      </c>
      <c r="BY263" s="348" t="str">
        <f t="array" ref="BY263">IFERROR(IF($BY$11="Yes",INDEX($BT$13:$BT$2950,SMALL(IF((County=$BU$13:$BU$2950),MATCH(ROW($BU$13:$BU$2950),ROW($BU$13:$BU$2950)),""),ROWS($A$13:$A263))),""),"")</f>
        <v/>
      </c>
      <c r="CA263" s="2298">
        <v>33629</v>
      </c>
      <c r="CB263" s="345" t="s">
        <v>337</v>
      </c>
      <c r="CD263" s="237">
        <v>7</v>
      </c>
      <c r="CE263" s="237" t="s">
        <v>323</v>
      </c>
      <c r="CJ263" s="347">
        <v>14.02</v>
      </c>
      <c r="CK263" s="347" t="s">
        <v>306</v>
      </c>
      <c r="CL263" s="1789"/>
      <c r="CM263" s="2299"/>
      <c r="CN263" s="345"/>
      <c r="CR263" s="345"/>
      <c r="CS263" s="345"/>
      <c r="CX263" s="347"/>
      <c r="CY263" s="347"/>
      <c r="DA263" s="348"/>
      <c r="DC263" s="348"/>
      <c r="DE263" s="1792"/>
      <c r="DF263" s="345"/>
      <c r="DH263" s="237"/>
      <c r="DI263" s="237"/>
      <c r="DN263" s="347"/>
      <c r="DO263" s="347"/>
      <c r="DP263" s="2505"/>
      <c r="DT263" s="663"/>
      <c r="DU263" s="663"/>
      <c r="DV263" s="663"/>
      <c r="DW263" s="663"/>
      <c r="DX263" s="663"/>
      <c r="DY263" s="663"/>
      <c r="DZ263" s="663"/>
      <c r="EA263" s="663"/>
      <c r="EB263" s="663"/>
      <c r="EC263" s="663"/>
      <c r="ED263" s="663"/>
    </row>
    <row r="264" spans="1:134">
      <c r="A264" s="346">
        <v>33478</v>
      </c>
      <c r="B264" s="345" t="s">
        <v>361</v>
      </c>
      <c r="E264" s="934"/>
      <c r="F264" s="345">
        <v>302.06</v>
      </c>
      <c r="G264" s="345" t="s">
        <v>343</v>
      </c>
      <c r="L264" s="347">
        <v>704.02</v>
      </c>
      <c r="M264" s="347" t="s">
        <v>310</v>
      </c>
      <c r="Q264" s="348" t="str">
        <f t="array" ref="Q264">IFERROR(IF($Q$11="Yes",INDEX($L$13:$L$2313,SMALL(IF((County=$M$13:$M$2313),MATCH(ROW($M$13:$M$2313),ROW($M$13:$M$2313)),""),ROWS($A$13:A264))),""),"")</f>
        <v/>
      </c>
      <c r="S264" s="346">
        <v>33896</v>
      </c>
      <c r="T264" s="345" t="s">
        <v>365</v>
      </c>
      <c r="V264" s="345">
        <v>39</v>
      </c>
      <c r="W264" s="345" t="s">
        <v>337</v>
      </c>
      <c r="AB264" s="347">
        <v>19.07</v>
      </c>
      <c r="AC264" s="347" t="s">
        <v>368</v>
      </c>
      <c r="AD264" s="1138"/>
      <c r="AE264" s="346">
        <v>33472</v>
      </c>
      <c r="AF264" s="345" t="s">
        <v>361</v>
      </c>
      <c r="AI264" s="934"/>
      <c r="AJ264" s="345">
        <v>503.03</v>
      </c>
      <c r="AK264" s="345" t="s">
        <v>339</v>
      </c>
      <c r="AP264" s="347">
        <v>601.26</v>
      </c>
      <c r="AQ264" s="347" t="s">
        <v>310</v>
      </c>
      <c r="AU264" s="348" t="str">
        <f t="array" ref="AU264">IFERROR(IF($AU$11="Yes",INDEX($AP$13:$AP$2950,SMALL(IF((County=$AQ$13:$AQ$2950),MATCH(ROW($AQ$13:$AQ$2950),ROW($AQ$13:$AQ$2950)),""),ROWS($A$13:$A264))),""),"")</f>
        <v/>
      </c>
      <c r="AW264" s="346">
        <v>33812</v>
      </c>
      <c r="AX264" s="345" t="s">
        <v>365</v>
      </c>
      <c r="AZ264" s="345">
        <v>28.01</v>
      </c>
      <c r="BA264" s="345" t="s">
        <v>323</v>
      </c>
      <c r="BF264" s="347">
        <v>13.04</v>
      </c>
      <c r="BG264" s="347" t="s">
        <v>368</v>
      </c>
      <c r="BH264" s="1790"/>
      <c r="BI264" s="2299">
        <v>34758</v>
      </c>
      <c r="BJ264" s="345" t="s">
        <v>360</v>
      </c>
      <c r="BM264" s="1784"/>
      <c r="BN264" s="345">
        <v>714.01</v>
      </c>
      <c r="BO264" s="345" t="s">
        <v>309</v>
      </c>
      <c r="BT264" s="347">
        <v>601.19000000000005</v>
      </c>
      <c r="BU264" s="347" t="s">
        <v>310</v>
      </c>
      <c r="BW264" s="348" t="str">
        <f t="array" ref="BW264">IFERROR(IF($BW$11="Metro",INDEX($BN$13:$BN$4972,SMALL(IF((County=$BO$13:$BO$4972),MATCH(ROW($BO$13:$BO$4972),ROW($BO$13:$BO$4972)),""),ROWS($A$13:$A264))),INDEX($BQ$13:$BQ$212,SMALL(IF((County=$BR$13:$BR$212),MATCH(ROW($BR$13:$BR$212),ROW($BR$13:$BR$212)),""),ROWS($A$13:$A264)))),"")</f>
        <v/>
      </c>
      <c r="BY264" s="348" t="str">
        <f t="array" ref="BY264">IFERROR(IF($BY$11="Yes",INDEX($BT$13:$BT$2950,SMALL(IF((County=$BU$13:$BU$2950),MATCH(ROW($BU$13:$BU$2950),ROW($BU$13:$BU$2950)),""),ROWS($A$13:$A264))),""),"")</f>
        <v/>
      </c>
      <c r="CA264" s="2298">
        <v>33634</v>
      </c>
      <c r="CB264" s="345" t="s">
        <v>337</v>
      </c>
      <c r="CD264" s="237">
        <v>7</v>
      </c>
      <c r="CE264" s="237" t="s">
        <v>344</v>
      </c>
      <c r="CJ264" s="347">
        <v>14.02</v>
      </c>
      <c r="CK264" s="347" t="s">
        <v>344</v>
      </c>
      <c r="CL264" s="1789"/>
      <c r="CM264" s="2299"/>
      <c r="CN264" s="345"/>
      <c r="CR264" s="345"/>
      <c r="CS264" s="345"/>
      <c r="CX264" s="347"/>
      <c r="CY264" s="347"/>
      <c r="DA264" s="348"/>
      <c r="DC264" s="348"/>
      <c r="DE264" s="1792"/>
      <c r="DF264" s="345"/>
      <c r="DH264" s="237"/>
      <c r="DI264" s="237"/>
      <c r="DN264" s="347"/>
      <c r="DO264" s="347"/>
      <c r="DP264" s="2505"/>
      <c r="DT264" s="663"/>
      <c r="DU264" s="663"/>
      <c r="DV264" s="663"/>
      <c r="DW264" s="663"/>
      <c r="DX264" s="663"/>
      <c r="DY264" s="663"/>
      <c r="DZ264" s="663"/>
      <c r="EA264" s="663"/>
      <c r="EB264" s="663"/>
      <c r="EC264" s="663"/>
      <c r="ED264" s="663"/>
    </row>
    <row r="265" spans="1:134">
      <c r="A265" s="346">
        <v>33480</v>
      </c>
      <c r="B265" s="345" t="s">
        <v>361</v>
      </c>
      <c r="E265" s="934"/>
      <c r="F265" s="345">
        <v>302.08999999999997</v>
      </c>
      <c r="G265" s="345" t="s">
        <v>343</v>
      </c>
      <c r="L265" s="347">
        <v>704.03</v>
      </c>
      <c r="M265" s="347" t="s">
        <v>310</v>
      </c>
      <c r="Q265" s="348" t="str">
        <f t="array" ref="Q265">IFERROR(IF($Q$11="Yes",INDEX($L$13:$L$2313,SMALL(IF((County=$M$13:$M$2313),MATCH(ROW($M$13:$M$2313),ROW($M$13:$M$2313)),""),ROWS($A$13:A265))),""),"")</f>
        <v/>
      </c>
      <c r="S265" s="346">
        <v>33897</v>
      </c>
      <c r="T265" s="345" t="s">
        <v>365</v>
      </c>
      <c r="V265" s="345">
        <v>39.11</v>
      </c>
      <c r="W265" s="345" t="s">
        <v>352</v>
      </c>
      <c r="AB265" s="347">
        <v>19.079999999999998</v>
      </c>
      <c r="AC265" s="347" t="s">
        <v>344</v>
      </c>
      <c r="AD265" s="1138"/>
      <c r="AE265" s="346">
        <v>33473</v>
      </c>
      <c r="AF265" s="345" t="s">
        <v>361</v>
      </c>
      <c r="AI265" s="934"/>
      <c r="AJ265" s="345">
        <v>503.04</v>
      </c>
      <c r="AK265" s="345" t="s">
        <v>339</v>
      </c>
      <c r="AP265" s="347">
        <v>601.29</v>
      </c>
      <c r="AQ265" s="347" t="s">
        <v>310</v>
      </c>
      <c r="AU265" s="348" t="str">
        <f t="array" ref="AU265">IFERROR(IF($AU$11="Yes",INDEX($AP$13:$AP$2950,SMALL(IF((County=$AQ$13:$AQ$2950),MATCH(ROW($AQ$13:$AQ$2950),ROW($AQ$13:$AQ$2950)),""),ROWS($A$13:$A265))),""),"")</f>
        <v/>
      </c>
      <c r="AW265" s="346">
        <v>33813</v>
      </c>
      <c r="AX265" s="345" t="s">
        <v>365</v>
      </c>
      <c r="AZ265" s="345">
        <v>28.02</v>
      </c>
      <c r="BA265" s="345" t="s">
        <v>323</v>
      </c>
      <c r="BF265" s="347">
        <v>14</v>
      </c>
      <c r="BG265" s="347" t="s">
        <v>297</v>
      </c>
      <c r="BH265" s="1790"/>
      <c r="BI265" s="2299">
        <v>34772</v>
      </c>
      <c r="BJ265" s="345" t="s">
        <v>360</v>
      </c>
      <c r="BM265" s="1784"/>
      <c r="BN265" s="345">
        <v>714.02</v>
      </c>
      <c r="BO265" s="345" t="s">
        <v>309</v>
      </c>
      <c r="BT265" s="347">
        <v>601.20000000000005</v>
      </c>
      <c r="BU265" s="347" t="s">
        <v>310</v>
      </c>
      <c r="BW265" s="348" t="str">
        <f t="array" ref="BW265">IFERROR(IF($BW$11="Metro",INDEX($BN$13:$BN$4972,SMALL(IF((County=$BO$13:$BO$4972),MATCH(ROW($BO$13:$BO$4972),ROW($BO$13:$BO$4972)),""),ROWS($A$13:$A265))),INDEX($BQ$13:$BQ$212,SMALL(IF((County=$BR$13:$BR$212),MATCH(ROW($BR$13:$BR$212),ROW($BR$13:$BR$212)),""),ROWS($A$13:$A265)))),"")</f>
        <v/>
      </c>
      <c r="BY265" s="348" t="str">
        <f t="array" ref="BY265">IFERROR(IF($BY$11="Yes",INDEX($BT$13:$BT$2950,SMALL(IF((County=$BU$13:$BU$2950),MATCH(ROW($BU$13:$BU$2950),ROW($BU$13:$BU$2950)),""),ROWS($A$13:$A265))),""),"")</f>
        <v/>
      </c>
      <c r="CA265" s="2298">
        <v>33635</v>
      </c>
      <c r="CB265" s="345" t="s">
        <v>337</v>
      </c>
      <c r="CD265" s="237">
        <v>7</v>
      </c>
      <c r="CE265" s="237" t="s">
        <v>345</v>
      </c>
      <c r="CJ265" s="347">
        <v>14.02</v>
      </c>
      <c r="CK265" s="347" t="s">
        <v>349</v>
      </c>
      <c r="CL265" s="1789"/>
      <c r="CM265" s="2299"/>
      <c r="CN265" s="345"/>
      <c r="CR265" s="345"/>
      <c r="CS265" s="345"/>
      <c r="CX265" s="347"/>
      <c r="CY265" s="347"/>
      <c r="DA265" s="348"/>
      <c r="DC265" s="348"/>
      <c r="DE265" s="1792"/>
      <c r="DF265" s="345"/>
      <c r="DH265" s="237"/>
      <c r="DI265" s="237"/>
      <c r="DN265" s="347"/>
      <c r="DO265" s="347"/>
      <c r="DP265" s="2505"/>
      <c r="DT265" s="663"/>
      <c r="DU265" s="663"/>
      <c r="DV265" s="663"/>
      <c r="DW265" s="663"/>
      <c r="DX265" s="663"/>
      <c r="DY265" s="663"/>
      <c r="DZ265" s="663"/>
      <c r="EA265" s="663"/>
      <c r="EB265" s="663"/>
      <c r="EC265" s="663"/>
      <c r="ED265" s="663"/>
    </row>
    <row r="266" spans="1:134">
      <c r="A266" s="346">
        <v>33483</v>
      </c>
      <c r="B266" s="345" t="s">
        <v>361</v>
      </c>
      <c r="E266" s="934"/>
      <c r="F266" s="345">
        <v>305.02999999999997</v>
      </c>
      <c r="G266" s="345" t="s">
        <v>343</v>
      </c>
      <c r="L266" s="347">
        <v>704.04</v>
      </c>
      <c r="M266" s="347" t="s">
        <v>310</v>
      </c>
      <c r="Q266" s="348" t="str">
        <f t="array" ref="Q266">IFERROR(IF($Q$11="Yes",INDEX($L$13:$L$2313,SMALL(IF((County=$M$13:$M$2313),MATCH(ROW($M$13:$M$2313),ROW($M$13:$M$2313)),""),ROWS($A$13:A266))),""),"")</f>
        <v/>
      </c>
      <c r="S266" s="346">
        <v>33908</v>
      </c>
      <c r="T266" s="345" t="s">
        <v>344</v>
      </c>
      <c r="V266" s="345">
        <v>40</v>
      </c>
      <c r="W266" s="345" t="s">
        <v>337</v>
      </c>
      <c r="AB266" s="347">
        <v>19.079999999999998</v>
      </c>
      <c r="AC266" s="347" t="s">
        <v>368</v>
      </c>
      <c r="AD266" s="1138"/>
      <c r="AE266" s="346">
        <v>33477</v>
      </c>
      <c r="AF266" s="345" t="s">
        <v>361</v>
      </c>
      <c r="AI266" s="934"/>
      <c r="AJ266" s="345">
        <v>504.01</v>
      </c>
      <c r="AK266" s="345" t="s">
        <v>339</v>
      </c>
      <c r="AP266" s="347">
        <v>602.1</v>
      </c>
      <c r="AQ266" s="347" t="s">
        <v>310</v>
      </c>
      <c r="AU266" s="348" t="str">
        <f t="array" ref="AU266">IFERROR(IF($AU$11="Yes",INDEX($AP$13:$AP$2950,SMALL(IF((County=$AQ$13:$AQ$2950),MATCH(ROW($AQ$13:$AQ$2950),ROW($AQ$13:$AQ$2950)),""),ROWS($A$13:$A266))),""),"")</f>
        <v/>
      </c>
      <c r="AW266" s="346">
        <v>33827</v>
      </c>
      <c r="AX266" s="345" t="s">
        <v>365</v>
      </c>
      <c r="AZ266" s="345">
        <v>29</v>
      </c>
      <c r="BA266" s="345" t="s">
        <v>325</v>
      </c>
      <c r="BF266" s="347">
        <v>14.01</v>
      </c>
      <c r="BG266" s="347" t="s">
        <v>325</v>
      </c>
      <c r="BH266" s="1790"/>
      <c r="BI266" s="2299">
        <v>34773</v>
      </c>
      <c r="BJ266" s="345" t="s">
        <v>360</v>
      </c>
      <c r="BM266" s="1784"/>
      <c r="BN266" s="345">
        <v>715</v>
      </c>
      <c r="BO266" s="345" t="s">
        <v>309</v>
      </c>
      <c r="BT266" s="347">
        <v>601.21</v>
      </c>
      <c r="BU266" s="347" t="s">
        <v>310</v>
      </c>
      <c r="BW266" s="348" t="str">
        <f t="array" ref="BW266">IFERROR(IF($BW$11="Metro",INDEX($BN$13:$BN$4972,SMALL(IF((County=$BO$13:$BO$4972),MATCH(ROW($BO$13:$BO$4972),ROW($BO$13:$BO$4972)),""),ROWS($A$13:$A266))),INDEX($BQ$13:$BQ$212,SMALL(IF((County=$BR$13:$BR$212),MATCH(ROW($BR$13:$BR$212),ROW($BR$13:$BR$212)),""),ROWS($A$13:$A266)))),"")</f>
        <v/>
      </c>
      <c r="BY266" s="348" t="str">
        <f t="array" ref="BY266">IFERROR(IF($BY$11="Yes",INDEX($BT$13:$BT$2950,SMALL(IF((County=$BU$13:$BU$2950),MATCH(ROW($BU$13:$BU$2950),ROW($BU$13:$BU$2950)),""),ROWS($A$13:$A266))),""),"")</f>
        <v/>
      </c>
      <c r="CA266" s="2298">
        <v>33637</v>
      </c>
      <c r="CB266" s="345" t="s">
        <v>337</v>
      </c>
      <c r="CD266" s="237">
        <v>7</v>
      </c>
      <c r="CE266" s="237" t="s">
        <v>368</v>
      </c>
      <c r="CJ266" s="347">
        <v>14.02</v>
      </c>
      <c r="CK266" s="347" t="s">
        <v>368</v>
      </c>
      <c r="CL266" s="1789"/>
      <c r="CM266" s="2299"/>
      <c r="CN266" s="345"/>
      <c r="CR266" s="345"/>
      <c r="CS266" s="345"/>
      <c r="CX266" s="347"/>
      <c r="CY266" s="347"/>
      <c r="DA266" s="348"/>
      <c r="DC266" s="348"/>
      <c r="DE266" s="1792"/>
      <c r="DF266" s="345"/>
      <c r="DH266" s="237"/>
      <c r="DI266" s="237"/>
      <c r="DN266" s="347"/>
      <c r="DO266" s="347"/>
      <c r="DP266" s="2505"/>
      <c r="DT266" s="663"/>
      <c r="DU266" s="663"/>
      <c r="DV266" s="663"/>
      <c r="DW266" s="663"/>
      <c r="DX266" s="663"/>
      <c r="DY266" s="663"/>
      <c r="DZ266" s="663"/>
      <c r="EA266" s="663"/>
      <c r="EB266" s="663"/>
      <c r="EC266" s="663"/>
      <c r="ED266" s="663"/>
    </row>
    <row r="267" spans="1:134">
      <c r="A267" s="346">
        <v>33486</v>
      </c>
      <c r="B267" s="345" t="s">
        <v>361</v>
      </c>
      <c r="E267" s="934"/>
      <c r="F267" s="345">
        <v>306.01</v>
      </c>
      <c r="G267" s="345" t="s">
        <v>343</v>
      </c>
      <c r="L267" s="347">
        <v>704.05</v>
      </c>
      <c r="M267" s="347" t="s">
        <v>310</v>
      </c>
      <c r="Q267" s="348" t="str">
        <f t="array" ref="Q267">IFERROR(IF($Q$11="Yes",INDEX($L$13:$L$2313,SMALL(IF((County=$M$13:$M$2313),MATCH(ROW($M$13:$M$2313),ROW($M$13:$M$2313)),""),ROWS($A$13:A267))),""),"")</f>
        <v/>
      </c>
      <c r="S267" s="346">
        <v>33909</v>
      </c>
      <c r="T267" s="345" t="s">
        <v>344</v>
      </c>
      <c r="V267" s="345">
        <v>40.07</v>
      </c>
      <c r="W267" s="345" t="s">
        <v>361</v>
      </c>
      <c r="AB267" s="347">
        <v>19.09</v>
      </c>
      <c r="AC267" s="347" t="s">
        <v>349</v>
      </c>
      <c r="AD267" s="1138"/>
      <c r="AE267" s="346">
        <v>33478</v>
      </c>
      <c r="AF267" s="345" t="s">
        <v>361</v>
      </c>
      <c r="AI267" s="934"/>
      <c r="AJ267" s="345">
        <v>301.06</v>
      </c>
      <c r="AK267" s="345" t="s">
        <v>343</v>
      </c>
      <c r="AP267" s="347">
        <v>602.12</v>
      </c>
      <c r="AQ267" s="347" t="s">
        <v>310</v>
      </c>
      <c r="AU267" s="348" t="str">
        <f t="array" ref="AU267">IFERROR(IF($AU$11="Yes",INDEX($AP$13:$AP$2950,SMALL(IF((County=$AQ$13:$AQ$2950),MATCH(ROW($AQ$13:$AQ$2950),ROW($AQ$13:$AQ$2950)),""),ROWS($A$13:$A267))),""),"")</f>
        <v/>
      </c>
      <c r="AW267" s="346">
        <v>33837</v>
      </c>
      <c r="AX267" s="345" t="s">
        <v>365</v>
      </c>
      <c r="AZ267" s="345">
        <v>29</v>
      </c>
      <c r="BA267" s="345" t="s">
        <v>352</v>
      </c>
      <c r="BF267" s="347">
        <v>14.02</v>
      </c>
      <c r="BG267" s="347" t="s">
        <v>306</v>
      </c>
      <c r="BH267" s="1790"/>
      <c r="BI267" s="1791">
        <v>33401</v>
      </c>
      <c r="BJ267" s="345" t="s">
        <v>361</v>
      </c>
      <c r="BM267" s="1784"/>
      <c r="BN267" s="345">
        <v>716.01</v>
      </c>
      <c r="BO267" s="345" t="s">
        <v>309</v>
      </c>
      <c r="BT267" s="347">
        <v>601.22</v>
      </c>
      <c r="BU267" s="347" t="s">
        <v>310</v>
      </c>
      <c r="BW267" s="348" t="str">
        <f t="array" ref="BW267">IFERROR(IF($BW$11="Metro",INDEX($BN$13:$BN$4972,SMALL(IF((County=$BO$13:$BO$4972),MATCH(ROW($BO$13:$BO$4972),ROW($BO$13:$BO$4972)),""),ROWS($A$13:$A267))),INDEX($BQ$13:$BQ$212,SMALL(IF((County=$BR$13:$BR$212),MATCH(ROW($BR$13:$BR$212),ROW($BR$13:$BR$212)),""),ROWS($A$13:$A267)))),"")</f>
        <v/>
      </c>
      <c r="BY267" s="348" t="str">
        <f t="array" ref="BY267">IFERROR(IF($BY$11="Yes",INDEX($BT$13:$BT$2950,SMALL(IF((County=$BU$13:$BU$2950),MATCH(ROW($BU$13:$BU$2950),ROW($BU$13:$BU$2950)),""),ROWS($A$13:$A267))),""),"")</f>
        <v/>
      </c>
      <c r="CA267" s="2298">
        <v>33647</v>
      </c>
      <c r="CB267" s="345" t="s">
        <v>337</v>
      </c>
      <c r="CD267" s="237">
        <v>7.01</v>
      </c>
      <c r="CE267" s="237" t="s">
        <v>337</v>
      </c>
      <c r="CJ267" s="347">
        <v>14.03</v>
      </c>
      <c r="CK267" s="347" t="s">
        <v>306</v>
      </c>
      <c r="CL267" s="1789"/>
      <c r="CM267" s="2299"/>
      <c r="CN267" s="345"/>
      <c r="CR267" s="345"/>
      <c r="CS267" s="345"/>
      <c r="CX267" s="347"/>
      <c r="CY267" s="347"/>
      <c r="DA267" s="348"/>
      <c r="DC267" s="348"/>
      <c r="DE267" s="1792"/>
      <c r="DF267" s="345"/>
      <c r="DH267" s="237"/>
      <c r="DI267" s="237"/>
      <c r="DN267" s="347"/>
      <c r="DO267" s="347"/>
      <c r="DP267" s="2505"/>
      <c r="DT267" s="663"/>
      <c r="DU267" s="663"/>
      <c r="DV267" s="663"/>
      <c r="DW267" s="663"/>
      <c r="DX267" s="663"/>
      <c r="DY267" s="663"/>
      <c r="DZ267" s="663"/>
      <c r="EA267" s="663"/>
      <c r="EB267" s="663"/>
      <c r="EC267" s="663"/>
      <c r="ED267" s="663"/>
    </row>
    <row r="268" spans="1:134">
      <c r="A268" s="346">
        <v>33487</v>
      </c>
      <c r="B268" s="345" t="s">
        <v>361</v>
      </c>
      <c r="E268" s="934"/>
      <c r="F268" s="345">
        <v>306.02</v>
      </c>
      <c r="G268" s="345" t="s">
        <v>343</v>
      </c>
      <c r="L268" s="347">
        <v>705.01</v>
      </c>
      <c r="M268" s="347" t="s">
        <v>310</v>
      </c>
      <c r="Q268" s="348" t="str">
        <f t="array" ref="Q268">IFERROR(IF($Q$11="Yes",INDEX($L$13:$L$2313,SMALL(IF((County=$M$13:$M$2313),MATCH(ROW($M$13:$M$2313),ROW($M$13:$M$2313)),""),ROWS($A$13:A268))),""),"")</f>
        <v/>
      </c>
      <c r="S268" s="346">
        <v>33912</v>
      </c>
      <c r="T268" s="345" t="s">
        <v>344</v>
      </c>
      <c r="V268" s="345">
        <v>40.090000000000003</v>
      </c>
      <c r="W268" s="345" t="s">
        <v>361</v>
      </c>
      <c r="AB268" s="347">
        <v>19.100000000000001</v>
      </c>
      <c r="AC268" s="347" t="s">
        <v>349</v>
      </c>
      <c r="AD268" s="1138"/>
      <c r="AE268" s="346">
        <v>33480</v>
      </c>
      <c r="AF268" s="345" t="s">
        <v>361</v>
      </c>
      <c r="AI268" s="934"/>
      <c r="AJ268" s="345">
        <v>302.06</v>
      </c>
      <c r="AK268" s="345" t="s">
        <v>343</v>
      </c>
      <c r="AP268" s="347">
        <v>603.05999999999995</v>
      </c>
      <c r="AQ268" s="347" t="s">
        <v>310</v>
      </c>
      <c r="AU268" s="348" t="str">
        <f t="array" ref="AU268">IFERROR(IF($AU$11="Yes",INDEX($AP$13:$AP$2950,SMALL(IF((County=$AQ$13:$AQ$2950),MATCH(ROW($AQ$13:$AQ$2950),ROW($AQ$13:$AQ$2950)),""),ROWS($A$13:$A268))),""),"")</f>
        <v/>
      </c>
      <c r="AW268" s="346">
        <v>33848</v>
      </c>
      <c r="AX268" s="345" t="s">
        <v>360</v>
      </c>
      <c r="AZ268" s="345">
        <v>29</v>
      </c>
      <c r="BA268" s="345" t="s">
        <v>361</v>
      </c>
      <c r="BF268" s="347">
        <v>14.02</v>
      </c>
      <c r="BG268" s="347" t="s">
        <v>344</v>
      </c>
      <c r="BH268" s="1790"/>
      <c r="BI268" s="1791">
        <v>33408</v>
      </c>
      <c r="BJ268" s="345" t="s">
        <v>361</v>
      </c>
      <c r="BM268" s="1784"/>
      <c r="BN268" s="345">
        <v>716.02</v>
      </c>
      <c r="BO268" s="345" t="s">
        <v>309</v>
      </c>
      <c r="BT268" s="347">
        <v>601.23</v>
      </c>
      <c r="BU268" s="347" t="s">
        <v>310</v>
      </c>
      <c r="BW268" s="348" t="str">
        <f t="array" ref="BW268">IFERROR(IF($BW$11="Metro",INDEX($BN$13:$BN$4972,SMALL(IF((County=$BO$13:$BO$4972),MATCH(ROW($BO$13:$BO$4972),ROW($BO$13:$BO$4972)),""),ROWS($A$13:$A268))),INDEX($BQ$13:$BQ$212,SMALL(IF((County=$BR$13:$BR$212),MATCH(ROW($BR$13:$BR$212),ROW($BR$13:$BR$212)),""),ROWS($A$13:$A268)))),"")</f>
        <v/>
      </c>
      <c r="BY268" s="348" t="str">
        <f t="array" ref="BY268">IFERROR(IF($BY$11="Yes",INDEX($BT$13:$BT$2950,SMALL(IF((County=$BU$13:$BU$2950),MATCH(ROW($BU$13:$BU$2950),ROW($BU$13:$BU$2950)),""),ROWS($A$13:$A268))),""),"")</f>
        <v/>
      </c>
      <c r="CA268" s="2298">
        <v>33701</v>
      </c>
      <c r="CB268" s="345" t="s">
        <v>363</v>
      </c>
      <c r="CD268" s="237">
        <v>7.01</v>
      </c>
      <c r="CE268" s="237" t="s">
        <v>351</v>
      </c>
      <c r="CJ268" s="347">
        <v>14.03</v>
      </c>
      <c r="CK268" s="347" t="s">
        <v>350</v>
      </c>
      <c r="CL268" s="1789"/>
      <c r="CM268" s="2299"/>
      <c r="CN268" s="345"/>
      <c r="CR268" s="345"/>
      <c r="CS268" s="345"/>
      <c r="CX268" s="347"/>
      <c r="CY268" s="347"/>
      <c r="DA268" s="348"/>
      <c r="DC268" s="348"/>
      <c r="DE268" s="1792"/>
      <c r="DF268" s="345"/>
      <c r="DH268" s="237"/>
      <c r="DI268" s="237"/>
      <c r="DN268" s="347"/>
      <c r="DO268" s="347"/>
      <c r="DP268" s="2505"/>
      <c r="DT268" s="663"/>
      <c r="DU268" s="663"/>
      <c r="DV268" s="663"/>
      <c r="DW268" s="663"/>
      <c r="DX268" s="663"/>
      <c r="DY268" s="663"/>
      <c r="DZ268" s="663"/>
      <c r="EA268" s="663"/>
      <c r="EB268" s="663"/>
      <c r="EC268" s="663"/>
      <c r="ED268" s="663"/>
    </row>
    <row r="269" spans="1:134">
      <c r="A269" s="346">
        <v>33496</v>
      </c>
      <c r="B269" s="345" t="s">
        <v>361</v>
      </c>
      <c r="E269" s="934"/>
      <c r="F269" s="345">
        <v>3.01</v>
      </c>
      <c r="G269" s="345" t="s">
        <v>344</v>
      </c>
      <c r="L269" s="347">
        <v>706.02</v>
      </c>
      <c r="M269" s="347" t="s">
        <v>310</v>
      </c>
      <c r="Q269" s="348" t="str">
        <f t="array" ref="Q269">IFERROR(IF($Q$11="Yes",INDEX($L$13:$L$2313,SMALL(IF((County=$M$13:$M$2313),MATCH(ROW($M$13:$M$2313),ROW($M$13:$M$2313)),""),ROWS($A$13:A269))),""),"")</f>
        <v/>
      </c>
      <c r="S269" s="346">
        <v>33913</v>
      </c>
      <c r="T269" s="345" t="s">
        <v>344</v>
      </c>
      <c r="V269" s="345">
        <v>41</v>
      </c>
      <c r="W269" s="345" t="s">
        <v>337</v>
      </c>
      <c r="AB269" s="347">
        <v>19.11</v>
      </c>
      <c r="AC269" s="347" t="s">
        <v>344</v>
      </c>
      <c r="AD269" s="1138"/>
      <c r="AE269" s="346">
        <v>33483</v>
      </c>
      <c r="AF269" s="345" t="s">
        <v>361</v>
      </c>
      <c r="AI269" s="934"/>
      <c r="AJ269" s="345">
        <v>302.08999999999997</v>
      </c>
      <c r="AK269" s="345" t="s">
        <v>343</v>
      </c>
      <c r="AP269" s="347">
        <v>605.01</v>
      </c>
      <c r="AQ269" s="347" t="s">
        <v>310</v>
      </c>
      <c r="AU269" s="348" t="str">
        <f t="array" ref="AU269">IFERROR(IF($AU$11="Yes",INDEX($AP$13:$AP$2950,SMALL(IF((County=$AQ$13:$AQ$2950),MATCH(ROW($AQ$13:$AQ$2950),ROW($AQ$13:$AQ$2950)),""),ROWS($A$13:$A269))),""),"")</f>
        <v/>
      </c>
      <c r="AW269" s="346">
        <v>33851</v>
      </c>
      <c r="AX269" s="345" t="s">
        <v>365</v>
      </c>
      <c r="AZ269" s="345">
        <v>29.01</v>
      </c>
      <c r="BA269" s="345" t="s">
        <v>323</v>
      </c>
      <c r="BF269" s="347">
        <v>14.02</v>
      </c>
      <c r="BG269" s="347" t="s">
        <v>349</v>
      </c>
      <c r="BH269" s="1790"/>
      <c r="BI269" s="1791">
        <v>33409</v>
      </c>
      <c r="BJ269" s="345" t="s">
        <v>361</v>
      </c>
      <c r="BM269" s="1784"/>
      <c r="BN269" s="345">
        <v>717</v>
      </c>
      <c r="BO269" s="345" t="s">
        <v>309</v>
      </c>
      <c r="BT269" s="347">
        <v>601.26</v>
      </c>
      <c r="BU269" s="347" t="s">
        <v>310</v>
      </c>
      <c r="BW269" s="348" t="str">
        <f t="array" ref="BW269">IFERROR(IF($BW$11="Metro",INDEX($BN$13:$BN$4972,SMALL(IF((County=$BO$13:$BO$4972),MATCH(ROW($BO$13:$BO$4972),ROW($BO$13:$BO$4972)),""),ROWS($A$13:$A269))),INDEX($BQ$13:$BQ$212,SMALL(IF((County=$BR$13:$BR$212),MATCH(ROW($BR$13:$BR$212),ROW($BR$13:$BR$212)),""),ROWS($A$13:$A269)))),"")</f>
        <v/>
      </c>
      <c r="BY269" s="348" t="str">
        <f t="array" ref="BY269">IFERROR(IF($BY$11="Yes",INDEX($BT$13:$BT$2950,SMALL(IF((County=$BU$13:$BU$2950),MATCH(ROW($BU$13:$BU$2950),ROW($BU$13:$BU$2950)),""),ROWS($A$13:$A269))),""),"")</f>
        <v/>
      </c>
      <c r="CA269" s="2298">
        <v>33702</v>
      </c>
      <c r="CB269" s="345" t="s">
        <v>363</v>
      </c>
      <c r="CD269" s="237">
        <v>7.02</v>
      </c>
      <c r="CE269" s="237" t="s">
        <v>337</v>
      </c>
      <c r="CJ269" s="347">
        <v>14.03</v>
      </c>
      <c r="CK269" s="347" t="s">
        <v>368</v>
      </c>
      <c r="CL269" s="1789"/>
      <c r="CM269" s="2299"/>
      <c r="CN269" s="345"/>
      <c r="CR269" s="345"/>
      <c r="CS269" s="345"/>
      <c r="CX269" s="347"/>
      <c r="CY269" s="347"/>
      <c r="DA269" s="348"/>
      <c r="DC269" s="348"/>
      <c r="DE269" s="1792"/>
      <c r="DF269" s="345"/>
      <c r="DH269" s="237"/>
      <c r="DI269" s="237"/>
      <c r="DN269" s="347"/>
      <c r="DO269" s="347"/>
      <c r="DP269" s="2505"/>
      <c r="DT269" s="663"/>
      <c r="DU269" s="663"/>
      <c r="DV269" s="663"/>
      <c r="DW269" s="663"/>
      <c r="DX269" s="663"/>
      <c r="DY269" s="663"/>
      <c r="DZ269" s="663"/>
      <c r="EA269" s="663"/>
      <c r="EB269" s="663"/>
      <c r="EC269" s="663"/>
      <c r="ED269" s="663"/>
    </row>
    <row r="270" spans="1:134">
      <c r="A270" s="346">
        <v>33498</v>
      </c>
      <c r="B270" s="345" t="s">
        <v>361</v>
      </c>
      <c r="E270" s="934"/>
      <c r="F270" s="345">
        <v>3.02</v>
      </c>
      <c r="G270" s="345" t="s">
        <v>344</v>
      </c>
      <c r="L270" s="347">
        <v>801.03</v>
      </c>
      <c r="M270" s="347" t="s">
        <v>310</v>
      </c>
      <c r="Q270" s="348" t="str">
        <f t="array" ref="Q270">IFERROR(IF($Q$11="Yes",INDEX($L$13:$L$2313,SMALL(IF((County=$M$13:$M$2313),MATCH(ROW($M$13:$M$2313),ROW($M$13:$M$2313)),""),ROWS($A$13:A270))),""),"")</f>
        <v/>
      </c>
      <c r="S270" s="346">
        <v>33914</v>
      </c>
      <c r="T270" s="345" t="s">
        <v>344</v>
      </c>
      <c r="V270" s="345">
        <v>41.03</v>
      </c>
      <c r="W270" s="345" t="s">
        <v>352</v>
      </c>
      <c r="AB270" s="347">
        <v>19.11</v>
      </c>
      <c r="AC270" s="347" t="s">
        <v>349</v>
      </c>
      <c r="AD270" s="1138"/>
      <c r="AE270" s="346">
        <v>33484</v>
      </c>
      <c r="AF270" s="345" t="s">
        <v>361</v>
      </c>
      <c r="AI270" s="934"/>
      <c r="AJ270" s="345">
        <v>305.07</v>
      </c>
      <c r="AK270" s="345" t="s">
        <v>343</v>
      </c>
      <c r="AP270" s="347">
        <v>605.03</v>
      </c>
      <c r="AQ270" s="347" t="s">
        <v>310</v>
      </c>
      <c r="AU270" s="348" t="str">
        <f t="array" ref="AU270">IFERROR(IF($AU$11="Yes",INDEX($AP$13:$AP$2950,SMALL(IF((County=$AQ$13:$AQ$2950),MATCH(ROW($AQ$13:$AQ$2950),ROW($AQ$13:$AQ$2950)),""),ROWS($A$13:$A270))),""),"")</f>
        <v/>
      </c>
      <c r="AW270" s="346">
        <v>33875</v>
      </c>
      <c r="AX270" s="345" t="s">
        <v>336</v>
      </c>
      <c r="AZ270" s="345">
        <v>29.02</v>
      </c>
      <c r="BA270" s="345" t="s">
        <v>323</v>
      </c>
      <c r="BF270" s="347">
        <v>14.02</v>
      </c>
      <c r="BG270" s="347" t="s">
        <v>368</v>
      </c>
      <c r="BH270" s="1790"/>
      <c r="BI270" s="1791">
        <v>33410</v>
      </c>
      <c r="BJ270" s="345" t="s">
        <v>361</v>
      </c>
      <c r="BM270" s="1784"/>
      <c r="BN270" s="345">
        <v>9800</v>
      </c>
      <c r="BO270" s="345" t="s">
        <v>309</v>
      </c>
      <c r="BT270" s="347">
        <v>602.1</v>
      </c>
      <c r="BU270" s="347" t="s">
        <v>310</v>
      </c>
      <c r="BW270" s="348" t="str">
        <f t="array" ref="BW270">IFERROR(IF($BW$11="Metro",INDEX($BN$13:$BN$4972,SMALL(IF((County=$BO$13:$BO$4972),MATCH(ROW($BO$13:$BO$4972),ROW($BO$13:$BO$4972)),""),ROWS($A$13:$A270))),INDEX($BQ$13:$BQ$212,SMALL(IF((County=$BR$13:$BR$212),MATCH(ROW($BR$13:$BR$212),ROW($BR$13:$BR$212)),""),ROWS($A$13:$A270)))),"")</f>
        <v/>
      </c>
      <c r="BY270" s="348" t="str">
        <f t="array" ref="BY270">IFERROR(IF($BY$11="Yes",INDEX($BT$13:$BT$2950,SMALL(IF((County=$BU$13:$BU$2950),MATCH(ROW($BU$13:$BU$2950),ROW($BU$13:$BU$2950)),""),ROWS($A$13:$A270))),""),"")</f>
        <v/>
      </c>
      <c r="CA270" s="2298">
        <v>33703</v>
      </c>
      <c r="CB270" s="345" t="s">
        <v>363</v>
      </c>
      <c r="CD270" s="237">
        <v>7.02</v>
      </c>
      <c r="CE270" s="237" t="s">
        <v>351</v>
      </c>
      <c r="CJ270" s="347">
        <v>14.04</v>
      </c>
      <c r="CK270" s="347" t="s">
        <v>306</v>
      </c>
      <c r="CL270" s="1789"/>
      <c r="CM270" s="2299"/>
      <c r="CN270" s="345"/>
      <c r="CR270" s="345"/>
      <c r="CS270" s="345"/>
      <c r="CX270" s="347"/>
      <c r="CY270" s="347"/>
      <c r="DA270" s="348"/>
      <c r="DC270" s="348"/>
      <c r="DE270" s="1792"/>
      <c r="DF270" s="345"/>
      <c r="DH270" s="237"/>
      <c r="DI270" s="237"/>
      <c r="DN270" s="347"/>
      <c r="DO270" s="347"/>
      <c r="DP270" s="2505"/>
      <c r="DT270" s="663"/>
      <c r="DU270" s="663"/>
      <c r="DV270" s="663"/>
      <c r="DW270" s="663"/>
      <c r="DX270" s="663"/>
      <c r="DY270" s="663"/>
      <c r="DZ270" s="663"/>
      <c r="EA270" s="663"/>
      <c r="EB270" s="663"/>
      <c r="EC270" s="663"/>
      <c r="ED270" s="663"/>
    </row>
    <row r="271" spans="1:134">
      <c r="A271" s="346">
        <v>33543</v>
      </c>
      <c r="B271" s="345" t="s">
        <v>362</v>
      </c>
      <c r="E271" s="934"/>
      <c r="F271" s="345">
        <v>4.01</v>
      </c>
      <c r="G271" s="345" t="s">
        <v>344</v>
      </c>
      <c r="L271" s="347">
        <v>804.06</v>
      </c>
      <c r="M271" s="347" t="s">
        <v>310</v>
      </c>
      <c r="Q271" s="348" t="str">
        <f t="array" ref="Q271">IFERROR(IF($Q$11="Yes",INDEX($L$13:$L$2313,SMALL(IF((County=$M$13:$M$2313),MATCH(ROW($M$13:$M$2313),ROW($M$13:$M$2313)),""),ROWS($A$13:A271))),""),"")</f>
        <v/>
      </c>
      <c r="S271" s="346">
        <v>33919</v>
      </c>
      <c r="T271" s="345" t="s">
        <v>344</v>
      </c>
      <c r="V271" s="345">
        <v>42</v>
      </c>
      <c r="W271" s="345" t="s">
        <v>337</v>
      </c>
      <c r="AB271" s="347">
        <v>19.12</v>
      </c>
      <c r="AC271" s="347" t="s">
        <v>344</v>
      </c>
      <c r="AD271" s="1138"/>
      <c r="AE271" s="346">
        <v>33486</v>
      </c>
      <c r="AF271" s="345" t="s">
        <v>361</v>
      </c>
      <c r="AI271" s="934"/>
      <c r="AJ271" s="345">
        <v>306.01</v>
      </c>
      <c r="AK271" s="345" t="s">
        <v>343</v>
      </c>
      <c r="AP271" s="347">
        <v>605.04</v>
      </c>
      <c r="AQ271" s="347" t="s">
        <v>310</v>
      </c>
      <c r="AU271" s="348" t="str">
        <f t="array" ref="AU271">IFERROR(IF($AU$11="Yes",INDEX($AP$13:$AP$2950,SMALL(IF((County=$AQ$13:$AQ$2950),MATCH(ROW($AQ$13:$AQ$2950),ROW($AQ$13:$AQ$2950)),""),ROWS($A$13:$A271))),""),"")</f>
        <v/>
      </c>
      <c r="AW271" s="346">
        <v>33876</v>
      </c>
      <c r="AX271" s="345" t="s">
        <v>336</v>
      </c>
      <c r="AZ271" s="345">
        <v>30</v>
      </c>
      <c r="BA271" s="345" t="s">
        <v>337</v>
      </c>
      <c r="BF271" s="347">
        <v>14.03</v>
      </c>
      <c r="BG271" s="347" t="s">
        <v>306</v>
      </c>
      <c r="BH271" s="1790"/>
      <c r="BI271" s="1791">
        <v>33411</v>
      </c>
      <c r="BJ271" s="345" t="s">
        <v>361</v>
      </c>
      <c r="BM271" s="1784"/>
      <c r="BN271" s="345">
        <v>9801</v>
      </c>
      <c r="BO271" s="345" t="s">
        <v>309</v>
      </c>
      <c r="BT271" s="347">
        <v>602.12</v>
      </c>
      <c r="BU271" s="347" t="s">
        <v>310</v>
      </c>
      <c r="BW271" s="348" t="str">
        <f t="array" ref="BW271">IFERROR(IF($BW$11="Metro",INDEX($BN$13:$BN$4972,SMALL(IF((County=$BO$13:$BO$4972),MATCH(ROW($BO$13:$BO$4972),ROW($BO$13:$BO$4972)),""),ROWS($A$13:$A271))),INDEX($BQ$13:$BQ$212,SMALL(IF((County=$BR$13:$BR$212),MATCH(ROW($BR$13:$BR$212),ROW($BR$13:$BR$212)),""),ROWS($A$13:$A271)))),"")</f>
        <v/>
      </c>
      <c r="BY271" s="348" t="str">
        <f t="array" ref="BY271">IFERROR(IF($BY$11="Yes",INDEX($BT$13:$BT$2950,SMALL(IF((County=$BU$13:$BU$2950),MATCH(ROW($BU$13:$BU$2950),ROW($BU$13:$BU$2950)),""),ROWS($A$13:$A271))),""),"")</f>
        <v/>
      </c>
      <c r="CA271" s="2298">
        <v>33705</v>
      </c>
      <c r="CB271" s="345" t="s">
        <v>363</v>
      </c>
      <c r="CD271" s="237">
        <v>7.02</v>
      </c>
      <c r="CE271" s="237" t="s">
        <v>361</v>
      </c>
      <c r="CJ271" s="347">
        <v>14.04</v>
      </c>
      <c r="CK271" s="347" t="s">
        <v>349</v>
      </c>
      <c r="CL271" s="1789"/>
      <c r="CM271" s="2299"/>
      <c r="CN271" s="345"/>
      <c r="CR271" s="345"/>
      <c r="CS271" s="345"/>
      <c r="CX271" s="347"/>
      <c r="CY271" s="347"/>
      <c r="DA271" s="348"/>
      <c r="DC271" s="348"/>
      <c r="DE271" s="1792"/>
      <c r="DF271" s="345"/>
      <c r="DH271" s="237"/>
      <c r="DI271" s="237"/>
      <c r="DN271" s="347"/>
      <c r="DO271" s="347"/>
      <c r="DP271" s="2505"/>
      <c r="DT271" s="663"/>
      <c r="DU271" s="663"/>
      <c r="DV271" s="663"/>
      <c r="DW271" s="663"/>
      <c r="DX271" s="663"/>
      <c r="DY271" s="663"/>
      <c r="DZ271" s="663"/>
      <c r="EA271" s="663"/>
      <c r="EB271" s="663"/>
      <c r="EC271" s="663"/>
      <c r="ED271" s="663"/>
    </row>
    <row r="272" spans="1:134">
      <c r="A272" s="346">
        <v>33544</v>
      </c>
      <c r="B272" s="345" t="s">
        <v>362</v>
      </c>
      <c r="E272" s="934"/>
      <c r="F272" s="345">
        <v>5.0199999999999996</v>
      </c>
      <c r="G272" s="345" t="s">
        <v>344</v>
      </c>
      <c r="L272" s="347">
        <v>901.01</v>
      </c>
      <c r="M272" s="347" t="s">
        <v>310</v>
      </c>
      <c r="Q272" s="348" t="str">
        <f t="array" ref="Q272">IFERROR(IF($Q$11="Yes",INDEX($L$13:$L$2313,SMALL(IF((County=$M$13:$M$2313),MATCH(ROW($M$13:$M$2313),ROW($M$13:$M$2313)),""),ROWS($A$13:A272))),""),"")</f>
        <v/>
      </c>
      <c r="S272" s="346">
        <v>33921</v>
      </c>
      <c r="T272" s="345" t="s">
        <v>344</v>
      </c>
      <c r="V272" s="345">
        <v>43</v>
      </c>
      <c r="W272" s="345" t="s">
        <v>337</v>
      </c>
      <c r="AB272" s="347">
        <v>19.12</v>
      </c>
      <c r="AC272" s="347" t="s">
        <v>349</v>
      </c>
      <c r="AD272" s="1138"/>
      <c r="AE272" s="346">
        <v>33487</v>
      </c>
      <c r="AF272" s="345" t="s">
        <v>361</v>
      </c>
      <c r="AI272" s="934"/>
      <c r="AJ272" s="345">
        <v>306.02</v>
      </c>
      <c r="AK272" s="345" t="s">
        <v>343</v>
      </c>
      <c r="AP272" s="347">
        <v>606.03</v>
      </c>
      <c r="AQ272" s="347" t="s">
        <v>310</v>
      </c>
      <c r="AU272" s="348" t="str">
        <f t="array" ref="AU272">IFERROR(IF($AU$11="Yes",INDEX($AP$13:$AP$2950,SMALL(IF((County=$AQ$13:$AQ$2950),MATCH(ROW($AQ$13:$AQ$2950),ROW($AQ$13:$AQ$2950)),""),ROWS($A$13:$A272))),""),"")</f>
        <v/>
      </c>
      <c r="AW272" s="346">
        <v>33884</v>
      </c>
      <c r="AX272" s="345" t="s">
        <v>365</v>
      </c>
      <c r="AZ272" s="345">
        <v>30</v>
      </c>
      <c r="BA272" s="345" t="s">
        <v>361</v>
      </c>
      <c r="BF272" s="347">
        <v>14.03</v>
      </c>
      <c r="BG272" s="347" t="s">
        <v>350</v>
      </c>
      <c r="BH272" s="1790"/>
      <c r="BI272" s="1791">
        <v>33412</v>
      </c>
      <c r="BJ272" s="345" t="s">
        <v>361</v>
      </c>
      <c r="BM272" s="1784"/>
      <c r="BN272" s="345">
        <v>9900</v>
      </c>
      <c r="BO272" s="345" t="s">
        <v>309</v>
      </c>
      <c r="BT272" s="347">
        <v>605.03</v>
      </c>
      <c r="BU272" s="347" t="s">
        <v>310</v>
      </c>
      <c r="BW272" s="348" t="str">
        <f t="array" ref="BW272">IFERROR(IF($BW$11="Metro",INDEX($BN$13:$BN$4972,SMALL(IF((County=$BO$13:$BO$4972),MATCH(ROW($BO$13:$BO$4972),ROW($BO$13:$BO$4972)),""),ROWS($A$13:$A272))),INDEX($BQ$13:$BQ$212,SMALL(IF((County=$BR$13:$BR$212),MATCH(ROW($BR$13:$BR$212),ROW($BR$13:$BR$212)),""),ROWS($A$13:$A272)))),"")</f>
        <v/>
      </c>
      <c r="BY272" s="348" t="str">
        <f t="array" ref="BY272">IFERROR(IF($BY$11="Yes",INDEX($BT$13:$BT$2950,SMALL(IF((County=$BU$13:$BU$2950),MATCH(ROW($BU$13:$BU$2950),ROW($BU$13:$BU$2950)),""),ROWS($A$13:$A272))),""),"")</f>
        <v/>
      </c>
      <c r="CA272" s="2298">
        <v>33706</v>
      </c>
      <c r="CB272" s="345" t="s">
        <v>363</v>
      </c>
      <c r="CD272" s="237">
        <v>7.03</v>
      </c>
      <c r="CE272" s="237" t="s">
        <v>349</v>
      </c>
      <c r="CJ272" s="347">
        <v>14.04</v>
      </c>
      <c r="CK272" s="347" t="s">
        <v>351</v>
      </c>
      <c r="CL272" s="1789"/>
      <c r="CM272" s="2299"/>
      <c r="CN272" s="345"/>
      <c r="CR272" s="345"/>
      <c r="CS272" s="345"/>
      <c r="CX272" s="347"/>
      <c r="CY272" s="347"/>
      <c r="DA272" s="348"/>
      <c r="DC272" s="348"/>
      <c r="DE272" s="1792"/>
      <c r="DF272" s="345"/>
      <c r="DH272" s="237"/>
      <c r="DI272" s="237"/>
      <c r="DN272" s="347"/>
      <c r="DO272" s="347"/>
      <c r="DP272" s="2505"/>
      <c r="DT272" s="663"/>
      <c r="DU272" s="663"/>
      <c r="DV272" s="663"/>
      <c r="DW272" s="663"/>
      <c r="DX272" s="663"/>
      <c r="DY272" s="663"/>
      <c r="DZ272" s="663"/>
      <c r="EA272" s="663"/>
      <c r="EB272" s="663"/>
      <c r="EC272" s="663"/>
      <c r="ED272" s="663"/>
    </row>
    <row r="273" spans="1:134">
      <c r="A273" s="346">
        <v>33545</v>
      </c>
      <c r="B273" s="345" t="s">
        <v>362</v>
      </c>
      <c r="E273" s="934"/>
      <c r="F273" s="345">
        <v>5.04</v>
      </c>
      <c r="G273" s="345" t="s">
        <v>344</v>
      </c>
      <c r="L273" s="347">
        <v>901.02</v>
      </c>
      <c r="M273" s="347" t="s">
        <v>310</v>
      </c>
      <c r="Q273" s="348" t="str">
        <f t="array" ref="Q273">IFERROR(IF($Q$11="Yes",INDEX($L$13:$L$2313,SMALL(IF((County=$M$13:$M$2313),MATCH(ROW($M$13:$M$2313),ROW($M$13:$M$2313)),""),ROWS($A$13:A273))),""),"")</f>
        <v/>
      </c>
      <c r="S273" s="346">
        <v>33924</v>
      </c>
      <c r="T273" s="345" t="s">
        <v>344</v>
      </c>
      <c r="V273" s="345">
        <v>44</v>
      </c>
      <c r="W273" s="345" t="s">
        <v>337</v>
      </c>
      <c r="AB273" s="347">
        <v>19.13</v>
      </c>
      <c r="AC273" s="347" t="s">
        <v>349</v>
      </c>
      <c r="AD273" s="1138"/>
      <c r="AE273" s="346">
        <v>33496</v>
      </c>
      <c r="AF273" s="345" t="s">
        <v>361</v>
      </c>
      <c r="AI273" s="934"/>
      <c r="AJ273" s="345">
        <v>3.05</v>
      </c>
      <c r="AK273" s="345" t="s">
        <v>344</v>
      </c>
      <c r="AP273" s="347">
        <v>606.04999999999995</v>
      </c>
      <c r="AQ273" s="347" t="s">
        <v>310</v>
      </c>
      <c r="AU273" s="348" t="str">
        <f t="array" ref="AU273">IFERROR(IF($AU$11="Yes",INDEX($AP$13:$AP$2950,SMALL(IF((County=$AQ$13:$AQ$2950),MATCH(ROW($AQ$13:$AQ$2950),ROW($AQ$13:$AQ$2950)),""),ROWS($A$13:$A273))),""),"")</f>
        <v/>
      </c>
      <c r="AW273" s="346">
        <v>33896</v>
      </c>
      <c r="AX273" s="345" t="s">
        <v>365</v>
      </c>
      <c r="AZ273" s="345">
        <v>30.01</v>
      </c>
      <c r="BA273" s="345" t="s">
        <v>352</v>
      </c>
      <c r="BF273" s="347">
        <v>14.03</v>
      </c>
      <c r="BG273" s="347" t="s">
        <v>368</v>
      </c>
      <c r="BH273" s="1790"/>
      <c r="BI273" s="1791">
        <v>33413</v>
      </c>
      <c r="BJ273" s="345" t="s">
        <v>361</v>
      </c>
      <c r="BM273" s="1784"/>
      <c r="BN273" s="345">
        <v>101.02</v>
      </c>
      <c r="BO273" s="345" t="s">
        <v>310</v>
      </c>
      <c r="BT273" s="347">
        <v>605.04</v>
      </c>
      <c r="BU273" s="347" t="s">
        <v>310</v>
      </c>
      <c r="BW273" s="348" t="str">
        <f t="array" ref="BW273">IFERROR(IF($BW$11="Metro",INDEX($BN$13:$BN$4972,SMALL(IF((County=$BO$13:$BO$4972),MATCH(ROW($BO$13:$BO$4972),ROW($BO$13:$BO$4972)),""),ROWS($A$13:$A273))),INDEX($BQ$13:$BQ$212,SMALL(IF((County=$BR$13:$BR$212),MATCH(ROW($BR$13:$BR$212),ROW($BR$13:$BR$212)),""),ROWS($A$13:$A273)))),"")</f>
        <v/>
      </c>
      <c r="BY273" s="348" t="str">
        <f t="array" ref="BY273">IFERROR(IF($BY$11="Yes",INDEX($BT$13:$BT$2950,SMALL(IF((County=$BU$13:$BU$2950),MATCH(ROW($BU$13:$BU$2950),ROW($BU$13:$BU$2950)),""),ROWS($A$13:$A273))),""),"")</f>
        <v/>
      </c>
      <c r="CA273" s="2298">
        <v>33707</v>
      </c>
      <c r="CB273" s="345" t="s">
        <v>363</v>
      </c>
      <c r="CD273" s="237">
        <v>7.03</v>
      </c>
      <c r="CE273" s="237" t="s">
        <v>350</v>
      </c>
      <c r="CJ273" s="347">
        <v>14.04</v>
      </c>
      <c r="CK273" s="347" t="s">
        <v>368</v>
      </c>
      <c r="CL273" s="1789"/>
      <c r="CM273" s="2299"/>
      <c r="CN273" s="345"/>
      <c r="CR273" s="345"/>
      <c r="CS273" s="345"/>
      <c r="CX273" s="347"/>
      <c r="CY273" s="347"/>
      <c r="DA273" s="348"/>
      <c r="DC273" s="348"/>
      <c r="DE273" s="1792"/>
      <c r="DF273" s="345"/>
      <c r="DH273" s="237"/>
      <c r="DI273" s="237"/>
      <c r="DN273" s="347"/>
      <c r="DO273" s="347"/>
      <c r="DP273" s="2505"/>
      <c r="DT273" s="663"/>
      <c r="DU273" s="663"/>
      <c r="DV273" s="663"/>
      <c r="DW273" s="663"/>
      <c r="DX273" s="663"/>
      <c r="DY273" s="663"/>
      <c r="DZ273" s="663"/>
      <c r="EA273" s="663"/>
      <c r="EB273" s="663"/>
      <c r="EC273" s="663"/>
      <c r="ED273" s="663"/>
    </row>
    <row r="274" spans="1:134">
      <c r="A274" s="346">
        <v>34637</v>
      </c>
      <c r="B274" s="345" t="s">
        <v>362</v>
      </c>
      <c r="E274" s="934"/>
      <c r="F274" s="345">
        <v>6</v>
      </c>
      <c r="G274" s="345" t="s">
        <v>344</v>
      </c>
      <c r="L274" s="347">
        <v>902</v>
      </c>
      <c r="M274" s="347" t="s">
        <v>310</v>
      </c>
      <c r="Q274" s="348" t="str">
        <f t="array" ref="Q274">IFERROR(IF($Q$11="Yes",INDEX($L$13:$L$2313,SMALL(IF((County=$M$13:$M$2313),MATCH(ROW($M$13:$M$2313),ROW($M$13:$M$2313)),""),ROWS($A$13:A274))),""),"")</f>
        <v/>
      </c>
      <c r="S274" s="346">
        <v>33928</v>
      </c>
      <c r="T274" s="345" t="s">
        <v>344</v>
      </c>
      <c r="V274" s="345">
        <v>44.02</v>
      </c>
      <c r="W274" s="345" t="s">
        <v>361</v>
      </c>
      <c r="AB274" s="347">
        <v>19.14</v>
      </c>
      <c r="AC274" s="347" t="s">
        <v>349</v>
      </c>
      <c r="AD274" s="1138"/>
      <c r="AE274" s="346">
        <v>33498</v>
      </c>
      <c r="AF274" s="345" t="s">
        <v>361</v>
      </c>
      <c r="AI274" s="934"/>
      <c r="AJ274" s="345">
        <v>3.06</v>
      </c>
      <c r="AK274" s="345" t="s">
        <v>344</v>
      </c>
      <c r="AP274" s="347">
        <v>606.07000000000005</v>
      </c>
      <c r="AQ274" s="347" t="s">
        <v>310</v>
      </c>
      <c r="AU274" s="348" t="str">
        <f t="array" ref="AU274">IFERROR(IF($AU$11="Yes",INDEX($AP$13:$AP$2950,SMALL(IF((County=$AQ$13:$AQ$2950),MATCH(ROW($AQ$13:$AQ$2950),ROW($AQ$13:$AQ$2950)),""),ROWS($A$13:$A274))),""),"")</f>
        <v/>
      </c>
      <c r="AW274" s="346">
        <v>33897</v>
      </c>
      <c r="AX274" s="345" t="s">
        <v>365</v>
      </c>
      <c r="AZ274" s="345">
        <v>30.04</v>
      </c>
      <c r="BA274" s="345" t="s">
        <v>352</v>
      </c>
      <c r="BF274" s="347">
        <v>14.04</v>
      </c>
      <c r="BG274" s="347" t="s">
        <v>306</v>
      </c>
      <c r="BH274" s="1790"/>
      <c r="BI274" s="1791">
        <v>33414</v>
      </c>
      <c r="BJ274" s="345" t="s">
        <v>361</v>
      </c>
      <c r="BM274" s="1784"/>
      <c r="BN274" s="345">
        <v>101.03</v>
      </c>
      <c r="BO274" s="345" t="s">
        <v>310</v>
      </c>
      <c r="BT274" s="347">
        <v>605.04999999999995</v>
      </c>
      <c r="BU274" s="347" t="s">
        <v>310</v>
      </c>
      <c r="BW274" s="348" t="str">
        <f t="array" ref="BW274">IFERROR(IF($BW$11="Metro",INDEX($BN$13:$BN$4972,SMALL(IF((County=$BO$13:$BO$4972),MATCH(ROW($BO$13:$BO$4972),ROW($BO$13:$BO$4972)),""),ROWS($A$13:$A274))),INDEX($BQ$13:$BQ$212,SMALL(IF((County=$BR$13:$BR$212),MATCH(ROW($BR$13:$BR$212),ROW($BR$13:$BR$212)),""),ROWS($A$13:$A274)))),"")</f>
        <v/>
      </c>
      <c r="BY274" s="348" t="str">
        <f t="array" ref="BY274">IFERROR(IF($BY$11="Yes",INDEX($BT$13:$BT$2950,SMALL(IF((County=$BU$13:$BU$2950),MATCH(ROW($BU$13:$BU$2950),ROW($BU$13:$BU$2950)),""),ROWS($A$13:$A274))),""),"")</f>
        <v/>
      </c>
      <c r="CA274" s="2298">
        <v>33708</v>
      </c>
      <c r="CB274" s="345" t="s">
        <v>363</v>
      </c>
      <c r="CD274" s="237">
        <v>7.03</v>
      </c>
      <c r="CE274" s="237" t="s">
        <v>361</v>
      </c>
      <c r="CJ274" s="347">
        <v>14.05</v>
      </c>
      <c r="CK274" s="347" t="s">
        <v>368</v>
      </c>
      <c r="CL274" s="1789"/>
      <c r="CM274" s="2299"/>
      <c r="CN274" s="345"/>
      <c r="CR274" s="345"/>
      <c r="CS274" s="345"/>
      <c r="CX274" s="347"/>
      <c r="CY274" s="347"/>
      <c r="DA274" s="348"/>
      <c r="DC274" s="348"/>
      <c r="DE274" s="1792"/>
      <c r="DF274" s="345"/>
      <c r="DH274" s="237"/>
      <c r="DI274" s="237"/>
      <c r="DN274" s="347"/>
      <c r="DO274" s="347"/>
      <c r="DP274" s="2505"/>
      <c r="DT274" s="663"/>
      <c r="DU274" s="663"/>
      <c r="DV274" s="663"/>
      <c r="DW274" s="663"/>
      <c r="DX274" s="663"/>
      <c r="DY274" s="663"/>
      <c r="DZ274" s="663"/>
      <c r="EA274" s="663"/>
      <c r="EB274" s="663"/>
      <c r="EC274" s="663"/>
      <c r="ED274" s="663"/>
    </row>
    <row r="275" spans="1:134">
      <c r="A275" s="346">
        <v>34638</v>
      </c>
      <c r="B275" s="345" t="s">
        <v>362</v>
      </c>
      <c r="E275" s="934"/>
      <c r="F275" s="345">
        <v>7</v>
      </c>
      <c r="G275" s="345" t="s">
        <v>344</v>
      </c>
      <c r="L275" s="347">
        <v>905.02</v>
      </c>
      <c r="M275" s="347" t="s">
        <v>310</v>
      </c>
      <c r="Q275" s="348" t="str">
        <f t="array" ref="Q275">IFERROR(IF($Q$11="Yes",INDEX($L$13:$L$2313,SMALL(IF((County=$M$13:$M$2313),MATCH(ROW($M$13:$M$2313),ROW($M$13:$M$2313)),""),ROWS($A$13:A275))),""),"")</f>
        <v/>
      </c>
      <c r="S275" s="346">
        <v>33946</v>
      </c>
      <c r="T275" s="345" t="s">
        <v>315</v>
      </c>
      <c r="V275" s="345">
        <v>44.04</v>
      </c>
      <c r="W275" s="345" t="s">
        <v>352</v>
      </c>
      <c r="AB275" s="347">
        <v>19.14</v>
      </c>
      <c r="AC275" s="347" t="s">
        <v>361</v>
      </c>
      <c r="AD275" s="1138"/>
      <c r="AE275" s="346">
        <v>33543</v>
      </c>
      <c r="AF275" s="345" t="s">
        <v>362</v>
      </c>
      <c r="AI275" s="934"/>
      <c r="AJ275" s="345">
        <v>5.0199999999999996</v>
      </c>
      <c r="AK275" s="345" t="s">
        <v>344</v>
      </c>
      <c r="AP275" s="347">
        <v>606.08000000000004</v>
      </c>
      <c r="AQ275" s="347" t="s">
        <v>310</v>
      </c>
      <c r="AU275" s="348" t="str">
        <f t="array" ref="AU275">IFERROR(IF($AU$11="Yes",INDEX($AP$13:$AP$2950,SMALL(IF((County=$AQ$13:$AQ$2950),MATCH(ROW($AQ$13:$AQ$2950),ROW($AQ$13:$AQ$2950)),""),ROWS($A$13:$A275))),""),"")</f>
        <v/>
      </c>
      <c r="AW275" s="346">
        <v>33908</v>
      </c>
      <c r="AX275" s="345" t="s">
        <v>344</v>
      </c>
      <c r="AZ275" s="345">
        <v>30.05</v>
      </c>
      <c r="BA275" s="345" t="s">
        <v>352</v>
      </c>
      <c r="BF275" s="347">
        <v>14.04</v>
      </c>
      <c r="BG275" s="347" t="s">
        <v>349</v>
      </c>
      <c r="BH275" s="1790"/>
      <c r="BI275" s="1791">
        <v>33418</v>
      </c>
      <c r="BJ275" s="345" t="s">
        <v>361</v>
      </c>
      <c r="BM275" s="1784"/>
      <c r="BN275" s="345">
        <v>101.04</v>
      </c>
      <c r="BO275" s="345" t="s">
        <v>310</v>
      </c>
      <c r="BT275" s="347">
        <v>606.03</v>
      </c>
      <c r="BU275" s="347" t="s">
        <v>310</v>
      </c>
      <c r="BW275" s="348" t="str">
        <f t="array" ref="BW275">IFERROR(IF($BW$11="Metro",INDEX($BN$13:$BN$4972,SMALL(IF((County=$BO$13:$BO$4972),MATCH(ROW($BO$13:$BO$4972),ROW($BO$13:$BO$4972)),""),ROWS($A$13:$A275))),INDEX($BQ$13:$BQ$212,SMALL(IF((County=$BR$13:$BR$212),MATCH(ROW($BR$13:$BR$212),ROW($BR$13:$BR$212)),""),ROWS($A$13:$A275)))),"")</f>
        <v/>
      </c>
      <c r="BY275" s="348" t="str">
        <f t="array" ref="BY275">IFERROR(IF($BY$11="Yes",INDEX($BT$13:$BT$2950,SMALL(IF((County=$BU$13:$BU$2950),MATCH(ROW($BU$13:$BU$2950),ROW($BU$13:$BU$2950)),""),ROWS($A$13:$A275))),""),"")</f>
        <v/>
      </c>
      <c r="CA275" s="2298">
        <v>33710</v>
      </c>
      <c r="CB275" s="345" t="s">
        <v>363</v>
      </c>
      <c r="CD275" s="237">
        <v>7.04</v>
      </c>
      <c r="CE275" s="237" t="s">
        <v>349</v>
      </c>
      <c r="CJ275" s="347">
        <v>14.06</v>
      </c>
      <c r="CK275" s="347" t="s">
        <v>351</v>
      </c>
      <c r="CL275" s="1789"/>
      <c r="CM275" s="2299"/>
      <c r="CN275" s="345"/>
      <c r="CR275" s="345"/>
      <c r="CS275" s="345"/>
      <c r="CX275" s="347"/>
      <c r="CY275" s="347"/>
      <c r="DA275" s="348"/>
      <c r="DC275" s="348"/>
      <c r="DE275" s="1792"/>
      <c r="DF275" s="345"/>
      <c r="DH275" s="237"/>
      <c r="DI275" s="237"/>
      <c r="DN275" s="347"/>
      <c r="DO275" s="347"/>
      <c r="DP275" s="2505"/>
      <c r="DT275" s="663"/>
      <c r="DU275" s="663"/>
      <c r="DV275" s="663"/>
      <c r="DW275" s="663"/>
      <c r="DX275" s="663"/>
      <c r="DY275" s="663"/>
      <c r="DZ275" s="663"/>
      <c r="EA275" s="663"/>
      <c r="EB275" s="663"/>
      <c r="EC275" s="663"/>
      <c r="ED275" s="663"/>
    </row>
    <row r="276" spans="1:134">
      <c r="A276" s="346">
        <v>34639</v>
      </c>
      <c r="B276" s="345" t="s">
        <v>362</v>
      </c>
      <c r="E276" s="934"/>
      <c r="F276" s="345">
        <v>11.01</v>
      </c>
      <c r="G276" s="345" t="s">
        <v>344</v>
      </c>
      <c r="L276" s="347">
        <v>905.03</v>
      </c>
      <c r="M276" s="347" t="s">
        <v>310</v>
      </c>
      <c r="Q276" s="348" t="str">
        <f t="array" ref="Q276">IFERROR(IF($Q$11="Yes",INDEX($L$13:$L$2313,SMALL(IF((County=$M$13:$M$2313),MATCH(ROW($M$13:$M$2313),ROW($M$13:$M$2313)),""),ROWS($A$13:A276))),""),"")</f>
        <v/>
      </c>
      <c r="S276" s="346">
        <v>33947</v>
      </c>
      <c r="T276" s="345" t="s">
        <v>315</v>
      </c>
      <c r="V276" s="345">
        <v>45</v>
      </c>
      <c r="W276" s="345" t="s">
        <v>361</v>
      </c>
      <c r="AB276" s="347">
        <v>19.149999999999999</v>
      </c>
      <c r="AC276" s="347" t="s">
        <v>344</v>
      </c>
      <c r="AD276" s="1138"/>
      <c r="AE276" s="346">
        <v>33544</v>
      </c>
      <c r="AF276" s="345" t="s">
        <v>362</v>
      </c>
      <c r="AI276" s="934"/>
      <c r="AJ276" s="345">
        <v>5.04</v>
      </c>
      <c r="AK276" s="345" t="s">
        <v>344</v>
      </c>
      <c r="AP276" s="347">
        <v>606.09</v>
      </c>
      <c r="AQ276" s="347" t="s">
        <v>310</v>
      </c>
      <c r="AU276" s="348" t="str">
        <f t="array" ref="AU276">IFERROR(IF($AU$11="Yes",INDEX($AP$13:$AP$2950,SMALL(IF((County=$AQ$13:$AQ$2950),MATCH(ROW($AQ$13:$AQ$2950),ROW($AQ$13:$AQ$2950)),""),ROWS($A$13:$A276))),""),"")</f>
        <v/>
      </c>
      <c r="AW276" s="346">
        <v>33912</v>
      </c>
      <c r="AX276" s="345" t="s">
        <v>344</v>
      </c>
      <c r="AZ276" s="345">
        <v>30.06</v>
      </c>
      <c r="BA276" s="345" t="s">
        <v>352</v>
      </c>
      <c r="BF276" s="347">
        <v>14.04</v>
      </c>
      <c r="BG276" s="347" t="s">
        <v>351</v>
      </c>
      <c r="BH276" s="1790"/>
      <c r="BI276" s="1791">
        <v>33426</v>
      </c>
      <c r="BJ276" s="345" t="s">
        <v>361</v>
      </c>
      <c r="BM276" s="1784"/>
      <c r="BN276" s="345">
        <v>102.01</v>
      </c>
      <c r="BO276" s="345" t="s">
        <v>310</v>
      </c>
      <c r="BT276" s="347">
        <v>606.04999999999995</v>
      </c>
      <c r="BU276" s="347" t="s">
        <v>310</v>
      </c>
      <c r="BW276" s="348" t="str">
        <f t="array" ref="BW276">IFERROR(IF($BW$11="Metro",INDEX($BN$13:$BN$4972,SMALL(IF((County=$BO$13:$BO$4972),MATCH(ROW($BO$13:$BO$4972),ROW($BO$13:$BO$4972)),""),ROWS($A$13:$A276))),INDEX($BQ$13:$BQ$212,SMALL(IF((County=$BR$13:$BR$212),MATCH(ROW($BR$13:$BR$212),ROW($BR$13:$BR$212)),""),ROWS($A$13:$A276)))),"")</f>
        <v/>
      </c>
      <c r="BY276" s="348" t="str">
        <f t="array" ref="BY276">IFERROR(IF($BY$11="Yes",INDEX($BT$13:$BT$2950,SMALL(IF((County=$BU$13:$BU$2950),MATCH(ROW($BU$13:$BU$2950),ROW($BU$13:$BU$2950)),""),ROWS($A$13:$A276))),""),"")</f>
        <v/>
      </c>
      <c r="CA276" s="2298">
        <v>33711</v>
      </c>
      <c r="CB276" s="345" t="s">
        <v>363</v>
      </c>
      <c r="CD276" s="237">
        <v>7.04</v>
      </c>
      <c r="CE276" s="237" t="s">
        <v>350</v>
      </c>
      <c r="CJ276" s="347">
        <v>14.09</v>
      </c>
      <c r="CK276" s="347" t="s">
        <v>351</v>
      </c>
      <c r="CL276" s="1789"/>
      <c r="CM276" s="2299"/>
      <c r="CN276" s="345"/>
      <c r="CR276" s="345"/>
      <c r="CS276" s="345"/>
      <c r="CX276" s="347"/>
      <c r="CY276" s="347"/>
      <c r="DA276" s="348"/>
      <c r="DC276" s="348"/>
      <c r="DE276" s="1792"/>
      <c r="DF276" s="345"/>
      <c r="DH276" s="237"/>
      <c r="DI276" s="237"/>
      <c r="DN276" s="347"/>
      <c r="DO276" s="347"/>
      <c r="DP276" s="2505"/>
      <c r="DT276" s="663"/>
      <c r="DU276" s="663"/>
      <c r="DV276" s="663"/>
      <c r="DW276" s="663"/>
      <c r="DX276" s="663"/>
      <c r="DY276" s="663"/>
      <c r="DZ276" s="663"/>
      <c r="EA276" s="663"/>
      <c r="EB276" s="663"/>
      <c r="EC276" s="663"/>
      <c r="ED276" s="663"/>
    </row>
    <row r="277" spans="1:134">
      <c r="A277" s="346">
        <v>34655</v>
      </c>
      <c r="B277" s="345" t="s">
        <v>362</v>
      </c>
      <c r="E277" s="934"/>
      <c r="F277" s="345">
        <v>11.02</v>
      </c>
      <c r="G277" s="345" t="s">
        <v>344</v>
      </c>
      <c r="L277" s="347">
        <v>906.01</v>
      </c>
      <c r="M277" s="347" t="s">
        <v>310</v>
      </c>
      <c r="Q277" s="348" t="str">
        <f t="array" ref="Q277">IFERROR(IF($Q$11="Yes",INDEX($L$13:$L$2313,SMALL(IF((County=$M$13:$M$2313),MATCH(ROW($M$13:$M$2313),ROW($M$13:$M$2313)),""),ROWS($A$13:A277))),""),"")</f>
        <v/>
      </c>
      <c r="S277" s="346">
        <v>33954</v>
      </c>
      <c r="T277" s="345" t="s">
        <v>315</v>
      </c>
      <c r="V277" s="345">
        <v>46.02</v>
      </c>
      <c r="W277" s="345" t="s">
        <v>361</v>
      </c>
      <c r="AB277" s="347">
        <v>19.149999999999999</v>
      </c>
      <c r="AC277" s="347" t="s">
        <v>361</v>
      </c>
      <c r="AD277" s="1138"/>
      <c r="AE277" s="346">
        <v>33545</v>
      </c>
      <c r="AF277" s="345" t="s">
        <v>362</v>
      </c>
      <c r="AI277" s="934"/>
      <c r="AJ277" s="345">
        <v>6</v>
      </c>
      <c r="AK277" s="345" t="s">
        <v>344</v>
      </c>
      <c r="AP277" s="347">
        <v>607</v>
      </c>
      <c r="AQ277" s="347" t="s">
        <v>310</v>
      </c>
      <c r="AU277" s="348" t="str">
        <f t="array" ref="AU277">IFERROR(IF($AU$11="Yes",INDEX($AP$13:$AP$2950,SMALL(IF((County=$AQ$13:$AQ$2950),MATCH(ROW($AQ$13:$AQ$2950),ROW($AQ$13:$AQ$2950)),""),ROWS($A$13:$A277))),""),"")</f>
        <v/>
      </c>
      <c r="AW277" s="346">
        <v>33913</v>
      </c>
      <c r="AX277" s="345" t="s">
        <v>344</v>
      </c>
      <c r="AZ277" s="345">
        <v>31</v>
      </c>
      <c r="BA277" s="345" t="s">
        <v>325</v>
      </c>
      <c r="BF277" s="347">
        <v>14.04</v>
      </c>
      <c r="BG277" s="347" t="s">
        <v>368</v>
      </c>
      <c r="BH277" s="1790"/>
      <c r="BI277" s="1791">
        <v>33428</v>
      </c>
      <c r="BJ277" s="345" t="s">
        <v>361</v>
      </c>
      <c r="BM277" s="1784"/>
      <c r="BN277" s="345">
        <v>102.02</v>
      </c>
      <c r="BO277" s="345" t="s">
        <v>310</v>
      </c>
      <c r="BT277" s="347">
        <v>606.05999999999995</v>
      </c>
      <c r="BU277" s="347" t="s">
        <v>310</v>
      </c>
      <c r="BW277" s="348" t="str">
        <f t="array" ref="BW277">IFERROR(IF($BW$11="Metro",INDEX($BN$13:$BN$4972,SMALL(IF((County=$BO$13:$BO$4972),MATCH(ROW($BO$13:$BO$4972),ROW($BO$13:$BO$4972)),""),ROWS($A$13:$A277))),INDEX($BQ$13:$BQ$212,SMALL(IF((County=$BR$13:$BR$212),MATCH(ROW($BR$13:$BR$212),ROW($BR$13:$BR$212)),""),ROWS($A$13:$A277)))),"")</f>
        <v/>
      </c>
      <c r="BY277" s="348" t="str">
        <f t="array" ref="BY277">IFERROR(IF($BY$11="Yes",INDEX($BT$13:$BT$2950,SMALL(IF((County=$BU$13:$BU$2950),MATCH(ROW($BU$13:$BU$2950),ROW($BU$13:$BU$2950)),""),ROWS($A$13:$A277))),""),"")</f>
        <v/>
      </c>
      <c r="CA277" s="2298">
        <v>33712</v>
      </c>
      <c r="CB277" s="345" t="s">
        <v>363</v>
      </c>
      <c r="CD277" s="237">
        <v>7.05</v>
      </c>
      <c r="CE277" s="237" t="s">
        <v>349</v>
      </c>
      <c r="CJ277" s="347">
        <v>15</v>
      </c>
      <c r="CK277" s="347" t="s">
        <v>337</v>
      </c>
      <c r="CL277" s="1789"/>
      <c r="CM277" s="2299"/>
      <c r="CN277" s="345"/>
      <c r="CR277" s="345"/>
      <c r="CS277" s="345"/>
      <c r="CX277" s="347"/>
      <c r="CY277" s="347"/>
      <c r="DA277" s="348"/>
      <c r="DC277" s="348"/>
      <c r="DE277" s="1792"/>
      <c r="DF277" s="345"/>
      <c r="DH277" s="237"/>
      <c r="DI277" s="237"/>
      <c r="DN277" s="347"/>
      <c r="DO277" s="347"/>
      <c r="DP277" s="2505"/>
      <c r="DT277" s="663"/>
      <c r="DU277" s="663"/>
      <c r="DV277" s="663"/>
      <c r="DW277" s="663"/>
      <c r="DX277" s="663"/>
      <c r="DY277" s="663"/>
      <c r="DZ277" s="663"/>
      <c r="EA277" s="663"/>
      <c r="EB277" s="663"/>
      <c r="EC277" s="663"/>
      <c r="ED277" s="663"/>
    </row>
    <row r="278" spans="1:134">
      <c r="A278" s="346">
        <v>33703</v>
      </c>
      <c r="B278" s="345" t="s">
        <v>363</v>
      </c>
      <c r="E278" s="934"/>
      <c r="F278" s="345">
        <v>15.02</v>
      </c>
      <c r="G278" s="345" t="s">
        <v>344</v>
      </c>
      <c r="L278" s="347">
        <v>908.01</v>
      </c>
      <c r="M278" s="347" t="s">
        <v>310</v>
      </c>
      <c r="Q278" s="348" t="str">
        <f t="array" ref="Q278">IFERROR(IF($Q$11="Yes",INDEX($L$13:$L$2313,SMALL(IF((County=$M$13:$M$2313),MATCH(ROW($M$13:$M$2313),ROW($M$13:$M$2313)),""),ROWS($A$13:A278))),""),"")</f>
        <v/>
      </c>
      <c r="S278" s="346">
        <v>33955</v>
      </c>
      <c r="T278" s="345" t="s">
        <v>315</v>
      </c>
      <c r="V278" s="345">
        <v>47.04</v>
      </c>
      <c r="W278" s="345" t="s">
        <v>361</v>
      </c>
      <c r="AB278" s="347">
        <v>19.16</v>
      </c>
      <c r="AC278" s="347" t="s">
        <v>361</v>
      </c>
      <c r="AD278" s="1138"/>
      <c r="AE278" s="346">
        <v>34637</v>
      </c>
      <c r="AF278" s="345" t="s">
        <v>362</v>
      </c>
      <c r="AI278" s="934"/>
      <c r="AJ278" s="345">
        <v>7</v>
      </c>
      <c r="AK278" s="345" t="s">
        <v>344</v>
      </c>
      <c r="AP278" s="347">
        <v>608.01</v>
      </c>
      <c r="AQ278" s="347" t="s">
        <v>310</v>
      </c>
      <c r="AU278" s="348" t="str">
        <f t="array" ref="AU278">IFERROR(IF($AU$11="Yes",INDEX($AP$13:$AP$2950,SMALL(IF((County=$AQ$13:$AQ$2950),MATCH(ROW($AQ$13:$AQ$2950),ROW($AQ$13:$AQ$2950)),""),ROWS($A$13:$A278))),""),"")</f>
        <v/>
      </c>
      <c r="AW278" s="346">
        <v>33921</v>
      </c>
      <c r="AX278" s="345" t="s">
        <v>344</v>
      </c>
      <c r="AZ278" s="345">
        <v>31</v>
      </c>
      <c r="BA278" s="345" t="s">
        <v>337</v>
      </c>
      <c r="BF278" s="347">
        <v>14.05</v>
      </c>
      <c r="BG278" s="347" t="s">
        <v>368</v>
      </c>
      <c r="BH278" s="1790"/>
      <c r="BI278" s="1791">
        <v>33431</v>
      </c>
      <c r="BJ278" s="345" t="s">
        <v>361</v>
      </c>
      <c r="BM278" s="1784"/>
      <c r="BN278" s="345">
        <v>103.04</v>
      </c>
      <c r="BO278" s="345" t="s">
        <v>310</v>
      </c>
      <c r="BT278" s="347">
        <v>606.07000000000005</v>
      </c>
      <c r="BU278" s="347" t="s">
        <v>310</v>
      </c>
      <c r="BW278" s="348" t="str">
        <f t="array" ref="BW278">IFERROR(IF($BW$11="Metro",INDEX($BN$13:$BN$4972,SMALL(IF((County=$BO$13:$BO$4972),MATCH(ROW($BO$13:$BO$4972),ROW($BO$13:$BO$4972)),""),ROWS($A$13:$A278))),INDEX($BQ$13:$BQ$212,SMALL(IF((County=$BR$13:$BR$212),MATCH(ROW($BR$13:$BR$212),ROW($BR$13:$BR$212)),""),ROWS($A$13:$A278)))),"")</f>
        <v/>
      </c>
      <c r="BY278" s="348" t="str">
        <f t="array" ref="BY278">IFERROR(IF($BY$11="Yes",INDEX($BT$13:$BT$2950,SMALL(IF((County=$BU$13:$BU$2950),MATCH(ROW($BU$13:$BU$2950),ROW($BU$13:$BU$2950)),""),ROWS($A$13:$A278))),""),"")</f>
        <v/>
      </c>
      <c r="CA278" s="2298">
        <v>33713</v>
      </c>
      <c r="CB278" s="345" t="s">
        <v>363</v>
      </c>
      <c r="CD278" s="237">
        <v>7.05</v>
      </c>
      <c r="CE278" s="237" t="s">
        <v>350</v>
      </c>
      <c r="CJ278" s="347">
        <v>15</v>
      </c>
      <c r="CK278" s="347" t="s">
        <v>345</v>
      </c>
      <c r="CL278" s="1789"/>
      <c r="CM278" s="2299"/>
      <c r="CN278" s="345"/>
      <c r="CR278" s="345"/>
      <c r="CS278" s="345"/>
      <c r="CX278" s="347"/>
      <c r="CY278" s="347"/>
      <c r="DA278" s="348"/>
      <c r="DC278" s="348"/>
      <c r="DE278" s="1792"/>
      <c r="DF278" s="345"/>
      <c r="DH278" s="237"/>
      <c r="DI278" s="237"/>
      <c r="DN278" s="347"/>
      <c r="DO278" s="347"/>
      <c r="DP278" s="2505"/>
      <c r="DT278" s="663"/>
      <c r="DU278" s="663"/>
      <c r="DV278" s="663"/>
      <c r="DW278" s="663"/>
      <c r="DX278" s="663"/>
      <c r="DY278" s="663"/>
      <c r="DZ278" s="663"/>
      <c r="EA278" s="663"/>
      <c r="EB278" s="663"/>
      <c r="EC278" s="663"/>
      <c r="ED278" s="663"/>
    </row>
    <row r="279" spans="1:134">
      <c r="A279" s="346">
        <v>33705</v>
      </c>
      <c r="B279" s="345" t="s">
        <v>363</v>
      </c>
      <c r="E279" s="934"/>
      <c r="F279" s="345">
        <v>108.02</v>
      </c>
      <c r="G279" s="345" t="s">
        <v>344</v>
      </c>
      <c r="L279" s="347">
        <v>908.02</v>
      </c>
      <c r="M279" s="347" t="s">
        <v>310</v>
      </c>
      <c r="Q279" s="348" t="str">
        <f t="array" ref="Q279">IFERROR(IF($Q$11="Yes",INDEX($L$13:$L$2313,SMALL(IF((County=$M$13:$M$2313),MATCH(ROW($M$13:$M$2313),ROW($M$13:$M$2313)),""),ROWS($A$13:A279))),""),"")</f>
        <v/>
      </c>
      <c r="S279" s="346">
        <v>33957</v>
      </c>
      <c r="T279" s="345" t="s">
        <v>344</v>
      </c>
      <c r="V279" s="345">
        <v>47.05</v>
      </c>
      <c r="W279" s="345" t="s">
        <v>361</v>
      </c>
      <c r="AB279" s="347">
        <v>20.03</v>
      </c>
      <c r="AC279" s="347" t="s">
        <v>349</v>
      </c>
      <c r="AD279" s="1138"/>
      <c r="AE279" s="346">
        <v>34638</v>
      </c>
      <c r="AF279" s="345" t="s">
        <v>362</v>
      </c>
      <c r="AI279" s="934"/>
      <c r="AJ279" s="345">
        <v>11.01</v>
      </c>
      <c r="AK279" s="345" t="s">
        <v>344</v>
      </c>
      <c r="AP279" s="347">
        <v>609</v>
      </c>
      <c r="AQ279" s="347" t="s">
        <v>310</v>
      </c>
      <c r="AU279" s="348" t="str">
        <f t="array" ref="AU279">IFERROR(IF($AU$11="Yes",INDEX($AP$13:$AP$2950,SMALL(IF((County=$AQ$13:$AQ$2950),MATCH(ROW($AQ$13:$AQ$2950),ROW($AQ$13:$AQ$2950)),""),ROWS($A$13:$A279))),""),"")</f>
        <v/>
      </c>
      <c r="AW279" s="346">
        <v>33924</v>
      </c>
      <c r="AX279" s="345" t="s">
        <v>344</v>
      </c>
      <c r="AZ279" s="345">
        <v>31</v>
      </c>
      <c r="BA279" s="345" t="s">
        <v>352</v>
      </c>
      <c r="BF279" s="347">
        <v>14.06</v>
      </c>
      <c r="BG279" s="347" t="s">
        <v>351</v>
      </c>
      <c r="BH279" s="1790"/>
      <c r="BI279" s="1791">
        <v>33432</v>
      </c>
      <c r="BJ279" s="345" t="s">
        <v>361</v>
      </c>
      <c r="BM279" s="1784"/>
      <c r="BN279" s="345">
        <v>103.05</v>
      </c>
      <c r="BO279" s="345" t="s">
        <v>310</v>
      </c>
      <c r="BT279" s="347">
        <v>606.08000000000004</v>
      </c>
      <c r="BU279" s="347" t="s">
        <v>310</v>
      </c>
      <c r="BW279" s="348" t="str">
        <f t="array" ref="BW279">IFERROR(IF($BW$11="Metro",INDEX($BN$13:$BN$4972,SMALL(IF((County=$BO$13:$BO$4972),MATCH(ROW($BO$13:$BO$4972),ROW($BO$13:$BO$4972)),""),ROWS($A$13:$A279))),INDEX($BQ$13:$BQ$212,SMALL(IF((County=$BR$13:$BR$212),MATCH(ROW($BR$13:$BR$212),ROW($BR$13:$BR$212)),""),ROWS($A$13:$A279)))),"")</f>
        <v/>
      </c>
      <c r="BY279" s="348" t="str">
        <f t="array" ref="BY279">IFERROR(IF($BY$11="Yes",INDEX($BT$13:$BT$2950,SMALL(IF((County=$BU$13:$BU$2950),MATCH(ROW($BU$13:$BU$2950),ROW($BU$13:$BU$2950)),""),ROWS($A$13:$A279))),""),"")</f>
        <v/>
      </c>
      <c r="CA279" s="2298">
        <v>33715</v>
      </c>
      <c r="CB279" s="345" t="s">
        <v>363</v>
      </c>
      <c r="CD279" s="237">
        <v>7.05</v>
      </c>
      <c r="CE279" s="237" t="s">
        <v>352</v>
      </c>
      <c r="CJ279" s="347">
        <v>15</v>
      </c>
      <c r="CK279" s="347" t="s">
        <v>351</v>
      </c>
      <c r="CL279" s="1789"/>
      <c r="CM279" s="2299"/>
      <c r="CN279" s="345"/>
      <c r="CR279" s="345"/>
      <c r="CS279" s="345"/>
      <c r="CX279" s="347"/>
      <c r="CY279" s="347"/>
      <c r="DA279" s="348"/>
      <c r="DC279" s="348"/>
      <c r="DE279" s="1792"/>
      <c r="DF279" s="345"/>
      <c r="DH279" s="237"/>
      <c r="DI279" s="237"/>
      <c r="DN279" s="347"/>
      <c r="DO279" s="347"/>
      <c r="DP279" s="2505"/>
      <c r="DT279" s="663"/>
      <c r="DU279" s="663"/>
      <c r="DV279" s="663"/>
      <c r="DW279" s="663"/>
      <c r="DX279" s="663"/>
      <c r="DY279" s="663"/>
      <c r="DZ279" s="663"/>
      <c r="EA279" s="663"/>
      <c r="EB279" s="663"/>
      <c r="EC279" s="663"/>
      <c r="ED279" s="663"/>
    </row>
    <row r="280" spans="1:134">
      <c r="A280" s="346">
        <v>33706</v>
      </c>
      <c r="B280" s="345" t="s">
        <v>363</v>
      </c>
      <c r="E280" s="934"/>
      <c r="F280" s="345">
        <v>203</v>
      </c>
      <c r="G280" s="345" t="s">
        <v>344</v>
      </c>
      <c r="L280" s="347">
        <v>909</v>
      </c>
      <c r="M280" s="347" t="s">
        <v>310</v>
      </c>
      <c r="Q280" s="348" t="str">
        <f t="array" ref="Q280">IFERROR(IF($Q$11="Yes",INDEX($L$13:$L$2313,SMALL(IF((County=$M$13:$M$2313),MATCH(ROW($M$13:$M$2313),ROW($M$13:$M$2313)),""),ROWS($A$13:A280))),""),"")</f>
        <v/>
      </c>
      <c r="S280" s="346">
        <v>33965</v>
      </c>
      <c r="T280" s="345" t="s">
        <v>344</v>
      </c>
      <c r="V280" s="345">
        <v>49.01</v>
      </c>
      <c r="W280" s="345" t="s">
        <v>352</v>
      </c>
      <c r="AB280" s="347">
        <v>20.04</v>
      </c>
      <c r="AC280" s="347" t="s">
        <v>368</v>
      </c>
      <c r="AD280" s="1138"/>
      <c r="AE280" s="346">
        <v>34639</v>
      </c>
      <c r="AF280" s="345" t="s">
        <v>362</v>
      </c>
      <c r="AI280" s="934"/>
      <c r="AJ280" s="345">
        <v>11.03</v>
      </c>
      <c r="AK280" s="345" t="s">
        <v>344</v>
      </c>
      <c r="AP280" s="347">
        <v>610.01</v>
      </c>
      <c r="AQ280" s="347" t="s">
        <v>310</v>
      </c>
      <c r="AU280" s="348" t="str">
        <f t="array" ref="AU280">IFERROR(IF($AU$11="Yes",INDEX($AP$13:$AP$2950,SMALL(IF((County=$AQ$13:$AQ$2950),MATCH(ROW($AQ$13:$AQ$2950),ROW($AQ$13:$AQ$2950)),""),ROWS($A$13:$A280))),""),"")</f>
        <v/>
      </c>
      <c r="AW280" s="346">
        <v>33928</v>
      </c>
      <c r="AX280" s="345" t="s">
        <v>344</v>
      </c>
      <c r="AZ280" s="345">
        <v>31.02</v>
      </c>
      <c r="BA280" s="345" t="s">
        <v>361</v>
      </c>
      <c r="BF280" s="347">
        <v>14.09</v>
      </c>
      <c r="BG280" s="347" t="s">
        <v>351</v>
      </c>
      <c r="BH280" s="1790"/>
      <c r="BI280" s="1791">
        <v>33433</v>
      </c>
      <c r="BJ280" s="345" t="s">
        <v>361</v>
      </c>
      <c r="BM280" s="1784"/>
      <c r="BN280" s="345">
        <v>103.06</v>
      </c>
      <c r="BO280" s="345" t="s">
        <v>310</v>
      </c>
      <c r="BT280" s="347">
        <v>606.09</v>
      </c>
      <c r="BU280" s="347" t="s">
        <v>310</v>
      </c>
      <c r="BW280" s="348" t="str">
        <f t="array" ref="BW280">IFERROR(IF($BW$11="Metro",INDEX($BN$13:$BN$4972,SMALL(IF((County=$BO$13:$BO$4972),MATCH(ROW($BO$13:$BO$4972),ROW($BO$13:$BO$4972)),""),ROWS($A$13:$A280))),INDEX($BQ$13:$BQ$212,SMALL(IF((County=$BR$13:$BR$212),MATCH(ROW($BR$13:$BR$212),ROW($BR$13:$BR$212)),""),ROWS($A$13:$A280)))),"")</f>
        <v/>
      </c>
      <c r="BY280" s="348" t="str">
        <f t="array" ref="BY280">IFERROR(IF($BY$11="Yes",INDEX($BT$13:$BT$2950,SMALL(IF((County=$BU$13:$BU$2950),MATCH(ROW($BU$13:$BU$2950),ROW($BU$13:$BU$2950)),""),ROWS($A$13:$A280))),""),"")</f>
        <v/>
      </c>
      <c r="CA280" s="2298">
        <v>33716</v>
      </c>
      <c r="CB280" s="345" t="s">
        <v>363</v>
      </c>
      <c r="CD280" s="237">
        <v>7.06</v>
      </c>
      <c r="CE280" s="237" t="s">
        <v>350</v>
      </c>
      <c r="CJ280" s="347">
        <v>15.01</v>
      </c>
      <c r="CK280" s="347" t="s">
        <v>306</v>
      </c>
      <c r="CL280" s="1789"/>
      <c r="CM280" s="2299"/>
      <c r="CN280" s="345"/>
      <c r="CR280" s="345"/>
      <c r="CS280" s="345"/>
      <c r="CX280" s="347"/>
      <c r="CY280" s="347"/>
      <c r="DA280" s="348"/>
      <c r="DC280" s="348"/>
      <c r="DE280" s="1792"/>
      <c r="DF280" s="345"/>
      <c r="DH280" s="237"/>
      <c r="DI280" s="237"/>
      <c r="DN280" s="347"/>
      <c r="DO280" s="347"/>
      <c r="DP280" s="2505"/>
      <c r="DT280" s="663"/>
      <c r="DU280" s="663"/>
      <c r="DV280" s="663"/>
      <c r="DW280" s="663"/>
      <c r="DX280" s="663"/>
      <c r="DY280" s="663"/>
      <c r="DZ280" s="663"/>
      <c r="EA280" s="663"/>
      <c r="EB280" s="663"/>
      <c r="EC280" s="663"/>
      <c r="ED280" s="663"/>
    </row>
    <row r="281" spans="1:134">
      <c r="A281" s="346">
        <v>33707</v>
      </c>
      <c r="B281" s="345" t="s">
        <v>363</v>
      </c>
      <c r="E281" s="934"/>
      <c r="F281" s="345">
        <v>205.01</v>
      </c>
      <c r="G281" s="345" t="s">
        <v>344</v>
      </c>
      <c r="L281" s="347">
        <v>910</v>
      </c>
      <c r="M281" s="347" t="s">
        <v>310</v>
      </c>
      <c r="Q281" s="348" t="str">
        <f t="array" ref="Q281">IFERROR(IF($Q$11="Yes",INDEX($L$13:$L$2313,SMALL(IF((County=$M$13:$M$2313),MATCH(ROW($M$13:$M$2313),ROW($M$13:$M$2313)),""),ROWS($A$13:A281))),""),"")</f>
        <v/>
      </c>
      <c r="S281" s="346">
        <v>33967</v>
      </c>
      <c r="T281" s="345" t="s">
        <v>344</v>
      </c>
      <c r="V281" s="345">
        <v>49.02</v>
      </c>
      <c r="W281" s="345" t="s">
        <v>352</v>
      </c>
      <c r="AB281" s="347">
        <v>20.05</v>
      </c>
      <c r="AC281" s="347" t="s">
        <v>349</v>
      </c>
      <c r="AD281" s="1138"/>
      <c r="AE281" s="346">
        <v>34655</v>
      </c>
      <c r="AF281" s="345" t="s">
        <v>362</v>
      </c>
      <c r="AI281" s="934"/>
      <c r="AJ281" s="345">
        <v>11.04</v>
      </c>
      <c r="AK281" s="345" t="s">
        <v>344</v>
      </c>
      <c r="AP281" s="347">
        <v>610.04</v>
      </c>
      <c r="AQ281" s="347" t="s">
        <v>310</v>
      </c>
      <c r="AU281" s="348" t="str">
        <f t="array" ref="AU281">IFERROR(IF($AU$11="Yes",INDEX($AP$13:$AP$2950,SMALL(IF((County=$AQ$13:$AQ$2950),MATCH(ROW($AQ$13:$AQ$2950),ROW($AQ$13:$AQ$2950)),""),ROWS($A$13:$A281))),""),"")</f>
        <v/>
      </c>
      <c r="AW281" s="346">
        <v>33946</v>
      </c>
      <c r="AX281" s="345" t="s">
        <v>315</v>
      </c>
      <c r="AZ281" s="345">
        <v>32</v>
      </c>
      <c r="BA281" s="345" t="s">
        <v>337</v>
      </c>
      <c r="BF281" s="347">
        <v>15</v>
      </c>
      <c r="BG281" s="347" t="s">
        <v>337</v>
      </c>
      <c r="BH281" s="1790"/>
      <c r="BI281" s="1791">
        <v>33435</v>
      </c>
      <c r="BJ281" s="345" t="s">
        <v>361</v>
      </c>
      <c r="BM281" s="1784"/>
      <c r="BN281" s="345">
        <v>103.07</v>
      </c>
      <c r="BO281" s="345" t="s">
        <v>310</v>
      </c>
      <c r="BT281" s="347">
        <v>607</v>
      </c>
      <c r="BU281" s="347" t="s">
        <v>310</v>
      </c>
      <c r="BW281" s="348" t="str">
        <f t="array" ref="BW281">IFERROR(IF($BW$11="Metro",INDEX($BN$13:$BN$4972,SMALL(IF((County=$BO$13:$BO$4972),MATCH(ROW($BO$13:$BO$4972),ROW($BO$13:$BO$4972)),""),ROWS($A$13:$A281))),INDEX($BQ$13:$BQ$212,SMALL(IF((County=$BR$13:$BR$212),MATCH(ROW($BR$13:$BR$212),ROW($BR$13:$BR$212)),""),ROWS($A$13:$A281)))),"")</f>
        <v/>
      </c>
      <c r="BY281" s="348" t="str">
        <f t="array" ref="BY281">IFERROR(IF($BY$11="Yes",INDEX($BT$13:$BT$2950,SMALL(IF((County=$BU$13:$BU$2950),MATCH(ROW($BU$13:$BU$2950),ROW($BU$13:$BU$2950)),""),ROWS($A$13:$A281))),""),"")</f>
        <v/>
      </c>
      <c r="CA281" s="2298">
        <v>33744</v>
      </c>
      <c r="CB281" s="345" t="s">
        <v>363</v>
      </c>
      <c r="CD281" s="237">
        <v>7.07</v>
      </c>
      <c r="CE281" s="237" t="s">
        <v>350</v>
      </c>
      <c r="CJ281" s="347">
        <v>15.01</v>
      </c>
      <c r="CK281" s="347" t="s">
        <v>344</v>
      </c>
      <c r="CL281" s="1789"/>
      <c r="CM281" s="2299"/>
      <c r="CN281" s="345"/>
      <c r="CR281" s="345"/>
      <c r="CS281" s="345"/>
      <c r="CX281" s="347"/>
      <c r="CY281" s="347"/>
      <c r="DA281" s="348"/>
      <c r="DC281" s="348"/>
      <c r="DE281" s="1792"/>
      <c r="DF281" s="345"/>
      <c r="DH281" s="237"/>
      <c r="DI281" s="237"/>
      <c r="DN281" s="347"/>
      <c r="DO281" s="347"/>
      <c r="DP281" s="2505"/>
      <c r="DT281" s="663"/>
      <c r="DU281" s="663"/>
      <c r="DV281" s="663"/>
      <c r="DW281" s="663"/>
      <c r="DX281" s="663"/>
      <c r="DY281" s="663"/>
      <c r="DZ281" s="663"/>
      <c r="EA281" s="663"/>
      <c r="EB281" s="663"/>
      <c r="EC281" s="663"/>
      <c r="ED281" s="663"/>
    </row>
    <row r="282" spans="1:134">
      <c r="A282" s="346">
        <v>33708</v>
      </c>
      <c r="B282" s="345" t="s">
        <v>363</v>
      </c>
      <c r="E282" s="934"/>
      <c r="F282" s="345">
        <v>208</v>
      </c>
      <c r="G282" s="345" t="s">
        <v>344</v>
      </c>
      <c r="L282" s="347">
        <v>913</v>
      </c>
      <c r="M282" s="347" t="s">
        <v>310</v>
      </c>
      <c r="Q282" s="348" t="str">
        <f t="array" ref="Q282">IFERROR(IF($Q$11="Yes",INDEX($L$13:$L$2313,SMALL(IF((County=$M$13:$M$2313),MATCH(ROW($M$13:$M$2313),ROW($M$13:$M$2313)),""),ROWS($A$13:A282))),""),"")</f>
        <v/>
      </c>
      <c r="S282" s="346">
        <v>33981</v>
      </c>
      <c r="T282" s="345" t="s">
        <v>315</v>
      </c>
      <c r="V282" s="345">
        <v>49.03</v>
      </c>
      <c r="W282" s="345" t="s">
        <v>361</v>
      </c>
      <c r="AB282" s="347">
        <v>20.05</v>
      </c>
      <c r="AC282" s="347" t="s">
        <v>361</v>
      </c>
      <c r="AD282" s="1138"/>
      <c r="AE282" s="346">
        <v>33703</v>
      </c>
      <c r="AF282" s="345" t="s">
        <v>363</v>
      </c>
      <c r="AI282" s="934"/>
      <c r="AJ282" s="345">
        <v>15.02</v>
      </c>
      <c r="AK282" s="345" t="s">
        <v>344</v>
      </c>
      <c r="AP282" s="347">
        <v>701.02</v>
      </c>
      <c r="AQ282" s="347" t="s">
        <v>310</v>
      </c>
      <c r="AU282" s="348" t="str">
        <f t="array" ref="AU282">IFERROR(IF($AU$11="Yes",INDEX($AP$13:$AP$2950,SMALL(IF((County=$AQ$13:$AQ$2950),MATCH(ROW($AQ$13:$AQ$2950),ROW($AQ$13:$AQ$2950)),""),ROWS($A$13:$A282))),""),"")</f>
        <v/>
      </c>
      <c r="AW282" s="346">
        <v>33947</v>
      </c>
      <c r="AX282" s="345" t="s">
        <v>315</v>
      </c>
      <c r="AZ282" s="345">
        <v>33</v>
      </c>
      <c r="BA282" s="345" t="s">
        <v>337</v>
      </c>
      <c r="BF282" s="347">
        <v>15</v>
      </c>
      <c r="BG282" s="347" t="s">
        <v>345</v>
      </c>
      <c r="BH282" s="1790"/>
      <c r="BI282" s="1791">
        <v>33436</v>
      </c>
      <c r="BJ282" s="345" t="s">
        <v>361</v>
      </c>
      <c r="BM282" s="1784"/>
      <c r="BN282" s="345">
        <v>103.08</v>
      </c>
      <c r="BO282" s="345" t="s">
        <v>310</v>
      </c>
      <c r="BT282" s="347">
        <v>608.01</v>
      </c>
      <c r="BU282" s="347" t="s">
        <v>310</v>
      </c>
      <c r="BW282" s="348" t="str">
        <f t="array" ref="BW282">IFERROR(IF($BW$11="Metro",INDEX($BN$13:$BN$4972,SMALL(IF((County=$BO$13:$BO$4972),MATCH(ROW($BO$13:$BO$4972),ROW($BO$13:$BO$4972)),""),ROWS($A$13:$A282))),INDEX($BQ$13:$BQ$212,SMALL(IF((County=$BR$13:$BR$212),MATCH(ROW($BR$13:$BR$212),ROW($BR$13:$BR$212)),""),ROWS($A$13:$A282)))),"")</f>
        <v/>
      </c>
      <c r="BY282" s="348" t="str">
        <f t="array" ref="BY282">IFERROR(IF($BY$11="Yes",INDEX($BT$13:$BT$2950,SMALL(IF((County=$BU$13:$BU$2950),MATCH(ROW($BU$13:$BU$2950),ROW($BU$13:$BU$2950)),""),ROWS($A$13:$A282))),""),"")</f>
        <v/>
      </c>
      <c r="CA282" s="2298">
        <v>33756</v>
      </c>
      <c r="CB282" s="345" t="s">
        <v>363</v>
      </c>
      <c r="CD282" s="237">
        <v>7.1</v>
      </c>
      <c r="CE282" s="237" t="s">
        <v>352</v>
      </c>
      <c r="CJ282" s="347">
        <v>15.02</v>
      </c>
      <c r="CK282" s="347" t="s">
        <v>306</v>
      </c>
      <c r="CL282" s="1789"/>
      <c r="CM282" s="2299"/>
      <c r="CN282" s="345"/>
      <c r="CR282" s="345"/>
      <c r="CS282" s="345"/>
      <c r="CX282" s="347"/>
      <c r="CY282" s="347"/>
      <c r="DA282" s="348"/>
      <c r="DC282" s="348"/>
      <c r="DE282" s="1792"/>
      <c r="DF282" s="345"/>
      <c r="DH282" s="237"/>
      <c r="DI282" s="237"/>
      <c r="DN282" s="347"/>
      <c r="DO282" s="347"/>
      <c r="DP282" s="2505"/>
      <c r="DT282" s="663"/>
      <c r="DU282" s="663"/>
      <c r="DV282" s="663"/>
      <c r="DW282" s="663"/>
      <c r="DX282" s="663"/>
      <c r="DY282" s="663"/>
      <c r="DZ282" s="663"/>
      <c r="EA282" s="663"/>
      <c r="EB282" s="663"/>
      <c r="EC282" s="663"/>
      <c r="ED282" s="663"/>
    </row>
    <row r="283" spans="1:134">
      <c r="A283" s="346">
        <v>33711</v>
      </c>
      <c r="B283" s="345" t="s">
        <v>363</v>
      </c>
      <c r="E283" s="934"/>
      <c r="F283" s="345">
        <v>401.09</v>
      </c>
      <c r="G283" s="345" t="s">
        <v>344</v>
      </c>
      <c r="L283" s="347">
        <v>917.01</v>
      </c>
      <c r="M283" s="347" t="s">
        <v>310</v>
      </c>
      <c r="Q283" s="348" t="str">
        <f t="array" ref="Q283">IFERROR(IF($Q$11="Yes",INDEX($L$13:$L$2313,SMALL(IF((County=$M$13:$M$2313),MATCH(ROW($M$13:$M$2313),ROW($M$13:$M$2313)),""),ROWS($A$13:A283))),""),"")</f>
        <v/>
      </c>
      <c r="S283" s="346">
        <v>33991</v>
      </c>
      <c r="T283" s="345" t="s">
        <v>344</v>
      </c>
      <c r="V283" s="345">
        <v>50</v>
      </c>
      <c r="W283" s="345" t="s">
        <v>337</v>
      </c>
      <c r="AB283" s="347">
        <v>20.05</v>
      </c>
      <c r="AC283" s="347" t="s">
        <v>368</v>
      </c>
      <c r="AD283" s="1138"/>
      <c r="AE283" s="346">
        <v>33705</v>
      </c>
      <c r="AF283" s="345" t="s">
        <v>363</v>
      </c>
      <c r="AI283" s="934"/>
      <c r="AJ283" s="345">
        <v>108.02</v>
      </c>
      <c r="AK283" s="345" t="s">
        <v>344</v>
      </c>
      <c r="AP283" s="347">
        <v>701.03</v>
      </c>
      <c r="AQ283" s="347" t="s">
        <v>310</v>
      </c>
      <c r="AU283" s="348" t="str">
        <f t="array" ref="AU283">IFERROR(IF($AU$11="Yes",INDEX($AP$13:$AP$2950,SMALL(IF((County=$AQ$13:$AQ$2950),MATCH(ROW($AQ$13:$AQ$2950),ROW($AQ$13:$AQ$2950)),""),ROWS($A$13:$A283))),""),"")</f>
        <v/>
      </c>
      <c r="AW283" s="346">
        <v>33953</v>
      </c>
      <c r="AX283" s="345" t="s">
        <v>315</v>
      </c>
      <c r="AZ283" s="345">
        <v>34</v>
      </c>
      <c r="BA283" s="345" t="s">
        <v>337</v>
      </c>
      <c r="BF283" s="347">
        <v>15</v>
      </c>
      <c r="BG283" s="347" t="s">
        <v>351</v>
      </c>
      <c r="BH283" s="1790"/>
      <c r="BI283" s="1791">
        <v>33437</v>
      </c>
      <c r="BJ283" s="345" t="s">
        <v>361</v>
      </c>
      <c r="BM283" s="1784"/>
      <c r="BN283" s="345">
        <v>104.01</v>
      </c>
      <c r="BO283" s="345" t="s">
        <v>310</v>
      </c>
      <c r="BT283" s="347">
        <v>609</v>
      </c>
      <c r="BU283" s="347" t="s">
        <v>310</v>
      </c>
      <c r="BW283" s="348" t="str">
        <f t="array" ref="BW283">IFERROR(IF($BW$11="Metro",INDEX($BN$13:$BN$4972,SMALL(IF((County=$BO$13:$BO$4972),MATCH(ROW($BO$13:$BO$4972),ROW($BO$13:$BO$4972)),""),ROWS($A$13:$A283))),INDEX($BQ$13:$BQ$212,SMALL(IF((County=$BR$13:$BR$212),MATCH(ROW($BR$13:$BR$212),ROW($BR$13:$BR$212)),""),ROWS($A$13:$A283)))),"")</f>
        <v/>
      </c>
      <c r="BY283" s="348" t="str">
        <f t="array" ref="BY283">IFERROR(IF($BY$11="Yes",INDEX($BT$13:$BT$2950,SMALL(IF((County=$BU$13:$BU$2950),MATCH(ROW($BU$13:$BU$2950),ROW($BU$13:$BU$2950)),""),ROWS($A$13:$A283))),""),"")</f>
        <v/>
      </c>
      <c r="CA283" s="2298">
        <v>33759</v>
      </c>
      <c r="CB283" s="345" t="s">
        <v>363</v>
      </c>
      <c r="CD283" s="237">
        <v>7.11</v>
      </c>
      <c r="CE283" s="237" t="s">
        <v>352</v>
      </c>
      <c r="CJ283" s="347">
        <v>15.04</v>
      </c>
      <c r="CK283" s="347" t="s">
        <v>368</v>
      </c>
      <c r="CL283" s="1789"/>
      <c r="CM283" s="2299"/>
      <c r="CN283" s="345"/>
      <c r="CR283" s="345"/>
      <c r="CS283" s="345"/>
      <c r="CX283" s="347"/>
      <c r="CY283" s="347"/>
      <c r="DA283" s="348"/>
      <c r="DC283" s="348"/>
      <c r="DE283" s="1792"/>
      <c r="DF283" s="345"/>
      <c r="DH283" s="237"/>
      <c r="DI283" s="237"/>
      <c r="DN283" s="347"/>
      <c r="DO283" s="347"/>
      <c r="DP283" s="2505"/>
      <c r="DT283" s="663"/>
      <c r="DU283" s="663"/>
      <c r="DV283" s="663"/>
      <c r="DW283" s="663"/>
      <c r="DX283" s="663"/>
      <c r="DY283" s="663"/>
      <c r="DZ283" s="663"/>
      <c r="EA283" s="663"/>
      <c r="EB283" s="663"/>
      <c r="EC283" s="663"/>
      <c r="ED283" s="663"/>
    </row>
    <row r="284" spans="1:134">
      <c r="A284" s="346">
        <v>33713</v>
      </c>
      <c r="B284" s="345" t="s">
        <v>363</v>
      </c>
      <c r="E284" s="934"/>
      <c r="F284" s="345">
        <v>401.22</v>
      </c>
      <c r="G284" s="345" t="s">
        <v>344</v>
      </c>
      <c r="L284" s="347">
        <v>919.01</v>
      </c>
      <c r="M284" s="347" t="s">
        <v>310</v>
      </c>
      <c r="Q284" s="348" t="str">
        <f t="array" ref="Q284">IFERROR(IF($Q$11="Yes",INDEX($L$13:$L$2313,SMALL(IF((County=$M$13:$M$2313),MATCH(ROW($M$13:$M$2313),ROW($M$13:$M$2313)),""),ROWS($A$13:A284))),""),"")</f>
        <v/>
      </c>
      <c r="S284" s="346">
        <v>33993</v>
      </c>
      <c r="T284" s="345" t="s">
        <v>344</v>
      </c>
      <c r="V284" s="345">
        <v>50.02</v>
      </c>
      <c r="W284" s="345" t="s">
        <v>352</v>
      </c>
      <c r="AB284" s="347">
        <v>20.07</v>
      </c>
      <c r="AC284" s="347" t="s">
        <v>349</v>
      </c>
      <c r="AD284" s="1138"/>
      <c r="AE284" s="346">
        <v>33706</v>
      </c>
      <c r="AF284" s="345" t="s">
        <v>363</v>
      </c>
      <c r="AI284" s="934"/>
      <c r="AJ284" s="345">
        <v>203.01</v>
      </c>
      <c r="AK284" s="345" t="s">
        <v>344</v>
      </c>
      <c r="AP284" s="347">
        <v>702.05</v>
      </c>
      <c r="AQ284" s="347" t="s">
        <v>310</v>
      </c>
      <c r="AU284" s="348" t="str">
        <f t="array" ref="AU284">IFERROR(IF($AU$11="Yes",INDEX($AP$13:$AP$2950,SMALL(IF((County=$AQ$13:$AQ$2950),MATCH(ROW($AQ$13:$AQ$2950),ROW($AQ$13:$AQ$2950)),""),ROWS($A$13:$A284))),""),"")</f>
        <v/>
      </c>
      <c r="AW284" s="346">
        <v>33954</v>
      </c>
      <c r="AX284" s="345" t="s">
        <v>315</v>
      </c>
      <c r="AZ284" s="345">
        <v>34</v>
      </c>
      <c r="BA284" s="345" t="s">
        <v>352</v>
      </c>
      <c r="BF284" s="347">
        <v>15.01</v>
      </c>
      <c r="BG284" s="347" t="s">
        <v>306</v>
      </c>
      <c r="BH284" s="1790"/>
      <c r="BI284" s="1791">
        <v>33444</v>
      </c>
      <c r="BJ284" s="345" t="s">
        <v>361</v>
      </c>
      <c r="BM284" s="1784"/>
      <c r="BN284" s="345">
        <v>104.02</v>
      </c>
      <c r="BO284" s="345" t="s">
        <v>310</v>
      </c>
      <c r="BT284" s="347">
        <v>610.01</v>
      </c>
      <c r="BU284" s="347" t="s">
        <v>310</v>
      </c>
      <c r="BW284" s="348" t="str">
        <f t="array" ref="BW284">IFERROR(IF($BW$11="Metro",INDEX($BN$13:$BN$4972,SMALL(IF((County=$BO$13:$BO$4972),MATCH(ROW($BO$13:$BO$4972),ROW($BO$13:$BO$4972)),""),ROWS($A$13:$A284))),INDEX($BQ$13:$BQ$212,SMALL(IF((County=$BR$13:$BR$212),MATCH(ROW($BR$13:$BR$212),ROW($BR$13:$BR$212)),""),ROWS($A$13:$A284)))),"")</f>
        <v/>
      </c>
      <c r="BY284" s="348" t="str">
        <f t="array" ref="BY284">IFERROR(IF($BY$11="Yes",INDEX($BT$13:$BT$2950,SMALL(IF((County=$BU$13:$BU$2950),MATCH(ROW($BU$13:$BU$2950),ROW($BU$13:$BU$2950)),""),ROWS($A$13:$A284))),""),"")</f>
        <v/>
      </c>
      <c r="CA284" s="2298">
        <v>33760</v>
      </c>
      <c r="CB284" s="345" t="s">
        <v>363</v>
      </c>
      <c r="CD284" s="237">
        <v>7.12</v>
      </c>
      <c r="CE284" s="237" t="s">
        <v>352</v>
      </c>
      <c r="CJ284" s="347">
        <v>15.05</v>
      </c>
      <c r="CK284" s="347" t="s">
        <v>368</v>
      </c>
      <c r="CL284" s="1789"/>
      <c r="CM284" s="2299"/>
      <c r="CN284" s="345"/>
      <c r="CR284" s="345"/>
      <c r="CS284" s="345"/>
      <c r="CX284" s="347"/>
      <c r="CY284" s="347"/>
      <c r="DA284" s="348"/>
      <c r="DC284" s="348"/>
      <c r="DE284" s="1792"/>
      <c r="DF284" s="345"/>
      <c r="DH284" s="237"/>
      <c r="DI284" s="237"/>
      <c r="DN284" s="347"/>
      <c r="DO284" s="347"/>
      <c r="DP284" s="2505"/>
      <c r="DT284" s="663"/>
      <c r="DU284" s="663"/>
      <c r="DV284" s="663"/>
      <c r="DW284" s="663"/>
      <c r="DX284" s="663"/>
      <c r="DY284" s="663"/>
      <c r="DZ284" s="663"/>
      <c r="EA284" s="663"/>
      <c r="EB284" s="663"/>
      <c r="EC284" s="663"/>
      <c r="ED284" s="663"/>
    </row>
    <row r="285" spans="1:134">
      <c r="A285" s="346">
        <v>33715</v>
      </c>
      <c r="B285" s="345" t="s">
        <v>363</v>
      </c>
      <c r="E285" s="934"/>
      <c r="F285" s="345">
        <v>403.04</v>
      </c>
      <c r="G285" s="345" t="s">
        <v>344</v>
      </c>
      <c r="L285" s="347">
        <v>920</v>
      </c>
      <c r="M285" s="347" t="s">
        <v>310</v>
      </c>
      <c r="Q285" s="348" t="str">
        <f t="array" ref="Q285">IFERROR(IF($Q$11="Yes",INDEX($L$13:$L$2313,SMALL(IF((County=$M$13:$M$2313),MATCH(ROW($M$13:$M$2313),ROW($M$13:$M$2313)),""),ROWS($A$13:A285))),""),"")</f>
        <v/>
      </c>
      <c r="S285" s="346">
        <v>34103</v>
      </c>
      <c r="T285" s="345" t="s">
        <v>318</v>
      </c>
      <c r="V285" s="345">
        <v>51.01</v>
      </c>
      <c r="W285" s="345" t="s">
        <v>361</v>
      </c>
      <c r="AB285" s="347">
        <v>20.07</v>
      </c>
      <c r="AC285" s="347" t="s">
        <v>368</v>
      </c>
      <c r="AD285" s="1138"/>
      <c r="AE285" s="346">
        <v>33708</v>
      </c>
      <c r="AF285" s="345" t="s">
        <v>363</v>
      </c>
      <c r="AI285" s="934"/>
      <c r="AJ285" s="345">
        <v>203.02</v>
      </c>
      <c r="AK285" s="345" t="s">
        <v>344</v>
      </c>
      <c r="AP285" s="347">
        <v>702.08</v>
      </c>
      <c r="AQ285" s="347" t="s">
        <v>310</v>
      </c>
      <c r="AU285" s="348" t="str">
        <f t="array" ref="AU285">IFERROR(IF($AU$11="Yes",INDEX($AP$13:$AP$2950,SMALL(IF((County=$AQ$13:$AQ$2950),MATCH(ROW($AQ$13:$AQ$2950),ROW($AQ$13:$AQ$2950)),""),ROWS($A$13:$A285))),""),"")</f>
        <v/>
      </c>
      <c r="AW285" s="346">
        <v>33955</v>
      </c>
      <c r="AX285" s="345" t="s">
        <v>315</v>
      </c>
      <c r="AZ285" s="345">
        <v>35</v>
      </c>
      <c r="BA285" s="345" t="s">
        <v>337</v>
      </c>
      <c r="BF285" s="347">
        <v>15.01</v>
      </c>
      <c r="BG285" s="347" t="s">
        <v>344</v>
      </c>
      <c r="BH285" s="1790"/>
      <c r="BI285" s="1791">
        <v>33445</v>
      </c>
      <c r="BJ285" s="345" t="s">
        <v>361</v>
      </c>
      <c r="BM285" s="1784"/>
      <c r="BN285" s="345">
        <v>104.03</v>
      </c>
      <c r="BO285" s="345" t="s">
        <v>310</v>
      </c>
      <c r="BT285" s="347">
        <v>610.03</v>
      </c>
      <c r="BU285" s="347" t="s">
        <v>310</v>
      </c>
      <c r="BW285" s="348" t="str">
        <f t="array" ref="BW285">IFERROR(IF($BW$11="Metro",INDEX($BN$13:$BN$4972,SMALL(IF((County=$BO$13:$BO$4972),MATCH(ROW($BO$13:$BO$4972),ROW($BO$13:$BO$4972)),""),ROWS($A$13:$A285))),INDEX($BQ$13:$BQ$212,SMALL(IF((County=$BR$13:$BR$212),MATCH(ROW($BR$13:$BR$212),ROW($BR$13:$BR$212)),""),ROWS($A$13:$A285)))),"")</f>
        <v/>
      </c>
      <c r="BY285" s="348" t="str">
        <f t="array" ref="BY285">IFERROR(IF($BY$11="Yes",INDEX($BT$13:$BT$2950,SMALL(IF((County=$BU$13:$BU$2950),MATCH(ROW($BU$13:$BU$2950),ROW($BU$13:$BU$2950)),""),ROWS($A$13:$A285))),""),"")</f>
        <v/>
      </c>
      <c r="CA285" s="2298">
        <v>33761</v>
      </c>
      <c r="CB285" s="345" t="s">
        <v>363</v>
      </c>
      <c r="CD285" s="237">
        <v>7.13</v>
      </c>
      <c r="CE285" s="237" t="s">
        <v>352</v>
      </c>
      <c r="CJ285" s="347">
        <v>15.08</v>
      </c>
      <c r="CK285" s="347" t="s">
        <v>368</v>
      </c>
      <c r="CL285" s="1789"/>
      <c r="CM285" s="2299"/>
      <c r="CN285" s="345"/>
      <c r="CR285" s="345"/>
      <c r="CS285" s="345"/>
      <c r="CX285" s="347"/>
      <c r="CY285" s="347"/>
      <c r="DA285" s="348"/>
      <c r="DC285" s="348"/>
      <c r="DE285" s="1792"/>
      <c r="DF285" s="345"/>
      <c r="DH285" s="237"/>
      <c r="DI285" s="237"/>
      <c r="DN285" s="347"/>
      <c r="DO285" s="347"/>
      <c r="DP285" s="2505"/>
      <c r="DT285" s="663"/>
      <c r="DU285" s="663"/>
      <c r="DV285" s="663"/>
      <c r="DW285" s="663"/>
      <c r="DX285" s="663"/>
      <c r="DY285" s="663"/>
      <c r="DZ285" s="663"/>
      <c r="EA285" s="663"/>
      <c r="EB285" s="663"/>
      <c r="EC285" s="663"/>
      <c r="ED285" s="663"/>
    </row>
    <row r="286" spans="1:134">
      <c r="A286" s="346">
        <v>33716</v>
      </c>
      <c r="B286" s="345" t="s">
        <v>363</v>
      </c>
      <c r="E286" s="934"/>
      <c r="F286" s="345">
        <v>403.05</v>
      </c>
      <c r="G286" s="345" t="s">
        <v>344</v>
      </c>
      <c r="L286" s="347">
        <v>1001.04</v>
      </c>
      <c r="M286" s="347" t="s">
        <v>310</v>
      </c>
      <c r="Q286" s="348" t="str">
        <f t="array" ref="Q286">IFERROR(IF($Q$11="Yes",INDEX($L$13:$L$2313,SMALL(IF((County=$M$13:$M$2313),MATCH(ROW($M$13:$M$2313),ROW($M$13:$M$2313)),""),ROWS($A$13:A286))),""),"")</f>
        <v/>
      </c>
      <c r="S286" s="346">
        <v>34105</v>
      </c>
      <c r="T286" s="345" t="s">
        <v>318</v>
      </c>
      <c r="V286" s="345">
        <v>51.02</v>
      </c>
      <c r="W286" s="345" t="s">
        <v>352</v>
      </c>
      <c r="AB286" s="347">
        <v>20.079999999999998</v>
      </c>
      <c r="AC286" s="347" t="s">
        <v>349</v>
      </c>
      <c r="AD286" s="1138"/>
      <c r="AE286" s="346">
        <v>33711</v>
      </c>
      <c r="AF286" s="345" t="s">
        <v>363</v>
      </c>
      <c r="AI286" s="934"/>
      <c r="AJ286" s="345">
        <v>205.01</v>
      </c>
      <c r="AK286" s="345" t="s">
        <v>344</v>
      </c>
      <c r="AP286" s="347">
        <v>702.09</v>
      </c>
      <c r="AQ286" s="347" t="s">
        <v>310</v>
      </c>
      <c r="AU286" s="348" t="str">
        <f t="array" ref="AU286">IFERROR(IF($AU$11="Yes",INDEX($AP$13:$AP$2950,SMALL(IF((County=$AQ$13:$AQ$2950),MATCH(ROW($AQ$13:$AQ$2950),ROW($AQ$13:$AQ$2950)),""),ROWS($A$13:$A286))),""),"")</f>
        <v/>
      </c>
      <c r="AW286" s="346">
        <v>33957</v>
      </c>
      <c r="AX286" s="345" t="s">
        <v>344</v>
      </c>
      <c r="AZ286" s="345">
        <v>35.06</v>
      </c>
      <c r="BA286" s="345" t="s">
        <v>325</v>
      </c>
      <c r="BF286" s="347">
        <v>15.02</v>
      </c>
      <c r="BG286" s="347" t="s">
        <v>306</v>
      </c>
      <c r="BH286" s="1790"/>
      <c r="BI286" s="1791">
        <v>33449</v>
      </c>
      <c r="BJ286" s="345" t="s">
        <v>361</v>
      </c>
      <c r="BM286" s="1784"/>
      <c r="BN286" s="345">
        <v>104.05</v>
      </c>
      <c r="BO286" s="345" t="s">
        <v>310</v>
      </c>
      <c r="BT286" s="347">
        <v>610.04</v>
      </c>
      <c r="BU286" s="347" t="s">
        <v>310</v>
      </c>
      <c r="BW286" s="348" t="str">
        <f t="array" ref="BW286">IFERROR(IF($BW$11="Metro",INDEX($BN$13:$BN$4972,SMALL(IF((County=$BO$13:$BO$4972),MATCH(ROW($BO$13:$BO$4972),ROW($BO$13:$BO$4972)),""),ROWS($A$13:$A286))),INDEX($BQ$13:$BQ$212,SMALL(IF((County=$BR$13:$BR$212),MATCH(ROW($BR$13:$BR$212),ROW($BR$13:$BR$212)),""),ROWS($A$13:$A286)))),"")</f>
        <v/>
      </c>
      <c r="BY286" s="348" t="str">
        <f t="array" ref="BY286">IFERROR(IF($BY$11="Yes",INDEX($BT$13:$BT$2950,SMALL(IF((County=$BU$13:$BU$2950),MATCH(ROW($BU$13:$BU$2950),ROW($BU$13:$BU$2950)),""),ROWS($A$13:$A286))),""),"")</f>
        <v/>
      </c>
      <c r="CA286" s="2298">
        <v>33762</v>
      </c>
      <c r="CB286" s="345" t="s">
        <v>363</v>
      </c>
      <c r="CD286" s="237">
        <v>7.14</v>
      </c>
      <c r="CE286" s="237" t="s">
        <v>352</v>
      </c>
      <c r="CJ286" s="347">
        <v>15.09</v>
      </c>
      <c r="CK286" s="347" t="s">
        <v>368</v>
      </c>
      <c r="CL286" s="1789"/>
      <c r="CM286" s="2299"/>
      <c r="CN286" s="345"/>
      <c r="CR286" s="345"/>
      <c r="CS286" s="345"/>
      <c r="CX286" s="347"/>
      <c r="CY286" s="347"/>
      <c r="DA286" s="348"/>
      <c r="DC286" s="348"/>
      <c r="DE286" s="1792"/>
      <c r="DF286" s="345"/>
      <c r="DH286" s="237"/>
      <c r="DI286" s="237"/>
      <c r="DN286" s="347"/>
      <c r="DO286" s="347"/>
      <c r="DP286" s="2505"/>
      <c r="DT286" s="663"/>
      <c r="DU286" s="663"/>
      <c r="DV286" s="663"/>
      <c r="DW286" s="663"/>
      <c r="DX286" s="663"/>
      <c r="DY286" s="663"/>
      <c r="DZ286" s="663"/>
      <c r="EA286" s="663"/>
      <c r="EB286" s="663"/>
      <c r="EC286" s="663"/>
      <c r="ED286" s="663"/>
    </row>
    <row r="287" spans="1:134">
      <c r="A287" s="346">
        <v>33744</v>
      </c>
      <c r="B287" s="345" t="s">
        <v>363</v>
      </c>
      <c r="E287" s="934"/>
      <c r="F287" s="345">
        <v>403.08</v>
      </c>
      <c r="G287" s="345" t="s">
        <v>344</v>
      </c>
      <c r="L287" s="347">
        <v>1001.05</v>
      </c>
      <c r="M287" s="347" t="s">
        <v>310</v>
      </c>
      <c r="Q287" s="348" t="str">
        <f t="array" ref="Q287">IFERROR(IF($Q$11="Yes",INDEX($L$13:$L$2313,SMALL(IF((County=$M$13:$M$2313),MATCH(ROW($M$13:$M$2313),ROW($M$13:$M$2313)),""),ROWS($A$13:A287))),""),"")</f>
        <v/>
      </c>
      <c r="S287" s="346">
        <v>34108</v>
      </c>
      <c r="T287" s="345" t="s">
        <v>318</v>
      </c>
      <c r="V287" s="345">
        <v>51.02</v>
      </c>
      <c r="W287" s="345" t="s">
        <v>361</v>
      </c>
      <c r="AB287" s="347">
        <v>20.079999999999998</v>
      </c>
      <c r="AC287" s="347" t="s">
        <v>368</v>
      </c>
      <c r="AD287" s="1138"/>
      <c r="AE287" s="346">
        <v>33713</v>
      </c>
      <c r="AF287" s="345" t="s">
        <v>363</v>
      </c>
      <c r="AI287" s="934"/>
      <c r="AJ287" s="345">
        <v>208.01</v>
      </c>
      <c r="AK287" s="345" t="s">
        <v>344</v>
      </c>
      <c r="AP287" s="347">
        <v>702.1</v>
      </c>
      <c r="AQ287" s="347" t="s">
        <v>310</v>
      </c>
      <c r="AU287" s="348" t="str">
        <f t="array" ref="AU287">IFERROR(IF($AU$11="Yes",INDEX($AP$13:$AP$2950,SMALL(IF((County=$AQ$13:$AQ$2950),MATCH(ROW($AQ$13:$AQ$2950),ROW($AQ$13:$AQ$2950)),""),ROWS($A$13:$A287))),""),"")</f>
        <v/>
      </c>
      <c r="AW287" s="346">
        <v>33965</v>
      </c>
      <c r="AX287" s="345" t="s">
        <v>344</v>
      </c>
      <c r="AZ287" s="345">
        <v>36</v>
      </c>
      <c r="BA287" s="345" t="s">
        <v>337</v>
      </c>
      <c r="BF287" s="347">
        <v>15.04</v>
      </c>
      <c r="BG287" s="347" t="s">
        <v>368</v>
      </c>
      <c r="BH287" s="1790"/>
      <c r="BI287" s="2299">
        <v>33458</v>
      </c>
      <c r="BJ287" s="345" t="s">
        <v>361</v>
      </c>
      <c r="BM287" s="1784"/>
      <c r="BN287" s="345">
        <v>104.06</v>
      </c>
      <c r="BO287" s="345" t="s">
        <v>310</v>
      </c>
      <c r="BT287" s="347">
        <v>701.02</v>
      </c>
      <c r="BU287" s="347" t="s">
        <v>310</v>
      </c>
      <c r="BW287" s="348" t="str">
        <f t="array" ref="BW287">IFERROR(IF($BW$11="Metro",INDEX($BN$13:$BN$4972,SMALL(IF((County=$BO$13:$BO$4972),MATCH(ROW($BO$13:$BO$4972),ROW($BO$13:$BO$4972)),""),ROWS($A$13:$A287))),INDEX($BQ$13:$BQ$212,SMALL(IF((County=$BR$13:$BR$212),MATCH(ROW($BR$13:$BR$212),ROW($BR$13:$BR$212)),""),ROWS($A$13:$A287)))),"")</f>
        <v/>
      </c>
      <c r="BY287" s="348" t="str">
        <f t="array" ref="BY287">IFERROR(IF($BY$11="Yes",INDEX($BT$13:$BT$2950,SMALL(IF((County=$BU$13:$BU$2950),MATCH(ROW($BU$13:$BU$2950),ROW($BU$13:$BU$2950)),""),ROWS($A$13:$A287))),""),"")</f>
        <v/>
      </c>
      <c r="CA287" s="2298">
        <v>33763</v>
      </c>
      <c r="CB287" s="345" t="s">
        <v>363</v>
      </c>
      <c r="CD287" s="237">
        <v>7.15</v>
      </c>
      <c r="CE287" s="237" t="s">
        <v>352</v>
      </c>
      <c r="CJ287" s="347">
        <v>15.1</v>
      </c>
      <c r="CK287" s="347" t="s">
        <v>368</v>
      </c>
      <c r="CL287" s="1789"/>
      <c r="CM287" s="2299"/>
      <c r="CN287" s="345"/>
      <c r="CR287" s="345"/>
      <c r="CS287" s="345"/>
      <c r="CX287" s="347"/>
      <c r="CY287" s="347"/>
      <c r="DA287" s="348"/>
      <c r="DC287" s="348"/>
      <c r="DE287" s="1792"/>
      <c r="DF287" s="345"/>
      <c r="DH287" s="237"/>
      <c r="DI287" s="237"/>
      <c r="DN287" s="347"/>
      <c r="DO287" s="347"/>
      <c r="DP287" s="2505"/>
      <c r="DT287" s="663"/>
      <c r="DU287" s="663"/>
      <c r="DV287" s="663"/>
      <c r="DW287" s="663"/>
      <c r="DX287" s="663"/>
      <c r="DY287" s="663"/>
      <c r="DZ287" s="663"/>
      <c r="EA287" s="663"/>
      <c r="EB287" s="663"/>
      <c r="EC287" s="663"/>
      <c r="ED287" s="663"/>
    </row>
    <row r="288" spans="1:134">
      <c r="A288" s="346">
        <v>33759</v>
      </c>
      <c r="B288" s="345" t="s">
        <v>363</v>
      </c>
      <c r="E288" s="934"/>
      <c r="F288" s="345">
        <v>403.11</v>
      </c>
      <c r="G288" s="345" t="s">
        <v>344</v>
      </c>
      <c r="L288" s="347">
        <v>1103.01</v>
      </c>
      <c r="M288" s="347" t="s">
        <v>310</v>
      </c>
      <c r="Q288" s="348" t="str">
        <f t="array" ref="Q288">IFERROR(IF($Q$11="Yes",INDEX($L$13:$L$2313,SMALL(IF((County=$M$13:$M$2313),MATCH(ROW($M$13:$M$2313),ROW($M$13:$M$2313)),""),ROWS($A$13:A288))),""),"")</f>
        <v/>
      </c>
      <c r="S288" s="346">
        <v>34110</v>
      </c>
      <c r="T288" s="345" t="s">
        <v>318</v>
      </c>
      <c r="V288" s="345">
        <v>51.03</v>
      </c>
      <c r="W288" s="345" t="s">
        <v>352</v>
      </c>
      <c r="AB288" s="347">
        <v>20.09</v>
      </c>
      <c r="AC288" s="347" t="s">
        <v>368</v>
      </c>
      <c r="AD288" s="1138"/>
      <c r="AE288" s="346">
        <v>33715</v>
      </c>
      <c r="AF288" s="345" t="s">
        <v>363</v>
      </c>
      <c r="AI288" s="934"/>
      <c r="AJ288" s="345">
        <v>208.02</v>
      </c>
      <c r="AK288" s="345" t="s">
        <v>344</v>
      </c>
      <c r="AP288" s="347">
        <v>702.11</v>
      </c>
      <c r="AQ288" s="347" t="s">
        <v>310</v>
      </c>
      <c r="AU288" s="348" t="str">
        <f t="array" ref="AU288">IFERROR(IF($AU$11="Yes",INDEX($AP$13:$AP$2950,SMALL(IF((County=$AQ$13:$AQ$2950),MATCH(ROW($AQ$13:$AQ$2950),ROW($AQ$13:$AQ$2950)),""),ROWS($A$13:$A288))),""),"")</f>
        <v/>
      </c>
      <c r="AW288" s="346">
        <v>33967</v>
      </c>
      <c r="AX288" s="345" t="s">
        <v>344</v>
      </c>
      <c r="AZ288" s="345">
        <v>36.03</v>
      </c>
      <c r="BA288" s="345" t="s">
        <v>352</v>
      </c>
      <c r="BF288" s="347">
        <v>15.05</v>
      </c>
      <c r="BG288" s="347" t="s">
        <v>368</v>
      </c>
      <c r="BH288" s="1790"/>
      <c r="BI288" s="1791">
        <v>33462</v>
      </c>
      <c r="BJ288" s="345" t="s">
        <v>361</v>
      </c>
      <c r="BM288" s="1784"/>
      <c r="BN288" s="345">
        <v>104.07</v>
      </c>
      <c r="BO288" s="345" t="s">
        <v>310</v>
      </c>
      <c r="BT288" s="347">
        <v>701.03</v>
      </c>
      <c r="BU288" s="347" t="s">
        <v>310</v>
      </c>
      <c r="BW288" s="348" t="str">
        <f t="array" ref="BW288">IFERROR(IF($BW$11="Metro",INDEX($BN$13:$BN$4972,SMALL(IF((County=$BO$13:$BO$4972),MATCH(ROW($BO$13:$BO$4972),ROW($BO$13:$BO$4972)),""),ROWS($A$13:$A288))),INDEX($BQ$13:$BQ$212,SMALL(IF((County=$BR$13:$BR$212),MATCH(ROW($BR$13:$BR$212),ROW($BR$13:$BR$212)),""),ROWS($A$13:$A288)))),"")</f>
        <v/>
      </c>
      <c r="BY288" s="348" t="str">
        <f t="array" ref="BY288">IFERROR(IF($BY$11="Yes",INDEX($BT$13:$BT$2950,SMALL(IF((County=$BU$13:$BU$2950),MATCH(ROW($BU$13:$BU$2950),ROW($BU$13:$BU$2950)),""),ROWS($A$13:$A288))),""),"")</f>
        <v/>
      </c>
      <c r="CA288" s="2298">
        <v>33764</v>
      </c>
      <c r="CB288" s="345" t="s">
        <v>363</v>
      </c>
      <c r="CD288" s="237">
        <v>7.16</v>
      </c>
      <c r="CE288" s="237" t="s">
        <v>352</v>
      </c>
      <c r="CJ288" s="347">
        <v>15.11</v>
      </c>
      <c r="CK288" s="347" t="s">
        <v>368</v>
      </c>
      <c r="CL288" s="1789"/>
      <c r="CM288" s="2299"/>
      <c r="CN288" s="345"/>
      <c r="CR288" s="345"/>
      <c r="CS288" s="345"/>
      <c r="CX288" s="347"/>
      <c r="CY288" s="347"/>
      <c r="DA288" s="348"/>
      <c r="DC288" s="348"/>
      <c r="DE288" s="1792"/>
      <c r="DF288" s="345"/>
      <c r="DH288" s="237"/>
      <c r="DI288" s="237"/>
      <c r="DN288" s="347"/>
      <c r="DO288" s="347"/>
      <c r="DP288" s="2505"/>
      <c r="DT288" s="663"/>
      <c r="DU288" s="663"/>
      <c r="DV288" s="663"/>
      <c r="DW288" s="663"/>
      <c r="DX288" s="663"/>
      <c r="DY288" s="663"/>
      <c r="DZ288" s="663"/>
      <c r="EA288" s="663"/>
      <c r="EB288" s="663"/>
      <c r="EC288" s="663"/>
      <c r="ED288" s="663"/>
    </row>
    <row r="289" spans="1:134">
      <c r="A289" s="346">
        <v>33762</v>
      </c>
      <c r="B289" s="345" t="s">
        <v>363</v>
      </c>
      <c r="E289" s="934"/>
      <c r="F289" s="345">
        <v>4</v>
      </c>
      <c r="G289" s="345" t="s">
        <v>345</v>
      </c>
      <c r="L289" s="347">
        <v>1103.02</v>
      </c>
      <c r="M289" s="347" t="s">
        <v>310</v>
      </c>
      <c r="Q289" s="348" t="str">
        <f t="array" ref="Q289">IFERROR(IF($Q$11="Yes",INDEX($L$13:$L$2313,SMALL(IF((County=$M$13:$M$2313),MATCH(ROW($M$13:$M$2313),ROW($M$13:$M$2313)),""),ROWS($A$13:A289))),""),"")</f>
        <v/>
      </c>
      <c r="S289" s="346">
        <v>34117</v>
      </c>
      <c r="T289" s="345" t="s">
        <v>318</v>
      </c>
      <c r="V289" s="345">
        <v>51.04</v>
      </c>
      <c r="W289" s="345" t="s">
        <v>352</v>
      </c>
      <c r="AB289" s="347">
        <v>20.100000000000001</v>
      </c>
      <c r="AC289" s="347" t="s">
        <v>349</v>
      </c>
      <c r="AD289" s="1138"/>
      <c r="AE289" s="346">
        <v>33716</v>
      </c>
      <c r="AF289" s="345" t="s">
        <v>363</v>
      </c>
      <c r="AI289" s="934"/>
      <c r="AJ289" s="345">
        <v>401.09</v>
      </c>
      <c r="AK289" s="345" t="s">
        <v>344</v>
      </c>
      <c r="AP289" s="347">
        <v>702.12</v>
      </c>
      <c r="AQ289" s="347" t="s">
        <v>310</v>
      </c>
      <c r="AU289" s="348" t="str">
        <f t="array" ref="AU289">IFERROR(IF($AU$11="Yes",INDEX($AP$13:$AP$2950,SMALL(IF((County=$AQ$13:$AQ$2950),MATCH(ROW($AQ$13:$AQ$2950),ROW($AQ$13:$AQ$2950)),""),ROWS($A$13:$A289))),""),"")</f>
        <v/>
      </c>
      <c r="AW289" s="346">
        <v>33981</v>
      </c>
      <c r="AX289" s="345" t="s">
        <v>315</v>
      </c>
      <c r="AZ289" s="345">
        <v>36.04</v>
      </c>
      <c r="BA289" s="345" t="s">
        <v>352</v>
      </c>
      <c r="BF289" s="347">
        <v>15.08</v>
      </c>
      <c r="BG289" s="347" t="s">
        <v>368</v>
      </c>
      <c r="BH289" s="1790"/>
      <c r="BI289" s="1791">
        <v>33467</v>
      </c>
      <c r="BJ289" s="345" t="s">
        <v>361</v>
      </c>
      <c r="BM289" s="1784"/>
      <c r="BN289" s="345">
        <v>105.02</v>
      </c>
      <c r="BO289" s="345" t="s">
        <v>310</v>
      </c>
      <c r="BT289" s="347">
        <v>702.05</v>
      </c>
      <c r="BU289" s="347" t="s">
        <v>310</v>
      </c>
      <c r="BW289" s="348" t="str">
        <f t="array" ref="BW289">IFERROR(IF($BW$11="Metro",INDEX($BN$13:$BN$4972,SMALL(IF((County=$BO$13:$BO$4972),MATCH(ROW($BO$13:$BO$4972),ROW($BO$13:$BO$4972)),""),ROWS($A$13:$A289))),INDEX($BQ$13:$BQ$212,SMALL(IF((County=$BR$13:$BR$212),MATCH(ROW($BR$13:$BR$212),ROW($BR$13:$BR$212)),""),ROWS($A$13:$A289)))),"")</f>
        <v/>
      </c>
      <c r="BY289" s="348" t="str">
        <f t="array" ref="BY289">IFERROR(IF($BY$11="Yes",INDEX($BT$13:$BT$2950,SMALL(IF((County=$BU$13:$BU$2950),MATCH(ROW($BU$13:$BU$2950),ROW($BU$13:$BU$2950)),""),ROWS($A$13:$A289))),""),"")</f>
        <v/>
      </c>
      <c r="CA289" s="2298">
        <v>33765</v>
      </c>
      <c r="CB289" s="345" t="s">
        <v>363</v>
      </c>
      <c r="CD289" s="237">
        <v>7.17</v>
      </c>
      <c r="CE289" s="237" t="s">
        <v>352</v>
      </c>
      <c r="CJ289" s="347">
        <v>15.14</v>
      </c>
      <c r="CK289" s="347" t="s">
        <v>297</v>
      </c>
      <c r="CL289" s="1789"/>
      <c r="CM289" s="2299"/>
      <c r="CN289" s="345"/>
      <c r="CR289" s="345"/>
      <c r="CS289" s="345"/>
      <c r="CX289" s="347"/>
      <c r="CY289" s="347"/>
      <c r="DA289" s="348"/>
      <c r="DC289" s="348"/>
      <c r="DE289" s="1792"/>
      <c r="DF289" s="345"/>
      <c r="DH289" s="237"/>
      <c r="DI289" s="237"/>
      <c r="DN289" s="347"/>
      <c r="DO289" s="347"/>
      <c r="DP289" s="2505"/>
      <c r="DT289" s="663"/>
      <c r="DU289" s="663"/>
      <c r="DV289" s="663"/>
      <c r="DW289" s="663"/>
      <c r="DX289" s="663"/>
      <c r="DY289" s="663"/>
      <c r="DZ289" s="663"/>
      <c r="EA289" s="663"/>
      <c r="EB289" s="663"/>
      <c r="EC289" s="663"/>
      <c r="ED289" s="663"/>
    </row>
    <row r="290" spans="1:134">
      <c r="A290" s="346">
        <v>33767</v>
      </c>
      <c r="B290" s="345" t="s">
        <v>363</v>
      </c>
      <c r="E290" s="934"/>
      <c r="F290" s="345">
        <v>5</v>
      </c>
      <c r="G290" s="345" t="s">
        <v>345</v>
      </c>
      <c r="L290" s="347">
        <v>1103.03</v>
      </c>
      <c r="M290" s="347" t="s">
        <v>310</v>
      </c>
      <c r="Q290" s="348" t="str">
        <f t="array" ref="Q290">IFERROR(IF($Q$11="Yes",INDEX($L$13:$L$2313,SMALL(IF((County=$M$13:$M$2313),MATCH(ROW($M$13:$M$2313),ROW($M$13:$M$2313)),""),ROWS($A$13:A290))),""),"")</f>
        <v/>
      </c>
      <c r="S290" s="346">
        <v>34119</v>
      </c>
      <c r="T290" s="345" t="s">
        <v>318</v>
      </c>
      <c r="V290" s="345">
        <v>52.01</v>
      </c>
      <c r="W290" s="345" t="s">
        <v>352</v>
      </c>
      <c r="AB290" s="347">
        <v>20.100000000000001</v>
      </c>
      <c r="AC290" s="347" t="s">
        <v>368</v>
      </c>
      <c r="AD290" s="1138"/>
      <c r="AE290" s="346">
        <v>33744</v>
      </c>
      <c r="AF290" s="345" t="s">
        <v>363</v>
      </c>
      <c r="AI290" s="934"/>
      <c r="AJ290" s="345">
        <v>401.22</v>
      </c>
      <c r="AK290" s="345" t="s">
        <v>344</v>
      </c>
      <c r="AP290" s="347">
        <v>702.13</v>
      </c>
      <c r="AQ290" s="347" t="s">
        <v>310</v>
      </c>
      <c r="AU290" s="348" t="str">
        <f t="array" ref="AU290">IFERROR(IF($AU$11="Yes",INDEX($AP$13:$AP$2950,SMALL(IF((County=$AQ$13:$AQ$2950),MATCH(ROW($AQ$13:$AQ$2950),ROW($AQ$13:$AQ$2950)),""),ROWS($A$13:$A290))),""),"")</f>
        <v/>
      </c>
      <c r="AW290" s="346">
        <v>33991</v>
      </c>
      <c r="AX290" s="345" t="s">
        <v>344</v>
      </c>
      <c r="AZ290" s="345">
        <v>36.049999999999997</v>
      </c>
      <c r="BA290" s="345" t="s">
        <v>352</v>
      </c>
      <c r="BF290" s="347">
        <v>15.09</v>
      </c>
      <c r="BG290" s="347" t="s">
        <v>368</v>
      </c>
      <c r="BH290" s="1790"/>
      <c r="BI290" s="2299">
        <v>33469</v>
      </c>
      <c r="BJ290" s="345" t="s">
        <v>361</v>
      </c>
      <c r="BM290" s="1784"/>
      <c r="BN290" s="345">
        <v>105.03</v>
      </c>
      <c r="BO290" s="345" t="s">
        <v>310</v>
      </c>
      <c r="BT290" s="347">
        <v>702.08</v>
      </c>
      <c r="BU290" s="347" t="s">
        <v>310</v>
      </c>
      <c r="BW290" s="348" t="str">
        <f t="array" ref="BW290">IFERROR(IF($BW$11="Metro",INDEX($BN$13:$BN$4972,SMALL(IF((County=$BO$13:$BO$4972),MATCH(ROW($BO$13:$BO$4972),ROW($BO$13:$BO$4972)),""),ROWS($A$13:$A290))),INDEX($BQ$13:$BQ$212,SMALL(IF((County=$BR$13:$BR$212),MATCH(ROW($BR$13:$BR$212),ROW($BR$13:$BR$212)),""),ROWS($A$13:$A290)))),"")</f>
        <v/>
      </c>
      <c r="BY290" s="348" t="str">
        <f t="array" ref="BY290">IFERROR(IF($BY$11="Yes",INDEX($BT$13:$BT$2950,SMALL(IF((County=$BU$13:$BU$2950),MATCH(ROW($BU$13:$BU$2950),ROW($BU$13:$BU$2950)),""),ROWS($A$13:$A290))),""),"")</f>
        <v/>
      </c>
      <c r="CA290" s="2298">
        <v>33767</v>
      </c>
      <c r="CB290" s="345" t="s">
        <v>363</v>
      </c>
      <c r="CD290" s="237">
        <v>7.18</v>
      </c>
      <c r="CE290" s="237" t="s">
        <v>352</v>
      </c>
      <c r="CJ290" s="347">
        <v>15.22</v>
      </c>
      <c r="CK290" s="347" t="s">
        <v>297</v>
      </c>
      <c r="CL290" s="1789"/>
      <c r="CM290" s="2299"/>
      <c r="CN290" s="345"/>
      <c r="CR290" s="345"/>
      <c r="CS290" s="345"/>
      <c r="CX290" s="347"/>
      <c r="CY290" s="347"/>
      <c r="DA290" s="348"/>
      <c r="DC290" s="348"/>
      <c r="DE290" s="1792"/>
      <c r="DF290" s="345"/>
      <c r="DH290" s="237"/>
      <c r="DI290" s="237"/>
      <c r="DN290" s="347"/>
      <c r="DO290" s="347"/>
      <c r="DP290" s="2505"/>
      <c r="DT290" s="663"/>
      <c r="DU290" s="663"/>
      <c r="DV290" s="663"/>
      <c r="DW290" s="663"/>
      <c r="DX290" s="663"/>
      <c r="DY290" s="663"/>
      <c r="DZ290" s="663"/>
      <c r="EA290" s="663"/>
      <c r="EB290" s="663"/>
      <c r="EC290" s="663"/>
      <c r="ED290" s="663"/>
    </row>
    <row r="291" spans="1:134">
      <c r="A291" s="346">
        <v>33772</v>
      </c>
      <c r="B291" s="345" t="s">
        <v>363</v>
      </c>
      <c r="E291" s="934"/>
      <c r="F291" s="345">
        <v>6</v>
      </c>
      <c r="G291" s="345" t="s">
        <v>345</v>
      </c>
      <c r="L291" s="347">
        <v>1103.07</v>
      </c>
      <c r="M291" s="347" t="s">
        <v>310</v>
      </c>
      <c r="Q291" s="348" t="str">
        <f t="array" ref="Q291">IFERROR(IF($Q$11="Yes",INDEX($L$13:$L$2313,SMALL(IF((County=$M$13:$M$2313),MATCH(ROW($M$13:$M$2313),ROW($M$13:$M$2313)),""),ROWS($A$13:A291))),""),"")</f>
        <v/>
      </c>
      <c r="S291" s="346">
        <v>34120</v>
      </c>
      <c r="T291" s="345" t="s">
        <v>318</v>
      </c>
      <c r="V291" s="345">
        <v>52.02</v>
      </c>
      <c r="W291" s="345" t="s">
        <v>352</v>
      </c>
      <c r="AB291" s="347">
        <v>20.11</v>
      </c>
      <c r="AC291" s="347" t="s">
        <v>349</v>
      </c>
      <c r="AD291" s="1138"/>
      <c r="AE291" s="346">
        <v>33759</v>
      </c>
      <c r="AF291" s="345" t="s">
        <v>363</v>
      </c>
      <c r="AI291" s="934"/>
      <c r="AJ291" s="345">
        <v>403.04</v>
      </c>
      <c r="AK291" s="345" t="s">
        <v>344</v>
      </c>
      <c r="AP291" s="347">
        <v>703.04</v>
      </c>
      <c r="AQ291" s="347" t="s">
        <v>310</v>
      </c>
      <c r="AU291" s="348" t="str">
        <f t="array" ref="AU291">IFERROR(IF($AU$11="Yes",INDEX($AP$13:$AP$2950,SMALL(IF((County=$AQ$13:$AQ$2950),MATCH(ROW($AQ$13:$AQ$2950),ROW($AQ$13:$AQ$2950)),""),ROWS($A$13:$A291))),""),"")</f>
        <v/>
      </c>
      <c r="AW291" s="346">
        <v>33993</v>
      </c>
      <c r="AX291" s="345" t="s">
        <v>344</v>
      </c>
      <c r="AZ291" s="345">
        <v>36.06</v>
      </c>
      <c r="BA291" s="345" t="s">
        <v>352</v>
      </c>
      <c r="BF291" s="347">
        <v>15.11</v>
      </c>
      <c r="BG291" s="347" t="s">
        <v>368</v>
      </c>
      <c r="BH291" s="1790"/>
      <c r="BI291" s="1791">
        <v>33470</v>
      </c>
      <c r="BJ291" s="345" t="s">
        <v>361</v>
      </c>
      <c r="BM291" s="1784"/>
      <c r="BN291" s="345">
        <v>105.04</v>
      </c>
      <c r="BO291" s="345" t="s">
        <v>310</v>
      </c>
      <c r="BT291" s="347">
        <v>702.09</v>
      </c>
      <c r="BU291" s="347" t="s">
        <v>310</v>
      </c>
      <c r="BW291" s="348" t="str">
        <f t="array" ref="BW291">IFERROR(IF($BW$11="Metro",INDEX($BN$13:$BN$4972,SMALL(IF((County=$BO$13:$BO$4972),MATCH(ROW($BO$13:$BO$4972),ROW($BO$13:$BO$4972)),""),ROWS($A$13:$A291))),INDEX($BQ$13:$BQ$212,SMALL(IF((County=$BR$13:$BR$212),MATCH(ROW($BR$13:$BR$212),ROW($BR$13:$BR$212)),""),ROWS($A$13:$A291)))),"")</f>
        <v/>
      </c>
      <c r="BY291" s="348" t="str">
        <f t="array" ref="BY291">IFERROR(IF($BY$11="Yes",INDEX($BT$13:$BT$2950,SMALL(IF((County=$BU$13:$BU$2950),MATCH(ROW($BU$13:$BU$2950),ROW($BU$13:$BU$2950)),""),ROWS($A$13:$A291))),""),"")</f>
        <v/>
      </c>
      <c r="CA291" s="2298">
        <v>33770</v>
      </c>
      <c r="CB291" s="345" t="s">
        <v>363</v>
      </c>
      <c r="CD291" s="237">
        <v>7.19</v>
      </c>
      <c r="CE291" s="237" t="s">
        <v>352</v>
      </c>
      <c r="CJ291" s="347">
        <v>16</v>
      </c>
      <c r="CK291" s="347" t="s">
        <v>337</v>
      </c>
      <c r="CL291" s="1789"/>
      <c r="CM291" s="2299"/>
      <c r="CN291" s="345"/>
      <c r="CR291" s="345"/>
      <c r="CS291" s="345"/>
      <c r="CX291" s="347"/>
      <c r="CY291" s="347"/>
      <c r="DA291" s="348"/>
      <c r="DC291" s="348"/>
      <c r="DE291" s="1792"/>
      <c r="DF291" s="345"/>
      <c r="DH291" s="237"/>
      <c r="DI291" s="237"/>
      <c r="DN291" s="347"/>
      <c r="DO291" s="347"/>
      <c r="DP291" s="2505"/>
      <c r="DT291" s="663"/>
      <c r="DU291" s="663"/>
      <c r="DV291" s="663"/>
      <c r="DW291" s="663"/>
      <c r="DX291" s="663"/>
      <c r="DY291" s="663"/>
      <c r="DZ291" s="663"/>
      <c r="EA291" s="663"/>
      <c r="EB291" s="663"/>
      <c r="EC291" s="663"/>
      <c r="ED291" s="663"/>
    </row>
    <row r="292" spans="1:134">
      <c r="A292" s="346">
        <v>33776</v>
      </c>
      <c r="B292" s="345" t="s">
        <v>363</v>
      </c>
      <c r="E292" s="934"/>
      <c r="F292" s="345">
        <v>10.01</v>
      </c>
      <c r="G292" s="345" t="s">
        <v>345</v>
      </c>
      <c r="L292" s="347">
        <v>1103.08</v>
      </c>
      <c r="M292" s="347" t="s">
        <v>310</v>
      </c>
      <c r="Q292" s="348" t="str">
        <f t="array" ref="Q292">IFERROR(IF($Q$11="Yes",INDEX($L$13:$L$2313,SMALL(IF((County=$M$13:$M$2313),MATCH(ROW($M$13:$M$2313),ROW($M$13:$M$2313)),""),ROWS($A$13:A292))),""),"")</f>
        <v/>
      </c>
      <c r="S292" s="346">
        <v>34134</v>
      </c>
      <c r="T292" s="345" t="s">
        <v>344</v>
      </c>
      <c r="V292" s="345">
        <v>52.02</v>
      </c>
      <c r="W292" s="345" t="s">
        <v>361</v>
      </c>
      <c r="AB292" s="347">
        <v>20.12</v>
      </c>
      <c r="AC292" s="347" t="s">
        <v>349</v>
      </c>
      <c r="AD292" s="1138"/>
      <c r="AE292" s="346">
        <v>33762</v>
      </c>
      <c r="AF292" s="345" t="s">
        <v>363</v>
      </c>
      <c r="AI292" s="934"/>
      <c r="AJ292" s="345">
        <v>403.05</v>
      </c>
      <c r="AK292" s="345" t="s">
        <v>344</v>
      </c>
      <c r="AP292" s="347">
        <v>703.06</v>
      </c>
      <c r="AQ292" s="347" t="s">
        <v>310</v>
      </c>
      <c r="AU292" s="348" t="str">
        <f t="array" ref="AU292">IFERROR(IF($AU$11="Yes",INDEX($AP$13:$AP$2950,SMALL(IF((County=$AQ$13:$AQ$2950),MATCH(ROW($AQ$13:$AQ$2950),ROW($AQ$13:$AQ$2950)),""),ROWS($A$13:$A292))),""),"")</f>
        <v/>
      </c>
      <c r="AW292" s="346">
        <v>34103</v>
      </c>
      <c r="AX292" s="345" t="s">
        <v>318</v>
      </c>
      <c r="AZ292" s="345">
        <v>36.07</v>
      </c>
      <c r="BA292" s="345" t="s">
        <v>325</v>
      </c>
      <c r="BF292" s="347">
        <v>15.17</v>
      </c>
      <c r="BG292" s="347" t="s">
        <v>297</v>
      </c>
      <c r="BH292" s="1790"/>
      <c r="BI292" s="1791">
        <v>33472</v>
      </c>
      <c r="BJ292" s="345" t="s">
        <v>361</v>
      </c>
      <c r="BM292" s="1784"/>
      <c r="BN292" s="345">
        <v>106.01</v>
      </c>
      <c r="BO292" s="345" t="s">
        <v>310</v>
      </c>
      <c r="BT292" s="347">
        <v>702.11</v>
      </c>
      <c r="BU292" s="347" t="s">
        <v>310</v>
      </c>
      <c r="BW292" s="348" t="str">
        <f t="array" ref="BW292">IFERROR(IF($BW$11="Metro",INDEX($BN$13:$BN$4972,SMALL(IF((County=$BO$13:$BO$4972),MATCH(ROW($BO$13:$BO$4972),ROW($BO$13:$BO$4972)),""),ROWS($A$13:$A292))),INDEX($BQ$13:$BQ$212,SMALL(IF((County=$BR$13:$BR$212),MATCH(ROW($BR$13:$BR$212),ROW($BR$13:$BR$212)),""),ROWS($A$13:$A292)))),"")</f>
        <v/>
      </c>
      <c r="BY292" s="348" t="str">
        <f t="array" ref="BY292">IFERROR(IF($BY$11="Yes",INDEX($BT$13:$BT$2950,SMALL(IF((County=$BU$13:$BU$2950),MATCH(ROW($BU$13:$BU$2950),ROW($BU$13:$BU$2950)),""),ROWS($A$13:$A292))),""),"")</f>
        <v/>
      </c>
      <c r="CA292" s="2298">
        <v>33771</v>
      </c>
      <c r="CB292" s="345" t="s">
        <v>363</v>
      </c>
      <c r="CD292" s="237">
        <v>7.2</v>
      </c>
      <c r="CE292" s="237" t="s">
        <v>352</v>
      </c>
      <c r="CJ292" s="347">
        <v>16.010000000000002</v>
      </c>
      <c r="CK292" s="347" t="s">
        <v>344</v>
      </c>
      <c r="CL292" s="1789"/>
      <c r="CM292" s="2299"/>
      <c r="CN292" s="345"/>
      <c r="CR292" s="345"/>
      <c r="CS292" s="345"/>
      <c r="CX292" s="347"/>
      <c r="CY292" s="347"/>
      <c r="DA292" s="348"/>
      <c r="DC292" s="348"/>
      <c r="DE292" s="1792"/>
      <c r="DF292" s="345"/>
      <c r="DH292" s="237"/>
      <c r="DI292" s="237"/>
      <c r="DN292" s="347"/>
      <c r="DO292" s="347"/>
      <c r="DP292" s="2505"/>
      <c r="DT292" s="663"/>
      <c r="DU292" s="663"/>
      <c r="DV292" s="663"/>
      <c r="DW292" s="663"/>
      <c r="DX292" s="663"/>
      <c r="DY292" s="663"/>
      <c r="DZ292" s="663"/>
      <c r="EA292" s="663"/>
      <c r="EB292" s="663"/>
      <c r="EC292" s="663"/>
      <c r="ED292" s="663"/>
    </row>
    <row r="293" spans="1:134">
      <c r="A293" s="346">
        <v>33777</v>
      </c>
      <c r="B293" s="345" t="s">
        <v>363</v>
      </c>
      <c r="E293" s="934"/>
      <c r="F293" s="345">
        <v>10.02</v>
      </c>
      <c r="G293" s="345" t="s">
        <v>345</v>
      </c>
      <c r="L293" s="347">
        <v>1103.0899999999999</v>
      </c>
      <c r="M293" s="347" t="s">
        <v>310</v>
      </c>
      <c r="Q293" s="348" t="str">
        <f t="array" ref="Q293">IFERROR(IF($Q$11="Yes",INDEX($L$13:$L$2313,SMALL(IF((County=$M$13:$M$2313),MATCH(ROW($M$13:$M$2313),ROW($M$13:$M$2313)),""),ROWS($A$13:A293))),""),"")</f>
        <v/>
      </c>
      <c r="S293" s="346">
        <v>34135</v>
      </c>
      <c r="T293" s="345" t="s">
        <v>344</v>
      </c>
      <c r="V293" s="345">
        <v>53.02</v>
      </c>
      <c r="W293" s="345" t="s">
        <v>337</v>
      </c>
      <c r="AB293" s="347">
        <v>20.13</v>
      </c>
      <c r="AC293" s="347" t="s">
        <v>349</v>
      </c>
      <c r="AD293" s="1138"/>
      <c r="AE293" s="346">
        <v>33767</v>
      </c>
      <c r="AF293" s="345" t="s">
        <v>363</v>
      </c>
      <c r="AI293" s="934"/>
      <c r="AJ293" s="345">
        <v>403.11</v>
      </c>
      <c r="AK293" s="345" t="s">
        <v>344</v>
      </c>
      <c r="AP293" s="347">
        <v>703.1</v>
      </c>
      <c r="AQ293" s="347" t="s">
        <v>310</v>
      </c>
      <c r="AU293" s="348" t="str">
        <f t="array" ref="AU293">IFERROR(IF($AU$11="Yes",INDEX($AP$13:$AP$2950,SMALL(IF((County=$AQ$13:$AQ$2950),MATCH(ROW($AQ$13:$AQ$2950),ROW($AQ$13:$AQ$2950)),""),ROWS($A$13:$A293))),""),"")</f>
        <v/>
      </c>
      <c r="AW293" s="346">
        <v>34105</v>
      </c>
      <c r="AX293" s="345" t="s">
        <v>318</v>
      </c>
      <c r="AZ293" s="345">
        <v>36.07</v>
      </c>
      <c r="BA293" s="345" t="s">
        <v>352</v>
      </c>
      <c r="BF293" s="347">
        <v>16</v>
      </c>
      <c r="BG293" s="347" t="s">
        <v>337</v>
      </c>
      <c r="BH293" s="1790"/>
      <c r="BI293" s="1791">
        <v>33473</v>
      </c>
      <c r="BJ293" s="345" t="s">
        <v>361</v>
      </c>
      <c r="BM293" s="1784"/>
      <c r="BN293" s="345">
        <v>106.03</v>
      </c>
      <c r="BO293" s="345" t="s">
        <v>310</v>
      </c>
      <c r="BT293" s="347">
        <v>702.12</v>
      </c>
      <c r="BU293" s="347" t="s">
        <v>310</v>
      </c>
      <c r="BW293" s="348" t="str">
        <f t="array" ref="BW293">IFERROR(IF($BW$11="Metro",INDEX($BN$13:$BN$4972,SMALL(IF((County=$BO$13:$BO$4972),MATCH(ROW($BO$13:$BO$4972),ROW($BO$13:$BO$4972)),""),ROWS($A$13:$A293))),INDEX($BQ$13:$BQ$212,SMALL(IF((County=$BR$13:$BR$212),MATCH(ROW($BR$13:$BR$212),ROW($BR$13:$BR$212)),""),ROWS($A$13:$A293)))),"")</f>
        <v/>
      </c>
      <c r="BY293" s="348" t="str">
        <f t="array" ref="BY293">IFERROR(IF($BY$11="Yes",INDEX($BT$13:$BT$2950,SMALL(IF((County=$BU$13:$BU$2950),MATCH(ROW($BU$13:$BU$2950),ROW($BU$13:$BU$2950)),""),ROWS($A$13:$A293))),""),"")</f>
        <v/>
      </c>
      <c r="CA293" s="2298">
        <v>33772</v>
      </c>
      <c r="CB293" s="345" t="s">
        <v>363</v>
      </c>
      <c r="CD293" s="237">
        <v>8</v>
      </c>
      <c r="CE293" s="237" t="s">
        <v>323</v>
      </c>
      <c r="CJ293" s="347">
        <v>16.010000000000002</v>
      </c>
      <c r="CK293" s="347" t="s">
        <v>345</v>
      </c>
      <c r="CL293" s="1789"/>
      <c r="CM293" s="2299"/>
      <c r="CN293" s="345"/>
      <c r="CR293" s="345"/>
      <c r="CS293" s="345"/>
      <c r="CX293" s="347"/>
      <c r="CY293" s="347"/>
      <c r="DA293" s="348"/>
      <c r="DC293" s="348"/>
      <c r="DE293" s="1792"/>
      <c r="DF293" s="345"/>
      <c r="DH293" s="237"/>
      <c r="DI293" s="237"/>
      <c r="DN293" s="347"/>
      <c r="DO293" s="347"/>
      <c r="DP293" s="2505"/>
      <c r="DT293" s="663"/>
      <c r="DU293" s="663"/>
      <c r="DV293" s="663"/>
      <c r="DW293" s="663"/>
      <c r="DX293" s="663"/>
      <c r="DY293" s="663"/>
      <c r="DZ293" s="663"/>
      <c r="EA293" s="663"/>
      <c r="EB293" s="663"/>
      <c r="EC293" s="663"/>
      <c r="ED293" s="663"/>
    </row>
    <row r="294" spans="1:134">
      <c r="A294" s="346">
        <v>33782</v>
      </c>
      <c r="B294" s="345" t="s">
        <v>363</v>
      </c>
      <c r="E294" s="934"/>
      <c r="F294" s="345">
        <v>11.01</v>
      </c>
      <c r="G294" s="345" t="s">
        <v>345</v>
      </c>
      <c r="L294" s="347">
        <v>1103.1099999999999</v>
      </c>
      <c r="M294" s="347" t="s">
        <v>310</v>
      </c>
      <c r="Q294" s="348" t="str">
        <f t="array" ref="Q294">IFERROR(IF($Q$11="Yes",INDEX($L$13:$L$2313,SMALL(IF((County=$M$13:$M$2313),MATCH(ROW($M$13:$M$2313),ROW($M$13:$M$2313)),""),ROWS($A$13:A294))),""),"")</f>
        <v/>
      </c>
      <c r="S294" s="346">
        <v>34140</v>
      </c>
      <c r="T294" s="345" t="s">
        <v>318</v>
      </c>
      <c r="V294" s="345">
        <v>53.02</v>
      </c>
      <c r="W294" s="345" t="s">
        <v>352</v>
      </c>
      <c r="AB294" s="347">
        <v>20.14</v>
      </c>
      <c r="AC294" s="347" t="s">
        <v>349</v>
      </c>
      <c r="AD294" s="1138"/>
      <c r="AE294" s="346">
        <v>33772</v>
      </c>
      <c r="AF294" s="345" t="s">
        <v>363</v>
      </c>
      <c r="AI294" s="934"/>
      <c r="AJ294" s="345">
        <v>4</v>
      </c>
      <c r="AK294" s="345" t="s">
        <v>345</v>
      </c>
      <c r="AP294" s="347">
        <v>703.11</v>
      </c>
      <c r="AQ294" s="347" t="s">
        <v>310</v>
      </c>
      <c r="AU294" s="348" t="str">
        <f t="array" ref="AU294">IFERROR(IF($AU$11="Yes",INDEX($AP$13:$AP$2950,SMALL(IF((County=$AQ$13:$AQ$2950),MATCH(ROW($AQ$13:$AQ$2950),ROW($AQ$13:$AQ$2950)),""),ROWS($A$13:$A294))),""),"")</f>
        <v/>
      </c>
      <c r="AW294" s="346">
        <v>34108</v>
      </c>
      <c r="AX294" s="345" t="s">
        <v>318</v>
      </c>
      <c r="AZ294" s="345">
        <v>37</v>
      </c>
      <c r="BA294" s="345" t="s">
        <v>337</v>
      </c>
      <c r="BF294" s="347">
        <v>16.010000000000002</v>
      </c>
      <c r="BG294" s="347" t="s">
        <v>344</v>
      </c>
      <c r="BH294" s="1790"/>
      <c r="BI294" s="1791">
        <v>33477</v>
      </c>
      <c r="BJ294" s="345" t="s">
        <v>361</v>
      </c>
      <c r="BM294" s="1784"/>
      <c r="BN294" s="345">
        <v>106.04</v>
      </c>
      <c r="BO294" s="345" t="s">
        <v>310</v>
      </c>
      <c r="BT294" s="347">
        <v>703.04</v>
      </c>
      <c r="BU294" s="347" t="s">
        <v>310</v>
      </c>
      <c r="BW294" s="348" t="str">
        <f t="array" ref="BW294">IFERROR(IF($BW$11="Metro",INDEX($BN$13:$BN$4972,SMALL(IF((County=$BO$13:$BO$4972),MATCH(ROW($BO$13:$BO$4972),ROW($BO$13:$BO$4972)),""),ROWS($A$13:$A294))),INDEX($BQ$13:$BQ$212,SMALL(IF((County=$BR$13:$BR$212),MATCH(ROW($BR$13:$BR$212),ROW($BR$13:$BR$212)),""),ROWS($A$13:$A294)))),"")</f>
        <v/>
      </c>
      <c r="BY294" s="348" t="str">
        <f t="array" ref="BY294">IFERROR(IF($BY$11="Yes",INDEX($BT$13:$BT$2950,SMALL(IF((County=$BU$13:$BU$2950),MATCH(ROW($BU$13:$BU$2950),ROW($BU$13:$BU$2950)),""),ROWS($A$13:$A294))),""),"")</f>
        <v/>
      </c>
      <c r="CA294" s="2298">
        <v>33776</v>
      </c>
      <c r="CB294" s="345" t="s">
        <v>363</v>
      </c>
      <c r="CD294" s="237">
        <v>8</v>
      </c>
      <c r="CE294" s="237" t="s">
        <v>337</v>
      </c>
      <c r="CJ294" s="347">
        <v>16.010000000000002</v>
      </c>
      <c r="CK294" s="347" t="s">
        <v>351</v>
      </c>
      <c r="CL294" s="1789"/>
      <c r="CM294" s="2299"/>
      <c r="CN294" s="345"/>
      <c r="CR294" s="345"/>
      <c r="CS294" s="345"/>
      <c r="CX294" s="347"/>
      <c r="CY294" s="347"/>
      <c r="DA294" s="348"/>
      <c r="DC294" s="348"/>
      <c r="DE294" s="1792"/>
      <c r="DF294" s="345"/>
      <c r="DH294" s="237"/>
      <c r="DI294" s="237"/>
      <c r="DN294" s="347"/>
      <c r="DO294" s="347"/>
      <c r="DP294" s="2505"/>
      <c r="DT294" s="663"/>
      <c r="DU294" s="663"/>
      <c r="DV294" s="663"/>
      <c r="DW294" s="663"/>
      <c r="DX294" s="663"/>
      <c r="DY294" s="663"/>
      <c r="DZ294" s="663"/>
      <c r="EA294" s="663"/>
      <c r="EB294" s="663"/>
      <c r="EC294" s="663"/>
      <c r="ED294" s="663"/>
    </row>
    <row r="295" spans="1:134">
      <c r="A295" s="346">
        <v>33785</v>
      </c>
      <c r="B295" s="345" t="s">
        <v>363</v>
      </c>
      <c r="E295" s="934"/>
      <c r="F295" s="345">
        <v>12</v>
      </c>
      <c r="G295" s="345" t="s">
        <v>345</v>
      </c>
      <c r="L295" s="347">
        <v>1103.19</v>
      </c>
      <c r="M295" s="347" t="s">
        <v>310</v>
      </c>
      <c r="Q295" s="348" t="str">
        <f t="array" ref="Q295">IFERROR(IF($Q$11="Yes",INDEX($L$13:$L$2313,SMALL(IF((County=$M$13:$M$2313),MATCH(ROW($M$13:$M$2313),ROW($M$13:$M$2313)),""),ROWS($A$13:A295))),""),"")</f>
        <v/>
      </c>
      <c r="S295" s="346">
        <v>34145</v>
      </c>
      <c r="T295" s="345" t="s">
        <v>318</v>
      </c>
      <c r="V295" s="345">
        <v>53.03</v>
      </c>
      <c r="W295" s="345" t="s">
        <v>352</v>
      </c>
      <c r="AB295" s="347">
        <v>20.149999999999999</v>
      </c>
      <c r="AC295" s="347" t="s">
        <v>349</v>
      </c>
      <c r="AD295" s="1138"/>
      <c r="AE295" s="346">
        <v>33776</v>
      </c>
      <c r="AF295" s="345" t="s">
        <v>363</v>
      </c>
      <c r="AI295" s="934"/>
      <c r="AJ295" s="345">
        <v>5.01</v>
      </c>
      <c r="AK295" s="345" t="s">
        <v>345</v>
      </c>
      <c r="AP295" s="347">
        <v>703.12</v>
      </c>
      <c r="AQ295" s="347" t="s">
        <v>310</v>
      </c>
      <c r="AU295" s="348" t="str">
        <f t="array" ref="AU295">IFERROR(IF($AU$11="Yes",INDEX($AP$13:$AP$2950,SMALL(IF((County=$AQ$13:$AQ$2950),MATCH(ROW($AQ$13:$AQ$2950),ROW($AQ$13:$AQ$2950)),""),ROWS($A$13:$A295))),""),"")</f>
        <v/>
      </c>
      <c r="AW295" s="346">
        <v>34109</v>
      </c>
      <c r="AX295" s="345" t="s">
        <v>318</v>
      </c>
      <c r="AZ295" s="345">
        <v>38</v>
      </c>
      <c r="BA295" s="345" t="s">
        <v>337</v>
      </c>
      <c r="BF295" s="347">
        <v>16.010000000000002</v>
      </c>
      <c r="BG295" s="347" t="s">
        <v>345</v>
      </c>
      <c r="BH295" s="1790"/>
      <c r="BI295" s="2299">
        <v>33478</v>
      </c>
      <c r="BJ295" s="345" t="s">
        <v>361</v>
      </c>
      <c r="BM295" s="1784"/>
      <c r="BN295" s="345">
        <v>106.05</v>
      </c>
      <c r="BO295" s="345" t="s">
        <v>310</v>
      </c>
      <c r="BT295" s="347">
        <v>703.06</v>
      </c>
      <c r="BU295" s="347" t="s">
        <v>310</v>
      </c>
      <c r="BW295" s="348" t="str">
        <f t="array" ref="BW295">IFERROR(IF($BW$11="Metro",INDEX($BN$13:$BN$4972,SMALL(IF((County=$BO$13:$BO$4972),MATCH(ROW($BO$13:$BO$4972),ROW($BO$13:$BO$4972)),""),ROWS($A$13:$A295))),INDEX($BQ$13:$BQ$212,SMALL(IF((County=$BR$13:$BR$212),MATCH(ROW($BR$13:$BR$212),ROW($BR$13:$BR$212)),""),ROWS($A$13:$A295)))),"")</f>
        <v/>
      </c>
      <c r="BY295" s="348" t="str">
        <f t="array" ref="BY295">IFERROR(IF($BY$11="Yes",INDEX($BT$13:$BT$2950,SMALL(IF((County=$BU$13:$BU$2950),MATCH(ROW($BU$13:$BU$2950),ROW($BU$13:$BU$2950)),""),ROWS($A$13:$A295))),""),"")</f>
        <v/>
      </c>
      <c r="CA295" s="2298">
        <v>33777</v>
      </c>
      <c r="CB295" s="345" t="s">
        <v>363</v>
      </c>
      <c r="CD295" s="237">
        <v>8</v>
      </c>
      <c r="CE295" s="237" t="s">
        <v>344</v>
      </c>
      <c r="CJ295" s="347">
        <v>16.02</v>
      </c>
      <c r="CK295" s="347" t="s">
        <v>344</v>
      </c>
      <c r="CL295" s="1789"/>
      <c r="CM295" s="2299"/>
      <c r="CN295" s="345"/>
      <c r="CR295" s="345"/>
      <c r="CS295" s="345"/>
      <c r="CX295" s="347"/>
      <c r="CY295" s="347"/>
      <c r="DA295" s="348"/>
      <c r="DC295" s="348"/>
      <c r="DE295" s="1792"/>
      <c r="DF295" s="345"/>
      <c r="DH295" s="237"/>
      <c r="DI295" s="237"/>
      <c r="DN295" s="347"/>
      <c r="DO295" s="347"/>
      <c r="DP295" s="2505"/>
      <c r="DT295" s="663"/>
      <c r="DU295" s="663"/>
      <c r="DV295" s="663"/>
      <c r="DW295" s="663"/>
      <c r="DX295" s="663"/>
      <c r="DY295" s="663"/>
      <c r="DZ295" s="663"/>
      <c r="EA295" s="663"/>
      <c r="EB295" s="663"/>
      <c r="EC295" s="663"/>
      <c r="ED295" s="663"/>
    </row>
    <row r="296" spans="1:134">
      <c r="A296" s="346">
        <v>33786</v>
      </c>
      <c r="B296" s="345" t="s">
        <v>363</v>
      </c>
      <c r="E296" s="934"/>
      <c r="F296" s="345">
        <v>14.01</v>
      </c>
      <c r="G296" s="345" t="s">
        <v>345</v>
      </c>
      <c r="L296" s="347">
        <v>1103.21</v>
      </c>
      <c r="M296" s="347" t="s">
        <v>310</v>
      </c>
      <c r="Q296" s="348" t="str">
        <f t="array" ref="Q296">IFERROR(IF($Q$11="Yes",INDEX($L$13:$L$2313,SMALL(IF((County=$M$13:$M$2313),MATCH(ROW($M$13:$M$2313),ROW($M$13:$M$2313)),""),ROWS($A$13:A296))),""),"")</f>
        <v/>
      </c>
      <c r="S296" s="346">
        <v>34201</v>
      </c>
      <c r="T296" s="345" t="s">
        <v>349</v>
      </c>
      <c r="V296" s="345">
        <v>53.04</v>
      </c>
      <c r="W296" s="345" t="s">
        <v>352</v>
      </c>
      <c r="AB296" s="347">
        <v>20.16</v>
      </c>
      <c r="AC296" s="347" t="s">
        <v>349</v>
      </c>
      <c r="AD296" s="1138"/>
      <c r="AE296" s="346">
        <v>33777</v>
      </c>
      <c r="AF296" s="345" t="s">
        <v>363</v>
      </c>
      <c r="AI296" s="934"/>
      <c r="AJ296" s="345">
        <v>5.0199999999999996</v>
      </c>
      <c r="AK296" s="345" t="s">
        <v>345</v>
      </c>
      <c r="AP296" s="347">
        <v>703.14</v>
      </c>
      <c r="AQ296" s="347" t="s">
        <v>310</v>
      </c>
      <c r="AU296" s="348" t="str">
        <f t="array" ref="AU296">IFERROR(IF($AU$11="Yes",INDEX($AP$13:$AP$2950,SMALL(IF((County=$AQ$13:$AQ$2950),MATCH(ROW($AQ$13:$AQ$2950),ROW($AQ$13:$AQ$2950)),""),ROWS($A$13:$A296))),""),"")</f>
        <v/>
      </c>
      <c r="AW296" s="346">
        <v>34110</v>
      </c>
      <c r="AX296" s="345" t="s">
        <v>318</v>
      </c>
      <c r="AZ296" s="345">
        <v>39.090000000000003</v>
      </c>
      <c r="BA296" s="345" t="s">
        <v>352</v>
      </c>
      <c r="BF296" s="347">
        <v>16.010000000000002</v>
      </c>
      <c r="BG296" s="347" t="s">
        <v>351</v>
      </c>
      <c r="BH296" s="1790"/>
      <c r="BI296" s="1791">
        <v>33480</v>
      </c>
      <c r="BJ296" s="345" t="s">
        <v>361</v>
      </c>
      <c r="BM296" s="1784"/>
      <c r="BN296" s="345">
        <v>106.06</v>
      </c>
      <c r="BO296" s="345" t="s">
        <v>310</v>
      </c>
      <c r="BT296" s="347">
        <v>703.1</v>
      </c>
      <c r="BU296" s="347" t="s">
        <v>310</v>
      </c>
      <c r="BW296" s="348" t="str">
        <f t="array" ref="BW296">IFERROR(IF($BW$11="Metro",INDEX($BN$13:$BN$4972,SMALL(IF((County=$BO$13:$BO$4972),MATCH(ROW($BO$13:$BO$4972),ROW($BO$13:$BO$4972)),""),ROWS($A$13:$A296))),INDEX($BQ$13:$BQ$212,SMALL(IF((County=$BR$13:$BR$212),MATCH(ROW($BR$13:$BR$212),ROW($BR$13:$BR$212)),""),ROWS($A$13:$A296)))),"")</f>
        <v/>
      </c>
      <c r="BY296" s="348" t="str">
        <f t="array" ref="BY296">IFERROR(IF($BY$11="Yes",INDEX($BT$13:$BT$2950,SMALL(IF((County=$BU$13:$BU$2950),MATCH(ROW($BU$13:$BU$2950),ROW($BU$13:$BU$2950)),""),ROWS($A$13:$A296))),""),"")</f>
        <v/>
      </c>
      <c r="CA296" s="2298">
        <v>33778</v>
      </c>
      <c r="CB296" s="345" t="s">
        <v>363</v>
      </c>
      <c r="CD296" s="237">
        <v>8</v>
      </c>
      <c r="CE296" s="237" t="s">
        <v>345</v>
      </c>
      <c r="CJ296" s="347">
        <v>16.02</v>
      </c>
      <c r="CK296" s="347" t="s">
        <v>345</v>
      </c>
      <c r="CL296" s="1789"/>
      <c r="CM296" s="2299"/>
      <c r="CN296" s="345"/>
      <c r="CR296" s="345"/>
      <c r="CS296" s="345"/>
      <c r="CX296" s="347"/>
      <c r="CY296" s="347"/>
      <c r="DA296" s="348"/>
      <c r="DC296" s="348"/>
      <c r="DE296" s="1792"/>
      <c r="DF296" s="345"/>
      <c r="DH296" s="237"/>
      <c r="DI296" s="237"/>
      <c r="DN296" s="347"/>
      <c r="DO296" s="347"/>
      <c r="DP296" s="2505"/>
      <c r="DT296" s="663"/>
      <c r="DU296" s="663"/>
      <c r="DV296" s="663"/>
      <c r="DW296" s="663"/>
      <c r="DX296" s="663"/>
      <c r="DY296" s="663"/>
      <c r="DZ296" s="663"/>
      <c r="EA296" s="663"/>
      <c r="EB296" s="663"/>
      <c r="EC296" s="663"/>
      <c r="ED296" s="663"/>
    </row>
    <row r="297" spans="1:134">
      <c r="A297" s="346">
        <v>34677</v>
      </c>
      <c r="B297" s="345" t="s">
        <v>363</v>
      </c>
      <c r="E297" s="934"/>
      <c r="F297" s="345">
        <v>14.02</v>
      </c>
      <c r="G297" s="345" t="s">
        <v>345</v>
      </c>
      <c r="L297" s="347">
        <v>1103.22</v>
      </c>
      <c r="M297" s="347" t="s">
        <v>310</v>
      </c>
      <c r="Q297" s="348" t="str">
        <f t="array" ref="Q297">IFERROR(IF($Q$11="Yes",INDEX($L$13:$L$2313,SMALL(IF((County=$M$13:$M$2313),MATCH(ROW($M$13:$M$2313),ROW($M$13:$M$2313)),""),ROWS($A$13:A297))),""),"")</f>
        <v/>
      </c>
      <c r="S297" s="346">
        <v>34202</v>
      </c>
      <c r="T297" s="345" t="s">
        <v>349</v>
      </c>
      <c r="V297" s="345">
        <v>54.03</v>
      </c>
      <c r="W297" s="345" t="s">
        <v>352</v>
      </c>
      <c r="AB297" s="347">
        <v>20.170000000000002</v>
      </c>
      <c r="AC297" s="347" t="s">
        <v>349</v>
      </c>
      <c r="AD297" s="1138"/>
      <c r="AE297" s="346">
        <v>33782</v>
      </c>
      <c r="AF297" s="345" t="s">
        <v>363</v>
      </c>
      <c r="AI297" s="934"/>
      <c r="AJ297" s="345">
        <v>6</v>
      </c>
      <c r="AK297" s="345" t="s">
        <v>345</v>
      </c>
      <c r="AP297" s="347">
        <v>703.15</v>
      </c>
      <c r="AQ297" s="347" t="s">
        <v>310</v>
      </c>
      <c r="AU297" s="348" t="str">
        <f t="array" ref="AU297">IFERROR(IF($AU$11="Yes",INDEX($AP$13:$AP$2950,SMALL(IF((County=$AQ$13:$AQ$2950),MATCH(ROW($AQ$13:$AQ$2950),ROW($AQ$13:$AQ$2950)),""),ROWS($A$13:$A297))),""),"")</f>
        <v/>
      </c>
      <c r="AW297" s="346">
        <v>34117</v>
      </c>
      <c r="AX297" s="345" t="s">
        <v>318</v>
      </c>
      <c r="AZ297" s="345">
        <v>39.11</v>
      </c>
      <c r="BA297" s="345" t="s">
        <v>352</v>
      </c>
      <c r="BF297" s="347">
        <v>16.02</v>
      </c>
      <c r="BG297" s="347" t="s">
        <v>344</v>
      </c>
      <c r="BH297" s="1790"/>
      <c r="BI297" s="1791">
        <v>33483</v>
      </c>
      <c r="BJ297" s="345" t="s">
        <v>361</v>
      </c>
      <c r="BM297" s="1784"/>
      <c r="BN297" s="345">
        <v>106.09</v>
      </c>
      <c r="BO297" s="345" t="s">
        <v>310</v>
      </c>
      <c r="BT297" s="347">
        <v>703.11</v>
      </c>
      <c r="BU297" s="347" t="s">
        <v>310</v>
      </c>
      <c r="BW297" s="348" t="str">
        <f t="array" ref="BW297">IFERROR(IF($BW$11="Metro",INDEX($BN$13:$BN$4972,SMALL(IF((County=$BO$13:$BO$4972),MATCH(ROW($BO$13:$BO$4972),ROW($BO$13:$BO$4972)),""),ROWS($A$13:$A297))),INDEX($BQ$13:$BQ$212,SMALL(IF((County=$BR$13:$BR$212),MATCH(ROW($BR$13:$BR$212),ROW($BR$13:$BR$212)),""),ROWS($A$13:$A297)))),"")</f>
        <v/>
      </c>
      <c r="BY297" s="348" t="str">
        <f t="array" ref="BY297">IFERROR(IF($BY$11="Yes",INDEX($BT$13:$BT$2950,SMALL(IF((County=$BU$13:$BU$2950),MATCH(ROW($BU$13:$BU$2950),ROW($BU$13:$BU$2950)),""),ROWS($A$13:$A297))),""),"")</f>
        <v/>
      </c>
      <c r="CA297" s="2298">
        <v>33782</v>
      </c>
      <c r="CB297" s="345" t="s">
        <v>363</v>
      </c>
      <c r="CD297" s="237">
        <v>8</v>
      </c>
      <c r="CE297" s="237" t="s">
        <v>351</v>
      </c>
      <c r="CJ297" s="347">
        <v>16.02</v>
      </c>
      <c r="CK297" s="347" t="s">
        <v>351</v>
      </c>
      <c r="CL297" s="1789"/>
      <c r="CM297" s="2299"/>
      <c r="CN297" s="345"/>
      <c r="CR297" s="345"/>
      <c r="CS297" s="345"/>
      <c r="CX297" s="347"/>
      <c r="CY297" s="347"/>
      <c r="DA297" s="348"/>
      <c r="DC297" s="348"/>
      <c r="DE297" s="1792"/>
      <c r="DF297" s="345"/>
      <c r="DH297" s="237"/>
      <c r="DI297" s="237"/>
      <c r="DN297" s="347"/>
      <c r="DO297" s="347"/>
      <c r="DP297" s="2505"/>
      <c r="DT297" s="663"/>
      <c r="DU297" s="663"/>
      <c r="DV297" s="663"/>
      <c r="DW297" s="663"/>
      <c r="DX297" s="663"/>
      <c r="DY297" s="663"/>
      <c r="DZ297" s="663"/>
      <c r="EA297" s="663"/>
      <c r="EB297" s="663"/>
      <c r="EC297" s="663"/>
      <c r="ED297" s="663"/>
    </row>
    <row r="298" spans="1:134">
      <c r="A298" s="346">
        <v>34681</v>
      </c>
      <c r="B298" s="345" t="s">
        <v>363</v>
      </c>
      <c r="E298" s="934"/>
      <c r="F298" s="345">
        <v>18.010000000000002</v>
      </c>
      <c r="G298" s="345" t="s">
        <v>345</v>
      </c>
      <c r="L298" s="347">
        <v>1103.24</v>
      </c>
      <c r="M298" s="347" t="s">
        <v>310</v>
      </c>
      <c r="Q298" s="348" t="str">
        <f t="array" ref="Q298">IFERROR(IF($Q$11="Yes",INDEX($L$13:$L$2313,SMALL(IF((County=$M$13:$M$2313),MATCH(ROW($M$13:$M$2313),ROW($M$13:$M$2313)),""),ROWS($A$13:A298))),""),"")</f>
        <v/>
      </c>
      <c r="S298" s="346">
        <v>34211</v>
      </c>
      <c r="T298" s="345" t="s">
        <v>349</v>
      </c>
      <c r="V298" s="345">
        <v>54.05</v>
      </c>
      <c r="W298" s="345" t="s">
        <v>352</v>
      </c>
      <c r="AB298" s="347">
        <v>21</v>
      </c>
      <c r="AC298" s="347" t="s">
        <v>350</v>
      </c>
      <c r="AD298" s="1138"/>
      <c r="AE298" s="346">
        <v>33785</v>
      </c>
      <c r="AF298" s="345" t="s">
        <v>363</v>
      </c>
      <c r="AI298" s="934"/>
      <c r="AJ298" s="345">
        <v>10.01</v>
      </c>
      <c r="AK298" s="345" t="s">
        <v>345</v>
      </c>
      <c r="AP298" s="347">
        <v>703.16</v>
      </c>
      <c r="AQ298" s="347" t="s">
        <v>310</v>
      </c>
      <c r="AU298" s="348" t="str">
        <f t="array" ref="AU298">IFERROR(IF($AU$11="Yes",INDEX($AP$13:$AP$2950,SMALL(IF((County=$AQ$13:$AQ$2950),MATCH(ROW($AQ$13:$AQ$2950),ROW($AQ$13:$AQ$2950)),""),ROWS($A$13:$A298))),""),"")</f>
        <v/>
      </c>
      <c r="AW298" s="346">
        <v>34119</v>
      </c>
      <c r="AX298" s="345" t="s">
        <v>318</v>
      </c>
      <c r="AZ298" s="345">
        <v>40.07</v>
      </c>
      <c r="BA298" s="345" t="s">
        <v>361</v>
      </c>
      <c r="BF298" s="347">
        <v>16.02</v>
      </c>
      <c r="BG298" s="347" t="s">
        <v>345</v>
      </c>
      <c r="BH298" s="1790"/>
      <c r="BI298" s="1791">
        <v>33484</v>
      </c>
      <c r="BJ298" s="345" t="s">
        <v>361</v>
      </c>
      <c r="BM298" s="1784"/>
      <c r="BN298" s="345">
        <v>106.1</v>
      </c>
      <c r="BO298" s="345" t="s">
        <v>310</v>
      </c>
      <c r="BT298" s="347">
        <v>703.12</v>
      </c>
      <c r="BU298" s="347" t="s">
        <v>310</v>
      </c>
      <c r="BW298" s="348" t="str">
        <f t="array" ref="BW298">IFERROR(IF($BW$11="Metro",INDEX($BN$13:$BN$4972,SMALL(IF((County=$BO$13:$BO$4972),MATCH(ROW($BO$13:$BO$4972),ROW($BO$13:$BO$4972)),""),ROWS($A$13:$A298))),INDEX($BQ$13:$BQ$212,SMALL(IF((County=$BR$13:$BR$212),MATCH(ROW($BR$13:$BR$212),ROW($BR$13:$BR$212)),""),ROWS($A$13:$A298)))),"")</f>
        <v/>
      </c>
      <c r="BY298" s="348" t="str">
        <f t="array" ref="BY298">IFERROR(IF($BY$11="Yes",INDEX($BT$13:$BT$2950,SMALL(IF((County=$BU$13:$BU$2950),MATCH(ROW($BU$13:$BU$2950),ROW($BU$13:$BU$2950)),""),ROWS($A$13:$A298))),""),"")</f>
        <v/>
      </c>
      <c r="CA298" s="2298">
        <v>33785</v>
      </c>
      <c r="CB298" s="345" t="s">
        <v>363</v>
      </c>
      <c r="CD298" s="237">
        <v>8.01</v>
      </c>
      <c r="CE298" s="237" t="s">
        <v>325</v>
      </c>
      <c r="CJ298" s="347">
        <v>16.02</v>
      </c>
      <c r="CK298" s="347" t="s">
        <v>368</v>
      </c>
      <c r="CL298" s="1789"/>
      <c r="CM298" s="2299"/>
      <c r="CN298" s="345"/>
      <c r="CR298" s="345"/>
      <c r="CS298" s="345"/>
      <c r="CX298" s="347"/>
      <c r="CY298" s="347"/>
      <c r="DA298" s="348"/>
      <c r="DC298" s="348"/>
      <c r="DE298" s="1792"/>
      <c r="DF298" s="345"/>
      <c r="DH298" s="237"/>
      <c r="DI298" s="237"/>
      <c r="DN298" s="347"/>
      <c r="DO298" s="347"/>
      <c r="DP298" s="2505"/>
      <c r="DT298" s="663"/>
      <c r="DU298" s="663"/>
      <c r="DV298" s="663"/>
      <c r="DW298" s="663"/>
      <c r="DX298" s="663"/>
      <c r="DY298" s="663"/>
      <c r="DZ298" s="663"/>
      <c r="EA298" s="663"/>
      <c r="EB298" s="663"/>
      <c r="EC298" s="663"/>
      <c r="ED298" s="663"/>
    </row>
    <row r="299" spans="1:134">
      <c r="A299" s="346">
        <v>34683</v>
      </c>
      <c r="B299" s="345" t="s">
        <v>363</v>
      </c>
      <c r="E299" s="934"/>
      <c r="F299" s="345">
        <v>19.010000000000002</v>
      </c>
      <c r="G299" s="345" t="s">
        <v>345</v>
      </c>
      <c r="L299" s="347">
        <v>1103.25</v>
      </c>
      <c r="M299" s="347" t="s">
        <v>310</v>
      </c>
      <c r="Q299" s="348" t="str">
        <f t="array" ref="Q299">IFERROR(IF($Q$11="Yes",INDEX($L$13:$L$2313,SMALL(IF((County=$M$13:$M$2313),MATCH(ROW($M$13:$M$2313),ROW($M$13:$M$2313)),""),ROWS($A$13:A299))),""),"")</f>
        <v/>
      </c>
      <c r="S299" s="346">
        <v>34212</v>
      </c>
      <c r="T299" s="345" t="s">
        <v>349</v>
      </c>
      <c r="V299" s="345">
        <v>54.06</v>
      </c>
      <c r="W299" s="345" t="s">
        <v>352</v>
      </c>
      <c r="AB299" s="347">
        <v>21</v>
      </c>
      <c r="AC299" s="347" t="s">
        <v>352</v>
      </c>
      <c r="AD299" s="1138"/>
      <c r="AE299" s="346">
        <v>33786</v>
      </c>
      <c r="AF299" s="345" t="s">
        <v>363</v>
      </c>
      <c r="AI299" s="934"/>
      <c r="AJ299" s="345">
        <v>11.01</v>
      </c>
      <c r="AK299" s="345" t="s">
        <v>345</v>
      </c>
      <c r="AP299" s="347">
        <v>703.18</v>
      </c>
      <c r="AQ299" s="347" t="s">
        <v>310</v>
      </c>
      <c r="AU299" s="348" t="str">
        <f t="array" ref="AU299">IFERROR(IF($AU$11="Yes",INDEX($AP$13:$AP$2950,SMALL(IF((County=$AQ$13:$AQ$2950),MATCH(ROW($AQ$13:$AQ$2950),ROW($AQ$13:$AQ$2950)),""),ROWS($A$13:$A299))),""),"")</f>
        <v/>
      </c>
      <c r="AW299" s="346">
        <v>34120</v>
      </c>
      <c r="AX299" s="345" t="s">
        <v>318</v>
      </c>
      <c r="AZ299" s="345">
        <v>40.090000000000003</v>
      </c>
      <c r="BA299" s="345" t="s">
        <v>361</v>
      </c>
      <c r="BF299" s="347">
        <v>16.02</v>
      </c>
      <c r="BG299" s="347" t="s">
        <v>351</v>
      </c>
      <c r="BH299" s="1790"/>
      <c r="BI299" s="1791">
        <v>33486</v>
      </c>
      <c r="BJ299" s="345" t="s">
        <v>361</v>
      </c>
      <c r="BM299" s="1784"/>
      <c r="BN299" s="345">
        <v>106.11</v>
      </c>
      <c r="BO299" s="345" t="s">
        <v>310</v>
      </c>
      <c r="BT299" s="347">
        <v>703.14</v>
      </c>
      <c r="BU299" s="347" t="s">
        <v>310</v>
      </c>
      <c r="BW299" s="348" t="str">
        <f t="array" ref="BW299">IFERROR(IF($BW$11="Metro",INDEX($BN$13:$BN$4972,SMALL(IF((County=$BO$13:$BO$4972),MATCH(ROW($BO$13:$BO$4972),ROW($BO$13:$BO$4972)),""),ROWS($A$13:$A299))),INDEX($BQ$13:$BQ$212,SMALL(IF((County=$BR$13:$BR$212),MATCH(ROW($BR$13:$BR$212),ROW($BR$13:$BR$212)),""),ROWS($A$13:$A299)))),"")</f>
        <v/>
      </c>
      <c r="BY299" s="348" t="str">
        <f t="array" ref="BY299">IFERROR(IF($BY$11="Yes",INDEX($BT$13:$BT$2950,SMALL(IF((County=$BU$13:$BU$2950),MATCH(ROW($BU$13:$BU$2950),ROW($BU$13:$BU$2950)),""),ROWS($A$13:$A299))),""),"")</f>
        <v/>
      </c>
      <c r="CA299" s="2298">
        <v>33786</v>
      </c>
      <c r="CB299" s="345" t="s">
        <v>363</v>
      </c>
      <c r="CD299" s="237">
        <v>8.01</v>
      </c>
      <c r="CE299" s="237" t="s">
        <v>368</v>
      </c>
      <c r="CJ299" s="347">
        <v>16.03</v>
      </c>
      <c r="CK299" s="347" t="s">
        <v>349</v>
      </c>
      <c r="CL299" s="1789"/>
      <c r="CM299" s="2299"/>
      <c r="CN299" s="345"/>
      <c r="CR299" s="345"/>
      <c r="CS299" s="345"/>
      <c r="CX299" s="347"/>
      <c r="CY299" s="347"/>
      <c r="DA299" s="348"/>
      <c r="DC299" s="348"/>
      <c r="DE299" s="1792"/>
      <c r="DF299" s="345"/>
      <c r="DH299" s="237"/>
      <c r="DI299" s="237"/>
      <c r="DN299" s="347"/>
      <c r="DO299" s="347"/>
      <c r="DP299" s="2505"/>
      <c r="DT299" s="663"/>
      <c r="DU299" s="663"/>
      <c r="DV299" s="663"/>
      <c r="DW299" s="663"/>
      <c r="DX299" s="663"/>
      <c r="DY299" s="663"/>
      <c r="DZ299" s="663"/>
      <c r="EA299" s="663"/>
      <c r="EB299" s="663"/>
      <c r="EC299" s="663"/>
      <c r="ED299" s="663"/>
    </row>
    <row r="300" spans="1:134">
      <c r="A300" s="346">
        <v>34684</v>
      </c>
      <c r="B300" s="345" t="s">
        <v>363</v>
      </c>
      <c r="E300" s="934"/>
      <c r="F300" s="345">
        <v>19.02</v>
      </c>
      <c r="G300" s="345" t="s">
        <v>345</v>
      </c>
      <c r="L300" s="347">
        <v>1103.26</v>
      </c>
      <c r="M300" s="347" t="s">
        <v>310</v>
      </c>
      <c r="Q300" s="348" t="str">
        <f t="array" ref="Q300">IFERROR(IF($Q$11="Yes",INDEX($L$13:$L$2313,SMALL(IF((County=$M$13:$M$2313),MATCH(ROW($M$13:$M$2313),ROW($M$13:$M$2313)),""),ROWS($A$13:A300))),""),"")</f>
        <v/>
      </c>
      <c r="S300" s="346">
        <v>34216</v>
      </c>
      <c r="T300" s="345" t="s">
        <v>349</v>
      </c>
      <c r="V300" s="345">
        <v>54.09</v>
      </c>
      <c r="W300" s="345" t="s">
        <v>352</v>
      </c>
      <c r="AB300" s="347">
        <v>21</v>
      </c>
      <c r="AC300" s="347" t="s">
        <v>368</v>
      </c>
      <c r="AD300" s="1138"/>
      <c r="AE300" s="346">
        <v>34677</v>
      </c>
      <c r="AF300" s="345" t="s">
        <v>363</v>
      </c>
      <c r="AI300" s="934"/>
      <c r="AJ300" s="345">
        <v>12</v>
      </c>
      <c r="AK300" s="345" t="s">
        <v>345</v>
      </c>
      <c r="AP300" s="347">
        <v>703.19</v>
      </c>
      <c r="AQ300" s="347" t="s">
        <v>310</v>
      </c>
      <c r="AU300" s="348" t="str">
        <f t="array" ref="AU300">IFERROR(IF($AU$11="Yes",INDEX($AP$13:$AP$2950,SMALL(IF((County=$AQ$13:$AQ$2950),MATCH(ROW($AQ$13:$AQ$2950),ROW($AQ$13:$AQ$2950)),""),ROWS($A$13:$A300))),""),"")</f>
        <v/>
      </c>
      <c r="AW300" s="346">
        <v>34140</v>
      </c>
      <c r="AX300" s="345" t="s">
        <v>318</v>
      </c>
      <c r="AZ300" s="345">
        <v>40.130000000000003</v>
      </c>
      <c r="BA300" s="345" t="s">
        <v>361</v>
      </c>
      <c r="BF300" s="347">
        <v>16.02</v>
      </c>
      <c r="BG300" s="347" t="s">
        <v>368</v>
      </c>
      <c r="BH300" s="1790"/>
      <c r="BI300" s="1792">
        <v>33487</v>
      </c>
      <c r="BJ300" s="237" t="s">
        <v>361</v>
      </c>
      <c r="BM300" s="1784"/>
      <c r="BN300" s="345">
        <v>106.12</v>
      </c>
      <c r="BO300" s="345" t="s">
        <v>310</v>
      </c>
      <c r="BT300" s="347">
        <v>703.15</v>
      </c>
      <c r="BU300" s="347" t="s">
        <v>310</v>
      </c>
      <c r="BW300" s="348" t="str">
        <f t="array" ref="BW300">IFERROR(IF($BW$11="Metro",INDEX($BN$13:$BN$4972,SMALL(IF((County=$BO$13:$BO$4972),MATCH(ROW($BO$13:$BO$4972),ROW($BO$13:$BO$4972)),""),ROWS($A$13:$A300))),INDEX($BQ$13:$BQ$212,SMALL(IF((County=$BR$13:$BR$212),MATCH(ROW($BR$13:$BR$212),ROW($BR$13:$BR$212)),""),ROWS($A$13:$A300)))),"")</f>
        <v/>
      </c>
      <c r="BY300" s="348" t="str">
        <f t="array" ref="BY300">IFERROR(IF($BY$11="Yes",INDEX($BT$13:$BT$2950,SMALL(IF((County=$BU$13:$BU$2950),MATCH(ROW($BU$13:$BU$2950),ROW($BU$13:$BU$2950)),""),ROWS($A$13:$A300))),""),"")</f>
        <v/>
      </c>
      <c r="CA300" s="2298">
        <v>33803</v>
      </c>
      <c r="CB300" s="345" t="s">
        <v>365</v>
      </c>
      <c r="CD300" s="237">
        <v>8.02</v>
      </c>
      <c r="CE300" s="237" t="s">
        <v>325</v>
      </c>
      <c r="CJ300" s="347">
        <v>16.05</v>
      </c>
      <c r="CK300" s="347" t="s">
        <v>297</v>
      </c>
      <c r="CL300" s="1789"/>
      <c r="CM300" s="2299"/>
      <c r="CN300" s="345"/>
      <c r="CR300" s="345"/>
      <c r="CS300" s="345"/>
      <c r="CX300" s="347"/>
      <c r="CY300" s="347"/>
      <c r="DA300" s="348"/>
      <c r="DC300" s="348"/>
      <c r="DE300" s="1792"/>
      <c r="DF300" s="345"/>
      <c r="DH300" s="237"/>
      <c r="DI300" s="237"/>
      <c r="DN300" s="347"/>
      <c r="DO300" s="347"/>
      <c r="DP300" s="2505"/>
      <c r="DT300" s="663"/>
      <c r="DU300" s="663"/>
      <c r="DV300" s="663"/>
      <c r="DW300" s="663"/>
      <c r="DX300" s="663"/>
      <c r="DY300" s="663"/>
      <c r="DZ300" s="663"/>
      <c r="EA300" s="663"/>
      <c r="EB300" s="663"/>
      <c r="EC300" s="663"/>
      <c r="ED300" s="663"/>
    </row>
    <row r="301" spans="1:134">
      <c r="A301" s="346">
        <v>34685</v>
      </c>
      <c r="B301" s="345" t="s">
        <v>363</v>
      </c>
      <c r="E301" s="934"/>
      <c r="F301" s="345">
        <v>20.03</v>
      </c>
      <c r="G301" s="345" t="s">
        <v>345</v>
      </c>
      <c r="L301" s="347">
        <v>1103.27</v>
      </c>
      <c r="M301" s="347" t="s">
        <v>310</v>
      </c>
      <c r="Q301" s="348" t="str">
        <f t="array" ref="Q301">IFERROR(IF($Q$11="Yes",INDEX($L$13:$L$2313,SMALL(IF((County=$M$13:$M$2313),MATCH(ROW($M$13:$M$2313),ROW($M$13:$M$2313)),""),ROWS($A$13:A301))),""),"")</f>
        <v/>
      </c>
      <c r="S301" s="346">
        <v>34217</v>
      </c>
      <c r="T301" s="345" t="s">
        <v>349</v>
      </c>
      <c r="V301" s="345">
        <v>54.1</v>
      </c>
      <c r="W301" s="345" t="s">
        <v>352</v>
      </c>
      <c r="AB301" s="347">
        <v>21.01</v>
      </c>
      <c r="AC301" s="347" t="s">
        <v>297</v>
      </c>
      <c r="AD301" s="1138"/>
      <c r="AE301" s="346">
        <v>34681</v>
      </c>
      <c r="AF301" s="345" t="s">
        <v>363</v>
      </c>
      <c r="AI301" s="934"/>
      <c r="AJ301" s="345">
        <v>14.01</v>
      </c>
      <c r="AK301" s="345" t="s">
        <v>345</v>
      </c>
      <c r="AP301" s="347">
        <v>703.2</v>
      </c>
      <c r="AQ301" s="347" t="s">
        <v>310</v>
      </c>
      <c r="AU301" s="348" t="str">
        <f t="array" ref="AU301">IFERROR(IF($AU$11="Yes",INDEX($AP$13:$AP$2950,SMALL(IF((County=$AQ$13:$AQ$2950),MATCH(ROW($AQ$13:$AQ$2950),ROW($AQ$13:$AQ$2950)),""),ROWS($A$13:$A301))),""),"")</f>
        <v/>
      </c>
      <c r="AW301" s="346">
        <v>34145</v>
      </c>
      <c r="AX301" s="345" t="s">
        <v>318</v>
      </c>
      <c r="AZ301" s="345">
        <v>41</v>
      </c>
      <c r="BA301" s="345" t="s">
        <v>337</v>
      </c>
      <c r="BF301" s="347">
        <v>16.03</v>
      </c>
      <c r="BG301" s="347" t="s">
        <v>349</v>
      </c>
      <c r="BH301" s="1790"/>
      <c r="BI301" s="1792">
        <v>33496</v>
      </c>
      <c r="BJ301" s="237" t="s">
        <v>361</v>
      </c>
      <c r="BM301" s="1784"/>
      <c r="BN301" s="345">
        <v>106.13</v>
      </c>
      <c r="BO301" s="345" t="s">
        <v>310</v>
      </c>
      <c r="BT301" s="347">
        <v>703.16</v>
      </c>
      <c r="BU301" s="347" t="s">
        <v>310</v>
      </c>
      <c r="BW301" s="348" t="str">
        <f t="array" ref="BW301">IFERROR(IF($BW$11="Metro",INDEX($BN$13:$BN$4972,SMALL(IF((County=$BO$13:$BO$4972),MATCH(ROW($BO$13:$BO$4972),ROW($BO$13:$BO$4972)),""),ROWS($A$13:$A301))),INDEX($BQ$13:$BQ$212,SMALL(IF((County=$BR$13:$BR$212),MATCH(ROW($BR$13:$BR$212),ROW($BR$13:$BR$212)),""),ROWS($A$13:$A301)))),"")</f>
        <v/>
      </c>
      <c r="BY301" s="348" t="str">
        <f t="array" ref="BY301">IFERROR(IF($BY$11="Yes",INDEX($BT$13:$BT$2950,SMALL(IF((County=$BU$13:$BU$2950),MATCH(ROW($BU$13:$BU$2950),ROW($BU$13:$BU$2950)),""),ROWS($A$13:$A301))),""),"")</f>
        <v/>
      </c>
      <c r="CA301" s="2298">
        <v>33810</v>
      </c>
      <c r="CB301" s="345" t="s">
        <v>365</v>
      </c>
      <c r="CD301" s="237">
        <v>8.02</v>
      </c>
      <c r="CE301" s="237" t="s">
        <v>368</v>
      </c>
      <c r="CJ301" s="347">
        <v>16.07</v>
      </c>
      <c r="CK301" s="347" t="s">
        <v>352</v>
      </c>
      <c r="CL301" s="1789"/>
      <c r="CM301" s="2299"/>
      <c r="CN301" s="345"/>
      <c r="CR301" s="345"/>
      <c r="CS301" s="345"/>
      <c r="CX301" s="347"/>
      <c r="CY301" s="347"/>
      <c r="DA301" s="348"/>
      <c r="DC301" s="348"/>
      <c r="DE301" s="1792"/>
      <c r="DF301" s="345"/>
      <c r="DH301" s="237"/>
      <c r="DI301" s="237"/>
      <c r="DN301" s="347"/>
      <c r="DO301" s="347"/>
      <c r="DP301" s="2505"/>
      <c r="DT301" s="663"/>
      <c r="DU301" s="663"/>
      <c r="DV301" s="663"/>
      <c r="DW301" s="663"/>
      <c r="DX301" s="663"/>
      <c r="DY301" s="663"/>
      <c r="DZ301" s="663"/>
      <c r="EA301" s="663"/>
      <c r="EB301" s="663"/>
      <c r="EC301" s="663"/>
      <c r="ED301" s="663"/>
    </row>
    <row r="302" spans="1:134">
      <c r="A302" s="346">
        <v>34688</v>
      </c>
      <c r="B302" s="345" t="s">
        <v>363</v>
      </c>
      <c r="E302" s="934"/>
      <c r="F302" s="345">
        <v>20.04</v>
      </c>
      <c r="G302" s="345" t="s">
        <v>345</v>
      </c>
      <c r="L302" s="347">
        <v>1103.28</v>
      </c>
      <c r="M302" s="347" t="s">
        <v>310</v>
      </c>
      <c r="Q302" s="1788" t="s">
        <v>2594</v>
      </c>
      <c r="S302" s="346">
        <v>34219</v>
      </c>
      <c r="T302" s="345" t="s">
        <v>349</v>
      </c>
      <c r="V302" s="345">
        <v>55.02</v>
      </c>
      <c r="W302" s="345" t="s">
        <v>352</v>
      </c>
      <c r="AB302" s="347">
        <v>21.01</v>
      </c>
      <c r="AC302" s="347" t="s">
        <v>323</v>
      </c>
      <c r="AD302" s="1138"/>
      <c r="AE302" s="346">
        <v>34683</v>
      </c>
      <c r="AF302" s="345" t="s">
        <v>363</v>
      </c>
      <c r="AI302" s="934"/>
      <c r="AJ302" s="345">
        <v>14.02</v>
      </c>
      <c r="AK302" s="345" t="s">
        <v>345</v>
      </c>
      <c r="AP302" s="347">
        <v>703.21</v>
      </c>
      <c r="AQ302" s="347" t="s">
        <v>310</v>
      </c>
      <c r="AU302" s="348" t="str">
        <f t="array" ref="AU302">IFERROR(IF($AU$11="Yes",INDEX($AP$13:$AP$2950,SMALL(IF((County=$AQ$13:$AQ$2950),MATCH(ROW($AQ$13:$AQ$2950),ROW($AQ$13:$AQ$2950)),""),ROWS($A$13:$A302))),""),"")</f>
        <v/>
      </c>
      <c r="AW302" s="346">
        <v>34201</v>
      </c>
      <c r="AX302" s="345" t="s">
        <v>349</v>
      </c>
      <c r="AZ302" s="345">
        <v>41.03</v>
      </c>
      <c r="BA302" s="345" t="s">
        <v>352</v>
      </c>
      <c r="BF302" s="347">
        <v>16.03</v>
      </c>
      <c r="BG302" s="347" t="s">
        <v>352</v>
      </c>
      <c r="BH302" s="1790"/>
      <c r="BI302" s="1792">
        <v>33498</v>
      </c>
      <c r="BJ302" s="237" t="s">
        <v>361</v>
      </c>
      <c r="BM302" s="1784"/>
      <c r="BN302" s="345">
        <v>106.14</v>
      </c>
      <c r="BO302" s="345" t="s">
        <v>310</v>
      </c>
      <c r="BT302" s="347">
        <v>703.18</v>
      </c>
      <c r="BU302" s="347" t="s">
        <v>310</v>
      </c>
      <c r="BW302" s="348" t="str">
        <f t="array" ref="BW302">IFERROR(IF($BW$11="Metro",INDEX($BN$13:$BN$4972,SMALL(IF((County=$BO$13:$BO$4972),MATCH(ROW($BO$13:$BO$4972),ROW($BO$13:$BO$4972)),""),ROWS($A$13:$A302))),INDEX($BQ$13:$BQ$212,SMALL(IF((County=$BR$13:$BR$212),MATCH(ROW($BR$13:$BR$212),ROW($BR$13:$BR$212)),""),ROWS($A$13:$A302)))),"")</f>
        <v/>
      </c>
      <c r="BY302" s="348" t="str">
        <f t="array" ref="BY302">IFERROR(IF($BY$11="Yes",INDEX($BT$13:$BT$2950,SMALL(IF((County=$BU$13:$BU$2950),MATCH(ROW($BU$13:$BU$2950),ROW($BU$13:$BU$2950)),""),ROWS($A$13:$A302))),""),"")</f>
        <v/>
      </c>
      <c r="CA302" s="2298">
        <v>33812</v>
      </c>
      <c r="CB302" s="345" t="s">
        <v>365</v>
      </c>
      <c r="CD302" s="345">
        <v>8.0299999999999994</v>
      </c>
      <c r="CE302" s="345" t="s">
        <v>306</v>
      </c>
      <c r="CJ302" s="347">
        <v>17</v>
      </c>
      <c r="CK302" s="347" t="s">
        <v>337</v>
      </c>
      <c r="CL302" s="1789"/>
      <c r="CM302" s="2299"/>
      <c r="CN302" s="345"/>
      <c r="CR302" s="345"/>
      <c r="CS302" s="345"/>
      <c r="CX302" s="347"/>
      <c r="CY302" s="347"/>
      <c r="DA302" s="348"/>
      <c r="DC302" s="348"/>
      <c r="DE302" s="1792"/>
      <c r="DF302" s="345"/>
      <c r="DH302" s="237"/>
      <c r="DI302" s="237"/>
      <c r="DN302" s="347"/>
      <c r="DO302" s="347"/>
      <c r="DP302" s="2505"/>
      <c r="DT302" s="663"/>
      <c r="DU302" s="663"/>
      <c r="DV302" s="663"/>
      <c r="DW302" s="663"/>
      <c r="DX302" s="663"/>
      <c r="DY302" s="663"/>
      <c r="DZ302" s="663"/>
      <c r="EA302" s="663"/>
      <c r="EB302" s="663"/>
      <c r="EC302" s="663"/>
      <c r="ED302" s="663"/>
    </row>
    <row r="303" spans="1:134">
      <c r="A303" s="346">
        <v>34695</v>
      </c>
      <c r="B303" s="345" t="s">
        <v>363</v>
      </c>
      <c r="E303" s="934"/>
      <c r="F303" s="345">
        <v>20.05</v>
      </c>
      <c r="G303" s="345" t="s">
        <v>345</v>
      </c>
      <c r="L303" s="347">
        <v>1103.3</v>
      </c>
      <c r="M303" s="347" t="s">
        <v>310</v>
      </c>
      <c r="S303" s="346">
        <v>34232</v>
      </c>
      <c r="T303" s="345" t="s">
        <v>368</v>
      </c>
      <c r="V303" s="345">
        <v>57.01</v>
      </c>
      <c r="W303" s="345" t="s">
        <v>352</v>
      </c>
      <c r="AB303" s="347">
        <v>21.01</v>
      </c>
      <c r="AC303" s="347" t="s">
        <v>345</v>
      </c>
      <c r="AD303" s="1138"/>
      <c r="AE303" s="346">
        <v>34684</v>
      </c>
      <c r="AF303" s="345" t="s">
        <v>363</v>
      </c>
      <c r="AI303" s="934"/>
      <c r="AJ303" s="345">
        <v>18.010000000000002</v>
      </c>
      <c r="AK303" s="345" t="s">
        <v>345</v>
      </c>
      <c r="AP303" s="347">
        <v>703.23</v>
      </c>
      <c r="AQ303" s="347" t="s">
        <v>310</v>
      </c>
      <c r="AU303" s="348" t="str">
        <f t="array" ref="AU303">IFERROR(IF($AU$11="Yes",INDEX($AP$13:$AP$2950,SMALL(IF((County=$AQ$13:$AQ$2950),MATCH(ROW($AQ$13:$AQ$2950),ROW($AQ$13:$AQ$2950)),""),ROWS($A$13:$A303))),""),"")</f>
        <v/>
      </c>
      <c r="AW303" s="346">
        <v>34202</v>
      </c>
      <c r="AX303" s="345" t="s">
        <v>349</v>
      </c>
      <c r="AZ303" s="345">
        <v>42</v>
      </c>
      <c r="BA303" s="345" t="s">
        <v>337</v>
      </c>
      <c r="BF303" s="347">
        <v>16.05</v>
      </c>
      <c r="BG303" s="347" t="s">
        <v>297</v>
      </c>
      <c r="BH303" s="1790"/>
      <c r="BI303" s="2298">
        <v>33543</v>
      </c>
      <c r="BJ303" s="237" t="s">
        <v>362</v>
      </c>
      <c r="BM303" s="1784"/>
      <c r="BN303" s="345">
        <v>106.15</v>
      </c>
      <c r="BO303" s="345" t="s">
        <v>310</v>
      </c>
      <c r="BT303" s="347">
        <v>703.19</v>
      </c>
      <c r="BU303" s="347" t="s">
        <v>310</v>
      </c>
      <c r="BW303" s="348" t="str">
        <f t="array" ref="BW303">IFERROR(IF($BW$11="Metro",INDEX($BN$13:$BN$4972,SMALL(IF((County=$BO$13:$BO$4972),MATCH(ROW($BO$13:$BO$4972),ROW($BO$13:$BO$4972)),""),ROWS($A$13:$A303))),INDEX($BQ$13:$BQ$212,SMALL(IF((County=$BR$13:$BR$212),MATCH(ROW($BR$13:$BR$212),ROW($BR$13:$BR$212)),""),ROWS($A$13:$A303)))),"")</f>
        <v/>
      </c>
      <c r="BY303" s="348" t="str">
        <f t="array" ref="BY303">IFERROR(IF($BY$11="Yes",INDEX($BT$13:$BT$2950,SMALL(IF((County=$BU$13:$BU$2950),MATCH(ROW($BU$13:$BU$2950),ROW($BU$13:$BU$2950)),""),ROWS($A$13:$A303))),""),"")</f>
        <v/>
      </c>
      <c r="CA303" s="2298">
        <v>33813</v>
      </c>
      <c r="CB303" s="345" t="s">
        <v>365</v>
      </c>
      <c r="CD303" s="237">
        <v>8.0299999999999994</v>
      </c>
      <c r="CE303" s="237" t="s">
        <v>350</v>
      </c>
      <c r="CJ303" s="347">
        <v>17.010000000000002</v>
      </c>
      <c r="CK303" s="347" t="s">
        <v>297</v>
      </c>
      <c r="CL303" s="1789"/>
      <c r="CM303" s="2299"/>
      <c r="CN303" s="345"/>
      <c r="CR303" s="345"/>
      <c r="CS303" s="345"/>
      <c r="CX303" s="347"/>
      <c r="CY303" s="347"/>
      <c r="DA303" s="348"/>
      <c r="DC303" s="348"/>
      <c r="DE303" s="1792"/>
      <c r="DF303" s="345"/>
      <c r="DH303" s="237"/>
      <c r="DI303" s="237"/>
      <c r="DN303" s="347"/>
      <c r="DO303" s="347"/>
      <c r="DP303" s="2505"/>
      <c r="DT303" s="663"/>
      <c r="DU303" s="663"/>
      <c r="DV303" s="663"/>
      <c r="DW303" s="663"/>
      <c r="DX303" s="663"/>
      <c r="DY303" s="663"/>
      <c r="DZ303" s="663"/>
      <c r="EA303" s="663"/>
      <c r="EB303" s="663"/>
      <c r="EC303" s="663"/>
      <c r="ED303" s="663"/>
    </row>
    <row r="304" spans="1:134">
      <c r="A304" s="346">
        <v>34698</v>
      </c>
      <c r="B304" s="345" t="s">
        <v>363</v>
      </c>
      <c r="E304" s="934"/>
      <c r="F304" s="345">
        <v>20.059999999999999</v>
      </c>
      <c r="G304" s="345" t="s">
        <v>345</v>
      </c>
      <c r="L304" s="347">
        <v>1103.31</v>
      </c>
      <c r="M304" s="347" t="s">
        <v>310</v>
      </c>
      <c r="S304" s="346">
        <v>34233</v>
      </c>
      <c r="T304" s="345" t="s">
        <v>368</v>
      </c>
      <c r="V304" s="345">
        <v>57.01</v>
      </c>
      <c r="W304" s="345" t="s">
        <v>361</v>
      </c>
      <c r="AB304" s="347">
        <v>21.02</v>
      </c>
      <c r="AC304" s="347" t="s">
        <v>297</v>
      </c>
      <c r="AD304" s="1138"/>
      <c r="AE304" s="346">
        <v>34685</v>
      </c>
      <c r="AF304" s="345" t="s">
        <v>363</v>
      </c>
      <c r="AI304" s="934"/>
      <c r="AJ304" s="345">
        <v>19.010000000000002</v>
      </c>
      <c r="AK304" s="345" t="s">
        <v>345</v>
      </c>
      <c r="AP304" s="347">
        <v>703.25</v>
      </c>
      <c r="AQ304" s="347" t="s">
        <v>310</v>
      </c>
      <c r="AU304" s="348" t="str">
        <f t="array" ref="AU304">IFERROR(IF($AU$11="Yes",INDEX($AP$13:$AP$2950,SMALL(IF((County=$AQ$13:$AQ$2950),MATCH(ROW($AQ$13:$AQ$2950),ROW($AQ$13:$AQ$2950)),""),ROWS($A$13:$A304))),""),"")</f>
        <v/>
      </c>
      <c r="AW304" s="346">
        <v>34211</v>
      </c>
      <c r="AX304" s="345" t="s">
        <v>349</v>
      </c>
      <c r="AZ304" s="345">
        <v>43</v>
      </c>
      <c r="BA304" s="345" t="s">
        <v>337</v>
      </c>
      <c r="BF304" s="347">
        <v>16.07</v>
      </c>
      <c r="BG304" s="347" t="s">
        <v>352</v>
      </c>
      <c r="BH304" s="1790"/>
      <c r="BI304" s="2298">
        <v>33544</v>
      </c>
      <c r="BJ304" s="237" t="s">
        <v>362</v>
      </c>
      <c r="BM304" s="1784"/>
      <c r="BN304" s="345">
        <v>107.01</v>
      </c>
      <c r="BO304" s="345" t="s">
        <v>310</v>
      </c>
      <c r="BT304" s="347">
        <v>703.2</v>
      </c>
      <c r="BU304" s="347" t="s">
        <v>310</v>
      </c>
      <c r="BW304" s="348" t="str">
        <f t="array" ref="BW304">IFERROR(IF($BW$11="Metro",INDEX($BN$13:$BN$4972,SMALL(IF((County=$BO$13:$BO$4972),MATCH(ROW($BO$13:$BO$4972),ROW($BO$13:$BO$4972)),""),ROWS($A$13:$A304))),INDEX($BQ$13:$BQ$212,SMALL(IF((County=$BR$13:$BR$212),MATCH(ROW($BR$13:$BR$212),ROW($BR$13:$BR$212)),""),ROWS($A$13:$A304)))),"")</f>
        <v/>
      </c>
      <c r="BY304" s="348" t="str">
        <f t="array" ref="BY304">IFERROR(IF($BY$11="Yes",INDEX($BT$13:$BT$2950,SMALL(IF((County=$BU$13:$BU$2950),MATCH(ROW($BU$13:$BU$2950),ROW($BU$13:$BU$2950)),""),ROWS($A$13:$A304))),""),"")</f>
        <v/>
      </c>
      <c r="CA304" s="2298">
        <v>33827</v>
      </c>
      <c r="CB304" s="345" t="s">
        <v>365</v>
      </c>
      <c r="CD304" s="237">
        <v>8.0299999999999994</v>
      </c>
      <c r="CE304" s="237" t="s">
        <v>361</v>
      </c>
      <c r="CJ304" s="347">
        <v>17.010000000000002</v>
      </c>
      <c r="CK304" s="347" t="s">
        <v>344</v>
      </c>
      <c r="CL304" s="1789"/>
      <c r="CM304" s="2299"/>
      <c r="CN304" s="345"/>
      <c r="CR304" s="345"/>
      <c r="CS304" s="345"/>
      <c r="CX304" s="347"/>
      <c r="CY304" s="347"/>
      <c r="DA304" s="348"/>
      <c r="DC304" s="348"/>
      <c r="DE304" s="1792"/>
      <c r="DF304" s="345"/>
      <c r="DH304" s="237"/>
      <c r="DI304" s="237"/>
      <c r="DN304" s="347"/>
      <c r="DO304" s="347"/>
      <c r="DP304" s="2505"/>
      <c r="DT304" s="663"/>
      <c r="DU304" s="663"/>
      <c r="DV304" s="663"/>
      <c r="DW304" s="663"/>
      <c r="DX304" s="663"/>
      <c r="DY304" s="663"/>
      <c r="DZ304" s="663"/>
      <c r="EA304" s="663"/>
      <c r="EB304" s="663"/>
      <c r="EC304" s="663"/>
      <c r="ED304" s="663"/>
    </row>
    <row r="305" spans="1:134">
      <c r="A305" s="346">
        <v>33803</v>
      </c>
      <c r="B305" s="345" t="s">
        <v>365</v>
      </c>
      <c r="E305" s="934"/>
      <c r="F305" s="345">
        <v>21.03</v>
      </c>
      <c r="G305" s="345" t="s">
        <v>345</v>
      </c>
      <c r="L305" s="347">
        <v>1103.32</v>
      </c>
      <c r="M305" s="347" t="s">
        <v>310</v>
      </c>
      <c r="S305" s="346">
        <v>34235</v>
      </c>
      <c r="T305" s="345" t="s">
        <v>368</v>
      </c>
      <c r="V305" s="345">
        <v>57.02</v>
      </c>
      <c r="W305" s="345" t="s">
        <v>361</v>
      </c>
      <c r="AB305" s="347">
        <v>21.02</v>
      </c>
      <c r="AC305" s="347" t="s">
        <v>323</v>
      </c>
      <c r="AD305" s="1138"/>
      <c r="AE305" s="346">
        <v>34688</v>
      </c>
      <c r="AF305" s="345" t="s">
        <v>363</v>
      </c>
      <c r="AI305" s="934"/>
      <c r="AJ305" s="345">
        <v>19.02</v>
      </c>
      <c r="AK305" s="345" t="s">
        <v>345</v>
      </c>
      <c r="AP305" s="347">
        <v>703.26</v>
      </c>
      <c r="AQ305" s="347" t="s">
        <v>310</v>
      </c>
      <c r="AU305" s="348" t="str">
        <f t="array" ref="AU305">IFERROR(IF($AU$11="Yes",INDEX($AP$13:$AP$2950,SMALL(IF((County=$AQ$13:$AQ$2950),MATCH(ROW($AQ$13:$AQ$2950),ROW($AQ$13:$AQ$2950)),""),ROWS($A$13:$A305))),""),"")</f>
        <v/>
      </c>
      <c r="AW305" s="346">
        <v>34212</v>
      </c>
      <c r="AX305" s="345" t="s">
        <v>349</v>
      </c>
      <c r="AZ305" s="345">
        <v>44</v>
      </c>
      <c r="BA305" s="345" t="s">
        <v>337</v>
      </c>
      <c r="BF305" s="347">
        <v>16.079999999999998</v>
      </c>
      <c r="BG305" s="347" t="s">
        <v>352</v>
      </c>
      <c r="BH305" s="1790"/>
      <c r="BI305" s="2298">
        <v>33545</v>
      </c>
      <c r="BJ305" s="237" t="s">
        <v>362</v>
      </c>
      <c r="BM305" s="1784"/>
      <c r="BN305" s="345">
        <v>107.02</v>
      </c>
      <c r="BO305" s="345" t="s">
        <v>310</v>
      </c>
      <c r="BT305" s="347">
        <v>703.21</v>
      </c>
      <c r="BU305" s="347" t="s">
        <v>310</v>
      </c>
      <c r="BW305" s="348" t="str">
        <f t="array" ref="BW305">IFERROR(IF($BW$11="Metro",INDEX($BN$13:$BN$4972,SMALL(IF((County=$BO$13:$BO$4972),MATCH(ROW($BO$13:$BO$4972),ROW($BO$13:$BO$4972)),""),ROWS($A$13:$A305))),INDEX($BQ$13:$BQ$212,SMALL(IF((County=$BR$13:$BR$212),MATCH(ROW($BR$13:$BR$212),ROW($BR$13:$BR$212)),""),ROWS($A$13:$A305)))),"")</f>
        <v/>
      </c>
      <c r="BY305" s="348" t="str">
        <f t="array" ref="BY305">IFERROR(IF($BY$11="Yes",INDEX($BT$13:$BT$2950,SMALL(IF((County=$BU$13:$BU$2950),MATCH(ROW($BU$13:$BU$2950),ROW($BU$13:$BU$2950)),""),ROWS($A$13:$A305))),""),"")</f>
        <v/>
      </c>
      <c r="CA305" s="2298">
        <v>33837</v>
      </c>
      <c r="CB305" s="345" t="s">
        <v>365</v>
      </c>
      <c r="CD305" s="345">
        <v>8.0399999999999991</v>
      </c>
      <c r="CE305" s="345" t="s">
        <v>306</v>
      </c>
      <c r="CJ305" s="347">
        <v>17.010000000000002</v>
      </c>
      <c r="CK305" s="347" t="s">
        <v>345</v>
      </c>
      <c r="CL305" s="1789"/>
      <c r="CM305" s="2299"/>
      <c r="CN305" s="345"/>
      <c r="CR305" s="345"/>
      <c r="CS305" s="345"/>
      <c r="CX305" s="347"/>
      <c r="CY305" s="347"/>
      <c r="DA305" s="348"/>
      <c r="DC305" s="348"/>
      <c r="DE305" s="1792"/>
      <c r="DF305" s="345"/>
      <c r="DH305" s="237"/>
      <c r="DI305" s="237"/>
      <c r="DN305" s="347"/>
      <c r="DO305" s="347"/>
      <c r="DP305" s="2505"/>
      <c r="DT305" s="663"/>
      <c r="DU305" s="663"/>
      <c r="DV305" s="663"/>
      <c r="DW305" s="663"/>
      <c r="DX305" s="663"/>
      <c r="DY305" s="663"/>
      <c r="DZ305" s="663"/>
      <c r="EA305" s="663"/>
      <c r="EB305" s="663"/>
      <c r="EC305" s="663"/>
      <c r="ED305" s="663"/>
    </row>
    <row r="306" spans="1:134">
      <c r="A306" s="346">
        <v>33805</v>
      </c>
      <c r="B306" s="345" t="s">
        <v>365</v>
      </c>
      <c r="E306" s="934"/>
      <c r="F306" s="345">
        <v>21.04</v>
      </c>
      <c r="G306" s="345" t="s">
        <v>345</v>
      </c>
      <c r="L306" s="347">
        <v>1103.33</v>
      </c>
      <c r="M306" s="347" t="s">
        <v>310</v>
      </c>
      <c r="S306" s="346">
        <v>34238</v>
      </c>
      <c r="T306" s="345" t="s">
        <v>368</v>
      </c>
      <c r="V306" s="345">
        <v>57.03</v>
      </c>
      <c r="W306" s="345" t="s">
        <v>352</v>
      </c>
      <c r="AB306" s="347">
        <v>22</v>
      </c>
      <c r="AC306" s="347" t="s">
        <v>323</v>
      </c>
      <c r="AD306" s="1138"/>
      <c r="AE306" s="346">
        <v>34695</v>
      </c>
      <c r="AF306" s="345" t="s">
        <v>363</v>
      </c>
      <c r="AI306" s="934"/>
      <c r="AJ306" s="345">
        <v>20.03</v>
      </c>
      <c r="AK306" s="345" t="s">
        <v>345</v>
      </c>
      <c r="AP306" s="347">
        <v>703.27</v>
      </c>
      <c r="AQ306" s="347" t="s">
        <v>310</v>
      </c>
      <c r="AU306" s="348" t="str">
        <f t="array" ref="AU306">IFERROR(IF($AU$11="Yes",INDEX($AP$13:$AP$2950,SMALL(IF((County=$AQ$13:$AQ$2950),MATCH(ROW($AQ$13:$AQ$2950),ROW($AQ$13:$AQ$2950)),""),ROWS($A$13:$A306))),""),"")</f>
        <v/>
      </c>
      <c r="AW306" s="346">
        <v>34216</v>
      </c>
      <c r="AX306" s="345" t="s">
        <v>349</v>
      </c>
      <c r="AZ306" s="345">
        <v>44.02</v>
      </c>
      <c r="BA306" s="345" t="s">
        <v>361</v>
      </c>
      <c r="BF306" s="347">
        <v>17</v>
      </c>
      <c r="BG306" s="347" t="s">
        <v>337</v>
      </c>
      <c r="BH306" s="1790"/>
      <c r="BI306" s="2298">
        <v>34637</v>
      </c>
      <c r="BJ306" s="237" t="s">
        <v>362</v>
      </c>
      <c r="BM306" s="1784"/>
      <c r="BN306" s="345">
        <v>108</v>
      </c>
      <c r="BO306" s="345" t="s">
        <v>310</v>
      </c>
      <c r="BT306" s="347">
        <v>703.23</v>
      </c>
      <c r="BU306" s="347" t="s">
        <v>310</v>
      </c>
      <c r="BW306" s="348" t="str">
        <f t="array" ref="BW306">IFERROR(IF($BW$11="Metro",INDEX($BN$13:$BN$4972,SMALL(IF((County=$BO$13:$BO$4972),MATCH(ROW($BO$13:$BO$4972),ROW($BO$13:$BO$4972)),""),ROWS($A$13:$A306))),INDEX($BQ$13:$BQ$212,SMALL(IF((County=$BR$13:$BR$212),MATCH(ROW($BR$13:$BR$212),ROW($BR$13:$BR$212)),""),ROWS($A$13:$A306)))),"")</f>
        <v/>
      </c>
      <c r="BY306" s="348" t="str">
        <f t="array" ref="BY306">IFERROR(IF($BY$11="Yes",INDEX($BT$13:$BT$2950,SMALL(IF((County=$BU$13:$BU$2950),MATCH(ROW($BU$13:$BU$2950),ROW($BU$13:$BU$2950)),""),ROWS($A$13:$A306))),""),"")</f>
        <v/>
      </c>
      <c r="CA306" s="2298">
        <v>33848</v>
      </c>
      <c r="CB306" s="345" t="s">
        <v>360</v>
      </c>
      <c r="CD306" s="237">
        <v>8.0399999999999991</v>
      </c>
      <c r="CE306" s="237" t="s">
        <v>349</v>
      </c>
      <c r="CJ306" s="347">
        <v>17.010000000000002</v>
      </c>
      <c r="CK306" s="347" t="s">
        <v>349</v>
      </c>
      <c r="CL306" s="1789"/>
      <c r="CM306" s="2299"/>
      <c r="CN306" s="345"/>
      <c r="CR306" s="345"/>
      <c r="CS306" s="345"/>
      <c r="CX306" s="347"/>
      <c r="CY306" s="347"/>
      <c r="DA306" s="348"/>
      <c r="DC306" s="348"/>
      <c r="DE306" s="1792"/>
      <c r="DF306" s="345"/>
      <c r="DH306" s="237"/>
      <c r="DI306" s="237"/>
      <c r="DN306" s="347"/>
      <c r="DO306" s="347"/>
      <c r="DP306" s="2505"/>
      <c r="DT306" s="663"/>
      <c r="DU306" s="663"/>
      <c r="DV306" s="663"/>
      <c r="DW306" s="663"/>
      <c r="DX306" s="663"/>
      <c r="DY306" s="663"/>
      <c r="DZ306" s="663"/>
      <c r="EA306" s="663"/>
      <c r="EB306" s="663"/>
      <c r="EC306" s="663"/>
      <c r="ED306" s="663"/>
    </row>
    <row r="307" spans="1:134">
      <c r="A307" s="346">
        <v>33809</v>
      </c>
      <c r="B307" s="345" t="s">
        <v>365</v>
      </c>
      <c r="E307" s="934"/>
      <c r="F307" s="345">
        <v>1.03</v>
      </c>
      <c r="G307" s="345" t="s">
        <v>349</v>
      </c>
      <c r="L307" s="347">
        <v>1103.3599999999999</v>
      </c>
      <c r="M307" s="347" t="s">
        <v>310</v>
      </c>
      <c r="S307" s="346">
        <v>34240</v>
      </c>
      <c r="T307" s="345" t="s">
        <v>368</v>
      </c>
      <c r="V307" s="345">
        <v>57.04</v>
      </c>
      <c r="W307" s="345" t="s">
        <v>352</v>
      </c>
      <c r="AB307" s="347">
        <v>22</v>
      </c>
      <c r="AC307" s="347" t="s">
        <v>337</v>
      </c>
      <c r="AD307" s="1138"/>
      <c r="AE307" s="346">
        <v>34698</v>
      </c>
      <c r="AF307" s="345" t="s">
        <v>363</v>
      </c>
      <c r="AI307" s="934"/>
      <c r="AJ307" s="345">
        <v>20.05</v>
      </c>
      <c r="AK307" s="345" t="s">
        <v>345</v>
      </c>
      <c r="AP307" s="347">
        <v>703.29</v>
      </c>
      <c r="AQ307" s="347" t="s">
        <v>310</v>
      </c>
      <c r="AU307" s="348" t="str">
        <f t="array" ref="AU307">IFERROR(IF($AU$11="Yes",INDEX($AP$13:$AP$2950,SMALL(IF((County=$AQ$13:$AQ$2950),MATCH(ROW($AQ$13:$AQ$2950),ROW($AQ$13:$AQ$2950)),""),ROWS($A$13:$A307))),""),"")</f>
        <v/>
      </c>
      <c r="AW307" s="346">
        <v>34217</v>
      </c>
      <c r="AX307" s="345" t="s">
        <v>349</v>
      </c>
      <c r="AZ307" s="345">
        <v>44.04</v>
      </c>
      <c r="BA307" s="345" t="s">
        <v>352</v>
      </c>
      <c r="BF307" s="347">
        <v>17.010000000000002</v>
      </c>
      <c r="BG307" s="347" t="s">
        <v>297</v>
      </c>
      <c r="BH307" s="1790"/>
      <c r="BI307" s="2298">
        <v>34638</v>
      </c>
      <c r="BJ307" s="237" t="s">
        <v>362</v>
      </c>
      <c r="BM307" s="1784"/>
      <c r="BN307" s="345">
        <v>109.01</v>
      </c>
      <c r="BO307" s="345" t="s">
        <v>310</v>
      </c>
      <c r="BT307" s="347">
        <v>703.25</v>
      </c>
      <c r="BU307" s="347" t="s">
        <v>310</v>
      </c>
      <c r="BW307" s="348" t="str">
        <f t="array" ref="BW307">IFERROR(IF($BW$11="Metro",INDEX($BN$13:$BN$4972,SMALL(IF((County=$BO$13:$BO$4972),MATCH(ROW($BO$13:$BO$4972),ROW($BO$13:$BO$4972)),""),ROWS($A$13:$A307))),INDEX($BQ$13:$BQ$212,SMALL(IF((County=$BR$13:$BR$212),MATCH(ROW($BR$13:$BR$212),ROW($BR$13:$BR$212)),""),ROWS($A$13:$A307)))),"")</f>
        <v/>
      </c>
      <c r="BY307" s="348" t="str">
        <f t="array" ref="BY307">IFERROR(IF($BY$11="Yes",INDEX($BT$13:$BT$2950,SMALL(IF((County=$BU$13:$BU$2950),MATCH(ROW($BU$13:$BU$2950),ROW($BU$13:$BU$2950)),""),ROWS($A$13:$A307))),""),"")</f>
        <v/>
      </c>
      <c r="CA307" s="2298">
        <v>33876</v>
      </c>
      <c r="CB307" s="345" t="s">
        <v>336</v>
      </c>
      <c r="CD307" s="237">
        <v>8.0399999999999991</v>
      </c>
      <c r="CE307" s="237" t="s">
        <v>350</v>
      </c>
      <c r="CJ307" s="347">
        <v>17.010000000000002</v>
      </c>
      <c r="CK307" s="347" t="s">
        <v>351</v>
      </c>
      <c r="CL307" s="1789"/>
      <c r="CM307" s="2299"/>
      <c r="CN307" s="345"/>
      <c r="CR307" s="345"/>
      <c r="CS307" s="345"/>
      <c r="CX307" s="347"/>
      <c r="CY307" s="347"/>
      <c r="DA307" s="348"/>
      <c r="DC307" s="348"/>
      <c r="DE307" s="1792"/>
      <c r="DF307" s="345"/>
      <c r="DH307" s="237"/>
      <c r="DI307" s="237"/>
      <c r="DN307" s="347"/>
      <c r="DO307" s="347"/>
      <c r="DP307" s="2505"/>
      <c r="DT307" s="663"/>
      <c r="DU307" s="663"/>
      <c r="DV307" s="663"/>
      <c r="DW307" s="663"/>
      <c r="DX307" s="663"/>
      <c r="DY307" s="663"/>
      <c r="DZ307" s="663"/>
      <c r="EA307" s="663"/>
      <c r="EB307" s="663"/>
      <c r="EC307" s="663"/>
      <c r="ED307" s="663"/>
    </row>
    <row r="308" spans="1:134">
      <c r="A308" s="346">
        <v>33810</v>
      </c>
      <c r="B308" s="345" t="s">
        <v>365</v>
      </c>
      <c r="E308" s="934"/>
      <c r="F308" s="345">
        <v>1.05</v>
      </c>
      <c r="G308" s="345" t="s">
        <v>349</v>
      </c>
      <c r="L308" s="347">
        <v>1103.3699999999999</v>
      </c>
      <c r="M308" s="347" t="s">
        <v>310</v>
      </c>
      <c r="S308" s="346">
        <v>34241</v>
      </c>
      <c r="T308" s="345" t="s">
        <v>368</v>
      </c>
      <c r="V308" s="345">
        <v>58.14</v>
      </c>
      <c r="W308" s="345" t="s">
        <v>361</v>
      </c>
      <c r="AB308" s="347">
        <v>22.01</v>
      </c>
      <c r="AC308" s="347" t="s">
        <v>297</v>
      </c>
      <c r="AD308" s="1138"/>
      <c r="AE308" s="346">
        <v>33803</v>
      </c>
      <c r="AF308" s="345" t="s">
        <v>365</v>
      </c>
      <c r="AI308" s="934"/>
      <c r="AJ308" s="345">
        <v>20.059999999999999</v>
      </c>
      <c r="AK308" s="345" t="s">
        <v>345</v>
      </c>
      <c r="AP308" s="347">
        <v>703.3</v>
      </c>
      <c r="AQ308" s="347" t="s">
        <v>310</v>
      </c>
      <c r="AU308" s="348" t="str">
        <f t="array" ref="AU308">IFERROR(IF($AU$11="Yes",INDEX($AP$13:$AP$2950,SMALL(IF((County=$AQ$13:$AQ$2950),MATCH(ROW($AQ$13:$AQ$2950),ROW($AQ$13:$AQ$2950)),""),ROWS($A$13:$A308))),""),"")</f>
        <v/>
      </c>
      <c r="AW308" s="346">
        <v>34219</v>
      </c>
      <c r="AX308" s="345" t="s">
        <v>349</v>
      </c>
      <c r="AZ308" s="345">
        <v>44.05</v>
      </c>
      <c r="BA308" s="345" t="s">
        <v>352</v>
      </c>
      <c r="BF308" s="347">
        <v>17.010000000000002</v>
      </c>
      <c r="BG308" s="347" t="s">
        <v>344</v>
      </c>
      <c r="BH308" s="1790"/>
      <c r="BI308" s="2299">
        <v>34639</v>
      </c>
      <c r="BJ308" s="345" t="s">
        <v>362</v>
      </c>
      <c r="BM308" s="1784"/>
      <c r="BN308" s="345">
        <v>109.02</v>
      </c>
      <c r="BO308" s="345" t="s">
        <v>310</v>
      </c>
      <c r="BT308" s="347">
        <v>703.26</v>
      </c>
      <c r="BU308" s="347" t="s">
        <v>310</v>
      </c>
      <c r="BW308" s="348" t="str">
        <f t="array" ref="BW308">IFERROR(IF($BW$11="Metro",INDEX($BN$13:$BN$4972,SMALL(IF((County=$BO$13:$BO$4972),MATCH(ROW($BO$13:$BO$4972),ROW($BO$13:$BO$4972)),""),ROWS($A$13:$A308))),INDEX($BQ$13:$BQ$212,SMALL(IF((County=$BR$13:$BR$212),MATCH(ROW($BR$13:$BR$212),ROW($BR$13:$BR$212)),""),ROWS($A$13:$A308)))),"")</f>
        <v/>
      </c>
      <c r="BY308" s="348" t="str">
        <f t="array" ref="BY308">IFERROR(IF($BY$11="Yes",INDEX($BT$13:$BT$2950,SMALL(IF((County=$BU$13:$BU$2950),MATCH(ROW($BU$13:$BU$2950),ROW($BU$13:$BU$2950)),""),ROWS($A$13:$A308))),""),"")</f>
        <v/>
      </c>
      <c r="CA308" s="2298">
        <v>33884</v>
      </c>
      <c r="CB308" s="345" t="s">
        <v>365</v>
      </c>
      <c r="CD308" s="237">
        <v>8.0399999999999991</v>
      </c>
      <c r="CE308" s="237" t="s">
        <v>352</v>
      </c>
      <c r="CJ308" s="347">
        <v>17.02</v>
      </c>
      <c r="CK308" s="347" t="s">
        <v>297</v>
      </c>
      <c r="CL308" s="1789"/>
      <c r="CM308" s="2299"/>
      <c r="CN308" s="345"/>
      <c r="CR308" s="345"/>
      <c r="CS308" s="345"/>
      <c r="CX308" s="347"/>
      <c r="CY308" s="347"/>
      <c r="DA308" s="348"/>
      <c r="DC308" s="348"/>
      <c r="DE308" s="1792"/>
      <c r="DF308" s="345"/>
      <c r="DH308" s="237"/>
      <c r="DI308" s="237"/>
      <c r="DN308" s="347"/>
      <c r="DO308" s="347"/>
      <c r="DP308" s="2505"/>
      <c r="DT308" s="663"/>
      <c r="DU308" s="663"/>
      <c r="DV308" s="663"/>
      <c r="DW308" s="663"/>
      <c r="DX308" s="663"/>
      <c r="DY308" s="663"/>
      <c r="DZ308" s="663"/>
      <c r="EA308" s="663"/>
      <c r="EB308" s="663"/>
      <c r="EC308" s="663"/>
      <c r="ED308" s="663"/>
    </row>
    <row r="309" spans="1:134">
      <c r="A309" s="346">
        <v>33811</v>
      </c>
      <c r="B309" s="345" t="s">
        <v>365</v>
      </c>
      <c r="E309" s="934"/>
      <c r="F309" s="345">
        <v>1.06</v>
      </c>
      <c r="G309" s="345" t="s">
        <v>349</v>
      </c>
      <c r="L309" s="347">
        <v>1103.3800000000001</v>
      </c>
      <c r="M309" s="347" t="s">
        <v>310</v>
      </c>
      <c r="S309" s="346">
        <v>34242</v>
      </c>
      <c r="T309" s="345" t="s">
        <v>368</v>
      </c>
      <c r="V309" s="345">
        <v>63.01</v>
      </c>
      <c r="W309" s="345" t="s">
        <v>352</v>
      </c>
      <c r="AB309" s="347">
        <v>22.01</v>
      </c>
      <c r="AC309" s="347" t="s">
        <v>350</v>
      </c>
      <c r="AD309" s="1138"/>
      <c r="AE309" s="346">
        <v>33805</v>
      </c>
      <c r="AF309" s="345" t="s">
        <v>365</v>
      </c>
      <c r="AI309" s="934"/>
      <c r="AJ309" s="345">
        <v>20.07</v>
      </c>
      <c r="AK309" s="345" t="s">
        <v>345</v>
      </c>
      <c r="AP309" s="347">
        <v>703.31</v>
      </c>
      <c r="AQ309" s="347" t="s">
        <v>310</v>
      </c>
      <c r="AU309" s="348" t="str">
        <f t="array" ref="AU309">IFERROR(IF($AU$11="Yes",INDEX($AP$13:$AP$2950,SMALL(IF((County=$AQ$13:$AQ$2950),MATCH(ROW($AQ$13:$AQ$2950),ROW($AQ$13:$AQ$2950)),""),ROWS($A$13:$A309))),""),"")</f>
        <v/>
      </c>
      <c r="AW309" s="346">
        <v>34232</v>
      </c>
      <c r="AX309" s="345" t="s">
        <v>368</v>
      </c>
      <c r="AZ309" s="345">
        <v>45</v>
      </c>
      <c r="BA309" s="345" t="s">
        <v>361</v>
      </c>
      <c r="BF309" s="347">
        <v>17.010000000000002</v>
      </c>
      <c r="BG309" s="347" t="s">
        <v>345</v>
      </c>
      <c r="BH309" s="1790"/>
      <c r="BI309" s="2298">
        <v>34654</v>
      </c>
      <c r="BJ309" s="237" t="s">
        <v>362</v>
      </c>
      <c r="BM309" s="1784"/>
      <c r="BN309" s="345">
        <v>110</v>
      </c>
      <c r="BO309" s="345" t="s">
        <v>310</v>
      </c>
      <c r="BT309" s="347">
        <v>703.27</v>
      </c>
      <c r="BU309" s="347" t="s">
        <v>310</v>
      </c>
      <c r="BW309" s="348" t="str">
        <f t="array" ref="BW309">IFERROR(IF($BW$11="Metro",INDEX($BN$13:$BN$4972,SMALL(IF((County=$BO$13:$BO$4972),MATCH(ROW($BO$13:$BO$4972),ROW($BO$13:$BO$4972)),""),ROWS($A$13:$A309))),INDEX($BQ$13:$BQ$212,SMALL(IF((County=$BR$13:$BR$212),MATCH(ROW($BR$13:$BR$212),ROW($BR$13:$BR$212)),""),ROWS($A$13:$A309)))),"")</f>
        <v/>
      </c>
      <c r="BY309" s="348" t="str">
        <f t="array" ref="BY309">IFERROR(IF($BY$11="Yes",INDEX($BT$13:$BT$2950,SMALL(IF((County=$BU$13:$BU$2950),MATCH(ROW($BU$13:$BU$2950),ROW($BU$13:$BU$2950)),""),ROWS($A$13:$A309))),""),"")</f>
        <v/>
      </c>
      <c r="CA309" s="2298">
        <v>33896</v>
      </c>
      <c r="CB309" s="345" t="s">
        <v>365</v>
      </c>
      <c r="CD309" s="345">
        <v>8.0500000000000007</v>
      </c>
      <c r="CE309" s="345" t="s">
        <v>306</v>
      </c>
      <c r="CJ309" s="347">
        <v>17.02</v>
      </c>
      <c r="CK309" s="347" t="s">
        <v>345</v>
      </c>
      <c r="CL309" s="1789"/>
      <c r="CM309" s="2299"/>
      <c r="CN309" s="345"/>
      <c r="CR309" s="345"/>
      <c r="CS309" s="345"/>
      <c r="CX309" s="347"/>
      <c r="CY309" s="347"/>
      <c r="DA309" s="348"/>
      <c r="DC309" s="348"/>
      <c r="DE309" s="1792"/>
      <c r="DF309" s="345"/>
      <c r="DH309" s="237"/>
      <c r="DI309" s="237"/>
      <c r="DN309" s="347"/>
      <c r="DO309" s="347"/>
      <c r="DP309" s="2505"/>
      <c r="DT309" s="663"/>
      <c r="DU309" s="663"/>
      <c r="DV309" s="663"/>
      <c r="DW309" s="663"/>
      <c r="DX309" s="663"/>
      <c r="DY309" s="663"/>
      <c r="DZ309" s="663"/>
      <c r="EA309" s="663"/>
      <c r="EB309" s="663"/>
      <c r="EC309" s="663"/>
      <c r="ED309" s="663"/>
    </row>
    <row r="310" spans="1:134">
      <c r="A310" s="346">
        <v>33812</v>
      </c>
      <c r="B310" s="345" t="s">
        <v>365</v>
      </c>
      <c r="E310" s="934"/>
      <c r="F310" s="345">
        <v>2.0099999999999998</v>
      </c>
      <c r="G310" s="345" t="s">
        <v>349</v>
      </c>
      <c r="L310" s="347">
        <v>1103.3900000000001</v>
      </c>
      <c r="M310" s="347" t="s">
        <v>310</v>
      </c>
      <c r="S310" s="346">
        <v>34243</v>
      </c>
      <c r="T310" s="345" t="s">
        <v>349</v>
      </c>
      <c r="V310" s="345">
        <v>64.03</v>
      </c>
      <c r="W310" s="345" t="s">
        <v>352</v>
      </c>
      <c r="AB310" s="347">
        <v>22.01</v>
      </c>
      <c r="AC310" s="347" t="s">
        <v>352</v>
      </c>
      <c r="AD310" s="1138"/>
      <c r="AE310" s="346">
        <v>33809</v>
      </c>
      <c r="AF310" s="345" t="s">
        <v>365</v>
      </c>
      <c r="AI310" s="934"/>
      <c r="AJ310" s="345">
        <v>20.079999999999998</v>
      </c>
      <c r="AK310" s="345" t="s">
        <v>345</v>
      </c>
      <c r="AP310" s="347">
        <v>704.01</v>
      </c>
      <c r="AQ310" s="347" t="s">
        <v>310</v>
      </c>
      <c r="AU310" s="348" t="str">
        <f t="array" ref="AU310">IFERROR(IF($AU$11="Yes",INDEX($AP$13:$AP$2950,SMALL(IF((County=$AQ$13:$AQ$2950),MATCH(ROW($AQ$13:$AQ$2950),ROW($AQ$13:$AQ$2950)),""),ROWS($A$13:$A310))),""),"")</f>
        <v/>
      </c>
      <c r="AW310" s="346">
        <v>34233</v>
      </c>
      <c r="AX310" s="345" t="s">
        <v>368</v>
      </c>
      <c r="AZ310" s="345">
        <v>46.02</v>
      </c>
      <c r="BA310" s="345" t="s">
        <v>361</v>
      </c>
      <c r="BF310" s="347">
        <v>17.010000000000002</v>
      </c>
      <c r="BG310" s="347" t="s">
        <v>349</v>
      </c>
      <c r="BH310" s="1790"/>
      <c r="BI310" s="2298">
        <v>34655</v>
      </c>
      <c r="BJ310" s="237" t="s">
        <v>362</v>
      </c>
      <c r="BM310" s="1784"/>
      <c r="BN310" s="345">
        <v>201.01</v>
      </c>
      <c r="BO310" s="345" t="s">
        <v>310</v>
      </c>
      <c r="BT310" s="347">
        <v>703.28</v>
      </c>
      <c r="BU310" s="347" t="s">
        <v>310</v>
      </c>
      <c r="BW310" s="348" t="str">
        <f t="array" ref="BW310">IFERROR(IF($BW$11="Metro",INDEX($BN$13:$BN$4972,SMALL(IF((County=$BO$13:$BO$4972),MATCH(ROW($BO$13:$BO$4972),ROW($BO$13:$BO$4972)),""),ROWS($A$13:$A310))),INDEX($BQ$13:$BQ$212,SMALL(IF((County=$BR$13:$BR$212),MATCH(ROW($BR$13:$BR$212),ROW($BR$13:$BR$212)),""),ROWS($A$13:$A310)))),"")</f>
        <v/>
      </c>
      <c r="BY310" s="348" t="str">
        <f t="array" ref="BY310">IFERROR(IF($BY$11="Yes",INDEX($BT$13:$BT$2950,SMALL(IF((County=$BU$13:$BU$2950),MATCH(ROW($BU$13:$BU$2950),ROW($BU$13:$BU$2950)),""),ROWS($A$13:$A310))),""),"")</f>
        <v/>
      </c>
      <c r="CA310" s="2298">
        <v>33897</v>
      </c>
      <c r="CB310" s="345" t="s">
        <v>365</v>
      </c>
      <c r="CD310" s="237">
        <v>8.0500000000000007</v>
      </c>
      <c r="CE310" s="237" t="s">
        <v>349</v>
      </c>
      <c r="CJ310" s="347">
        <v>17.02</v>
      </c>
      <c r="CK310" s="347" t="s">
        <v>351</v>
      </c>
      <c r="CL310" s="1789"/>
      <c r="CM310" s="2299"/>
      <c r="CN310" s="345"/>
      <c r="CR310" s="345"/>
      <c r="CS310" s="345"/>
      <c r="CX310" s="347"/>
      <c r="CY310" s="347"/>
      <c r="DA310" s="348"/>
      <c r="DC310" s="348"/>
      <c r="DE310" s="1792"/>
      <c r="DF310" s="345"/>
      <c r="DH310" s="237"/>
      <c r="DI310" s="237"/>
      <c r="DN310" s="347"/>
      <c r="DO310" s="347"/>
      <c r="DP310" s="2505"/>
      <c r="DT310" s="663"/>
      <c r="DU310" s="663"/>
      <c r="DV310" s="663"/>
      <c r="DW310" s="663"/>
      <c r="DX310" s="663"/>
      <c r="DY310" s="663"/>
      <c r="DZ310" s="663"/>
      <c r="EA310" s="663"/>
      <c r="EB310" s="663"/>
      <c r="EC310" s="663"/>
      <c r="ED310" s="663"/>
    </row>
    <row r="311" spans="1:134">
      <c r="A311" s="346">
        <v>33813</v>
      </c>
      <c r="B311" s="345" t="s">
        <v>365</v>
      </c>
      <c r="E311" s="934"/>
      <c r="F311" s="345">
        <v>2.02</v>
      </c>
      <c r="G311" s="345" t="s">
        <v>349</v>
      </c>
      <c r="L311" s="347">
        <v>1103.4000000000001</v>
      </c>
      <c r="M311" s="347" t="s">
        <v>310</v>
      </c>
      <c r="S311" s="346">
        <v>34251</v>
      </c>
      <c r="T311" s="345" t="s">
        <v>349</v>
      </c>
      <c r="V311" s="345">
        <v>68.02</v>
      </c>
      <c r="W311" s="345" t="s">
        <v>361</v>
      </c>
      <c r="AB311" s="347">
        <v>22.02</v>
      </c>
      <c r="AC311" s="347" t="s">
        <v>297</v>
      </c>
      <c r="AD311" s="1138"/>
      <c r="AE311" s="346">
        <v>33810</v>
      </c>
      <c r="AF311" s="345" t="s">
        <v>365</v>
      </c>
      <c r="AI311" s="934"/>
      <c r="AJ311" s="345">
        <v>21.03</v>
      </c>
      <c r="AK311" s="345" t="s">
        <v>345</v>
      </c>
      <c r="AP311" s="347">
        <v>704.02</v>
      </c>
      <c r="AQ311" s="347" t="s">
        <v>310</v>
      </c>
      <c r="AU311" s="348" t="str">
        <f t="array" ref="AU311">IFERROR(IF($AU$11="Yes",INDEX($AP$13:$AP$2950,SMALL(IF((County=$AQ$13:$AQ$2950),MATCH(ROW($AQ$13:$AQ$2950),ROW($AQ$13:$AQ$2950)),""),ROWS($A$13:$A311))),""),"")</f>
        <v/>
      </c>
      <c r="AW311" s="346">
        <v>34235</v>
      </c>
      <c r="AX311" s="345" t="s">
        <v>368</v>
      </c>
      <c r="AZ311" s="345">
        <v>47.04</v>
      </c>
      <c r="BA311" s="345" t="s">
        <v>361</v>
      </c>
      <c r="BF311" s="347">
        <v>17.010000000000002</v>
      </c>
      <c r="BG311" s="347" t="s">
        <v>351</v>
      </c>
      <c r="BH311" s="1790"/>
      <c r="BI311" s="2299">
        <v>33701</v>
      </c>
      <c r="BJ311" s="345" t="s">
        <v>363</v>
      </c>
      <c r="BM311" s="1784"/>
      <c r="BN311" s="345">
        <v>201.03</v>
      </c>
      <c r="BO311" s="345" t="s">
        <v>310</v>
      </c>
      <c r="BT311" s="347">
        <v>703.29</v>
      </c>
      <c r="BU311" s="347" t="s">
        <v>310</v>
      </c>
      <c r="BW311" s="348" t="str">
        <f t="array" ref="BW311">IFERROR(IF($BW$11="Metro",INDEX($BN$13:$BN$4972,SMALL(IF((County=$BO$13:$BO$4972),MATCH(ROW($BO$13:$BO$4972),ROW($BO$13:$BO$4972)),""),ROWS($A$13:$A311))),INDEX($BQ$13:$BQ$212,SMALL(IF((County=$BR$13:$BR$212),MATCH(ROW($BR$13:$BR$212),ROW($BR$13:$BR$212)),""),ROWS($A$13:$A311)))),"")</f>
        <v/>
      </c>
      <c r="BY311" s="348" t="str">
        <f t="array" ref="BY311">IFERROR(IF($BY$11="Yes",INDEX($BT$13:$BT$2950,SMALL(IF((County=$BU$13:$BU$2950),MATCH(ROW($BU$13:$BU$2950),ROW($BU$13:$BU$2950)),""),ROWS($A$13:$A311))),""),"")</f>
        <v/>
      </c>
      <c r="CA311" s="2298">
        <v>33908</v>
      </c>
      <c r="CB311" s="345" t="s">
        <v>344</v>
      </c>
      <c r="CD311" s="237">
        <v>8.0500000000000007</v>
      </c>
      <c r="CE311" s="237" t="s">
        <v>350</v>
      </c>
      <c r="CJ311" s="347">
        <v>17.02</v>
      </c>
      <c r="CK311" s="347" t="s">
        <v>368</v>
      </c>
      <c r="CL311" s="1789"/>
      <c r="CM311" s="2299"/>
      <c r="CN311" s="345"/>
      <c r="CR311" s="345"/>
      <c r="CS311" s="345"/>
      <c r="CX311" s="347"/>
      <c r="CY311" s="347"/>
      <c r="DA311" s="348"/>
      <c r="DC311" s="348"/>
      <c r="DE311" s="1792"/>
      <c r="DF311" s="345"/>
      <c r="DH311" s="237"/>
      <c r="DI311" s="237"/>
      <c r="DN311" s="347"/>
      <c r="DO311" s="347"/>
      <c r="DP311" s="2505"/>
      <c r="DT311" s="663"/>
      <c r="DU311" s="663"/>
      <c r="DV311" s="663"/>
      <c r="DW311" s="663"/>
      <c r="DX311" s="663"/>
      <c r="DY311" s="663"/>
      <c r="DZ311" s="663"/>
      <c r="EA311" s="663"/>
      <c r="EB311" s="663"/>
      <c r="EC311" s="663"/>
      <c r="ED311" s="663"/>
    </row>
    <row r="312" spans="1:134">
      <c r="A312" s="346">
        <v>33837</v>
      </c>
      <c r="B312" s="345" t="s">
        <v>365</v>
      </c>
      <c r="E312" s="934"/>
      <c r="F312" s="345">
        <v>3.05</v>
      </c>
      <c r="G312" s="345" t="s">
        <v>349</v>
      </c>
      <c r="L312" s="347">
        <v>1103.42</v>
      </c>
      <c r="M312" s="347" t="s">
        <v>310</v>
      </c>
      <c r="S312" s="346">
        <v>34286</v>
      </c>
      <c r="T312" s="345" t="s">
        <v>368</v>
      </c>
      <c r="V312" s="345">
        <v>70.02</v>
      </c>
      <c r="W312" s="345" t="s">
        <v>337</v>
      </c>
      <c r="AB312" s="347">
        <v>22.02</v>
      </c>
      <c r="AC312" s="347" t="s">
        <v>350</v>
      </c>
      <c r="AD312" s="1138"/>
      <c r="AE312" s="346">
        <v>33811</v>
      </c>
      <c r="AF312" s="345" t="s">
        <v>365</v>
      </c>
      <c r="AI312" s="934"/>
      <c r="AJ312" s="345">
        <v>21.05</v>
      </c>
      <c r="AK312" s="345" t="s">
        <v>345</v>
      </c>
      <c r="AP312" s="347">
        <v>704.03</v>
      </c>
      <c r="AQ312" s="347" t="s">
        <v>310</v>
      </c>
      <c r="AU312" s="348" t="str">
        <f t="array" ref="AU312">IFERROR(IF($AU$11="Yes",INDEX($AP$13:$AP$2950,SMALL(IF((County=$AQ$13:$AQ$2950),MATCH(ROW($AQ$13:$AQ$2950),ROW($AQ$13:$AQ$2950)),""),ROWS($A$13:$A312))),""),"")</f>
        <v/>
      </c>
      <c r="AW312" s="346">
        <v>34238</v>
      </c>
      <c r="AX312" s="345" t="s">
        <v>368</v>
      </c>
      <c r="AZ312" s="345">
        <v>49.01</v>
      </c>
      <c r="BA312" s="345" t="s">
        <v>352</v>
      </c>
      <c r="BF312" s="347">
        <v>17.02</v>
      </c>
      <c r="BG312" s="347" t="s">
        <v>297</v>
      </c>
      <c r="BH312" s="1790"/>
      <c r="BI312" s="2299">
        <v>33702</v>
      </c>
      <c r="BJ312" s="345" t="s">
        <v>363</v>
      </c>
      <c r="BM312" s="1784"/>
      <c r="BN312" s="345">
        <v>201.04</v>
      </c>
      <c r="BO312" s="345" t="s">
        <v>310</v>
      </c>
      <c r="BT312" s="347">
        <v>703.3</v>
      </c>
      <c r="BU312" s="347" t="s">
        <v>310</v>
      </c>
      <c r="BW312" s="348" t="str">
        <f t="array" ref="BW312">IFERROR(IF($BW$11="Metro",INDEX($BN$13:$BN$4972,SMALL(IF((County=$BO$13:$BO$4972),MATCH(ROW($BO$13:$BO$4972),ROW($BO$13:$BO$4972)),""),ROWS($A$13:$A312))),INDEX($BQ$13:$BQ$212,SMALL(IF((County=$BR$13:$BR$212),MATCH(ROW($BR$13:$BR$212),ROW($BR$13:$BR$212)),""),ROWS($A$13:$A312)))),"")</f>
        <v/>
      </c>
      <c r="BY312" s="348" t="str">
        <f t="array" ref="BY312">IFERROR(IF($BY$11="Yes",INDEX($BT$13:$BT$2950,SMALL(IF((County=$BU$13:$BU$2950),MATCH(ROW($BU$13:$BU$2950),ROW($BU$13:$BU$2950)),""),ROWS($A$13:$A312))),""),"")</f>
        <v/>
      </c>
      <c r="CA312" s="2298">
        <v>33909</v>
      </c>
      <c r="CB312" s="345" t="s">
        <v>344</v>
      </c>
      <c r="CD312" s="237">
        <v>8.0500000000000007</v>
      </c>
      <c r="CE312" s="237" t="s">
        <v>352</v>
      </c>
      <c r="CJ312" s="347">
        <v>17.03</v>
      </c>
      <c r="CK312" s="347" t="s">
        <v>351</v>
      </c>
      <c r="CL312" s="1789"/>
      <c r="CM312" s="2299"/>
      <c r="CN312" s="345"/>
      <c r="CR312" s="345"/>
      <c r="CS312" s="345"/>
      <c r="CX312" s="347"/>
      <c r="CY312" s="347"/>
      <c r="DA312" s="348"/>
      <c r="DC312" s="348"/>
      <c r="DE312" s="1792"/>
      <c r="DF312" s="345"/>
      <c r="DH312" s="237"/>
      <c r="DI312" s="237"/>
      <c r="DN312" s="347"/>
      <c r="DO312" s="347"/>
      <c r="DP312" s="2505"/>
      <c r="DT312" s="663"/>
      <c r="DU312" s="663"/>
      <c r="DV312" s="663"/>
      <c r="DW312" s="663"/>
      <c r="DX312" s="663"/>
      <c r="DY312" s="663"/>
      <c r="DZ312" s="663"/>
      <c r="EA312" s="663"/>
      <c r="EB312" s="663"/>
      <c r="EC312" s="663"/>
      <c r="ED312" s="663"/>
    </row>
    <row r="313" spans="1:134">
      <c r="A313" s="346">
        <v>33851</v>
      </c>
      <c r="B313" s="345" t="s">
        <v>365</v>
      </c>
      <c r="E313" s="934"/>
      <c r="F313" s="345">
        <v>3.06</v>
      </c>
      <c r="G313" s="345" t="s">
        <v>349</v>
      </c>
      <c r="L313" s="347">
        <v>1103.43</v>
      </c>
      <c r="M313" s="347" t="s">
        <v>310</v>
      </c>
      <c r="S313" s="346">
        <v>34288</v>
      </c>
      <c r="T313" s="345" t="s">
        <v>368</v>
      </c>
      <c r="V313" s="345">
        <v>70.02</v>
      </c>
      <c r="W313" s="345" t="s">
        <v>352</v>
      </c>
      <c r="AB313" s="347">
        <v>22.02</v>
      </c>
      <c r="AC313" s="347" t="s">
        <v>368</v>
      </c>
      <c r="AD313" s="1138"/>
      <c r="AE313" s="346">
        <v>33812</v>
      </c>
      <c r="AF313" s="345" t="s">
        <v>365</v>
      </c>
      <c r="AI313" s="934"/>
      <c r="AJ313" s="345">
        <v>21.06</v>
      </c>
      <c r="AK313" s="345" t="s">
        <v>345</v>
      </c>
      <c r="AP313" s="347">
        <v>704.04</v>
      </c>
      <c r="AQ313" s="347" t="s">
        <v>310</v>
      </c>
      <c r="AU313" s="348" t="str">
        <f t="array" ref="AU313">IFERROR(IF($AU$11="Yes",INDEX($AP$13:$AP$2950,SMALL(IF((County=$AQ$13:$AQ$2950),MATCH(ROW($AQ$13:$AQ$2950),ROW($AQ$13:$AQ$2950)),""),ROWS($A$13:$A313))),""),"")</f>
        <v/>
      </c>
      <c r="AW313" s="346">
        <v>34239</v>
      </c>
      <c r="AX313" s="345" t="s">
        <v>368</v>
      </c>
      <c r="AZ313" s="345">
        <v>49.03</v>
      </c>
      <c r="BA313" s="345" t="s">
        <v>352</v>
      </c>
      <c r="BF313" s="347">
        <v>17.02</v>
      </c>
      <c r="BG313" s="347" t="s">
        <v>345</v>
      </c>
      <c r="BH313" s="1790"/>
      <c r="BI313" s="2299">
        <v>33703</v>
      </c>
      <c r="BJ313" s="345" t="s">
        <v>363</v>
      </c>
      <c r="BM313" s="1784"/>
      <c r="BN313" s="345">
        <v>202.04</v>
      </c>
      <c r="BO313" s="345" t="s">
        <v>310</v>
      </c>
      <c r="BT313" s="347">
        <v>703.31</v>
      </c>
      <c r="BU313" s="347" t="s">
        <v>310</v>
      </c>
      <c r="BW313" s="348" t="str">
        <f t="array" ref="BW313">IFERROR(IF($BW$11="Metro",INDEX($BN$13:$BN$4972,SMALL(IF((County=$BO$13:$BO$4972),MATCH(ROW($BO$13:$BO$4972),ROW($BO$13:$BO$4972)),""),ROWS($A$13:$A313))),INDEX($BQ$13:$BQ$212,SMALL(IF((County=$BR$13:$BR$212),MATCH(ROW($BR$13:$BR$212),ROW($BR$13:$BR$212)),""),ROWS($A$13:$A313)))),"")</f>
        <v/>
      </c>
      <c r="BY313" s="348" t="str">
        <f t="array" ref="BY313">IFERROR(IF($BY$11="Yes",INDEX($BT$13:$BT$2950,SMALL(IF((County=$BU$13:$BU$2950),MATCH(ROW($BU$13:$BU$2950),ROW($BU$13:$BU$2950)),""),ROWS($A$13:$A313))),""),"")</f>
        <v/>
      </c>
      <c r="CA313" s="2298">
        <v>33912</v>
      </c>
      <c r="CB313" s="345" t="s">
        <v>344</v>
      </c>
      <c r="CD313" s="237">
        <v>8.0500000000000007</v>
      </c>
      <c r="CE313" s="237" t="s">
        <v>361</v>
      </c>
      <c r="CJ313" s="347">
        <v>17.04</v>
      </c>
      <c r="CK313" s="347" t="s">
        <v>368</v>
      </c>
      <c r="CL313" s="1789"/>
      <c r="CM313" s="2299"/>
      <c r="CN313" s="345"/>
      <c r="CR313" s="345"/>
      <c r="CS313" s="345"/>
      <c r="CX313" s="347"/>
      <c r="CY313" s="347"/>
      <c r="DA313" s="348"/>
      <c r="DC313" s="348"/>
      <c r="DE313" s="1792"/>
      <c r="DF313" s="345"/>
      <c r="DH313" s="237"/>
      <c r="DI313" s="237"/>
      <c r="DN313" s="347"/>
      <c r="DO313" s="347"/>
      <c r="DP313" s="2505"/>
      <c r="DT313" s="663"/>
      <c r="DU313" s="663"/>
      <c r="DV313" s="663"/>
      <c r="DW313" s="663"/>
      <c r="DX313" s="663"/>
      <c r="DY313" s="663"/>
      <c r="DZ313" s="663"/>
      <c r="EA313" s="663"/>
      <c r="EB313" s="663"/>
      <c r="EC313" s="663"/>
      <c r="ED313" s="663"/>
    </row>
    <row r="314" spans="1:134">
      <c r="A314" s="346">
        <v>33884</v>
      </c>
      <c r="B314" s="345" t="s">
        <v>365</v>
      </c>
      <c r="E314" s="934"/>
      <c r="F314" s="345">
        <v>3.09</v>
      </c>
      <c r="G314" s="345" t="s">
        <v>349</v>
      </c>
      <c r="L314" s="347">
        <v>1104.02</v>
      </c>
      <c r="M314" s="347" t="s">
        <v>310</v>
      </c>
      <c r="S314" s="346">
        <v>34291</v>
      </c>
      <c r="T314" s="345" t="s">
        <v>368</v>
      </c>
      <c r="V314" s="345">
        <v>72</v>
      </c>
      <c r="W314" s="345" t="s">
        <v>352</v>
      </c>
      <c r="AB314" s="347">
        <v>22.03</v>
      </c>
      <c r="AC314" s="347" t="s">
        <v>350</v>
      </c>
      <c r="AD314" s="1138"/>
      <c r="AE314" s="346">
        <v>33813</v>
      </c>
      <c r="AF314" s="345" t="s">
        <v>365</v>
      </c>
      <c r="AI314" s="934"/>
      <c r="AJ314" s="345">
        <v>1.03</v>
      </c>
      <c r="AK314" s="345" t="s">
        <v>349</v>
      </c>
      <c r="AP314" s="347">
        <v>704.05</v>
      </c>
      <c r="AQ314" s="347" t="s">
        <v>310</v>
      </c>
      <c r="AU314" s="348" t="str">
        <f t="array" ref="AU314">IFERROR(IF($AU$11="Yes",INDEX($AP$13:$AP$2950,SMALL(IF((County=$AQ$13:$AQ$2950),MATCH(ROW($AQ$13:$AQ$2950),ROW($AQ$13:$AQ$2950)),""),ROWS($A$13:$A314))),""),"")</f>
        <v/>
      </c>
      <c r="AW314" s="346">
        <v>34240</v>
      </c>
      <c r="AX314" s="345" t="s">
        <v>368</v>
      </c>
      <c r="AZ314" s="345">
        <v>49.03</v>
      </c>
      <c r="BA314" s="345" t="s">
        <v>361</v>
      </c>
      <c r="BF314" s="347">
        <v>17.02</v>
      </c>
      <c r="BG314" s="347" t="s">
        <v>351</v>
      </c>
      <c r="BH314" s="1790"/>
      <c r="BI314" s="2299">
        <v>33705</v>
      </c>
      <c r="BJ314" s="345" t="s">
        <v>363</v>
      </c>
      <c r="BM314" s="1784"/>
      <c r="BN314" s="345">
        <v>202.05</v>
      </c>
      <c r="BO314" s="345" t="s">
        <v>310</v>
      </c>
      <c r="BT314" s="347">
        <v>704.01</v>
      </c>
      <c r="BU314" s="347" t="s">
        <v>310</v>
      </c>
      <c r="BW314" s="348" t="str">
        <f t="array" ref="BW314">IFERROR(IF($BW$11="Metro",INDEX($BN$13:$BN$4972,SMALL(IF((County=$BO$13:$BO$4972),MATCH(ROW($BO$13:$BO$4972),ROW($BO$13:$BO$4972)),""),ROWS($A$13:$A314))),INDEX($BQ$13:$BQ$212,SMALL(IF((County=$BR$13:$BR$212),MATCH(ROW($BR$13:$BR$212),ROW($BR$13:$BR$212)),""),ROWS($A$13:$A314)))),"")</f>
        <v/>
      </c>
      <c r="BY314" s="348" t="str">
        <f t="array" ref="BY314">IFERROR(IF($BY$11="Yes",INDEX($BT$13:$BT$2950,SMALL(IF((County=$BU$13:$BU$2950),MATCH(ROW($BU$13:$BU$2950),ROW($BU$13:$BU$2950)),""),ROWS($A$13:$A314))),""),"")</f>
        <v/>
      </c>
      <c r="CA314" s="2298">
        <v>33913</v>
      </c>
      <c r="CB314" s="345" t="s">
        <v>344</v>
      </c>
      <c r="CD314" s="345">
        <v>8.06</v>
      </c>
      <c r="CE314" s="345" t="s">
        <v>297</v>
      </c>
      <c r="CJ314" s="347">
        <v>17.05</v>
      </c>
      <c r="CK314" s="347" t="s">
        <v>344</v>
      </c>
      <c r="CL314" s="1789"/>
      <c r="CM314" s="2299"/>
      <c r="CN314" s="345"/>
      <c r="CR314" s="345"/>
      <c r="CS314" s="345"/>
      <c r="CX314" s="347"/>
      <c r="CY314" s="347"/>
      <c r="DA314" s="348"/>
      <c r="DC314" s="348"/>
      <c r="DE314" s="1792"/>
      <c r="DF314" s="345"/>
      <c r="DH314" s="237"/>
      <c r="DI314" s="237"/>
      <c r="DN314" s="347"/>
      <c r="DO314" s="347"/>
      <c r="DP314" s="2505"/>
      <c r="DT314" s="663"/>
      <c r="DU314" s="663"/>
      <c r="DV314" s="663"/>
      <c r="DW314" s="663"/>
      <c r="DX314" s="663"/>
      <c r="DY314" s="663"/>
      <c r="DZ314" s="663"/>
      <c r="EA314" s="663"/>
      <c r="EB314" s="663"/>
      <c r="EC314" s="663"/>
      <c r="ED314" s="663"/>
    </row>
    <row r="315" spans="1:134">
      <c r="A315" s="346">
        <v>33896</v>
      </c>
      <c r="B315" s="345" t="s">
        <v>365</v>
      </c>
      <c r="E315" s="934"/>
      <c r="F315" s="345">
        <v>3.1</v>
      </c>
      <c r="G315" s="345" t="s">
        <v>349</v>
      </c>
      <c r="L315" s="347">
        <v>1104.03</v>
      </c>
      <c r="M315" s="347" t="s">
        <v>310</v>
      </c>
      <c r="S315" s="346">
        <v>34292</v>
      </c>
      <c r="T315" s="345" t="s">
        <v>368</v>
      </c>
      <c r="V315" s="345">
        <v>76.03</v>
      </c>
      <c r="W315" s="345" t="s">
        <v>352</v>
      </c>
      <c r="AB315" s="347">
        <v>22.04</v>
      </c>
      <c r="AC315" s="347" t="s">
        <v>297</v>
      </c>
      <c r="AD315" s="1138"/>
      <c r="AE315" s="346">
        <v>33827</v>
      </c>
      <c r="AF315" s="345" t="s">
        <v>365</v>
      </c>
      <c r="AI315" s="934"/>
      <c r="AJ315" s="345">
        <v>1.05</v>
      </c>
      <c r="AK315" s="345" t="s">
        <v>349</v>
      </c>
      <c r="AP315" s="347">
        <v>705.01</v>
      </c>
      <c r="AQ315" s="347" t="s">
        <v>310</v>
      </c>
      <c r="AU315" s="348" t="str">
        <f t="array" ref="AU315">IFERROR(IF($AU$11="Yes",INDEX($AP$13:$AP$2950,SMALL(IF((County=$AQ$13:$AQ$2950),MATCH(ROW($AQ$13:$AQ$2950),ROW($AQ$13:$AQ$2950)),""),ROWS($A$13:$A315))),""),"")</f>
        <v/>
      </c>
      <c r="AW315" s="346">
        <v>34241</v>
      </c>
      <c r="AX315" s="345" t="s">
        <v>368</v>
      </c>
      <c r="AZ315" s="345">
        <v>49.04</v>
      </c>
      <c r="BA315" s="345" t="s">
        <v>352</v>
      </c>
      <c r="BF315" s="347">
        <v>17.02</v>
      </c>
      <c r="BG315" s="347" t="s">
        <v>368</v>
      </c>
      <c r="BH315" s="1790"/>
      <c r="BI315" s="2299">
        <v>33706</v>
      </c>
      <c r="BJ315" s="345" t="s">
        <v>363</v>
      </c>
      <c r="BM315" s="1784"/>
      <c r="BN315" s="345">
        <v>202.06</v>
      </c>
      <c r="BO315" s="345" t="s">
        <v>310</v>
      </c>
      <c r="BT315" s="347">
        <v>704.02</v>
      </c>
      <c r="BU315" s="347" t="s">
        <v>310</v>
      </c>
      <c r="BW315" s="348" t="str">
        <f t="array" ref="BW315">IFERROR(IF($BW$11="Metro",INDEX($BN$13:$BN$4972,SMALL(IF((County=$BO$13:$BO$4972),MATCH(ROW($BO$13:$BO$4972),ROW($BO$13:$BO$4972)),""),ROWS($A$13:$A315))),INDEX($BQ$13:$BQ$212,SMALL(IF((County=$BR$13:$BR$212),MATCH(ROW($BR$13:$BR$212),ROW($BR$13:$BR$212)),""),ROWS($A$13:$A315)))),"")</f>
        <v/>
      </c>
      <c r="BY315" s="348" t="str">
        <f t="array" ref="BY315">IFERROR(IF($BY$11="Yes",INDEX($BT$13:$BT$2950,SMALL(IF((County=$BU$13:$BU$2950),MATCH(ROW($BU$13:$BU$2950),ROW($BU$13:$BU$2950)),""),ROWS($A$13:$A315))),""),"")</f>
        <v/>
      </c>
      <c r="CA315" s="2298">
        <v>33921</v>
      </c>
      <c r="CB315" s="345" t="s">
        <v>344</v>
      </c>
      <c r="CD315" s="345">
        <v>8.06</v>
      </c>
      <c r="CE315" s="345" t="s">
        <v>306</v>
      </c>
      <c r="CJ315" s="347">
        <v>17.05</v>
      </c>
      <c r="CK315" s="347" t="s">
        <v>349</v>
      </c>
      <c r="CL315" s="1789"/>
      <c r="CM315" s="2299"/>
      <c r="CN315" s="345"/>
      <c r="CR315" s="345"/>
      <c r="CS315" s="345"/>
      <c r="CX315" s="347"/>
      <c r="CY315" s="347"/>
      <c r="DA315" s="348"/>
      <c r="DC315" s="348"/>
      <c r="DE315" s="1792"/>
      <c r="DF315" s="345"/>
      <c r="DH315" s="237"/>
      <c r="DI315" s="237"/>
      <c r="DN315" s="347"/>
      <c r="DO315" s="347"/>
      <c r="DP315" s="2505"/>
      <c r="DT315" s="663"/>
      <c r="DU315" s="663"/>
      <c r="DV315" s="663"/>
      <c r="DW315" s="663"/>
      <c r="DX315" s="663"/>
      <c r="DY315" s="663"/>
      <c r="DZ315" s="663"/>
      <c r="EA315" s="663"/>
      <c r="EB315" s="663"/>
      <c r="EC315" s="663"/>
      <c r="ED315" s="663"/>
    </row>
    <row r="316" spans="1:134">
      <c r="A316" s="346">
        <v>33897</v>
      </c>
      <c r="B316" s="345" t="s">
        <v>365</v>
      </c>
      <c r="E316" s="934"/>
      <c r="F316" s="345">
        <v>6.04</v>
      </c>
      <c r="G316" s="345" t="s">
        <v>349</v>
      </c>
      <c r="L316" s="347">
        <v>1106</v>
      </c>
      <c r="M316" s="347" t="s">
        <v>310</v>
      </c>
      <c r="S316" s="346">
        <v>34293</v>
      </c>
      <c r="T316" s="345" t="s">
        <v>368</v>
      </c>
      <c r="V316" s="345">
        <v>77.459999999999994</v>
      </c>
      <c r="W316" s="345" t="s">
        <v>361</v>
      </c>
      <c r="AB316" s="347">
        <v>22.05</v>
      </c>
      <c r="AC316" s="347" t="s">
        <v>297</v>
      </c>
      <c r="AD316" s="1138"/>
      <c r="AE316" s="346">
        <v>33837</v>
      </c>
      <c r="AF316" s="345" t="s">
        <v>365</v>
      </c>
      <c r="AI316" s="934"/>
      <c r="AJ316" s="345">
        <v>1.06</v>
      </c>
      <c r="AK316" s="345" t="s">
        <v>349</v>
      </c>
      <c r="AP316" s="347">
        <v>705.03</v>
      </c>
      <c r="AQ316" s="347" t="s">
        <v>310</v>
      </c>
      <c r="AU316" s="348" t="str">
        <f t="array" ref="AU316">IFERROR(IF($AU$11="Yes",INDEX($AP$13:$AP$2950,SMALL(IF((County=$AQ$13:$AQ$2950),MATCH(ROW($AQ$13:$AQ$2950),ROW($AQ$13:$AQ$2950)),""),ROWS($A$13:$A316))),""),"")</f>
        <v/>
      </c>
      <c r="AW316" s="346">
        <v>34242</v>
      </c>
      <c r="AX316" s="345" t="s">
        <v>368</v>
      </c>
      <c r="AZ316" s="345">
        <v>50</v>
      </c>
      <c r="BA316" s="345" t="s">
        <v>337</v>
      </c>
      <c r="BF316" s="347">
        <v>17.03</v>
      </c>
      <c r="BG316" s="347" t="s">
        <v>351</v>
      </c>
      <c r="BH316" s="1790"/>
      <c r="BI316" s="2299">
        <v>33707</v>
      </c>
      <c r="BJ316" s="345" t="s">
        <v>363</v>
      </c>
      <c r="BM316" s="1784"/>
      <c r="BN316" s="345">
        <v>202.09</v>
      </c>
      <c r="BO316" s="345" t="s">
        <v>310</v>
      </c>
      <c r="BT316" s="347">
        <v>704.03</v>
      </c>
      <c r="BU316" s="347" t="s">
        <v>310</v>
      </c>
      <c r="BW316" s="348" t="str">
        <f t="array" ref="BW316">IFERROR(IF($BW$11="Metro",INDEX($BN$13:$BN$4972,SMALL(IF((County=$BO$13:$BO$4972),MATCH(ROW($BO$13:$BO$4972),ROW($BO$13:$BO$4972)),""),ROWS($A$13:$A316))),INDEX($BQ$13:$BQ$212,SMALL(IF((County=$BR$13:$BR$212),MATCH(ROW($BR$13:$BR$212),ROW($BR$13:$BR$212)),""),ROWS($A$13:$A316)))),"")</f>
        <v/>
      </c>
      <c r="BY316" s="348" t="str">
        <f t="array" ref="BY316">IFERROR(IF($BY$11="Yes",INDEX($BT$13:$BT$2950,SMALL(IF((County=$BU$13:$BU$2950),MATCH(ROW($BU$13:$BU$2950),ROW($BU$13:$BU$2950)),""),ROWS($A$13:$A316))),""),"")</f>
        <v/>
      </c>
      <c r="CA316" s="2298">
        <v>33924</v>
      </c>
      <c r="CB316" s="345" t="s">
        <v>344</v>
      </c>
      <c r="CD316" s="237">
        <v>8.06</v>
      </c>
      <c r="CE316" s="237" t="s">
        <v>350</v>
      </c>
      <c r="CJ316" s="347">
        <v>17.059999999999999</v>
      </c>
      <c r="CK316" s="347" t="s">
        <v>344</v>
      </c>
      <c r="CL316" s="1789"/>
      <c r="CM316" s="2299"/>
      <c r="CN316" s="345"/>
      <c r="CR316" s="345"/>
      <c r="CS316" s="345"/>
      <c r="CX316" s="347"/>
      <c r="CY316" s="347"/>
      <c r="DA316" s="348"/>
      <c r="DC316" s="348"/>
      <c r="DE316" s="1792"/>
      <c r="DF316" s="345"/>
      <c r="DH316" s="237"/>
      <c r="DI316" s="237"/>
      <c r="DN316" s="347"/>
      <c r="DO316" s="347"/>
      <c r="DP316" s="2505"/>
      <c r="DT316" s="663"/>
      <c r="DU316" s="663"/>
      <c r="DV316" s="663"/>
      <c r="DW316" s="663"/>
      <c r="DX316" s="663"/>
      <c r="DY316" s="663"/>
      <c r="DZ316" s="663"/>
      <c r="EA316" s="663"/>
      <c r="EB316" s="663"/>
      <c r="EC316" s="663"/>
      <c r="ED316" s="663"/>
    </row>
    <row r="317" spans="1:134">
      <c r="A317" s="346">
        <v>34759</v>
      </c>
      <c r="B317" s="345" t="s">
        <v>365</v>
      </c>
      <c r="E317" s="934"/>
      <c r="F317" s="345">
        <v>7.04</v>
      </c>
      <c r="G317" s="345" t="s">
        <v>349</v>
      </c>
      <c r="L317" s="347">
        <v>101</v>
      </c>
      <c r="M317" s="347" t="s">
        <v>313</v>
      </c>
      <c r="S317" s="346">
        <v>34429</v>
      </c>
      <c r="T317" s="345" t="s">
        <v>316</v>
      </c>
      <c r="V317" s="345">
        <v>78.33</v>
      </c>
      <c r="W317" s="345" t="s">
        <v>361</v>
      </c>
      <c r="AB317" s="347">
        <v>22.05</v>
      </c>
      <c r="AC317" s="347" t="s">
        <v>345</v>
      </c>
      <c r="AD317" s="1138"/>
      <c r="AE317" s="346">
        <v>33851</v>
      </c>
      <c r="AF317" s="345" t="s">
        <v>365</v>
      </c>
      <c r="AI317" s="934"/>
      <c r="AJ317" s="345">
        <v>2.0099999999999998</v>
      </c>
      <c r="AK317" s="345" t="s">
        <v>349</v>
      </c>
      <c r="AP317" s="347">
        <v>706.02</v>
      </c>
      <c r="AQ317" s="347" t="s">
        <v>310</v>
      </c>
      <c r="AU317" s="348" t="str">
        <f t="array" ref="AU317">IFERROR(IF($AU$11="Yes",INDEX($AP$13:$AP$2950,SMALL(IF((County=$AQ$13:$AQ$2950),MATCH(ROW($AQ$13:$AQ$2950),ROW($AQ$13:$AQ$2950)),""),ROWS($A$13:$A317))),""),"")</f>
        <v/>
      </c>
      <c r="AW317" s="346">
        <v>34243</v>
      </c>
      <c r="AX317" s="345" t="s">
        <v>349</v>
      </c>
      <c r="AZ317" s="345">
        <v>50.02</v>
      </c>
      <c r="BA317" s="345" t="s">
        <v>352</v>
      </c>
      <c r="BF317" s="347">
        <v>17.05</v>
      </c>
      <c r="BG317" s="347" t="s">
        <v>344</v>
      </c>
      <c r="BH317" s="1790"/>
      <c r="BI317" s="2299">
        <v>33708</v>
      </c>
      <c r="BJ317" s="345" t="s">
        <v>363</v>
      </c>
      <c r="BM317" s="1784"/>
      <c r="BN317" s="345">
        <v>202.1</v>
      </c>
      <c r="BO317" s="345" t="s">
        <v>310</v>
      </c>
      <c r="BT317" s="347">
        <v>704.04</v>
      </c>
      <c r="BU317" s="347" t="s">
        <v>310</v>
      </c>
      <c r="BW317" s="348" t="str">
        <f t="array" ref="BW317">IFERROR(IF($BW$11="Metro",INDEX($BN$13:$BN$4972,SMALL(IF((County=$BO$13:$BO$4972),MATCH(ROW($BO$13:$BO$4972),ROW($BO$13:$BO$4972)),""),ROWS($A$13:$A317))),INDEX($BQ$13:$BQ$212,SMALL(IF((County=$BR$13:$BR$212),MATCH(ROW($BR$13:$BR$212),ROW($BR$13:$BR$212)),""),ROWS($A$13:$A317)))),"")</f>
        <v/>
      </c>
      <c r="BY317" s="348" t="str">
        <f t="array" ref="BY317">IFERROR(IF($BY$11="Yes",INDEX($BT$13:$BT$2950,SMALL(IF((County=$BU$13:$BU$2950),MATCH(ROW($BU$13:$BU$2950),ROW($BU$13:$BU$2950)),""),ROWS($A$13:$A317))),""),"")</f>
        <v/>
      </c>
      <c r="CA317" s="2298">
        <v>33928</v>
      </c>
      <c r="CB317" s="345" t="s">
        <v>344</v>
      </c>
      <c r="CD317" s="237">
        <v>8.06</v>
      </c>
      <c r="CE317" s="237" t="s">
        <v>352</v>
      </c>
      <c r="CJ317" s="347">
        <v>17.09</v>
      </c>
      <c r="CK317" s="347" t="s">
        <v>344</v>
      </c>
      <c r="CL317" s="1789"/>
      <c r="CM317" s="2299"/>
      <c r="CN317" s="345"/>
      <c r="CR317" s="345"/>
      <c r="CS317" s="345"/>
      <c r="CX317" s="347"/>
      <c r="CY317" s="347"/>
      <c r="DA317" s="348"/>
      <c r="DC317" s="348"/>
      <c r="DE317" s="1792"/>
      <c r="DF317" s="345"/>
      <c r="DH317" s="237"/>
      <c r="DI317" s="237"/>
      <c r="DN317" s="347"/>
      <c r="DO317" s="347"/>
      <c r="DP317" s="2505"/>
      <c r="DT317" s="663"/>
      <c r="DU317" s="663"/>
      <c r="DV317" s="663"/>
      <c r="DW317" s="663"/>
      <c r="DX317" s="663"/>
      <c r="DY317" s="663"/>
      <c r="DZ317" s="663"/>
      <c r="EA317" s="663"/>
      <c r="EB317" s="663"/>
      <c r="EC317" s="663"/>
      <c r="ED317" s="663"/>
    </row>
    <row r="318" spans="1:134">
      <c r="A318" s="346">
        <v>32561</v>
      </c>
      <c r="B318" s="345" t="s">
        <v>367</v>
      </c>
      <c r="E318" s="934"/>
      <c r="F318" s="345">
        <v>7.05</v>
      </c>
      <c r="G318" s="345" t="s">
        <v>349</v>
      </c>
      <c r="L318" s="347">
        <v>103.01</v>
      </c>
      <c r="M318" s="347" t="s">
        <v>315</v>
      </c>
      <c r="S318" s="346">
        <v>34434</v>
      </c>
      <c r="T318" s="345" t="s">
        <v>316</v>
      </c>
      <c r="V318" s="345">
        <v>80.010000000000005</v>
      </c>
      <c r="W318" s="345" t="s">
        <v>361</v>
      </c>
      <c r="AB318" s="347">
        <v>22.06</v>
      </c>
      <c r="AC318" s="347" t="s">
        <v>345</v>
      </c>
      <c r="AD318" s="1138"/>
      <c r="AE318" s="346">
        <v>33884</v>
      </c>
      <c r="AF318" s="345" t="s">
        <v>365</v>
      </c>
      <c r="AI318" s="934"/>
      <c r="AJ318" s="345">
        <v>2.0299999999999998</v>
      </c>
      <c r="AK318" s="345" t="s">
        <v>349</v>
      </c>
      <c r="AP318" s="347">
        <v>801.03</v>
      </c>
      <c r="AQ318" s="347" t="s">
        <v>310</v>
      </c>
      <c r="AU318" s="348" t="str">
        <f t="array" ref="AU318">IFERROR(IF($AU$11="Yes",INDEX($AP$13:$AP$2950,SMALL(IF((County=$AQ$13:$AQ$2950),MATCH(ROW($AQ$13:$AQ$2950),ROW($AQ$13:$AQ$2950)),""),ROWS($A$13:$A318))),""),"")</f>
        <v/>
      </c>
      <c r="AW318" s="346">
        <v>34251</v>
      </c>
      <c r="AX318" s="345" t="s">
        <v>349</v>
      </c>
      <c r="AZ318" s="345">
        <v>51.01</v>
      </c>
      <c r="BA318" s="345" t="s">
        <v>361</v>
      </c>
      <c r="BF318" s="347">
        <v>17.05</v>
      </c>
      <c r="BG318" s="347" t="s">
        <v>349</v>
      </c>
      <c r="BH318" s="1790"/>
      <c r="BI318" s="2299">
        <v>33710</v>
      </c>
      <c r="BJ318" s="345" t="s">
        <v>363</v>
      </c>
      <c r="BM318" s="1784"/>
      <c r="BN318" s="345">
        <v>202.11</v>
      </c>
      <c r="BO318" s="345" t="s">
        <v>310</v>
      </c>
      <c r="BT318" s="347">
        <v>704.05</v>
      </c>
      <c r="BU318" s="347" t="s">
        <v>310</v>
      </c>
      <c r="BW318" s="348" t="str">
        <f t="array" ref="BW318">IFERROR(IF($BW$11="Metro",INDEX($BN$13:$BN$4972,SMALL(IF((County=$BO$13:$BO$4972),MATCH(ROW($BO$13:$BO$4972),ROW($BO$13:$BO$4972)),""),ROWS($A$13:$A318))),INDEX($BQ$13:$BQ$212,SMALL(IF((County=$BR$13:$BR$212),MATCH(ROW($BR$13:$BR$212),ROW($BR$13:$BR$212)),""),ROWS($A$13:$A318)))),"")</f>
        <v/>
      </c>
      <c r="BY318" s="348" t="str">
        <f t="array" ref="BY318">IFERROR(IF($BY$11="Yes",INDEX($BT$13:$BT$2950,SMALL(IF((County=$BU$13:$BU$2950),MATCH(ROW($BU$13:$BU$2950),ROW($BU$13:$BU$2950)),""),ROWS($A$13:$A318))),""),"")</f>
        <v/>
      </c>
      <c r="CA318" s="2298">
        <v>33946</v>
      </c>
      <c r="CB318" s="345" t="s">
        <v>315</v>
      </c>
      <c r="CD318" s="237">
        <v>8.07</v>
      </c>
      <c r="CE318" s="237" t="s">
        <v>350</v>
      </c>
      <c r="CJ318" s="347">
        <v>18.010000000000002</v>
      </c>
      <c r="CK318" s="347" t="s">
        <v>344</v>
      </c>
      <c r="CL318" s="1789"/>
      <c r="CM318" s="2299"/>
      <c r="CN318" s="345"/>
      <c r="CR318" s="345"/>
      <c r="CS318" s="345"/>
      <c r="CX318" s="347"/>
      <c r="CY318" s="347"/>
      <c r="DA318" s="348"/>
      <c r="DC318" s="348"/>
      <c r="DE318" s="1792"/>
      <c r="DF318" s="345"/>
      <c r="DH318" s="237"/>
      <c r="DI318" s="237"/>
      <c r="DN318" s="347"/>
      <c r="DO318" s="347"/>
      <c r="DP318" s="2505"/>
      <c r="DT318" s="663"/>
      <c r="DU318" s="663"/>
      <c r="DV318" s="663"/>
      <c r="DW318" s="663"/>
      <c r="DX318" s="663"/>
      <c r="DY318" s="663"/>
      <c r="DZ318" s="663"/>
      <c r="EA318" s="663"/>
      <c r="EB318" s="663"/>
      <c r="EC318" s="663"/>
      <c r="ED318" s="663"/>
    </row>
    <row r="319" spans="1:134">
      <c r="A319" s="346">
        <v>32566</v>
      </c>
      <c r="B319" s="345" t="s">
        <v>367</v>
      </c>
      <c r="E319" s="934"/>
      <c r="F319" s="345">
        <v>15.02</v>
      </c>
      <c r="G319" s="345" t="s">
        <v>349</v>
      </c>
      <c r="L319" s="347">
        <v>104.01</v>
      </c>
      <c r="M319" s="347" t="s">
        <v>315</v>
      </c>
      <c r="S319" s="346">
        <v>34446</v>
      </c>
      <c r="T319" s="345" t="s">
        <v>316</v>
      </c>
      <c r="V319" s="345">
        <v>80.02</v>
      </c>
      <c r="W319" s="345" t="s">
        <v>361</v>
      </c>
      <c r="AB319" s="347">
        <v>22.07</v>
      </c>
      <c r="AC319" s="347" t="s">
        <v>297</v>
      </c>
      <c r="AD319" s="1138"/>
      <c r="AE319" s="346">
        <v>33896</v>
      </c>
      <c r="AF319" s="345" t="s">
        <v>365</v>
      </c>
      <c r="AI319" s="934"/>
      <c r="AJ319" s="345">
        <v>2.04</v>
      </c>
      <c r="AK319" s="345" t="s">
        <v>349</v>
      </c>
      <c r="AP319" s="347">
        <v>801.04</v>
      </c>
      <c r="AQ319" s="347" t="s">
        <v>310</v>
      </c>
      <c r="AU319" s="348" t="str">
        <f t="array" ref="AU319">IFERROR(IF($AU$11="Yes",INDEX($AP$13:$AP$2950,SMALL(IF((County=$AQ$13:$AQ$2950),MATCH(ROW($AQ$13:$AQ$2950),ROW($AQ$13:$AQ$2950)),""),ROWS($A$13:$A319))),""),"")</f>
        <v/>
      </c>
      <c r="AW319" s="346">
        <v>34286</v>
      </c>
      <c r="AX319" s="345" t="s">
        <v>368</v>
      </c>
      <c r="AZ319" s="345">
        <v>51.02</v>
      </c>
      <c r="BA319" s="345" t="s">
        <v>352</v>
      </c>
      <c r="BF319" s="347">
        <v>17.059999999999999</v>
      </c>
      <c r="BG319" s="347" t="s">
        <v>344</v>
      </c>
      <c r="BH319" s="1790"/>
      <c r="BI319" s="2299">
        <v>33711</v>
      </c>
      <c r="BJ319" s="345" t="s">
        <v>363</v>
      </c>
      <c r="BM319" s="1784"/>
      <c r="BN319" s="345">
        <v>202.12</v>
      </c>
      <c r="BO319" s="345" t="s">
        <v>310</v>
      </c>
      <c r="BT319" s="347">
        <v>705.01</v>
      </c>
      <c r="BU319" s="347" t="s">
        <v>310</v>
      </c>
      <c r="BW319" s="348" t="str">
        <f t="array" ref="BW319">IFERROR(IF($BW$11="Metro",INDEX($BN$13:$BN$4972,SMALL(IF((County=$BO$13:$BO$4972),MATCH(ROW($BO$13:$BO$4972),ROW($BO$13:$BO$4972)),""),ROWS($A$13:$A319))),INDEX($BQ$13:$BQ$212,SMALL(IF((County=$BR$13:$BR$212),MATCH(ROW($BR$13:$BR$212),ROW($BR$13:$BR$212)),""),ROWS($A$13:$A319)))),"")</f>
        <v/>
      </c>
      <c r="BY319" s="348" t="str">
        <f t="array" ref="BY319">IFERROR(IF($BY$11="Yes",INDEX($BT$13:$BT$2950,SMALL(IF((County=$BU$13:$BU$2950),MATCH(ROW($BU$13:$BU$2950),ROW($BU$13:$BU$2950)),""),ROWS($A$13:$A319))),""),"")</f>
        <v/>
      </c>
      <c r="CA319" s="2298">
        <v>33947</v>
      </c>
      <c r="CB319" s="345" t="s">
        <v>315</v>
      </c>
      <c r="CD319" s="237">
        <v>8.07</v>
      </c>
      <c r="CE319" s="237" t="s">
        <v>352</v>
      </c>
      <c r="CJ319" s="347">
        <v>18.010000000000002</v>
      </c>
      <c r="CK319" s="347" t="s">
        <v>349</v>
      </c>
      <c r="CL319" s="1789"/>
      <c r="CM319" s="2299"/>
      <c r="CN319" s="345"/>
      <c r="CR319" s="345"/>
      <c r="CS319" s="345"/>
      <c r="CX319" s="347"/>
      <c r="CY319" s="347"/>
      <c r="DA319" s="348"/>
      <c r="DC319" s="348"/>
      <c r="DE319" s="1792"/>
      <c r="DF319" s="345"/>
      <c r="DH319" s="237"/>
      <c r="DI319" s="237"/>
      <c r="DN319" s="347"/>
      <c r="DO319" s="347"/>
      <c r="DP319" s="2505"/>
      <c r="DT319" s="663"/>
      <c r="DU319" s="663"/>
      <c r="DV319" s="663"/>
      <c r="DW319" s="663"/>
      <c r="DX319" s="663"/>
      <c r="DY319" s="663"/>
      <c r="DZ319" s="663"/>
      <c r="EA319" s="663"/>
      <c r="EB319" s="663"/>
      <c r="EC319" s="663"/>
      <c r="ED319" s="663"/>
    </row>
    <row r="320" spans="1:134">
      <c r="A320" s="346">
        <v>34232</v>
      </c>
      <c r="B320" s="345" t="s">
        <v>368</v>
      </c>
      <c r="E320" s="934"/>
      <c r="F320" s="345">
        <v>2</v>
      </c>
      <c r="G320" s="345" t="s">
        <v>350</v>
      </c>
      <c r="L320" s="347">
        <v>104.02</v>
      </c>
      <c r="M320" s="347" t="s">
        <v>315</v>
      </c>
      <c r="S320" s="346">
        <v>34453</v>
      </c>
      <c r="T320" s="345" t="s">
        <v>316</v>
      </c>
      <c r="V320" s="345">
        <v>81.010000000000005</v>
      </c>
      <c r="W320" s="345" t="s">
        <v>361</v>
      </c>
      <c r="AB320" s="347">
        <v>22.08</v>
      </c>
      <c r="AC320" s="347" t="s">
        <v>297</v>
      </c>
      <c r="AD320" s="1138"/>
      <c r="AE320" s="346">
        <v>33897</v>
      </c>
      <c r="AF320" s="345" t="s">
        <v>365</v>
      </c>
      <c r="AI320" s="934"/>
      <c r="AJ320" s="345">
        <v>3.05</v>
      </c>
      <c r="AK320" s="345" t="s">
        <v>349</v>
      </c>
      <c r="AP320" s="347">
        <v>804.06</v>
      </c>
      <c r="AQ320" s="347" t="s">
        <v>310</v>
      </c>
      <c r="AU320" s="348" t="str">
        <f t="array" ref="AU320">IFERROR(IF($AU$11="Yes",INDEX($AP$13:$AP$2950,SMALL(IF((County=$AQ$13:$AQ$2950),MATCH(ROW($AQ$13:$AQ$2950),ROW($AQ$13:$AQ$2950)),""),ROWS($A$13:$A320))),""),"")</f>
        <v/>
      </c>
      <c r="AW320" s="346">
        <v>34288</v>
      </c>
      <c r="AX320" s="345" t="s">
        <v>368</v>
      </c>
      <c r="AZ320" s="345">
        <v>51.02</v>
      </c>
      <c r="BA320" s="345" t="s">
        <v>361</v>
      </c>
      <c r="BF320" s="347">
        <v>17.09</v>
      </c>
      <c r="BG320" s="347" t="s">
        <v>344</v>
      </c>
      <c r="BH320" s="1790"/>
      <c r="BI320" s="2299">
        <v>33712</v>
      </c>
      <c r="BJ320" s="345" t="s">
        <v>363</v>
      </c>
      <c r="BM320" s="1784"/>
      <c r="BN320" s="345">
        <v>202.13</v>
      </c>
      <c r="BO320" s="345" t="s">
        <v>310</v>
      </c>
      <c r="BT320" s="347">
        <v>705.03</v>
      </c>
      <c r="BU320" s="347" t="s">
        <v>310</v>
      </c>
      <c r="BW320" s="348" t="str">
        <f t="array" ref="BW320">IFERROR(IF($BW$11="Metro",INDEX($BN$13:$BN$4972,SMALL(IF((County=$BO$13:$BO$4972),MATCH(ROW($BO$13:$BO$4972),ROW($BO$13:$BO$4972)),""),ROWS($A$13:$A320))),INDEX($BQ$13:$BQ$212,SMALL(IF((County=$BR$13:$BR$212),MATCH(ROW($BR$13:$BR$212),ROW($BR$13:$BR$212)),""),ROWS($A$13:$A320)))),"")</f>
        <v/>
      </c>
      <c r="BY320" s="348" t="str">
        <f t="array" ref="BY320">IFERROR(IF($BY$11="Yes",INDEX($BT$13:$BT$2950,SMALL(IF((County=$BU$13:$BU$2950),MATCH(ROW($BU$13:$BU$2950),ROW($BU$13:$BU$2950)),""),ROWS($A$13:$A320))),""),"")</f>
        <v/>
      </c>
      <c r="CA320" s="2298">
        <v>33953</v>
      </c>
      <c r="CB320" s="345" t="s">
        <v>315</v>
      </c>
      <c r="CD320" s="345">
        <v>8.08</v>
      </c>
      <c r="CE320" s="345" t="s">
        <v>297</v>
      </c>
      <c r="CJ320" s="347">
        <v>18.010000000000002</v>
      </c>
      <c r="CK320" s="347" t="s">
        <v>368</v>
      </c>
      <c r="CL320" s="1789"/>
      <c r="CM320" s="2299"/>
      <c r="CN320" s="345"/>
      <c r="CR320" s="345"/>
      <c r="CS320" s="345"/>
      <c r="CX320" s="347"/>
      <c r="CY320" s="347"/>
      <c r="DA320" s="348"/>
      <c r="DC320" s="348"/>
      <c r="DE320" s="1792"/>
      <c r="DF320" s="345"/>
      <c r="DH320" s="237"/>
      <c r="DI320" s="237"/>
      <c r="DN320" s="347"/>
      <c r="DO320" s="347"/>
      <c r="DP320" s="2505"/>
      <c r="DT320" s="663"/>
      <c r="DU320" s="663"/>
      <c r="DV320" s="663"/>
      <c r="DW320" s="663"/>
      <c r="DX320" s="663"/>
      <c r="DY320" s="663"/>
      <c r="DZ320" s="663"/>
      <c r="EA320" s="663"/>
      <c r="EB320" s="663"/>
      <c r="EC320" s="663"/>
      <c r="ED320" s="663"/>
    </row>
    <row r="321" spans="1:134">
      <c r="A321" s="346">
        <v>34233</v>
      </c>
      <c r="B321" s="345" t="s">
        <v>368</v>
      </c>
      <c r="E321" s="934"/>
      <c r="F321" s="345">
        <v>3.02</v>
      </c>
      <c r="G321" s="345" t="s">
        <v>350</v>
      </c>
      <c r="L321" s="347">
        <v>104.03</v>
      </c>
      <c r="M321" s="347" t="s">
        <v>315</v>
      </c>
      <c r="S321" s="346">
        <v>34472</v>
      </c>
      <c r="T321" s="345" t="s">
        <v>350</v>
      </c>
      <c r="V321" s="345">
        <v>82.01</v>
      </c>
      <c r="W321" s="345" t="s">
        <v>361</v>
      </c>
      <c r="AB321" s="347">
        <v>22.08</v>
      </c>
      <c r="AC321" s="347" t="s">
        <v>345</v>
      </c>
      <c r="AD321" s="1138"/>
      <c r="AE321" s="346">
        <v>34759</v>
      </c>
      <c r="AF321" s="345" t="s">
        <v>365</v>
      </c>
      <c r="AI321" s="934"/>
      <c r="AJ321" s="345">
        <v>3.07</v>
      </c>
      <c r="AK321" s="345" t="s">
        <v>349</v>
      </c>
      <c r="AP321" s="347">
        <v>901.02</v>
      </c>
      <c r="AQ321" s="347" t="s">
        <v>310</v>
      </c>
      <c r="AU321" s="348" t="str">
        <f t="array" ref="AU321">IFERROR(IF($AU$11="Yes",INDEX($AP$13:$AP$2950,SMALL(IF((County=$AQ$13:$AQ$2950),MATCH(ROW($AQ$13:$AQ$2950),ROW($AQ$13:$AQ$2950)),""),ROWS($A$13:$A321))),""),"")</f>
        <v/>
      </c>
      <c r="AW321" s="346">
        <v>34291</v>
      </c>
      <c r="AX321" s="345" t="s">
        <v>368</v>
      </c>
      <c r="AZ321" s="345">
        <v>51.03</v>
      </c>
      <c r="BA321" s="345" t="s">
        <v>352</v>
      </c>
      <c r="BF321" s="347">
        <v>17.100000000000001</v>
      </c>
      <c r="BG321" s="347" t="s">
        <v>344</v>
      </c>
      <c r="BH321" s="1790"/>
      <c r="BI321" s="2299">
        <v>33713</v>
      </c>
      <c r="BJ321" s="345" t="s">
        <v>363</v>
      </c>
      <c r="BM321" s="1784"/>
      <c r="BN321" s="345">
        <v>202.14</v>
      </c>
      <c r="BO321" s="345" t="s">
        <v>310</v>
      </c>
      <c r="BT321" s="347">
        <v>706.02</v>
      </c>
      <c r="BU321" s="347" t="s">
        <v>310</v>
      </c>
      <c r="BW321" s="348" t="str">
        <f t="array" ref="BW321">IFERROR(IF($BW$11="Metro",INDEX($BN$13:$BN$4972,SMALL(IF((County=$BO$13:$BO$4972),MATCH(ROW($BO$13:$BO$4972),ROW($BO$13:$BO$4972)),""),ROWS($A$13:$A321))),INDEX($BQ$13:$BQ$212,SMALL(IF((County=$BR$13:$BR$212),MATCH(ROW($BR$13:$BR$212),ROW($BR$13:$BR$212)),""),ROWS($A$13:$A321)))),"")</f>
        <v/>
      </c>
      <c r="BY321" s="348" t="str">
        <f t="array" ref="BY321">IFERROR(IF($BY$11="Yes",INDEX($BT$13:$BT$2950,SMALL(IF((County=$BU$13:$BU$2950),MATCH(ROW($BU$13:$BU$2950),ROW($BU$13:$BU$2950)),""),ROWS($A$13:$A321))),""),"")</f>
        <v/>
      </c>
      <c r="CA321" s="2298">
        <v>33954</v>
      </c>
      <c r="CB321" s="345" t="s">
        <v>315</v>
      </c>
      <c r="CD321" s="237">
        <v>8.08</v>
      </c>
      <c r="CE321" s="237" t="s">
        <v>349</v>
      </c>
      <c r="CJ321" s="347">
        <v>18.02</v>
      </c>
      <c r="CK321" s="347" t="s">
        <v>344</v>
      </c>
      <c r="CL321" s="1789"/>
      <c r="CM321" s="2299"/>
      <c r="CN321" s="345"/>
      <c r="CR321" s="345"/>
      <c r="CS321" s="345"/>
      <c r="CX321" s="347"/>
      <c r="CY321" s="347"/>
      <c r="DA321" s="348"/>
      <c r="DC321" s="348"/>
      <c r="DE321" s="1792"/>
      <c r="DF321" s="345"/>
      <c r="DH321" s="237"/>
      <c r="DI321" s="237"/>
      <c r="DN321" s="347"/>
      <c r="DO321" s="347"/>
      <c r="DP321" s="2505"/>
      <c r="DT321" s="663"/>
      <c r="DU321" s="663"/>
      <c r="DV321" s="663"/>
      <c r="DW321" s="663"/>
      <c r="DX321" s="663"/>
      <c r="DY321" s="663"/>
      <c r="DZ321" s="663"/>
      <c r="EA321" s="663"/>
      <c r="EB321" s="663"/>
      <c r="EC321" s="663"/>
      <c r="ED321" s="663"/>
    </row>
    <row r="322" spans="1:134">
      <c r="A322" s="346">
        <v>34235</v>
      </c>
      <c r="B322" s="345" t="s">
        <v>368</v>
      </c>
      <c r="E322" s="934"/>
      <c r="F322" s="345">
        <v>4.01</v>
      </c>
      <c r="G322" s="345" t="s">
        <v>350</v>
      </c>
      <c r="L322" s="347">
        <v>104.04</v>
      </c>
      <c r="M322" s="347" t="s">
        <v>315</v>
      </c>
      <c r="S322" s="346">
        <v>34473</v>
      </c>
      <c r="T322" s="345" t="s">
        <v>350</v>
      </c>
      <c r="V322" s="345">
        <v>82.02</v>
      </c>
      <c r="W322" s="345" t="s">
        <v>361</v>
      </c>
      <c r="AB322" s="347">
        <v>22.09</v>
      </c>
      <c r="AC322" s="347" t="s">
        <v>297</v>
      </c>
      <c r="AD322" s="1138"/>
      <c r="AE322" s="346">
        <v>32561</v>
      </c>
      <c r="AF322" s="345" t="s">
        <v>367</v>
      </c>
      <c r="AI322" s="934"/>
      <c r="AJ322" s="345">
        <v>3.09</v>
      </c>
      <c r="AK322" s="345" t="s">
        <v>349</v>
      </c>
      <c r="AP322" s="347">
        <v>901.03</v>
      </c>
      <c r="AQ322" s="347" t="s">
        <v>310</v>
      </c>
      <c r="AU322" s="348" t="str">
        <f t="array" ref="AU322">IFERROR(IF($AU$11="Yes",INDEX($AP$13:$AP$2950,SMALL(IF((County=$AQ$13:$AQ$2950),MATCH(ROW($AQ$13:$AQ$2950),ROW($AQ$13:$AQ$2950)),""),ROWS($A$13:$A322))),""),"")</f>
        <v/>
      </c>
      <c r="AW322" s="346">
        <v>34292</v>
      </c>
      <c r="AX322" s="345" t="s">
        <v>368</v>
      </c>
      <c r="AZ322" s="345">
        <v>51.04</v>
      </c>
      <c r="BA322" s="345" t="s">
        <v>352</v>
      </c>
      <c r="BF322" s="347">
        <v>18.010000000000002</v>
      </c>
      <c r="BG322" s="347" t="s">
        <v>344</v>
      </c>
      <c r="BH322" s="1790"/>
      <c r="BI322" s="2299">
        <v>33715</v>
      </c>
      <c r="BJ322" s="345" t="s">
        <v>363</v>
      </c>
      <c r="BM322" s="1784"/>
      <c r="BN322" s="345">
        <v>203.02</v>
      </c>
      <c r="BO322" s="345" t="s">
        <v>310</v>
      </c>
      <c r="BT322" s="347">
        <v>801.03</v>
      </c>
      <c r="BU322" s="347" t="s">
        <v>310</v>
      </c>
      <c r="BW322" s="348" t="str">
        <f t="array" ref="BW322">IFERROR(IF($BW$11="Metro",INDEX($BN$13:$BN$4972,SMALL(IF((County=$BO$13:$BO$4972),MATCH(ROW($BO$13:$BO$4972),ROW($BO$13:$BO$4972)),""),ROWS($A$13:$A322))),INDEX($BQ$13:$BQ$212,SMALL(IF((County=$BR$13:$BR$212),MATCH(ROW($BR$13:$BR$212),ROW($BR$13:$BR$212)),""),ROWS($A$13:$A322)))),"")</f>
        <v/>
      </c>
      <c r="BY322" s="348" t="str">
        <f t="array" ref="BY322">IFERROR(IF($BY$11="Yes",INDEX($BT$13:$BT$2950,SMALL(IF((County=$BU$13:$BU$2950),MATCH(ROW($BU$13:$BU$2950),ROW($BU$13:$BU$2950)),""),ROWS($A$13:$A322))),""),"")</f>
        <v/>
      </c>
      <c r="CA322" s="2298">
        <v>33955</v>
      </c>
      <c r="CB322" s="345" t="s">
        <v>315</v>
      </c>
      <c r="CD322" s="237">
        <v>8.08</v>
      </c>
      <c r="CE322" s="237" t="s">
        <v>350</v>
      </c>
      <c r="CJ322" s="347">
        <v>18.02</v>
      </c>
      <c r="CK322" s="347" t="s">
        <v>349</v>
      </c>
      <c r="CL322" s="1789"/>
      <c r="CM322" s="2299"/>
      <c r="CN322" s="345"/>
      <c r="CR322" s="345"/>
      <c r="CS322" s="345"/>
      <c r="CX322" s="347"/>
      <c r="CY322" s="347"/>
      <c r="DA322" s="348"/>
      <c r="DC322" s="348"/>
      <c r="DE322" s="1792"/>
      <c r="DF322" s="345"/>
      <c r="DH322" s="237"/>
      <c r="DI322" s="237"/>
      <c r="DN322" s="347"/>
      <c r="DO322" s="347"/>
      <c r="DP322" s="2505"/>
      <c r="DT322" s="663"/>
      <c r="DU322" s="663"/>
      <c r="DV322" s="663"/>
      <c r="DW322" s="663"/>
      <c r="DX322" s="663"/>
      <c r="DY322" s="663"/>
      <c r="DZ322" s="663"/>
      <c r="EA322" s="663"/>
      <c r="EB322" s="663"/>
      <c r="EC322" s="663"/>
      <c r="ED322" s="663"/>
    </row>
    <row r="323" spans="1:134">
      <c r="A323" s="346">
        <v>34238</v>
      </c>
      <c r="B323" s="345" t="s">
        <v>368</v>
      </c>
      <c r="E323" s="934"/>
      <c r="F323" s="345">
        <v>4.0199999999999996</v>
      </c>
      <c r="G323" s="345" t="s">
        <v>350</v>
      </c>
      <c r="L323" s="347">
        <v>201.01</v>
      </c>
      <c r="M323" s="347" t="s">
        <v>315</v>
      </c>
      <c r="S323" s="346">
        <v>34474</v>
      </c>
      <c r="T323" s="345" t="s">
        <v>350</v>
      </c>
      <c r="V323" s="345">
        <v>82.03</v>
      </c>
      <c r="W323" s="345" t="s">
        <v>361</v>
      </c>
      <c r="AB323" s="347">
        <v>22.1</v>
      </c>
      <c r="AC323" s="347" t="s">
        <v>297</v>
      </c>
      <c r="AD323" s="1138"/>
      <c r="AE323" s="346">
        <v>32566</v>
      </c>
      <c r="AF323" s="345" t="s">
        <v>367</v>
      </c>
      <c r="AI323" s="934"/>
      <c r="AJ323" s="345">
        <v>3.1</v>
      </c>
      <c r="AK323" s="345" t="s">
        <v>349</v>
      </c>
      <c r="AP323" s="347">
        <v>901.04</v>
      </c>
      <c r="AQ323" s="347" t="s">
        <v>310</v>
      </c>
      <c r="AU323" s="348" t="str">
        <f t="array" ref="AU323">IFERROR(IF($AU$11="Yes",INDEX($AP$13:$AP$2950,SMALL(IF((County=$AQ$13:$AQ$2950),MATCH(ROW($AQ$13:$AQ$2950),ROW($AQ$13:$AQ$2950)),""),ROWS($A$13:$A323))),""),"")</f>
        <v/>
      </c>
      <c r="AW323" s="346">
        <v>34293</v>
      </c>
      <c r="AX323" s="345" t="s">
        <v>368</v>
      </c>
      <c r="AZ323" s="345">
        <v>52.01</v>
      </c>
      <c r="BA323" s="345" t="s">
        <v>352</v>
      </c>
      <c r="BF323" s="347">
        <v>18.010000000000002</v>
      </c>
      <c r="BG323" s="347" t="s">
        <v>349</v>
      </c>
      <c r="BH323" s="1790"/>
      <c r="BI323" s="2299">
        <v>33716</v>
      </c>
      <c r="BJ323" s="345" t="s">
        <v>363</v>
      </c>
      <c r="BM323" s="1784"/>
      <c r="BN323" s="345">
        <v>203.08</v>
      </c>
      <c r="BO323" s="345" t="s">
        <v>310</v>
      </c>
      <c r="BT323" s="347">
        <v>801.04</v>
      </c>
      <c r="BU323" s="347" t="s">
        <v>310</v>
      </c>
      <c r="BW323" s="348" t="str">
        <f t="array" ref="BW323">IFERROR(IF($BW$11="Metro",INDEX($BN$13:$BN$4972,SMALL(IF((County=$BO$13:$BO$4972),MATCH(ROW($BO$13:$BO$4972),ROW($BO$13:$BO$4972)),""),ROWS($A$13:$A323))),INDEX($BQ$13:$BQ$212,SMALL(IF((County=$BR$13:$BR$212),MATCH(ROW($BR$13:$BR$212),ROW($BR$13:$BR$212)),""),ROWS($A$13:$A323)))),"")</f>
        <v/>
      </c>
      <c r="BY323" s="348" t="str">
        <f t="array" ref="BY323">IFERROR(IF($BY$11="Yes",INDEX($BT$13:$BT$2950,SMALL(IF((County=$BU$13:$BU$2950),MATCH(ROW($BU$13:$BU$2950),ROW($BU$13:$BU$2950)),""),ROWS($A$13:$A323))),""),"")</f>
        <v/>
      </c>
      <c r="CA323" s="2298">
        <v>33957</v>
      </c>
      <c r="CB323" s="345" t="s">
        <v>344</v>
      </c>
      <c r="CD323" s="237">
        <v>8.08</v>
      </c>
      <c r="CE323" s="237" t="s">
        <v>352</v>
      </c>
      <c r="CJ323" s="347">
        <v>18.03</v>
      </c>
      <c r="CK323" s="347" t="s">
        <v>297</v>
      </c>
      <c r="CL323" s="1789"/>
      <c r="CM323" s="2299"/>
      <c r="CN323" s="345"/>
      <c r="CR323" s="345"/>
      <c r="CS323" s="345"/>
      <c r="CX323" s="347"/>
      <c r="CY323" s="347"/>
      <c r="DA323" s="348"/>
      <c r="DC323" s="348"/>
      <c r="DE323" s="1792"/>
      <c r="DF323" s="345"/>
      <c r="DH323" s="237"/>
      <c r="DI323" s="237"/>
      <c r="DN323" s="347"/>
      <c r="DO323" s="347"/>
      <c r="DP323" s="2505"/>
      <c r="DT323" s="663"/>
      <c r="DU323" s="663"/>
      <c r="DV323" s="663"/>
      <c r="DW323" s="663"/>
      <c r="DX323" s="663"/>
      <c r="DY323" s="663"/>
      <c r="DZ323" s="663"/>
      <c r="EA323" s="663"/>
      <c r="EB323" s="663"/>
      <c r="EC323" s="663"/>
      <c r="ED323" s="663"/>
    </row>
    <row r="324" spans="1:134">
      <c r="A324" s="346">
        <v>34240</v>
      </c>
      <c r="B324" s="345" t="s">
        <v>368</v>
      </c>
      <c r="E324" s="934"/>
      <c r="F324" s="345">
        <v>5.0199999999999996</v>
      </c>
      <c r="G324" s="345" t="s">
        <v>350</v>
      </c>
      <c r="L324" s="347">
        <v>201.03</v>
      </c>
      <c r="M324" s="347" t="s">
        <v>315</v>
      </c>
      <c r="S324" s="346">
        <v>34481</v>
      </c>
      <c r="T324" s="345" t="s">
        <v>350</v>
      </c>
      <c r="V324" s="345">
        <v>83.01</v>
      </c>
      <c r="W324" s="345" t="s">
        <v>361</v>
      </c>
      <c r="AB324" s="347">
        <v>22.19</v>
      </c>
      <c r="AC324" s="347" t="s">
        <v>297</v>
      </c>
      <c r="AD324" s="1138"/>
      <c r="AE324" s="346">
        <v>34232</v>
      </c>
      <c r="AF324" s="345" t="s">
        <v>368</v>
      </c>
      <c r="AI324" s="934"/>
      <c r="AJ324" s="345">
        <v>3.11</v>
      </c>
      <c r="AK324" s="345" t="s">
        <v>349</v>
      </c>
      <c r="AP324" s="347">
        <v>902</v>
      </c>
      <c r="AQ324" s="347" t="s">
        <v>310</v>
      </c>
      <c r="AU324" s="348" t="str">
        <f t="array" ref="AU324">IFERROR(IF($AU$11="Yes",INDEX($AP$13:$AP$2950,SMALL(IF((County=$AQ$13:$AQ$2950),MATCH(ROW($AQ$13:$AQ$2950),ROW($AQ$13:$AQ$2950)),""),ROWS($A$13:$A324))),""),"")</f>
        <v/>
      </c>
      <c r="AW324" s="346">
        <v>34429</v>
      </c>
      <c r="AX324" s="345" t="s">
        <v>316</v>
      </c>
      <c r="AZ324" s="345">
        <v>52.02</v>
      </c>
      <c r="BA324" s="345" t="s">
        <v>352</v>
      </c>
      <c r="BF324" s="347">
        <v>18.010000000000002</v>
      </c>
      <c r="BG324" s="347" t="s">
        <v>368</v>
      </c>
      <c r="BH324" s="1790"/>
      <c r="BI324" s="2299">
        <v>33744</v>
      </c>
      <c r="BJ324" s="345" t="s">
        <v>363</v>
      </c>
      <c r="BM324" s="1784"/>
      <c r="BN324" s="345">
        <v>203.09</v>
      </c>
      <c r="BO324" s="345" t="s">
        <v>310</v>
      </c>
      <c r="BT324" s="347">
        <v>802</v>
      </c>
      <c r="BU324" s="347" t="s">
        <v>310</v>
      </c>
      <c r="BW324" s="348" t="str">
        <f t="array" ref="BW324">IFERROR(IF($BW$11="Metro",INDEX($BN$13:$BN$4972,SMALL(IF((County=$BO$13:$BO$4972),MATCH(ROW($BO$13:$BO$4972),ROW($BO$13:$BO$4972)),""),ROWS($A$13:$A324))),INDEX($BQ$13:$BQ$212,SMALL(IF((County=$BR$13:$BR$212),MATCH(ROW($BR$13:$BR$212),ROW($BR$13:$BR$212)),""),ROWS($A$13:$A324)))),"")</f>
        <v/>
      </c>
      <c r="BY324" s="348" t="str">
        <f t="array" ref="BY324">IFERROR(IF($BY$11="Yes",INDEX($BT$13:$BT$2950,SMALL(IF((County=$BU$13:$BU$2950),MATCH(ROW($BU$13:$BU$2950),ROW($BU$13:$BU$2950)),""),ROWS($A$13:$A324))),""),"")</f>
        <v/>
      </c>
      <c r="CA324" s="2298">
        <v>33967</v>
      </c>
      <c r="CB324" s="345" t="s">
        <v>344</v>
      </c>
      <c r="CD324" s="345">
        <v>8.09</v>
      </c>
      <c r="CE324" s="345" t="s">
        <v>297</v>
      </c>
      <c r="CJ324" s="347">
        <v>18.03</v>
      </c>
      <c r="CK324" s="347" t="s">
        <v>345</v>
      </c>
      <c r="CL324" s="1789"/>
      <c r="CM324" s="2299"/>
      <c r="CN324" s="345"/>
      <c r="CR324" s="345"/>
      <c r="CS324" s="345"/>
      <c r="CX324" s="347"/>
      <c r="CY324" s="347"/>
      <c r="DA324" s="348"/>
      <c r="DC324" s="348"/>
      <c r="DE324" s="1792"/>
      <c r="DF324" s="345"/>
      <c r="DH324" s="237"/>
      <c r="DI324" s="237"/>
      <c r="DN324" s="347"/>
      <c r="DO324" s="347"/>
      <c r="DP324" s="2505"/>
      <c r="DT324" s="663"/>
      <c r="DU324" s="663"/>
      <c r="DV324" s="663"/>
      <c r="DW324" s="663"/>
      <c r="DX324" s="663"/>
      <c r="DY324" s="663"/>
      <c r="DZ324" s="663"/>
      <c r="EA324" s="663"/>
      <c r="EB324" s="663"/>
      <c r="EC324" s="663"/>
      <c r="ED324" s="663"/>
    </row>
    <row r="325" spans="1:134">
      <c r="A325" s="346">
        <v>34241</v>
      </c>
      <c r="B325" s="345" t="s">
        <v>368</v>
      </c>
      <c r="E325" s="934"/>
      <c r="F325" s="345">
        <v>6.04</v>
      </c>
      <c r="G325" s="345" t="s">
        <v>350</v>
      </c>
      <c r="L325" s="347">
        <v>201.04</v>
      </c>
      <c r="M325" s="347" t="s">
        <v>315</v>
      </c>
      <c r="S325" s="346">
        <v>34491</v>
      </c>
      <c r="T325" s="345" t="s">
        <v>350</v>
      </c>
      <c r="V325" s="345">
        <v>83.02</v>
      </c>
      <c r="W325" s="345" t="s">
        <v>361</v>
      </c>
      <c r="AB325" s="347">
        <v>23</v>
      </c>
      <c r="AC325" s="347" t="s">
        <v>323</v>
      </c>
      <c r="AD325" s="1138"/>
      <c r="AE325" s="346">
        <v>34233</v>
      </c>
      <c r="AF325" s="345" t="s">
        <v>368</v>
      </c>
      <c r="AI325" s="934"/>
      <c r="AJ325" s="345">
        <v>3.13</v>
      </c>
      <c r="AK325" s="345" t="s">
        <v>349</v>
      </c>
      <c r="AP325" s="347">
        <v>903.03</v>
      </c>
      <c r="AQ325" s="347" t="s">
        <v>310</v>
      </c>
      <c r="AU325" s="348" t="str">
        <f t="array" ref="AU325">IFERROR(IF($AU$11="Yes",INDEX($AP$13:$AP$2950,SMALL(IF((County=$AQ$13:$AQ$2950),MATCH(ROW($AQ$13:$AQ$2950),ROW($AQ$13:$AQ$2950)),""),ROWS($A$13:$A325))),""),"")</f>
        <v/>
      </c>
      <c r="AW325" s="346">
        <v>34434</v>
      </c>
      <c r="AX325" s="345" t="s">
        <v>316</v>
      </c>
      <c r="AZ325" s="345">
        <v>52.02</v>
      </c>
      <c r="BA325" s="345" t="s">
        <v>361</v>
      </c>
      <c r="BF325" s="347">
        <v>18.02</v>
      </c>
      <c r="BG325" s="347" t="s">
        <v>344</v>
      </c>
      <c r="BH325" s="1790"/>
      <c r="BI325" s="2299">
        <v>33756</v>
      </c>
      <c r="BJ325" s="345" t="s">
        <v>363</v>
      </c>
      <c r="BM325" s="1784"/>
      <c r="BN325" s="345">
        <v>203.11</v>
      </c>
      <c r="BO325" s="345" t="s">
        <v>310</v>
      </c>
      <c r="BT325" s="347">
        <v>804.05</v>
      </c>
      <c r="BU325" s="347" t="s">
        <v>310</v>
      </c>
      <c r="BW325" s="348" t="str">
        <f t="array" ref="BW325">IFERROR(IF($BW$11="Metro",INDEX($BN$13:$BN$4972,SMALL(IF((County=$BO$13:$BO$4972),MATCH(ROW($BO$13:$BO$4972),ROW($BO$13:$BO$4972)),""),ROWS($A$13:$A325))),INDEX($BQ$13:$BQ$212,SMALL(IF((County=$BR$13:$BR$212),MATCH(ROW($BR$13:$BR$212),ROW($BR$13:$BR$212)),""),ROWS($A$13:$A325)))),"")</f>
        <v/>
      </c>
      <c r="BY325" s="348" t="str">
        <f t="array" ref="BY325">IFERROR(IF($BY$11="Yes",INDEX($BT$13:$BT$2950,SMALL(IF((County=$BU$13:$BU$2950),MATCH(ROW($BU$13:$BU$2950),ROW($BU$13:$BU$2950)),""),ROWS($A$13:$A325))),""),"")</f>
        <v/>
      </c>
      <c r="CA325" s="2298">
        <v>33981</v>
      </c>
      <c r="CB325" s="345" t="s">
        <v>315</v>
      </c>
      <c r="CD325" s="237">
        <v>8.09</v>
      </c>
      <c r="CE325" s="237" t="s">
        <v>349</v>
      </c>
      <c r="CJ325" s="347">
        <v>18.05</v>
      </c>
      <c r="CK325" s="347" t="s">
        <v>368</v>
      </c>
      <c r="CL325" s="1789"/>
      <c r="CM325" s="2299"/>
      <c r="CN325" s="345"/>
      <c r="CR325" s="345"/>
      <c r="CS325" s="345"/>
      <c r="CX325" s="347"/>
      <c r="CY325" s="347"/>
      <c r="DA325" s="348"/>
      <c r="DC325" s="348"/>
      <c r="DE325" s="1792"/>
      <c r="DF325" s="345"/>
      <c r="DH325" s="237"/>
      <c r="DI325" s="237"/>
      <c r="DN325" s="347"/>
      <c r="DO325" s="347"/>
      <c r="DP325" s="2505"/>
      <c r="DT325" s="663"/>
      <c r="DU325" s="663"/>
      <c r="DV325" s="663"/>
      <c r="DW325" s="663"/>
      <c r="DX325" s="663"/>
      <c r="DY325" s="663"/>
      <c r="DZ325" s="663"/>
      <c r="EA325" s="663"/>
      <c r="EB325" s="663"/>
      <c r="EC325" s="663"/>
      <c r="ED325" s="663"/>
    </row>
    <row r="326" spans="1:134">
      <c r="A326" s="346">
        <v>34242</v>
      </c>
      <c r="B326" s="345" t="s">
        <v>368</v>
      </c>
      <c r="E326" s="934"/>
      <c r="F326" s="345">
        <v>6.05</v>
      </c>
      <c r="G326" s="345" t="s">
        <v>350</v>
      </c>
      <c r="L326" s="347">
        <v>202.01</v>
      </c>
      <c r="M326" s="347" t="s">
        <v>315</v>
      </c>
      <c r="S326" s="346">
        <v>34609</v>
      </c>
      <c r="T326" s="345" t="s">
        <v>335</v>
      </c>
      <c r="V326" s="345">
        <v>83.09</v>
      </c>
      <c r="W326" s="345" t="s">
        <v>352</v>
      </c>
      <c r="AB326" s="347">
        <v>23</v>
      </c>
      <c r="AC326" s="347" t="s">
        <v>337</v>
      </c>
      <c r="AD326" s="1138"/>
      <c r="AE326" s="346">
        <v>34235</v>
      </c>
      <c r="AF326" s="345" t="s">
        <v>368</v>
      </c>
      <c r="AI326" s="934"/>
      <c r="AJ326" s="345">
        <v>3.14</v>
      </c>
      <c r="AK326" s="345" t="s">
        <v>349</v>
      </c>
      <c r="AP326" s="347">
        <v>903.04</v>
      </c>
      <c r="AQ326" s="347" t="s">
        <v>310</v>
      </c>
      <c r="AU326" s="348" t="str">
        <f t="array" ref="AU326">IFERROR(IF($AU$11="Yes",INDEX($AP$13:$AP$2950,SMALL(IF((County=$AQ$13:$AQ$2950),MATCH(ROW($AQ$13:$AQ$2950),ROW($AQ$13:$AQ$2950)),""),ROWS($A$13:$A326))),""),"")</f>
        <v/>
      </c>
      <c r="AW326" s="346">
        <v>34446</v>
      </c>
      <c r="AX326" s="345" t="s">
        <v>316</v>
      </c>
      <c r="AZ326" s="345">
        <v>53.02</v>
      </c>
      <c r="BA326" s="345" t="s">
        <v>337</v>
      </c>
      <c r="BF326" s="347">
        <v>18.02</v>
      </c>
      <c r="BG326" s="347" t="s">
        <v>349</v>
      </c>
      <c r="BH326" s="1790"/>
      <c r="BI326" s="2299">
        <v>33759</v>
      </c>
      <c r="BJ326" s="345" t="s">
        <v>363</v>
      </c>
      <c r="BM326" s="1784"/>
      <c r="BN326" s="345">
        <v>203.12</v>
      </c>
      <c r="BO326" s="345" t="s">
        <v>310</v>
      </c>
      <c r="BT326" s="347">
        <v>804.06</v>
      </c>
      <c r="BU326" s="347" t="s">
        <v>310</v>
      </c>
      <c r="BW326" s="348" t="str">
        <f t="array" ref="BW326">IFERROR(IF($BW$11="Metro",INDEX($BN$13:$BN$4972,SMALL(IF((County=$BO$13:$BO$4972),MATCH(ROW($BO$13:$BO$4972),ROW($BO$13:$BO$4972)),""),ROWS($A$13:$A326))),INDEX($BQ$13:$BQ$212,SMALL(IF((County=$BR$13:$BR$212),MATCH(ROW($BR$13:$BR$212),ROW($BR$13:$BR$212)),""),ROWS($A$13:$A326)))),"")</f>
        <v/>
      </c>
      <c r="BY326" s="348" t="str">
        <f t="array" ref="BY326">IFERROR(IF($BY$11="Yes",INDEX($BT$13:$BT$2950,SMALL(IF((County=$BU$13:$BU$2950),MATCH(ROW($BU$13:$BU$2950),ROW($BU$13:$BU$2950)),""),ROWS($A$13:$A326))),""),"")</f>
        <v/>
      </c>
      <c r="CA326" s="2298">
        <v>33991</v>
      </c>
      <c r="CB326" s="345" t="s">
        <v>344</v>
      </c>
      <c r="CD326" s="237">
        <v>8.09</v>
      </c>
      <c r="CE326" s="237" t="s">
        <v>350</v>
      </c>
      <c r="CJ326" s="347">
        <v>18.11</v>
      </c>
      <c r="CK326" s="347" t="s">
        <v>297</v>
      </c>
      <c r="CL326" s="1789"/>
      <c r="CM326" s="2299"/>
      <c r="CN326" s="345"/>
      <c r="CR326" s="345"/>
      <c r="CS326" s="345"/>
      <c r="CX326" s="347"/>
      <c r="CY326" s="347"/>
      <c r="DA326" s="348"/>
      <c r="DC326" s="348"/>
      <c r="DE326" s="1792"/>
      <c r="DF326" s="345"/>
      <c r="DH326" s="237"/>
      <c r="DI326" s="237"/>
      <c r="DN326" s="347"/>
      <c r="DO326" s="347"/>
      <c r="DP326" s="2505"/>
      <c r="DT326" s="663"/>
      <c r="DU326" s="663"/>
      <c r="DV326" s="663"/>
      <c r="DW326" s="663"/>
      <c r="DX326" s="663"/>
      <c r="DY326" s="663"/>
      <c r="DZ326" s="663"/>
      <c r="EA326" s="663"/>
      <c r="EB326" s="663"/>
      <c r="EC326" s="663"/>
      <c r="ED326" s="663"/>
    </row>
    <row r="327" spans="1:134">
      <c r="A327" s="346">
        <v>34286</v>
      </c>
      <c r="B327" s="345" t="s">
        <v>368</v>
      </c>
      <c r="E327" s="934"/>
      <c r="F327" s="345">
        <v>14.01</v>
      </c>
      <c r="G327" s="345" t="s">
        <v>350</v>
      </c>
      <c r="L327" s="347">
        <v>202.02</v>
      </c>
      <c r="M327" s="347" t="s">
        <v>315</v>
      </c>
      <c r="S327" s="346">
        <v>34637</v>
      </c>
      <c r="T327" s="345" t="s">
        <v>362</v>
      </c>
      <c r="V327" s="345">
        <v>88.05</v>
      </c>
      <c r="W327" s="345" t="s">
        <v>352</v>
      </c>
      <c r="AB327" s="347">
        <v>23</v>
      </c>
      <c r="AC327" s="347" t="s">
        <v>361</v>
      </c>
      <c r="AD327" s="1138"/>
      <c r="AE327" s="346">
        <v>34238</v>
      </c>
      <c r="AF327" s="345" t="s">
        <v>368</v>
      </c>
      <c r="AI327" s="934"/>
      <c r="AJ327" s="345">
        <v>6.03</v>
      </c>
      <c r="AK327" s="345" t="s">
        <v>349</v>
      </c>
      <c r="AP327" s="347">
        <v>904.01</v>
      </c>
      <c r="AQ327" s="347" t="s">
        <v>310</v>
      </c>
      <c r="AU327" s="348" t="str">
        <f t="array" ref="AU327">IFERROR(IF($AU$11="Yes",INDEX($AP$13:$AP$2950,SMALL(IF((County=$AQ$13:$AQ$2950),MATCH(ROW($AQ$13:$AQ$2950),ROW($AQ$13:$AQ$2950)),""),ROWS($A$13:$A327))),""),"")</f>
        <v/>
      </c>
      <c r="AW327" s="346">
        <v>34472</v>
      </c>
      <c r="AX327" s="345" t="s">
        <v>350</v>
      </c>
      <c r="AZ327" s="345">
        <v>53.03</v>
      </c>
      <c r="BA327" s="345" t="s">
        <v>352</v>
      </c>
      <c r="BF327" s="347">
        <v>18.03</v>
      </c>
      <c r="BG327" s="347" t="s">
        <v>297</v>
      </c>
      <c r="BH327" s="1790"/>
      <c r="BI327" s="2299">
        <v>33760</v>
      </c>
      <c r="BJ327" s="345" t="s">
        <v>363</v>
      </c>
      <c r="BM327" s="1784"/>
      <c r="BN327" s="345">
        <v>203.13</v>
      </c>
      <c r="BO327" s="345" t="s">
        <v>310</v>
      </c>
      <c r="BT327" s="347">
        <v>901.02</v>
      </c>
      <c r="BU327" s="347" t="s">
        <v>310</v>
      </c>
      <c r="BW327" s="348" t="str">
        <f t="array" ref="BW327">IFERROR(IF($BW$11="Metro",INDEX($BN$13:$BN$4972,SMALL(IF((County=$BO$13:$BO$4972),MATCH(ROW($BO$13:$BO$4972),ROW($BO$13:$BO$4972)),""),ROWS($A$13:$A327))),INDEX($BQ$13:$BQ$212,SMALL(IF((County=$BR$13:$BR$212),MATCH(ROW($BR$13:$BR$212),ROW($BR$13:$BR$212)),""),ROWS($A$13:$A327)))),"")</f>
        <v/>
      </c>
      <c r="BY327" s="348" t="str">
        <f t="array" ref="BY327">IFERROR(IF($BY$11="Yes",INDEX($BT$13:$BT$2950,SMALL(IF((County=$BU$13:$BU$2950),MATCH(ROW($BU$13:$BU$2950),ROW($BU$13:$BU$2950)),""),ROWS($A$13:$A327))),""),"")</f>
        <v/>
      </c>
      <c r="CA327" s="2298">
        <v>33993</v>
      </c>
      <c r="CB327" s="345" t="s">
        <v>344</v>
      </c>
      <c r="CD327" s="237">
        <v>8.1</v>
      </c>
      <c r="CE327" s="237" t="s">
        <v>349</v>
      </c>
      <c r="CJ327" s="347">
        <v>18.13</v>
      </c>
      <c r="CK327" s="347" t="s">
        <v>297</v>
      </c>
      <c r="CL327" s="1789"/>
      <c r="CM327" s="2299"/>
      <c r="CN327" s="345"/>
      <c r="CR327" s="345"/>
      <c r="CS327" s="345"/>
      <c r="CX327" s="347"/>
      <c r="CY327" s="347"/>
      <c r="DA327" s="348"/>
      <c r="DC327" s="348"/>
      <c r="DE327" s="1792"/>
      <c r="DF327" s="345"/>
      <c r="DH327" s="237"/>
      <c r="DI327" s="237"/>
      <c r="DN327" s="347"/>
      <c r="DO327" s="347"/>
      <c r="DP327" s="2505"/>
      <c r="DT327" s="663"/>
      <c r="DU327" s="663"/>
      <c r="DV327" s="663"/>
      <c r="DW327" s="663"/>
      <c r="DX327" s="663"/>
      <c r="DY327" s="663"/>
      <c r="DZ327" s="663"/>
      <c r="EA327" s="663"/>
      <c r="EB327" s="663"/>
      <c r="EC327" s="663"/>
      <c r="ED327" s="663"/>
    </row>
    <row r="328" spans="1:134">
      <c r="A328" s="346">
        <v>34288</v>
      </c>
      <c r="B328" s="345" t="s">
        <v>368</v>
      </c>
      <c r="E328" s="934"/>
      <c r="F328" s="345">
        <v>15</v>
      </c>
      <c r="G328" s="345" t="s">
        <v>350</v>
      </c>
      <c r="L328" s="347">
        <v>204</v>
      </c>
      <c r="M328" s="347" t="s">
        <v>315</v>
      </c>
      <c r="S328" s="346">
        <v>34638</v>
      </c>
      <c r="T328" s="345" t="s">
        <v>362</v>
      </c>
      <c r="V328" s="345">
        <v>88.06</v>
      </c>
      <c r="W328" s="345" t="s">
        <v>352</v>
      </c>
      <c r="AB328" s="347">
        <v>23.01</v>
      </c>
      <c r="AC328" s="347" t="s">
        <v>350</v>
      </c>
      <c r="AD328" s="1138"/>
      <c r="AE328" s="346">
        <v>34239</v>
      </c>
      <c r="AF328" s="345" t="s">
        <v>368</v>
      </c>
      <c r="AI328" s="934"/>
      <c r="AJ328" s="345">
        <v>6.04</v>
      </c>
      <c r="AK328" s="345" t="s">
        <v>349</v>
      </c>
      <c r="AP328" s="347">
        <v>905.02</v>
      </c>
      <c r="AQ328" s="347" t="s">
        <v>310</v>
      </c>
      <c r="AU328" s="348" t="str">
        <f t="array" ref="AU328">IFERROR(IF($AU$11="Yes",INDEX($AP$13:$AP$2950,SMALL(IF((County=$AQ$13:$AQ$2950),MATCH(ROW($AQ$13:$AQ$2950),ROW($AQ$13:$AQ$2950)),""),ROWS($A$13:$A328))),""),"")</f>
        <v/>
      </c>
      <c r="AW328" s="346">
        <v>34473</v>
      </c>
      <c r="AX328" s="345" t="s">
        <v>350</v>
      </c>
      <c r="AZ328" s="345">
        <v>53.04</v>
      </c>
      <c r="BA328" s="345" t="s">
        <v>352</v>
      </c>
      <c r="BF328" s="347">
        <v>18.05</v>
      </c>
      <c r="BG328" s="347" t="s">
        <v>368</v>
      </c>
      <c r="BH328" s="1790"/>
      <c r="BI328" s="2299">
        <v>33761</v>
      </c>
      <c r="BJ328" s="345" t="s">
        <v>363</v>
      </c>
      <c r="BM328" s="1784"/>
      <c r="BN328" s="345">
        <v>203.14</v>
      </c>
      <c r="BO328" s="345" t="s">
        <v>310</v>
      </c>
      <c r="BT328" s="347">
        <v>901.03</v>
      </c>
      <c r="BU328" s="347" t="s">
        <v>310</v>
      </c>
      <c r="BW328" s="348" t="str">
        <f t="array" ref="BW328">IFERROR(IF($BW$11="Metro",INDEX($BN$13:$BN$4972,SMALL(IF((County=$BO$13:$BO$4972),MATCH(ROW($BO$13:$BO$4972),ROW($BO$13:$BO$4972)),""),ROWS($A$13:$A328))),INDEX($BQ$13:$BQ$212,SMALL(IF((County=$BR$13:$BR$212),MATCH(ROW($BR$13:$BR$212),ROW($BR$13:$BR$212)),""),ROWS($A$13:$A328)))),"")</f>
        <v/>
      </c>
      <c r="BY328" s="348" t="str">
        <f t="array" ref="BY328">IFERROR(IF($BY$11="Yes",INDEX($BT$13:$BT$2950,SMALL(IF((County=$BU$13:$BU$2950),MATCH(ROW($BU$13:$BU$2950),ROW($BU$13:$BU$2950)),""),ROWS($A$13:$A328))),""),"")</f>
        <v/>
      </c>
      <c r="CA328" s="2298">
        <v>34102</v>
      </c>
      <c r="CB328" s="345" t="s">
        <v>318</v>
      </c>
      <c r="CD328" s="237">
        <v>8.1</v>
      </c>
      <c r="CE328" s="237" t="s">
        <v>350</v>
      </c>
      <c r="CJ328" s="347">
        <v>18.149999999999999</v>
      </c>
      <c r="CK328" s="347" t="s">
        <v>297</v>
      </c>
      <c r="CL328" s="1789"/>
      <c r="CM328" s="2299"/>
      <c r="CN328" s="345"/>
      <c r="CR328" s="345"/>
      <c r="CS328" s="345"/>
      <c r="CX328" s="347"/>
      <c r="CY328" s="347"/>
      <c r="DA328" s="348"/>
      <c r="DC328" s="348"/>
      <c r="DE328" s="1792"/>
      <c r="DF328" s="345"/>
      <c r="DH328" s="237"/>
      <c r="DI328" s="237"/>
      <c r="DN328" s="347"/>
      <c r="DO328" s="347"/>
      <c r="DP328" s="2505"/>
      <c r="DT328" s="663"/>
      <c r="DU328" s="663"/>
      <c r="DV328" s="663"/>
      <c r="DW328" s="663"/>
      <c r="DX328" s="663"/>
      <c r="DY328" s="663"/>
      <c r="DZ328" s="663"/>
      <c r="EA328" s="663"/>
      <c r="EB328" s="663"/>
      <c r="EC328" s="663"/>
      <c r="ED328" s="663"/>
    </row>
    <row r="329" spans="1:134">
      <c r="A329" s="346">
        <v>34291</v>
      </c>
      <c r="B329" s="345" t="s">
        <v>368</v>
      </c>
      <c r="E329" s="934"/>
      <c r="F329" s="345">
        <v>16</v>
      </c>
      <c r="G329" s="345" t="s">
        <v>350</v>
      </c>
      <c r="L329" s="347">
        <v>205.01</v>
      </c>
      <c r="M329" s="347" t="s">
        <v>315</v>
      </c>
      <c r="S329" s="346">
        <v>34639</v>
      </c>
      <c r="T329" s="345" t="s">
        <v>362</v>
      </c>
      <c r="V329" s="345">
        <v>90.2</v>
      </c>
      <c r="W329" s="345" t="s">
        <v>352</v>
      </c>
      <c r="AB329" s="347">
        <v>23.02</v>
      </c>
      <c r="AC329" s="347" t="s">
        <v>345</v>
      </c>
      <c r="AD329" s="1138"/>
      <c r="AE329" s="346">
        <v>34240</v>
      </c>
      <c r="AF329" s="345" t="s">
        <v>368</v>
      </c>
      <c r="AI329" s="934"/>
      <c r="AJ329" s="345">
        <v>7.04</v>
      </c>
      <c r="AK329" s="345" t="s">
        <v>349</v>
      </c>
      <c r="AP329" s="347">
        <v>905.03</v>
      </c>
      <c r="AQ329" s="347" t="s">
        <v>310</v>
      </c>
      <c r="AU329" s="348" t="str">
        <f t="array" ref="AU329">IFERROR(IF($AU$11="Yes",INDEX($AP$13:$AP$2950,SMALL(IF((County=$AQ$13:$AQ$2950),MATCH(ROW($AQ$13:$AQ$2950),ROW($AQ$13:$AQ$2950)),""),ROWS($A$13:$A329))),""),"")</f>
        <v/>
      </c>
      <c r="AW329" s="346">
        <v>34474</v>
      </c>
      <c r="AX329" s="345" t="s">
        <v>350</v>
      </c>
      <c r="AZ329" s="345">
        <v>53.05</v>
      </c>
      <c r="BA329" s="345" t="s">
        <v>352</v>
      </c>
      <c r="BF329" s="347">
        <v>18.11</v>
      </c>
      <c r="BG329" s="347" t="s">
        <v>297</v>
      </c>
      <c r="BH329" s="1790"/>
      <c r="BI329" s="2299">
        <v>33762</v>
      </c>
      <c r="BJ329" s="345" t="s">
        <v>363</v>
      </c>
      <c r="BM329" s="1784"/>
      <c r="BN329" s="345">
        <v>203.15</v>
      </c>
      <c r="BO329" s="345" t="s">
        <v>310</v>
      </c>
      <c r="BT329" s="347">
        <v>901.04</v>
      </c>
      <c r="BU329" s="347" t="s">
        <v>310</v>
      </c>
      <c r="BW329" s="348" t="str">
        <f t="array" ref="BW329">IFERROR(IF($BW$11="Metro",INDEX($BN$13:$BN$4972,SMALL(IF((County=$BO$13:$BO$4972),MATCH(ROW($BO$13:$BO$4972),ROW($BO$13:$BO$4972)),""),ROWS($A$13:$A329))),INDEX($BQ$13:$BQ$212,SMALL(IF((County=$BR$13:$BR$212),MATCH(ROW($BR$13:$BR$212),ROW($BR$13:$BR$212)),""),ROWS($A$13:$A329)))),"")</f>
        <v/>
      </c>
      <c r="BY329" s="348" t="str">
        <f t="array" ref="BY329">IFERROR(IF($BY$11="Yes",INDEX($BT$13:$BT$2950,SMALL(IF((County=$BU$13:$BU$2950),MATCH(ROW($BU$13:$BU$2950),ROW($BU$13:$BU$2950)),""),ROWS($A$13:$A329))),""),"")</f>
        <v/>
      </c>
      <c r="CA329" s="2298">
        <v>34103</v>
      </c>
      <c r="CB329" s="345" t="s">
        <v>318</v>
      </c>
      <c r="CD329" s="237">
        <v>8.11</v>
      </c>
      <c r="CE329" s="237" t="s">
        <v>349</v>
      </c>
      <c r="CJ329" s="347">
        <v>18.170000000000002</v>
      </c>
      <c r="CK329" s="347" t="s">
        <v>297</v>
      </c>
      <c r="CL329" s="1789"/>
      <c r="CM329" s="2299"/>
      <c r="CN329" s="345"/>
      <c r="CR329" s="345"/>
      <c r="CS329" s="345"/>
      <c r="CX329" s="347"/>
      <c r="CY329" s="347"/>
      <c r="DA329" s="348"/>
      <c r="DC329" s="348"/>
      <c r="DE329" s="1792"/>
      <c r="DF329" s="345"/>
      <c r="DH329" s="237"/>
      <c r="DI329" s="237"/>
      <c r="DN329" s="347"/>
      <c r="DO329" s="347"/>
      <c r="DP329" s="2505"/>
      <c r="DT329" s="663"/>
      <c r="DU329" s="663"/>
      <c r="DV329" s="663"/>
      <c r="DW329" s="663"/>
      <c r="DX329" s="663"/>
      <c r="DY329" s="663"/>
      <c r="DZ329" s="663"/>
      <c r="EA329" s="663"/>
      <c r="EB329" s="663"/>
      <c r="EC329" s="663"/>
      <c r="ED329" s="663"/>
    </row>
    <row r="330" spans="1:134">
      <c r="A330" s="346">
        <v>34292</v>
      </c>
      <c r="B330" s="345" t="s">
        <v>368</v>
      </c>
      <c r="E330" s="934"/>
      <c r="F330" s="345">
        <v>17</v>
      </c>
      <c r="G330" s="345" t="s">
        <v>350</v>
      </c>
      <c r="L330" s="347">
        <v>205.02</v>
      </c>
      <c r="M330" s="347" t="s">
        <v>315</v>
      </c>
      <c r="S330" s="346">
        <v>34655</v>
      </c>
      <c r="T330" s="345" t="s">
        <v>362</v>
      </c>
      <c r="V330" s="345">
        <v>90.21</v>
      </c>
      <c r="W330" s="345" t="s">
        <v>352</v>
      </c>
      <c r="AB330" s="347">
        <v>23.02</v>
      </c>
      <c r="AC330" s="347" t="s">
        <v>350</v>
      </c>
      <c r="AD330" s="1138"/>
      <c r="AE330" s="346">
        <v>34241</v>
      </c>
      <c r="AF330" s="345" t="s">
        <v>368</v>
      </c>
      <c r="AI330" s="934"/>
      <c r="AJ330" s="345">
        <v>7.05</v>
      </c>
      <c r="AK330" s="345" t="s">
        <v>349</v>
      </c>
      <c r="AP330" s="347">
        <v>906.02</v>
      </c>
      <c r="AQ330" s="347" t="s">
        <v>310</v>
      </c>
      <c r="AU330" s="348" t="str">
        <f t="array" ref="AU330">IFERROR(IF($AU$11="Yes",INDEX($AP$13:$AP$2950,SMALL(IF((County=$AQ$13:$AQ$2950),MATCH(ROW($AQ$13:$AQ$2950),ROW($AQ$13:$AQ$2950)),""),ROWS($A$13:$A330))),""),"")</f>
        <v/>
      </c>
      <c r="AW330" s="346">
        <v>34637</v>
      </c>
      <c r="AX330" s="345" t="s">
        <v>362</v>
      </c>
      <c r="AZ330" s="345">
        <v>53.06</v>
      </c>
      <c r="BA330" s="345" t="s">
        <v>352</v>
      </c>
      <c r="BF330" s="347">
        <v>18.13</v>
      </c>
      <c r="BG330" s="347" t="s">
        <v>297</v>
      </c>
      <c r="BH330" s="1790"/>
      <c r="BI330" s="2299">
        <v>33763</v>
      </c>
      <c r="BJ330" s="345" t="s">
        <v>363</v>
      </c>
      <c r="BM330" s="1784"/>
      <c r="BN330" s="345">
        <v>203.16</v>
      </c>
      <c r="BO330" s="345" t="s">
        <v>310</v>
      </c>
      <c r="BT330" s="347">
        <v>902</v>
      </c>
      <c r="BU330" s="347" t="s">
        <v>310</v>
      </c>
      <c r="BW330" s="348" t="str">
        <f t="array" ref="BW330">IFERROR(IF($BW$11="Metro",INDEX($BN$13:$BN$4972,SMALL(IF((County=$BO$13:$BO$4972),MATCH(ROW($BO$13:$BO$4972),ROW($BO$13:$BO$4972)),""),ROWS($A$13:$A330))),INDEX($BQ$13:$BQ$212,SMALL(IF((County=$BR$13:$BR$212),MATCH(ROW($BR$13:$BR$212),ROW($BR$13:$BR$212)),""),ROWS($A$13:$A330)))),"")</f>
        <v/>
      </c>
      <c r="BY330" s="348" t="str">
        <f t="array" ref="BY330">IFERROR(IF($BY$11="Yes",INDEX($BT$13:$BT$2950,SMALL(IF((County=$BU$13:$BU$2950),MATCH(ROW($BU$13:$BU$2950),ROW($BU$13:$BU$2950)),""),ROWS($A$13:$A330))),""),"")</f>
        <v/>
      </c>
      <c r="CA330" s="2298">
        <v>34105</v>
      </c>
      <c r="CB330" s="345" t="s">
        <v>318</v>
      </c>
      <c r="CD330" s="237">
        <v>8.11</v>
      </c>
      <c r="CE330" s="237" t="s">
        <v>350</v>
      </c>
      <c r="CJ330" s="347">
        <v>18.190000000000001</v>
      </c>
      <c r="CK330" s="347" t="s">
        <v>297</v>
      </c>
      <c r="CL330" s="1789"/>
      <c r="CM330" s="2299"/>
      <c r="CN330" s="345"/>
      <c r="CR330" s="345"/>
      <c r="CS330" s="345"/>
      <c r="CX330" s="347"/>
      <c r="CY330" s="347"/>
      <c r="DA330" s="348"/>
      <c r="DC330" s="348"/>
      <c r="DE330" s="1792"/>
      <c r="DF330" s="345"/>
      <c r="DH330" s="237"/>
      <c r="DI330" s="237"/>
      <c r="DN330" s="347"/>
      <c r="DO330" s="347"/>
      <c r="DP330" s="2505"/>
      <c r="DT330" s="663"/>
      <c r="DU330" s="663"/>
      <c r="DV330" s="663"/>
      <c r="DW330" s="663"/>
      <c r="DX330" s="663"/>
      <c r="DY330" s="663"/>
      <c r="DZ330" s="663"/>
      <c r="EA330" s="663"/>
      <c r="EB330" s="663"/>
      <c r="EC330" s="663"/>
      <c r="ED330" s="663"/>
    </row>
    <row r="331" spans="1:134">
      <c r="A331" s="346">
        <v>34293</v>
      </c>
      <c r="B331" s="345" t="s">
        <v>368</v>
      </c>
      <c r="E331" s="934"/>
      <c r="F331" s="345">
        <v>18</v>
      </c>
      <c r="G331" s="345" t="s">
        <v>350</v>
      </c>
      <c r="L331" s="347">
        <v>209</v>
      </c>
      <c r="M331" s="347" t="s">
        <v>315</v>
      </c>
      <c r="S331" s="346">
        <v>34677</v>
      </c>
      <c r="T331" s="345" t="s">
        <v>363</v>
      </c>
      <c r="V331" s="345">
        <v>90.26</v>
      </c>
      <c r="W331" s="345" t="s">
        <v>352</v>
      </c>
      <c r="AB331" s="347">
        <v>23.03</v>
      </c>
      <c r="AC331" s="347" t="s">
        <v>345</v>
      </c>
      <c r="AD331" s="1138"/>
      <c r="AE331" s="346">
        <v>34242</v>
      </c>
      <c r="AF331" s="345" t="s">
        <v>368</v>
      </c>
      <c r="AI331" s="934"/>
      <c r="AJ331" s="345">
        <v>15.02</v>
      </c>
      <c r="AK331" s="345" t="s">
        <v>349</v>
      </c>
      <c r="AP331" s="347">
        <v>907</v>
      </c>
      <c r="AQ331" s="347" t="s">
        <v>310</v>
      </c>
      <c r="AU331" s="348" t="str">
        <f t="array" ref="AU331">IFERROR(IF($AU$11="Yes",INDEX($AP$13:$AP$2950,SMALL(IF((County=$AQ$13:$AQ$2950),MATCH(ROW($AQ$13:$AQ$2950),ROW($AQ$13:$AQ$2950)),""),ROWS($A$13:$A331))),""),"")</f>
        <v/>
      </c>
      <c r="AW331" s="346">
        <v>34638</v>
      </c>
      <c r="AX331" s="345" t="s">
        <v>362</v>
      </c>
      <c r="AZ331" s="345">
        <v>54.03</v>
      </c>
      <c r="BA331" s="345" t="s">
        <v>352</v>
      </c>
      <c r="BF331" s="347">
        <v>18.149999999999999</v>
      </c>
      <c r="BG331" s="347" t="s">
        <v>297</v>
      </c>
      <c r="BH331" s="1790"/>
      <c r="BI331" s="2299">
        <v>33764</v>
      </c>
      <c r="BJ331" s="345" t="s">
        <v>363</v>
      </c>
      <c r="BM331" s="1784"/>
      <c r="BN331" s="345">
        <v>203.17</v>
      </c>
      <c r="BO331" s="345" t="s">
        <v>310</v>
      </c>
      <c r="BT331" s="347">
        <v>903.04</v>
      </c>
      <c r="BU331" s="347" t="s">
        <v>310</v>
      </c>
      <c r="BW331" s="348" t="str">
        <f t="array" ref="BW331">IFERROR(IF($BW$11="Metro",INDEX($BN$13:$BN$4972,SMALL(IF((County=$BO$13:$BO$4972),MATCH(ROW($BO$13:$BO$4972),ROW($BO$13:$BO$4972)),""),ROWS($A$13:$A331))),INDEX($BQ$13:$BQ$212,SMALL(IF((County=$BR$13:$BR$212),MATCH(ROW($BR$13:$BR$212),ROW($BR$13:$BR$212)),""),ROWS($A$13:$A331)))),"")</f>
        <v/>
      </c>
      <c r="BY331" s="348" t="str">
        <f t="array" ref="BY331">IFERROR(IF($BY$11="Yes",INDEX($BT$13:$BT$2950,SMALL(IF((County=$BU$13:$BU$2950),MATCH(ROW($BU$13:$BU$2950),ROW($BU$13:$BU$2950)),""),ROWS($A$13:$A331))),""),"")</f>
        <v/>
      </c>
      <c r="CA331" s="2298">
        <v>34108</v>
      </c>
      <c r="CB331" s="345" t="s">
        <v>318</v>
      </c>
      <c r="CD331" s="237">
        <v>8.1199999999999992</v>
      </c>
      <c r="CE331" s="237" t="s">
        <v>349</v>
      </c>
      <c r="CJ331" s="347">
        <v>19</v>
      </c>
      <c r="CK331" s="347" t="s">
        <v>306</v>
      </c>
      <c r="CL331" s="1789"/>
      <c r="CM331" s="2299"/>
      <c r="CN331" s="345"/>
      <c r="CR331" s="345"/>
      <c r="CS331" s="345"/>
      <c r="CX331" s="347"/>
      <c r="CY331" s="347"/>
      <c r="DA331" s="348"/>
      <c r="DC331" s="348"/>
      <c r="DE331" s="1792"/>
      <c r="DF331" s="345"/>
      <c r="DH331" s="237"/>
      <c r="DI331" s="237"/>
      <c r="DN331" s="347"/>
      <c r="DO331" s="347"/>
      <c r="DP331" s="2505"/>
      <c r="DT331" s="663"/>
      <c r="DU331" s="663"/>
      <c r="DV331" s="663"/>
      <c r="DW331" s="663"/>
      <c r="DX331" s="663"/>
      <c r="DY331" s="663"/>
      <c r="DZ331" s="663"/>
      <c r="EA331" s="663"/>
      <c r="EB331" s="663"/>
      <c r="EC331" s="663"/>
      <c r="ED331" s="663"/>
    </row>
    <row r="332" spans="1:134">
      <c r="A332" s="346">
        <v>32701</v>
      </c>
      <c r="B332" s="345" t="s">
        <v>369</v>
      </c>
      <c r="E332" s="934"/>
      <c r="F332" s="345">
        <v>19</v>
      </c>
      <c r="G332" s="345" t="s">
        <v>350</v>
      </c>
      <c r="L332" s="347">
        <v>210.01</v>
      </c>
      <c r="M332" s="347" t="s">
        <v>315</v>
      </c>
      <c r="S332" s="346">
        <v>34681</v>
      </c>
      <c r="T332" s="345" t="s">
        <v>363</v>
      </c>
      <c r="V332" s="345">
        <v>93.06</v>
      </c>
      <c r="W332" s="345" t="s">
        <v>352</v>
      </c>
      <c r="AB332" s="347">
        <v>23.03</v>
      </c>
      <c r="AC332" s="347" t="s">
        <v>368</v>
      </c>
      <c r="AD332" s="1138"/>
      <c r="AE332" s="346">
        <v>34286</v>
      </c>
      <c r="AF332" s="345" t="s">
        <v>368</v>
      </c>
      <c r="AI332" s="934"/>
      <c r="AJ332" s="345">
        <v>2.0099999999999998</v>
      </c>
      <c r="AK332" s="345" t="s">
        <v>350</v>
      </c>
      <c r="AP332" s="347">
        <v>908.02</v>
      </c>
      <c r="AQ332" s="347" t="s">
        <v>310</v>
      </c>
      <c r="AU332" s="348" t="str">
        <f t="array" ref="AU332">IFERROR(IF($AU$11="Yes",INDEX($AP$13:$AP$2950,SMALL(IF((County=$AQ$13:$AQ$2950),MATCH(ROW($AQ$13:$AQ$2950),ROW($AQ$13:$AQ$2950)),""),ROWS($A$13:$A332))),""),"")</f>
        <v/>
      </c>
      <c r="AW332" s="346">
        <v>34639</v>
      </c>
      <c r="AX332" s="345" t="s">
        <v>362</v>
      </c>
      <c r="AZ332" s="345">
        <v>54.05</v>
      </c>
      <c r="BA332" s="345" t="s">
        <v>352</v>
      </c>
      <c r="BF332" s="347">
        <v>18.16</v>
      </c>
      <c r="BG332" s="347" t="s">
        <v>297</v>
      </c>
      <c r="BH332" s="1790"/>
      <c r="BI332" s="2299">
        <v>33765</v>
      </c>
      <c r="BJ332" s="345" t="s">
        <v>363</v>
      </c>
      <c r="BM332" s="1784"/>
      <c r="BN332" s="345">
        <v>203.18</v>
      </c>
      <c r="BO332" s="345" t="s">
        <v>310</v>
      </c>
      <c r="BT332" s="347">
        <v>905.02</v>
      </c>
      <c r="BU332" s="347" t="s">
        <v>310</v>
      </c>
      <c r="BW332" s="348" t="str">
        <f t="array" ref="BW332">IFERROR(IF($BW$11="Metro",INDEX($BN$13:$BN$4972,SMALL(IF((County=$BO$13:$BO$4972),MATCH(ROW($BO$13:$BO$4972),ROW($BO$13:$BO$4972)),""),ROWS($A$13:$A332))),INDEX($BQ$13:$BQ$212,SMALL(IF((County=$BR$13:$BR$212),MATCH(ROW($BR$13:$BR$212),ROW($BR$13:$BR$212)),""),ROWS($A$13:$A332)))),"")</f>
        <v/>
      </c>
      <c r="BY332" s="348" t="str">
        <f t="array" ref="BY332">IFERROR(IF($BY$11="Yes",INDEX($BT$13:$BT$2950,SMALL(IF((County=$BU$13:$BU$2950),MATCH(ROW($BU$13:$BU$2950),ROW($BU$13:$BU$2950)),""),ROWS($A$13:$A332))),""),"")</f>
        <v/>
      </c>
      <c r="CA332" s="2298">
        <v>34109</v>
      </c>
      <c r="CB332" s="345" t="s">
        <v>318</v>
      </c>
      <c r="CD332" s="237">
        <v>8.1300000000000008</v>
      </c>
      <c r="CE332" s="237" t="s">
        <v>349</v>
      </c>
      <c r="CJ332" s="347">
        <v>19</v>
      </c>
      <c r="CK332" s="347" t="s">
        <v>350</v>
      </c>
      <c r="CL332" s="1789"/>
      <c r="CM332" s="2299"/>
      <c r="CN332" s="345"/>
      <c r="CR332" s="345"/>
      <c r="CS332" s="345"/>
      <c r="CX332" s="347"/>
      <c r="CY332" s="347"/>
      <c r="DA332" s="348"/>
      <c r="DC332" s="348"/>
      <c r="DE332" s="1792"/>
      <c r="DF332" s="345"/>
      <c r="DH332" s="237"/>
      <c r="DI332" s="237"/>
      <c r="DN332" s="347"/>
      <c r="DO332" s="347"/>
      <c r="DP332" s="2505"/>
      <c r="DT332" s="663"/>
      <c r="DU332" s="663"/>
      <c r="DV332" s="663"/>
      <c r="DW332" s="663"/>
      <c r="DX332" s="663"/>
      <c r="DY332" s="663"/>
      <c r="DZ332" s="663"/>
      <c r="EA332" s="663"/>
      <c r="EB332" s="663"/>
      <c r="EC332" s="663"/>
      <c r="ED332" s="663"/>
    </row>
    <row r="333" spans="1:134">
      <c r="A333" s="346">
        <v>32707</v>
      </c>
      <c r="B333" s="345" t="s">
        <v>369</v>
      </c>
      <c r="E333" s="934"/>
      <c r="F333" s="345">
        <v>20.010000000000002</v>
      </c>
      <c r="G333" s="345" t="s">
        <v>350</v>
      </c>
      <c r="L333" s="347">
        <v>210.03</v>
      </c>
      <c r="M333" s="347" t="s">
        <v>315</v>
      </c>
      <c r="S333" s="346">
        <v>34683</v>
      </c>
      <c r="T333" s="345" t="s">
        <v>363</v>
      </c>
      <c r="V333" s="345">
        <v>93.07</v>
      </c>
      <c r="W333" s="345" t="s">
        <v>352</v>
      </c>
      <c r="AB333" s="347">
        <v>23.04</v>
      </c>
      <c r="AC333" s="347" t="s">
        <v>368</v>
      </c>
      <c r="AD333" s="1138"/>
      <c r="AE333" s="346">
        <v>34288</v>
      </c>
      <c r="AF333" s="345" t="s">
        <v>368</v>
      </c>
      <c r="AI333" s="934"/>
      <c r="AJ333" s="345">
        <v>2.02</v>
      </c>
      <c r="AK333" s="345" t="s">
        <v>350</v>
      </c>
      <c r="AP333" s="347">
        <v>909</v>
      </c>
      <c r="AQ333" s="347" t="s">
        <v>310</v>
      </c>
      <c r="AU333" s="348" t="str">
        <f t="array" ref="AU333">IFERROR(IF($AU$11="Yes",INDEX($AP$13:$AP$2950,SMALL(IF((County=$AQ$13:$AQ$2950),MATCH(ROW($AQ$13:$AQ$2950),ROW($AQ$13:$AQ$2950)),""),ROWS($A$13:$A333))),""),"")</f>
        <v/>
      </c>
      <c r="AW333" s="346">
        <v>34655</v>
      </c>
      <c r="AX333" s="345" t="s">
        <v>362</v>
      </c>
      <c r="AZ333" s="345">
        <v>54.06</v>
      </c>
      <c r="BA333" s="345" t="s">
        <v>352</v>
      </c>
      <c r="BF333" s="347">
        <v>18.170000000000002</v>
      </c>
      <c r="BG333" s="347" t="s">
        <v>297</v>
      </c>
      <c r="BH333" s="1790"/>
      <c r="BI333" s="2299">
        <v>33767</v>
      </c>
      <c r="BJ333" s="345" t="s">
        <v>363</v>
      </c>
      <c r="BM333" s="1784"/>
      <c r="BN333" s="345">
        <v>203.19</v>
      </c>
      <c r="BO333" s="345" t="s">
        <v>310</v>
      </c>
      <c r="BT333" s="347">
        <v>905.03</v>
      </c>
      <c r="BU333" s="347" t="s">
        <v>310</v>
      </c>
      <c r="BW333" s="348" t="str">
        <f t="array" ref="BW333">IFERROR(IF($BW$11="Metro",INDEX($BN$13:$BN$4972,SMALL(IF((County=$BO$13:$BO$4972),MATCH(ROW($BO$13:$BO$4972),ROW($BO$13:$BO$4972)),""),ROWS($A$13:$A333))),INDEX($BQ$13:$BQ$212,SMALL(IF((County=$BR$13:$BR$212),MATCH(ROW($BR$13:$BR$212),ROW($BR$13:$BR$212)),""),ROWS($A$13:$A333)))),"")</f>
        <v/>
      </c>
      <c r="BY333" s="348" t="str">
        <f t="array" ref="BY333">IFERROR(IF($BY$11="Yes",INDEX($BT$13:$BT$2950,SMALL(IF((County=$BU$13:$BU$2950),MATCH(ROW($BU$13:$BU$2950),ROW($BU$13:$BU$2950)),""),ROWS($A$13:$A333))),""),"")</f>
        <v/>
      </c>
      <c r="CA333" s="2298">
        <v>34110</v>
      </c>
      <c r="CB333" s="345" t="s">
        <v>318</v>
      </c>
      <c r="CD333" s="237">
        <v>8.14</v>
      </c>
      <c r="CE333" s="237" t="s">
        <v>349</v>
      </c>
      <c r="CJ333" s="347">
        <v>19.03</v>
      </c>
      <c r="CK333" s="347" t="s">
        <v>344</v>
      </c>
      <c r="CL333" s="1789"/>
      <c r="CM333" s="2299"/>
      <c r="CN333" s="345"/>
      <c r="CR333" s="345"/>
      <c r="CS333" s="345"/>
      <c r="CX333" s="347"/>
      <c r="CY333" s="347"/>
      <c r="DA333" s="348"/>
      <c r="DC333" s="348"/>
      <c r="DE333" s="1792"/>
      <c r="DF333" s="345"/>
      <c r="DH333" s="237"/>
      <c r="DI333" s="237"/>
      <c r="DN333" s="347"/>
      <c r="DO333" s="347"/>
      <c r="DP333" s="2505"/>
      <c r="DT333" s="663"/>
      <c r="DU333" s="663"/>
      <c r="DV333" s="663"/>
      <c r="DW333" s="663"/>
      <c r="DX333" s="663"/>
      <c r="DY333" s="663"/>
      <c r="DZ333" s="663"/>
      <c r="EA333" s="663"/>
      <c r="EB333" s="663"/>
      <c r="EC333" s="663"/>
      <c r="ED333" s="663"/>
    </row>
    <row r="334" spans="1:134">
      <c r="A334" s="346">
        <v>32708</v>
      </c>
      <c r="B334" s="345" t="s">
        <v>369</v>
      </c>
      <c r="E334" s="934"/>
      <c r="F334" s="345">
        <v>25.04</v>
      </c>
      <c r="G334" s="345" t="s">
        <v>350</v>
      </c>
      <c r="L334" s="347">
        <v>304.01</v>
      </c>
      <c r="M334" s="347" t="s">
        <v>315</v>
      </c>
      <c r="S334" s="346">
        <v>34684</v>
      </c>
      <c r="T334" s="345" t="s">
        <v>363</v>
      </c>
      <c r="V334" s="345">
        <v>93.08</v>
      </c>
      <c r="W334" s="345" t="s">
        <v>352</v>
      </c>
      <c r="AB334" s="347">
        <v>23.05</v>
      </c>
      <c r="AC334" s="347" t="s">
        <v>368</v>
      </c>
      <c r="AD334" s="1138"/>
      <c r="AE334" s="346">
        <v>34291</v>
      </c>
      <c r="AF334" s="345" t="s">
        <v>368</v>
      </c>
      <c r="AI334" s="934"/>
      <c r="AJ334" s="345">
        <v>2.0299999999999998</v>
      </c>
      <c r="AK334" s="345" t="s">
        <v>350</v>
      </c>
      <c r="AP334" s="347">
        <v>910</v>
      </c>
      <c r="AQ334" s="347" t="s">
        <v>310</v>
      </c>
      <c r="AU334" s="348" t="str">
        <f t="array" ref="AU334">IFERROR(IF($AU$11="Yes",INDEX($AP$13:$AP$2950,SMALL(IF((County=$AQ$13:$AQ$2950),MATCH(ROW($AQ$13:$AQ$2950),ROW($AQ$13:$AQ$2950)),""),ROWS($A$13:$A334))),""),"")</f>
        <v/>
      </c>
      <c r="AW334" s="346">
        <v>34677</v>
      </c>
      <c r="AX334" s="345" t="s">
        <v>363</v>
      </c>
      <c r="AZ334" s="345">
        <v>54.09</v>
      </c>
      <c r="BA334" s="345" t="s">
        <v>352</v>
      </c>
      <c r="BF334" s="347">
        <v>18.190000000000001</v>
      </c>
      <c r="BG334" s="347" t="s">
        <v>297</v>
      </c>
      <c r="BH334" s="1790"/>
      <c r="BI334" s="2299">
        <v>33770</v>
      </c>
      <c r="BJ334" s="345" t="s">
        <v>363</v>
      </c>
      <c r="BM334" s="1784"/>
      <c r="BN334" s="345">
        <v>203.2</v>
      </c>
      <c r="BO334" s="345" t="s">
        <v>310</v>
      </c>
      <c r="BT334" s="347">
        <v>906.02</v>
      </c>
      <c r="BU334" s="347" t="s">
        <v>310</v>
      </c>
      <c r="BW334" s="348" t="str">
        <f t="array" ref="BW334">IFERROR(IF($BW$11="Metro",INDEX($BN$13:$BN$4972,SMALL(IF((County=$BO$13:$BO$4972),MATCH(ROW($BO$13:$BO$4972),ROW($BO$13:$BO$4972)),""),ROWS($A$13:$A334))),INDEX($BQ$13:$BQ$212,SMALL(IF((County=$BR$13:$BR$212),MATCH(ROW($BR$13:$BR$212),ROW($BR$13:$BR$212)),""),ROWS($A$13:$A334)))),"")</f>
        <v/>
      </c>
      <c r="BY334" s="348" t="str">
        <f t="array" ref="BY334">IFERROR(IF($BY$11="Yes",INDEX($BT$13:$BT$2950,SMALL(IF((County=$BU$13:$BU$2950),MATCH(ROW($BU$13:$BU$2950),ROW($BU$13:$BU$2950)),""),ROWS($A$13:$A334))),""),"")</f>
        <v/>
      </c>
      <c r="CA334" s="2298">
        <v>34113</v>
      </c>
      <c r="CB334" s="345" t="s">
        <v>318</v>
      </c>
      <c r="CD334" s="345">
        <v>9</v>
      </c>
      <c r="CE334" s="345" t="s">
        <v>306</v>
      </c>
      <c r="CJ334" s="347">
        <v>19.03</v>
      </c>
      <c r="CK334" s="347" t="s">
        <v>368</v>
      </c>
      <c r="CL334" s="1789"/>
      <c r="CM334" s="2299"/>
      <c r="CN334" s="345"/>
      <c r="CR334" s="345"/>
      <c r="CS334" s="345"/>
      <c r="CX334" s="347"/>
      <c r="CY334" s="347"/>
      <c r="DA334" s="348"/>
      <c r="DC334" s="348"/>
      <c r="DE334" s="1792"/>
      <c r="DF334" s="345"/>
      <c r="DH334" s="237"/>
      <c r="DI334" s="237"/>
      <c r="DN334" s="347"/>
      <c r="DO334" s="347"/>
      <c r="DP334" s="2505"/>
      <c r="DT334" s="663"/>
      <c r="DU334" s="663"/>
      <c r="DV334" s="663"/>
      <c r="DW334" s="663"/>
      <c r="DX334" s="663"/>
      <c r="DY334" s="663"/>
      <c r="DZ334" s="663"/>
      <c r="EA334" s="663"/>
      <c r="EB334" s="663"/>
      <c r="EC334" s="663"/>
      <c r="ED334" s="663"/>
    </row>
    <row r="335" spans="1:134">
      <c r="A335" s="346">
        <v>32714</v>
      </c>
      <c r="B335" s="345" t="s">
        <v>369</v>
      </c>
      <c r="E335" s="934"/>
      <c r="F335" s="345">
        <v>8</v>
      </c>
      <c r="G335" s="345" t="s">
        <v>351</v>
      </c>
      <c r="L335" s="347">
        <v>304.02</v>
      </c>
      <c r="M335" s="347" t="s">
        <v>315</v>
      </c>
      <c r="S335" s="346">
        <v>34685</v>
      </c>
      <c r="T335" s="345" t="s">
        <v>363</v>
      </c>
      <c r="V335" s="345">
        <v>93.09</v>
      </c>
      <c r="W335" s="345" t="s">
        <v>352</v>
      </c>
      <c r="AB335" s="347">
        <v>24</v>
      </c>
      <c r="AC335" s="347" t="s">
        <v>323</v>
      </c>
      <c r="AD335" s="1138"/>
      <c r="AE335" s="346">
        <v>34292</v>
      </c>
      <c r="AF335" s="345" t="s">
        <v>368</v>
      </c>
      <c r="AI335" s="934"/>
      <c r="AJ335" s="345">
        <v>3.02</v>
      </c>
      <c r="AK335" s="345" t="s">
        <v>350</v>
      </c>
      <c r="AP335" s="347">
        <v>917.01</v>
      </c>
      <c r="AQ335" s="347" t="s">
        <v>310</v>
      </c>
      <c r="AU335" s="348" t="str">
        <f t="array" ref="AU335">IFERROR(IF($AU$11="Yes",INDEX($AP$13:$AP$2950,SMALL(IF((County=$AQ$13:$AQ$2950),MATCH(ROW($AQ$13:$AQ$2950),ROW($AQ$13:$AQ$2950)),""),ROWS($A$13:$A335))),""),"")</f>
        <v/>
      </c>
      <c r="AW335" s="346">
        <v>34681</v>
      </c>
      <c r="AX335" s="345" t="s">
        <v>363</v>
      </c>
      <c r="AZ335" s="345">
        <v>54.1</v>
      </c>
      <c r="BA335" s="345" t="s">
        <v>352</v>
      </c>
      <c r="BF335" s="347">
        <v>19</v>
      </c>
      <c r="BG335" s="347" t="s">
        <v>306</v>
      </c>
      <c r="BH335" s="1790"/>
      <c r="BI335" s="2299">
        <v>33771</v>
      </c>
      <c r="BJ335" s="345" t="s">
        <v>363</v>
      </c>
      <c r="BM335" s="1784"/>
      <c r="BN335" s="345">
        <v>203.21</v>
      </c>
      <c r="BO335" s="345" t="s">
        <v>310</v>
      </c>
      <c r="BT335" s="347">
        <v>907</v>
      </c>
      <c r="BU335" s="347" t="s">
        <v>310</v>
      </c>
      <c r="BW335" s="348" t="str">
        <f t="array" ref="BW335">IFERROR(IF($BW$11="Metro",INDEX($BN$13:$BN$4972,SMALL(IF((County=$BO$13:$BO$4972),MATCH(ROW($BO$13:$BO$4972),ROW($BO$13:$BO$4972)),""),ROWS($A$13:$A335))),INDEX($BQ$13:$BQ$212,SMALL(IF((County=$BR$13:$BR$212),MATCH(ROW($BR$13:$BR$212),ROW($BR$13:$BR$212)),""),ROWS($A$13:$A335)))),"")</f>
        <v/>
      </c>
      <c r="BY335" s="348" t="str">
        <f t="array" ref="BY335">IFERROR(IF($BY$11="Yes",INDEX($BT$13:$BT$2950,SMALL(IF((County=$BU$13:$BU$2950),MATCH(ROW($BU$13:$BU$2950),ROW($BU$13:$BU$2950)),""),ROWS($A$13:$A335))),""),"")</f>
        <v/>
      </c>
      <c r="CA335" s="2298">
        <v>34117</v>
      </c>
      <c r="CB335" s="345" t="s">
        <v>318</v>
      </c>
      <c r="CD335" s="237">
        <v>9</v>
      </c>
      <c r="CE335" s="237" t="s">
        <v>325</v>
      </c>
      <c r="CJ335" s="347">
        <v>19.04</v>
      </c>
      <c r="CK335" s="347" t="s">
        <v>349</v>
      </c>
      <c r="CL335" s="1789"/>
      <c r="CM335" s="2299"/>
      <c r="CN335" s="345"/>
      <c r="CR335" s="345"/>
      <c r="CS335" s="345"/>
      <c r="CX335" s="347"/>
      <c r="CY335" s="347"/>
      <c r="DA335" s="348"/>
      <c r="DC335" s="348"/>
      <c r="DE335" s="1792"/>
      <c r="DF335" s="345"/>
      <c r="DH335" s="237"/>
      <c r="DI335" s="237"/>
      <c r="DN335" s="347"/>
      <c r="DO335" s="347"/>
      <c r="DP335" s="2505"/>
      <c r="DT335" s="663"/>
      <c r="DU335" s="663"/>
      <c r="DV335" s="663"/>
      <c r="DW335" s="663"/>
      <c r="DX335" s="663"/>
      <c r="DY335" s="663"/>
      <c r="DZ335" s="663"/>
      <c r="EA335" s="663"/>
      <c r="EB335" s="663"/>
      <c r="EC335" s="663"/>
      <c r="ED335" s="663"/>
    </row>
    <row r="336" spans="1:134">
      <c r="A336" s="346">
        <v>32732</v>
      </c>
      <c r="B336" s="345" t="s">
        <v>369</v>
      </c>
      <c r="E336" s="934"/>
      <c r="F336" s="345">
        <v>12</v>
      </c>
      <c r="G336" s="345" t="s">
        <v>351</v>
      </c>
      <c r="L336" s="347">
        <v>305.01</v>
      </c>
      <c r="M336" s="347" t="s">
        <v>315</v>
      </c>
      <c r="S336" s="346">
        <v>34688</v>
      </c>
      <c r="T336" s="345" t="s">
        <v>363</v>
      </c>
      <c r="V336" s="345">
        <v>93.11</v>
      </c>
      <c r="W336" s="345" t="s">
        <v>352</v>
      </c>
      <c r="AB336" s="347">
        <v>24.01</v>
      </c>
      <c r="AC336" s="347" t="s">
        <v>350</v>
      </c>
      <c r="AD336" s="1138"/>
      <c r="AE336" s="346">
        <v>34293</v>
      </c>
      <c r="AF336" s="345" t="s">
        <v>368</v>
      </c>
      <c r="AI336" s="934"/>
      <c r="AJ336" s="345">
        <v>4.01</v>
      </c>
      <c r="AK336" s="345" t="s">
        <v>350</v>
      </c>
      <c r="AP336" s="347">
        <v>917.02</v>
      </c>
      <c r="AQ336" s="347" t="s">
        <v>310</v>
      </c>
      <c r="AU336" s="348" t="str">
        <f t="array" ref="AU336">IFERROR(IF($AU$11="Yes",INDEX($AP$13:$AP$2950,SMALL(IF((County=$AQ$13:$AQ$2950),MATCH(ROW($AQ$13:$AQ$2950),ROW($AQ$13:$AQ$2950)),""),ROWS($A$13:$A336))),""),"")</f>
        <v/>
      </c>
      <c r="AW336" s="346">
        <v>34683</v>
      </c>
      <c r="AX336" s="345" t="s">
        <v>363</v>
      </c>
      <c r="AZ336" s="345">
        <v>55.03</v>
      </c>
      <c r="BA336" s="345" t="s">
        <v>352</v>
      </c>
      <c r="BF336" s="347">
        <v>19</v>
      </c>
      <c r="BG336" s="347" t="s">
        <v>350</v>
      </c>
      <c r="BH336" s="1790"/>
      <c r="BI336" s="2299">
        <v>33772</v>
      </c>
      <c r="BJ336" s="345" t="s">
        <v>363</v>
      </c>
      <c r="BM336" s="1784"/>
      <c r="BN336" s="345">
        <v>203.22</v>
      </c>
      <c r="BO336" s="345" t="s">
        <v>310</v>
      </c>
      <c r="BT336" s="347">
        <v>908.02</v>
      </c>
      <c r="BU336" s="347" t="s">
        <v>310</v>
      </c>
      <c r="BW336" s="348" t="str">
        <f t="array" ref="BW336">IFERROR(IF($BW$11="Metro",INDEX($BN$13:$BN$4972,SMALL(IF((County=$BO$13:$BO$4972),MATCH(ROW($BO$13:$BO$4972),ROW($BO$13:$BO$4972)),""),ROWS($A$13:$A336))),INDEX($BQ$13:$BQ$212,SMALL(IF((County=$BR$13:$BR$212),MATCH(ROW($BR$13:$BR$212),ROW($BR$13:$BR$212)),""),ROWS($A$13:$A336)))),"")</f>
        <v/>
      </c>
      <c r="BY336" s="348" t="str">
        <f t="array" ref="BY336">IFERROR(IF($BY$11="Yes",INDEX($BT$13:$BT$2950,SMALL(IF((County=$BU$13:$BU$2950),MATCH(ROW($BU$13:$BU$2950),ROW($BU$13:$BU$2950)),""),ROWS($A$13:$A336))),""),"")</f>
        <v/>
      </c>
      <c r="CA336" s="2298">
        <v>34119</v>
      </c>
      <c r="CB336" s="345" t="s">
        <v>318</v>
      </c>
      <c r="CD336" s="237">
        <v>9</v>
      </c>
      <c r="CE336" s="237" t="s">
        <v>344</v>
      </c>
      <c r="CJ336" s="347">
        <v>19.04</v>
      </c>
      <c r="CK336" s="347" t="s">
        <v>361</v>
      </c>
      <c r="CL336" s="1789"/>
      <c r="CM336" s="2299"/>
      <c r="CN336" s="345"/>
      <c r="CR336" s="345"/>
      <c r="CS336" s="345"/>
      <c r="CX336" s="347"/>
      <c r="CY336" s="347"/>
      <c r="DA336" s="348"/>
      <c r="DC336" s="348"/>
      <c r="DE336" s="1792"/>
      <c r="DF336" s="345"/>
      <c r="DH336" s="237"/>
      <c r="DI336" s="237"/>
      <c r="DN336" s="347"/>
      <c r="DO336" s="347"/>
      <c r="DP336" s="2505"/>
      <c r="DT336" s="663"/>
      <c r="DU336" s="663"/>
      <c r="DV336" s="663"/>
      <c r="DW336" s="663"/>
      <c r="DX336" s="663"/>
      <c r="DY336" s="663"/>
      <c r="DZ336" s="663"/>
      <c r="EA336" s="663"/>
      <c r="EB336" s="663"/>
      <c r="EC336" s="663"/>
      <c r="ED336" s="663"/>
    </row>
    <row r="337" spans="1:134">
      <c r="A337" s="346">
        <v>32746</v>
      </c>
      <c r="B337" s="345" t="s">
        <v>369</v>
      </c>
      <c r="E337" s="934"/>
      <c r="F337" s="345">
        <v>14.07</v>
      </c>
      <c r="G337" s="345" t="s">
        <v>351</v>
      </c>
      <c r="L337" s="347">
        <v>305.02999999999997</v>
      </c>
      <c r="M337" s="347" t="s">
        <v>315</v>
      </c>
      <c r="S337" s="346">
        <v>34695</v>
      </c>
      <c r="T337" s="345" t="s">
        <v>363</v>
      </c>
      <c r="V337" s="345">
        <v>93.14</v>
      </c>
      <c r="W337" s="345" t="s">
        <v>352</v>
      </c>
      <c r="AB337" s="347">
        <v>24.01</v>
      </c>
      <c r="AC337" s="347" t="s">
        <v>368</v>
      </c>
      <c r="AD337" s="1138"/>
      <c r="AE337" s="346">
        <v>32701</v>
      </c>
      <c r="AF337" s="345" t="s">
        <v>369</v>
      </c>
      <c r="AI337" s="934"/>
      <c r="AJ337" s="345">
        <v>4.0199999999999996</v>
      </c>
      <c r="AK337" s="345" t="s">
        <v>350</v>
      </c>
      <c r="AP337" s="347">
        <v>918.04</v>
      </c>
      <c r="AQ337" s="347" t="s">
        <v>310</v>
      </c>
      <c r="AU337" s="348" t="str">
        <f t="array" ref="AU337">IFERROR(IF($AU$11="Yes",INDEX($AP$13:$AP$2950,SMALL(IF((County=$AQ$13:$AQ$2950),MATCH(ROW($AQ$13:$AQ$2950),ROW($AQ$13:$AQ$2950)),""),ROWS($A$13:$A337))),""),"")</f>
        <v/>
      </c>
      <c r="AW337" s="346">
        <v>34684</v>
      </c>
      <c r="AX337" s="345" t="s">
        <v>363</v>
      </c>
      <c r="AZ337" s="345">
        <v>55.04</v>
      </c>
      <c r="BA337" s="345" t="s">
        <v>352</v>
      </c>
      <c r="BF337" s="347">
        <v>19.03</v>
      </c>
      <c r="BG337" s="347" t="s">
        <v>344</v>
      </c>
      <c r="BH337" s="1790"/>
      <c r="BI337" s="2299">
        <v>33776</v>
      </c>
      <c r="BJ337" s="345" t="s">
        <v>363</v>
      </c>
      <c r="BM337" s="1784"/>
      <c r="BN337" s="345">
        <v>203.23</v>
      </c>
      <c r="BO337" s="345" t="s">
        <v>310</v>
      </c>
      <c r="BT337" s="347">
        <v>909</v>
      </c>
      <c r="BU337" s="347" t="s">
        <v>310</v>
      </c>
      <c r="BW337" s="348" t="str">
        <f t="array" ref="BW337">IFERROR(IF($BW$11="Metro",INDEX($BN$13:$BN$4972,SMALL(IF((County=$BO$13:$BO$4972),MATCH(ROW($BO$13:$BO$4972),ROW($BO$13:$BO$4972)),""),ROWS($A$13:$A337))),INDEX($BQ$13:$BQ$212,SMALL(IF((County=$BR$13:$BR$212),MATCH(ROW($BR$13:$BR$212),ROW($BR$13:$BR$212)),""),ROWS($A$13:$A337)))),"")</f>
        <v/>
      </c>
      <c r="BY337" s="348" t="str">
        <f t="array" ref="BY337">IFERROR(IF($BY$11="Yes",INDEX($BT$13:$BT$2950,SMALL(IF((County=$BU$13:$BU$2950),MATCH(ROW($BU$13:$BU$2950),ROW($BU$13:$BU$2950)),""),ROWS($A$13:$A337))),""),"")</f>
        <v/>
      </c>
      <c r="CA337" s="2298">
        <v>34120</v>
      </c>
      <c r="CB337" s="345" t="s">
        <v>318</v>
      </c>
      <c r="CD337" s="237">
        <v>9</v>
      </c>
      <c r="CE337" s="237" t="s">
        <v>368</v>
      </c>
      <c r="CJ337" s="347">
        <v>19.04</v>
      </c>
      <c r="CK337" s="347" t="s">
        <v>368</v>
      </c>
      <c r="CL337" s="1789"/>
      <c r="CM337" s="2299"/>
      <c r="CN337" s="345"/>
      <c r="CR337" s="345"/>
      <c r="CS337" s="345"/>
      <c r="CX337" s="347"/>
      <c r="CY337" s="347"/>
      <c r="DA337" s="348"/>
      <c r="DC337" s="348"/>
      <c r="DE337" s="1792"/>
      <c r="DF337" s="345"/>
      <c r="DH337" s="237"/>
      <c r="DI337" s="237"/>
      <c r="DN337" s="347"/>
      <c r="DO337" s="347"/>
      <c r="DP337" s="2505"/>
      <c r="DT337" s="663"/>
      <c r="DU337" s="663"/>
      <c r="DV337" s="663"/>
      <c r="DW337" s="663"/>
      <c r="DX337" s="663"/>
      <c r="DY337" s="663"/>
      <c r="DZ337" s="663"/>
      <c r="EA337" s="663"/>
      <c r="EB337" s="663"/>
      <c r="EC337" s="663"/>
      <c r="ED337" s="663"/>
    </row>
    <row r="338" spans="1:134">
      <c r="A338" s="346">
        <v>32750</v>
      </c>
      <c r="B338" s="345" t="s">
        <v>369</v>
      </c>
      <c r="E338" s="934"/>
      <c r="F338" s="345">
        <v>18.010000000000002</v>
      </c>
      <c r="G338" s="345" t="s">
        <v>351</v>
      </c>
      <c r="L338" s="347">
        <v>4501.01</v>
      </c>
      <c r="M338" s="347" t="s">
        <v>316</v>
      </c>
      <c r="S338" s="346">
        <v>34698</v>
      </c>
      <c r="T338" s="345" t="s">
        <v>363</v>
      </c>
      <c r="V338" s="345">
        <v>93.15</v>
      </c>
      <c r="W338" s="345" t="s">
        <v>352</v>
      </c>
      <c r="AB338" s="347">
        <v>24.02</v>
      </c>
      <c r="AC338" s="347" t="s">
        <v>350</v>
      </c>
      <c r="AD338" s="1138"/>
      <c r="AE338" s="346">
        <v>32707</v>
      </c>
      <c r="AF338" s="345" t="s">
        <v>369</v>
      </c>
      <c r="AI338" s="934"/>
      <c r="AJ338" s="345">
        <v>6.04</v>
      </c>
      <c r="AK338" s="345" t="s">
        <v>350</v>
      </c>
      <c r="AP338" s="347">
        <v>919.01</v>
      </c>
      <c r="AQ338" s="347" t="s">
        <v>310</v>
      </c>
      <c r="AU338" s="348" t="str">
        <f t="array" ref="AU338">IFERROR(IF($AU$11="Yes",INDEX($AP$13:$AP$2950,SMALL(IF((County=$AQ$13:$AQ$2950),MATCH(ROW($AQ$13:$AQ$2950),ROW($AQ$13:$AQ$2950)),""),ROWS($A$13:$A338))),""),"")</f>
        <v/>
      </c>
      <c r="AW338" s="346">
        <v>34685</v>
      </c>
      <c r="AX338" s="345" t="s">
        <v>363</v>
      </c>
      <c r="AZ338" s="345">
        <v>55.05</v>
      </c>
      <c r="BA338" s="345" t="s">
        <v>352</v>
      </c>
      <c r="BF338" s="347">
        <v>19.03</v>
      </c>
      <c r="BG338" s="347" t="s">
        <v>368</v>
      </c>
      <c r="BH338" s="1790"/>
      <c r="BI338" s="2299">
        <v>33777</v>
      </c>
      <c r="BJ338" s="345" t="s">
        <v>363</v>
      </c>
      <c r="BM338" s="1784"/>
      <c r="BN338" s="345">
        <v>203.24</v>
      </c>
      <c r="BO338" s="345" t="s">
        <v>310</v>
      </c>
      <c r="BT338" s="347">
        <v>910</v>
      </c>
      <c r="BU338" s="347" t="s">
        <v>310</v>
      </c>
      <c r="BW338" s="348" t="str">
        <f t="array" ref="BW338">IFERROR(IF($BW$11="Metro",INDEX($BN$13:$BN$4972,SMALL(IF((County=$BO$13:$BO$4972),MATCH(ROW($BO$13:$BO$4972),ROW($BO$13:$BO$4972)),""),ROWS($A$13:$A338))),INDEX($BQ$13:$BQ$212,SMALL(IF((County=$BR$13:$BR$212),MATCH(ROW($BR$13:$BR$212),ROW($BR$13:$BR$212)),""),ROWS($A$13:$A338)))),"")</f>
        <v/>
      </c>
      <c r="BY338" s="348" t="str">
        <f t="array" ref="BY338">IFERROR(IF($BY$11="Yes",INDEX($BT$13:$BT$2950,SMALL(IF((County=$BU$13:$BU$2950),MATCH(ROW($BU$13:$BU$2950),ROW($BU$13:$BU$2950)),""),ROWS($A$13:$A338))),""),"")</f>
        <v/>
      </c>
      <c r="CA338" s="2298">
        <v>34134</v>
      </c>
      <c r="CB338" s="345" t="s">
        <v>344</v>
      </c>
      <c r="CD338" s="345">
        <v>9.01</v>
      </c>
      <c r="CE338" s="345" t="s">
        <v>297</v>
      </c>
      <c r="CJ338" s="347">
        <v>19.05</v>
      </c>
      <c r="CK338" s="347" t="s">
        <v>368</v>
      </c>
      <c r="CL338" s="1789"/>
      <c r="CM338" s="2299"/>
      <c r="CN338" s="345"/>
      <c r="CR338" s="345"/>
      <c r="CS338" s="345"/>
      <c r="CX338" s="347"/>
      <c r="CY338" s="347"/>
      <c r="DA338" s="348"/>
      <c r="DC338" s="348"/>
      <c r="DE338" s="1792"/>
      <c r="DF338" s="345"/>
      <c r="DH338" s="237"/>
      <c r="DI338" s="237"/>
      <c r="DN338" s="347"/>
      <c r="DO338" s="347"/>
      <c r="DP338" s="2505"/>
      <c r="DT338" s="663"/>
      <c r="DU338" s="663"/>
      <c r="DV338" s="663"/>
      <c r="DW338" s="663"/>
      <c r="DX338" s="663"/>
      <c r="DY338" s="663"/>
      <c r="DZ338" s="663"/>
      <c r="EA338" s="663"/>
      <c r="EB338" s="663"/>
      <c r="EC338" s="663"/>
      <c r="ED338" s="663"/>
    </row>
    <row r="339" spans="1:134">
      <c r="A339" s="346">
        <v>32765</v>
      </c>
      <c r="B339" s="345" t="s">
        <v>369</v>
      </c>
      <c r="E339" s="934"/>
      <c r="F339" s="345">
        <v>1.0900000000000001</v>
      </c>
      <c r="G339" s="345" t="s">
        <v>352</v>
      </c>
      <c r="L339" s="347">
        <v>4503.0200000000004</v>
      </c>
      <c r="M339" s="347" t="s">
        <v>316</v>
      </c>
      <c r="S339" s="346">
        <v>34711</v>
      </c>
      <c r="T339" s="345" t="s">
        <v>343</v>
      </c>
      <c r="V339" s="345">
        <v>95.01</v>
      </c>
      <c r="W339" s="345" t="s">
        <v>352</v>
      </c>
      <c r="AB339" s="347">
        <v>24.03</v>
      </c>
      <c r="AC339" s="347" t="s">
        <v>345</v>
      </c>
      <c r="AD339" s="1138"/>
      <c r="AE339" s="346">
        <v>32708</v>
      </c>
      <c r="AF339" s="345" t="s">
        <v>369</v>
      </c>
      <c r="AI339" s="934"/>
      <c r="AJ339" s="345">
        <v>14.01</v>
      </c>
      <c r="AK339" s="345" t="s">
        <v>350</v>
      </c>
      <c r="AP339" s="347">
        <v>919.03</v>
      </c>
      <c r="AQ339" s="347" t="s">
        <v>310</v>
      </c>
      <c r="AU339" s="348" t="str">
        <f t="array" ref="AU339">IFERROR(IF($AU$11="Yes",INDEX($AP$13:$AP$2950,SMALL(IF((County=$AQ$13:$AQ$2950),MATCH(ROW($AQ$13:$AQ$2950),ROW($AQ$13:$AQ$2950)),""),ROWS($A$13:$A339))),""),"")</f>
        <v/>
      </c>
      <c r="AW339" s="346">
        <v>34688</v>
      </c>
      <c r="AX339" s="345" t="s">
        <v>363</v>
      </c>
      <c r="AZ339" s="345">
        <v>57.01</v>
      </c>
      <c r="BA339" s="345" t="s">
        <v>352</v>
      </c>
      <c r="BF339" s="347">
        <v>19.04</v>
      </c>
      <c r="BG339" s="347" t="s">
        <v>349</v>
      </c>
      <c r="BH339" s="1790"/>
      <c r="BI339" s="2299">
        <v>33778</v>
      </c>
      <c r="BJ339" s="345" t="s">
        <v>363</v>
      </c>
      <c r="BM339" s="1784"/>
      <c r="BN339" s="345">
        <v>203.25</v>
      </c>
      <c r="BO339" s="345" t="s">
        <v>310</v>
      </c>
      <c r="BT339" s="347">
        <v>917.02</v>
      </c>
      <c r="BU339" s="347" t="s">
        <v>310</v>
      </c>
      <c r="BW339" s="348" t="str">
        <f t="array" ref="BW339">IFERROR(IF($BW$11="Metro",INDEX($BN$13:$BN$4972,SMALL(IF((County=$BO$13:$BO$4972),MATCH(ROW($BO$13:$BO$4972),ROW($BO$13:$BO$4972)),""),ROWS($A$13:$A339))),INDEX($BQ$13:$BQ$212,SMALL(IF((County=$BR$13:$BR$212),MATCH(ROW($BR$13:$BR$212),ROW($BR$13:$BR$212)),""),ROWS($A$13:$A339)))),"")</f>
        <v/>
      </c>
      <c r="BY339" s="348" t="str">
        <f t="array" ref="BY339">IFERROR(IF($BY$11="Yes",INDEX($BT$13:$BT$2950,SMALL(IF((County=$BU$13:$BU$2950),MATCH(ROW($BU$13:$BU$2950),ROW($BU$13:$BU$2950)),""),ROWS($A$13:$A339))),""),"")</f>
        <v/>
      </c>
      <c r="CA339" s="2298">
        <v>34135</v>
      </c>
      <c r="CB339" s="345" t="s">
        <v>344</v>
      </c>
      <c r="CD339" s="237">
        <v>9.01</v>
      </c>
      <c r="CE339" s="237" t="s">
        <v>337</v>
      </c>
      <c r="CJ339" s="347">
        <v>19.07</v>
      </c>
      <c r="CK339" s="347" t="s">
        <v>349</v>
      </c>
      <c r="CL339" s="1789"/>
      <c r="CM339" s="2299"/>
      <c r="CN339" s="345"/>
      <c r="CR339" s="345"/>
      <c r="CS339" s="345"/>
      <c r="CX339" s="347"/>
      <c r="CY339" s="347"/>
      <c r="DA339" s="348"/>
      <c r="DC339" s="348"/>
      <c r="DE339" s="1792"/>
      <c r="DF339" s="345"/>
      <c r="DH339" s="237"/>
      <c r="DI339" s="237"/>
      <c r="DN339" s="347"/>
      <c r="DO339" s="347"/>
      <c r="DP339" s="2505"/>
      <c r="DT339" s="663"/>
      <c r="DU339" s="663"/>
      <c r="DV339" s="663"/>
      <c r="DW339" s="663"/>
      <c r="DX339" s="663"/>
      <c r="DY339" s="663"/>
      <c r="DZ339" s="663"/>
      <c r="EA339" s="663"/>
      <c r="EB339" s="663"/>
      <c r="EC339" s="663"/>
      <c r="ED339" s="663"/>
    </row>
    <row r="340" spans="1:134">
      <c r="A340" s="346">
        <v>32766</v>
      </c>
      <c r="B340" s="345" t="s">
        <v>369</v>
      </c>
      <c r="E340" s="934"/>
      <c r="F340" s="345">
        <v>1.26</v>
      </c>
      <c r="G340" s="345" t="s">
        <v>352</v>
      </c>
      <c r="L340" s="347">
        <v>4503.04</v>
      </c>
      <c r="M340" s="347" t="s">
        <v>316</v>
      </c>
      <c r="S340" s="346">
        <v>34714</v>
      </c>
      <c r="T340" s="345" t="s">
        <v>343</v>
      </c>
      <c r="V340" s="345">
        <v>96</v>
      </c>
      <c r="W340" s="345" t="s">
        <v>352</v>
      </c>
      <c r="AB340" s="347">
        <v>24.08</v>
      </c>
      <c r="AC340" s="347" t="s">
        <v>345</v>
      </c>
      <c r="AD340" s="1138"/>
      <c r="AE340" s="346">
        <v>32714</v>
      </c>
      <c r="AF340" s="345" t="s">
        <v>369</v>
      </c>
      <c r="AI340" s="934"/>
      <c r="AJ340" s="345">
        <v>15</v>
      </c>
      <c r="AK340" s="345" t="s">
        <v>350</v>
      </c>
      <c r="AP340" s="347">
        <v>920</v>
      </c>
      <c r="AQ340" s="347" t="s">
        <v>310</v>
      </c>
      <c r="AU340" s="348" t="str">
        <f t="array" ref="AU340">IFERROR(IF($AU$11="Yes",INDEX($AP$13:$AP$2950,SMALL(IF((County=$AQ$13:$AQ$2950),MATCH(ROW($AQ$13:$AQ$2950),ROW($AQ$13:$AQ$2950)),""),ROWS($A$13:$A340))),""),"")</f>
        <v/>
      </c>
      <c r="AW340" s="346">
        <v>34695</v>
      </c>
      <c r="AX340" s="345" t="s">
        <v>363</v>
      </c>
      <c r="AZ340" s="345">
        <v>57.03</v>
      </c>
      <c r="BA340" s="345" t="s">
        <v>361</v>
      </c>
      <c r="BF340" s="347">
        <v>19.04</v>
      </c>
      <c r="BG340" s="347" t="s">
        <v>361</v>
      </c>
      <c r="BH340" s="1790"/>
      <c r="BI340" s="2299">
        <v>33782</v>
      </c>
      <c r="BJ340" s="345" t="s">
        <v>363</v>
      </c>
      <c r="BM340" s="1784"/>
      <c r="BN340" s="345">
        <v>203.26</v>
      </c>
      <c r="BO340" s="345" t="s">
        <v>310</v>
      </c>
      <c r="BT340" s="347">
        <v>918.04</v>
      </c>
      <c r="BU340" s="347" t="s">
        <v>310</v>
      </c>
      <c r="BW340" s="348" t="str">
        <f t="array" ref="BW340">IFERROR(IF($BW$11="Metro",INDEX($BN$13:$BN$4972,SMALL(IF((County=$BO$13:$BO$4972),MATCH(ROW($BO$13:$BO$4972),ROW($BO$13:$BO$4972)),""),ROWS($A$13:$A340))),INDEX($BQ$13:$BQ$212,SMALL(IF((County=$BR$13:$BR$212),MATCH(ROW($BR$13:$BR$212),ROW($BR$13:$BR$212)),""),ROWS($A$13:$A340)))),"")</f>
        <v/>
      </c>
      <c r="BY340" s="348" t="str">
        <f t="array" ref="BY340">IFERROR(IF($BY$11="Yes",INDEX($BT$13:$BT$2950,SMALL(IF((County=$BU$13:$BU$2950),MATCH(ROW($BU$13:$BU$2950),ROW($BU$13:$BU$2950)),""),ROWS($A$13:$A340))),""),"")</f>
        <v/>
      </c>
      <c r="CA340" s="2298">
        <v>34140</v>
      </c>
      <c r="CB340" s="345" t="s">
        <v>318</v>
      </c>
      <c r="CD340" s="237">
        <v>9.01</v>
      </c>
      <c r="CE340" s="237" t="s">
        <v>349</v>
      </c>
      <c r="CJ340" s="347">
        <v>19.07</v>
      </c>
      <c r="CK340" s="347" t="s">
        <v>361</v>
      </c>
      <c r="CL340" s="1789"/>
      <c r="CM340" s="2299"/>
      <c r="CN340" s="345"/>
      <c r="CR340" s="345"/>
      <c r="CS340" s="345"/>
      <c r="CX340" s="347"/>
      <c r="CY340" s="347"/>
      <c r="DA340" s="348"/>
      <c r="DC340" s="348"/>
      <c r="DE340" s="1792"/>
      <c r="DF340" s="345"/>
      <c r="DH340" s="237"/>
      <c r="DI340" s="237"/>
      <c r="DN340" s="347"/>
      <c r="DO340" s="347"/>
      <c r="DP340" s="2505"/>
      <c r="DT340" s="663"/>
      <c r="DU340" s="663"/>
      <c r="DV340" s="663"/>
      <c r="DW340" s="663"/>
      <c r="DX340" s="663"/>
      <c r="DY340" s="663"/>
      <c r="DZ340" s="663"/>
      <c r="EA340" s="663"/>
      <c r="EB340" s="663"/>
      <c r="EC340" s="663"/>
      <c r="ED340" s="663"/>
    </row>
    <row r="341" spans="1:134">
      <c r="A341" s="346">
        <v>32779</v>
      </c>
      <c r="B341" s="345" t="s">
        <v>369</v>
      </c>
      <c r="E341" s="934"/>
      <c r="F341" s="345">
        <v>2.06</v>
      </c>
      <c r="G341" s="345" t="s">
        <v>352</v>
      </c>
      <c r="L341" s="347">
        <v>4504</v>
      </c>
      <c r="M341" s="347" t="s">
        <v>316</v>
      </c>
      <c r="S341" s="346">
        <v>34715</v>
      </c>
      <c r="T341" s="345" t="s">
        <v>343</v>
      </c>
      <c r="V341" s="345">
        <v>97.05</v>
      </c>
      <c r="W341" s="345" t="s">
        <v>352</v>
      </c>
      <c r="AB341" s="347">
        <v>24.1</v>
      </c>
      <c r="AC341" s="347" t="s">
        <v>345</v>
      </c>
      <c r="AD341" s="1138"/>
      <c r="AE341" s="346">
        <v>32732</v>
      </c>
      <c r="AF341" s="345" t="s">
        <v>369</v>
      </c>
      <c r="AI341" s="934"/>
      <c r="AJ341" s="345">
        <v>17</v>
      </c>
      <c r="AK341" s="345" t="s">
        <v>350</v>
      </c>
      <c r="AP341" s="347">
        <v>1001.05</v>
      </c>
      <c r="AQ341" s="347" t="s">
        <v>310</v>
      </c>
      <c r="AU341" s="348" t="str">
        <f t="array" ref="AU341">IFERROR(IF($AU$11="Yes",INDEX($AP$13:$AP$2950,SMALL(IF((County=$AQ$13:$AQ$2950),MATCH(ROW($AQ$13:$AQ$2950),ROW($AQ$13:$AQ$2950)),""),ROWS($A$13:$A341))),""),"")</f>
        <v/>
      </c>
      <c r="AW341" s="346">
        <v>34698</v>
      </c>
      <c r="AX341" s="345" t="s">
        <v>363</v>
      </c>
      <c r="AZ341" s="345">
        <v>57.04</v>
      </c>
      <c r="BA341" s="345" t="s">
        <v>361</v>
      </c>
      <c r="BF341" s="347">
        <v>19.04</v>
      </c>
      <c r="BG341" s="347" t="s">
        <v>368</v>
      </c>
      <c r="BH341" s="1790"/>
      <c r="BI341" s="2299">
        <v>33785</v>
      </c>
      <c r="BJ341" s="345" t="s">
        <v>363</v>
      </c>
      <c r="BM341" s="1784"/>
      <c r="BN341" s="345">
        <v>204.04</v>
      </c>
      <c r="BO341" s="345" t="s">
        <v>310</v>
      </c>
      <c r="BT341" s="347">
        <v>919.01</v>
      </c>
      <c r="BU341" s="347" t="s">
        <v>310</v>
      </c>
      <c r="BW341" s="348" t="str">
        <f t="array" ref="BW341">IFERROR(IF($BW$11="Metro",INDEX($BN$13:$BN$4972,SMALL(IF((County=$BO$13:$BO$4972),MATCH(ROW($BO$13:$BO$4972),ROW($BO$13:$BO$4972)),""),ROWS($A$13:$A341))),INDEX($BQ$13:$BQ$212,SMALL(IF((County=$BR$13:$BR$212),MATCH(ROW($BR$13:$BR$212),ROW($BR$13:$BR$212)),""),ROWS($A$13:$A341)))),"")</f>
        <v/>
      </c>
      <c r="BY341" s="348" t="str">
        <f t="array" ref="BY341">IFERROR(IF($BY$11="Yes",INDEX($BT$13:$BT$2950,SMALL(IF((County=$BU$13:$BU$2950),MATCH(ROW($BU$13:$BU$2950),ROW($BU$13:$BU$2950)),""),ROWS($A$13:$A341))),""),"")</f>
        <v/>
      </c>
      <c r="CA341" s="2298">
        <v>34145</v>
      </c>
      <c r="CB341" s="345" t="s">
        <v>318</v>
      </c>
      <c r="CD341" s="237">
        <v>9.01</v>
      </c>
      <c r="CE341" s="237" t="s">
        <v>350</v>
      </c>
      <c r="CJ341" s="347">
        <v>19.079999999999998</v>
      </c>
      <c r="CK341" s="347" t="s">
        <v>344</v>
      </c>
      <c r="CL341" s="1789"/>
      <c r="CM341" s="2299"/>
      <c r="CN341" s="345"/>
      <c r="CR341" s="345"/>
      <c r="CS341" s="345"/>
      <c r="CX341" s="347"/>
      <c r="CY341" s="347"/>
      <c r="DA341" s="348"/>
      <c r="DC341" s="348"/>
      <c r="DE341" s="1792"/>
      <c r="DF341" s="345"/>
      <c r="DH341" s="237"/>
      <c r="DI341" s="237"/>
      <c r="DN341" s="347"/>
      <c r="DO341" s="347"/>
      <c r="DP341" s="2505"/>
      <c r="DT341" s="663"/>
      <c r="DU341" s="663"/>
      <c r="DV341" s="663"/>
      <c r="DW341" s="663"/>
      <c r="DX341" s="663"/>
      <c r="DY341" s="663"/>
      <c r="DZ341" s="663"/>
      <c r="EA341" s="663"/>
      <c r="EB341" s="663"/>
      <c r="EC341" s="663"/>
      <c r="ED341" s="663"/>
    </row>
    <row r="342" spans="1:134">
      <c r="A342" s="346">
        <v>32081</v>
      </c>
      <c r="B342" s="345" t="s">
        <v>370</v>
      </c>
      <c r="E342" s="934"/>
      <c r="F342" s="345">
        <v>2.09</v>
      </c>
      <c r="G342" s="345" t="s">
        <v>352</v>
      </c>
      <c r="L342" s="347">
        <v>4505</v>
      </c>
      <c r="M342" s="347" t="s">
        <v>316</v>
      </c>
      <c r="S342" s="346">
        <v>34734</v>
      </c>
      <c r="T342" s="345" t="s">
        <v>359</v>
      </c>
      <c r="V342" s="345">
        <v>100.01</v>
      </c>
      <c r="W342" s="345" t="s">
        <v>352</v>
      </c>
      <c r="AB342" s="347">
        <v>24.12</v>
      </c>
      <c r="AC342" s="347" t="s">
        <v>345</v>
      </c>
      <c r="AD342" s="1138"/>
      <c r="AE342" s="346">
        <v>32746</v>
      </c>
      <c r="AF342" s="345" t="s">
        <v>369</v>
      </c>
      <c r="AI342" s="934"/>
      <c r="AJ342" s="345">
        <v>18</v>
      </c>
      <c r="AK342" s="345" t="s">
        <v>350</v>
      </c>
      <c r="AP342" s="347">
        <v>1001.06</v>
      </c>
      <c r="AQ342" s="347" t="s">
        <v>310</v>
      </c>
      <c r="AU342" s="348" t="str">
        <f t="array" ref="AU342">IFERROR(IF($AU$11="Yes",INDEX($AP$13:$AP$2950,SMALL(IF((County=$AQ$13:$AQ$2950),MATCH(ROW($AQ$13:$AQ$2950),ROW($AQ$13:$AQ$2950)),""),ROWS($A$13:$A342))),""),"")</f>
        <v/>
      </c>
      <c r="AW342" s="346">
        <v>34711</v>
      </c>
      <c r="AX342" s="345" t="s">
        <v>343</v>
      </c>
      <c r="AZ342" s="345">
        <v>57.05</v>
      </c>
      <c r="BA342" s="345" t="s">
        <v>352</v>
      </c>
      <c r="BF342" s="347">
        <v>19.05</v>
      </c>
      <c r="BG342" s="347" t="s">
        <v>368</v>
      </c>
      <c r="BH342" s="1790"/>
      <c r="BI342" s="2299">
        <v>33786</v>
      </c>
      <c r="BJ342" s="345" t="s">
        <v>363</v>
      </c>
      <c r="BM342" s="1784"/>
      <c r="BN342" s="345">
        <v>204.05</v>
      </c>
      <c r="BO342" s="345" t="s">
        <v>310</v>
      </c>
      <c r="BT342" s="347">
        <v>920</v>
      </c>
      <c r="BU342" s="347" t="s">
        <v>310</v>
      </c>
      <c r="BW342" s="348" t="str">
        <f t="array" ref="BW342">IFERROR(IF($BW$11="Metro",INDEX($BN$13:$BN$4972,SMALL(IF((County=$BO$13:$BO$4972),MATCH(ROW($BO$13:$BO$4972),ROW($BO$13:$BO$4972)),""),ROWS($A$13:$A342))),INDEX($BQ$13:$BQ$212,SMALL(IF((County=$BR$13:$BR$212),MATCH(ROW($BR$13:$BR$212),ROW($BR$13:$BR$212)),""),ROWS($A$13:$A342)))),"")</f>
        <v/>
      </c>
      <c r="BY342" s="348" t="str">
        <f t="array" ref="BY342">IFERROR(IF($BY$11="Yes",INDEX($BT$13:$BT$2950,SMALL(IF((County=$BU$13:$BU$2950),MATCH(ROW($BU$13:$BU$2950),ROW($BU$13:$BU$2950)),""),ROWS($A$13:$A342))),""),"")</f>
        <v/>
      </c>
      <c r="CA342" s="2298">
        <v>34201</v>
      </c>
      <c r="CB342" s="345" t="s">
        <v>349</v>
      </c>
      <c r="CD342" s="237">
        <v>9.01</v>
      </c>
      <c r="CE342" s="237" t="s">
        <v>351</v>
      </c>
      <c r="CJ342" s="347">
        <v>19.079999999999998</v>
      </c>
      <c r="CK342" s="347" t="s">
        <v>349</v>
      </c>
      <c r="CL342" s="1789"/>
      <c r="CM342" s="2299"/>
      <c r="CN342" s="345"/>
      <c r="CR342" s="345"/>
      <c r="CS342" s="345"/>
      <c r="CX342" s="347"/>
      <c r="CY342" s="347"/>
      <c r="DA342" s="348"/>
      <c r="DC342" s="348"/>
      <c r="DE342" s="1792"/>
      <c r="DF342" s="345"/>
      <c r="DH342" s="237"/>
      <c r="DI342" s="237"/>
      <c r="DN342" s="347"/>
      <c r="DO342" s="347"/>
      <c r="DP342" s="2505"/>
      <c r="DT342" s="663"/>
      <c r="DU342" s="663"/>
      <c r="DV342" s="663"/>
      <c r="DW342" s="663"/>
      <c r="DX342" s="663"/>
      <c r="DY342" s="663"/>
      <c r="DZ342" s="663"/>
      <c r="EA342" s="663"/>
      <c r="EB342" s="663"/>
      <c r="EC342" s="663"/>
      <c r="ED342" s="663"/>
    </row>
    <row r="343" spans="1:134">
      <c r="A343" s="346">
        <v>32082</v>
      </c>
      <c r="B343" s="345" t="s">
        <v>370</v>
      </c>
      <c r="E343" s="934"/>
      <c r="F343" s="345">
        <v>2.12</v>
      </c>
      <c r="G343" s="345" t="s">
        <v>352</v>
      </c>
      <c r="L343" s="347">
        <v>4506.01</v>
      </c>
      <c r="M343" s="347" t="s">
        <v>316</v>
      </c>
      <c r="S343" s="346">
        <v>34736</v>
      </c>
      <c r="T343" s="345" t="s">
        <v>343</v>
      </c>
      <c r="V343" s="345">
        <v>100.1</v>
      </c>
      <c r="W343" s="345" t="s">
        <v>352</v>
      </c>
      <c r="AB343" s="347">
        <v>24.13</v>
      </c>
      <c r="AC343" s="347" t="s">
        <v>345</v>
      </c>
      <c r="AD343" s="1138"/>
      <c r="AE343" s="346">
        <v>32750</v>
      </c>
      <c r="AF343" s="345" t="s">
        <v>369</v>
      </c>
      <c r="AI343" s="934"/>
      <c r="AJ343" s="345">
        <v>19</v>
      </c>
      <c r="AK343" s="345" t="s">
        <v>350</v>
      </c>
      <c r="AP343" s="347">
        <v>1001.07</v>
      </c>
      <c r="AQ343" s="347" t="s">
        <v>310</v>
      </c>
      <c r="AU343" s="348" t="str">
        <f t="array" ref="AU343">IFERROR(IF($AU$11="Yes",INDEX($AP$13:$AP$2950,SMALL(IF((County=$AQ$13:$AQ$2950),MATCH(ROW($AQ$13:$AQ$2950),ROW($AQ$13:$AQ$2950)),""),ROWS($A$13:$A343))),""),"")</f>
        <v/>
      </c>
      <c r="AW343" s="346">
        <v>34714</v>
      </c>
      <c r="AX343" s="345" t="s">
        <v>343</v>
      </c>
      <c r="AZ343" s="345">
        <v>57.06</v>
      </c>
      <c r="BA343" s="345" t="s">
        <v>352</v>
      </c>
      <c r="BF343" s="347">
        <v>19.07</v>
      </c>
      <c r="BG343" s="347" t="s">
        <v>349</v>
      </c>
      <c r="BH343" s="1790"/>
      <c r="BI343" s="2299">
        <v>34677</v>
      </c>
      <c r="BJ343" s="345" t="s">
        <v>363</v>
      </c>
      <c r="BM343" s="1784"/>
      <c r="BN343" s="345">
        <v>204.06</v>
      </c>
      <c r="BO343" s="345" t="s">
        <v>310</v>
      </c>
      <c r="BT343" s="347">
        <v>1001.05</v>
      </c>
      <c r="BU343" s="347" t="s">
        <v>310</v>
      </c>
      <c r="BW343" s="348" t="str">
        <f t="array" ref="BW343">IFERROR(IF($BW$11="Metro",INDEX($BN$13:$BN$4972,SMALL(IF((County=$BO$13:$BO$4972),MATCH(ROW($BO$13:$BO$4972),ROW($BO$13:$BO$4972)),""),ROWS($A$13:$A343))),INDEX($BQ$13:$BQ$212,SMALL(IF((County=$BR$13:$BR$212),MATCH(ROW($BR$13:$BR$212),ROW($BR$13:$BR$212)),""),ROWS($A$13:$A343)))),"")</f>
        <v/>
      </c>
      <c r="BY343" s="348" t="str">
        <f t="array" ref="BY343">IFERROR(IF($BY$11="Yes",INDEX($BT$13:$BT$2950,SMALL(IF((County=$BU$13:$BU$2950),MATCH(ROW($BU$13:$BU$2950),ROW($BU$13:$BU$2950)),""),ROWS($A$13:$A343))),""),"")</f>
        <v/>
      </c>
      <c r="CA343" s="2298">
        <v>34202</v>
      </c>
      <c r="CB343" s="345" t="s">
        <v>349</v>
      </c>
      <c r="CD343" s="345">
        <v>9.02</v>
      </c>
      <c r="CE343" s="345" t="s">
        <v>297</v>
      </c>
      <c r="CJ343" s="347">
        <v>19.09</v>
      </c>
      <c r="CK343" s="347" t="s">
        <v>349</v>
      </c>
      <c r="CL343" s="1789"/>
      <c r="CM343" s="2299"/>
      <c r="CN343" s="345"/>
      <c r="CR343" s="345"/>
      <c r="CS343" s="345"/>
      <c r="CX343" s="347"/>
      <c r="CY343" s="347"/>
      <c r="DA343" s="348"/>
      <c r="DC343" s="348"/>
      <c r="DE343" s="1792"/>
      <c r="DF343" s="345"/>
      <c r="DH343" s="237"/>
      <c r="DI343" s="237"/>
      <c r="DN343" s="347"/>
      <c r="DO343" s="347"/>
      <c r="DP343" s="2505"/>
      <c r="DT343" s="663"/>
      <c r="DU343" s="663"/>
      <c r="DV343" s="663"/>
      <c r="DW343" s="663"/>
      <c r="DX343" s="663"/>
      <c r="DY343" s="663"/>
      <c r="DZ343" s="663"/>
      <c r="EA343" s="663"/>
      <c r="EB343" s="663"/>
      <c r="EC343" s="663"/>
      <c r="ED343" s="663"/>
    </row>
    <row r="344" spans="1:134">
      <c r="A344" s="346">
        <v>32092</v>
      </c>
      <c r="B344" s="345" t="s">
        <v>370</v>
      </c>
      <c r="E344" s="934"/>
      <c r="F344" s="345">
        <v>2.17</v>
      </c>
      <c r="G344" s="345" t="s">
        <v>352</v>
      </c>
      <c r="L344" s="347">
        <v>4507.01</v>
      </c>
      <c r="M344" s="347" t="s">
        <v>316</v>
      </c>
      <c r="S344" s="346">
        <v>34743</v>
      </c>
      <c r="T344" s="345" t="s">
        <v>360</v>
      </c>
      <c r="V344" s="345">
        <v>100.11</v>
      </c>
      <c r="W344" s="345" t="s">
        <v>352</v>
      </c>
      <c r="AB344" s="347">
        <v>24.14</v>
      </c>
      <c r="AC344" s="347" t="s">
        <v>345</v>
      </c>
      <c r="AD344" s="1138"/>
      <c r="AE344" s="346">
        <v>32765</v>
      </c>
      <c r="AF344" s="345" t="s">
        <v>369</v>
      </c>
      <c r="AI344" s="934"/>
      <c r="AJ344" s="345">
        <v>20.010000000000002</v>
      </c>
      <c r="AK344" s="345" t="s">
        <v>350</v>
      </c>
      <c r="AP344" s="347">
        <v>1001.08</v>
      </c>
      <c r="AQ344" s="347" t="s">
        <v>310</v>
      </c>
      <c r="AU344" s="348" t="str">
        <f t="array" ref="AU344">IFERROR(IF($AU$11="Yes",INDEX($AP$13:$AP$2950,SMALL(IF((County=$AQ$13:$AQ$2950),MATCH(ROW($AQ$13:$AQ$2950),ROW($AQ$13:$AQ$2950)),""),ROWS($A$13:$A344))),""),"")</f>
        <v/>
      </c>
      <c r="AW344" s="346">
        <v>34715</v>
      </c>
      <c r="AX344" s="345" t="s">
        <v>343</v>
      </c>
      <c r="AZ344" s="345">
        <v>57.07</v>
      </c>
      <c r="BA344" s="345" t="s">
        <v>352</v>
      </c>
      <c r="BF344" s="347">
        <v>19.079999999999998</v>
      </c>
      <c r="BG344" s="347" t="s">
        <v>344</v>
      </c>
      <c r="BH344" s="1790"/>
      <c r="BI344" s="2299">
        <v>34681</v>
      </c>
      <c r="BJ344" s="345" t="s">
        <v>363</v>
      </c>
      <c r="BM344" s="1784"/>
      <c r="BN344" s="345">
        <v>204.07</v>
      </c>
      <c r="BO344" s="345" t="s">
        <v>310</v>
      </c>
      <c r="BT344" s="347">
        <v>1001.06</v>
      </c>
      <c r="BU344" s="347" t="s">
        <v>310</v>
      </c>
      <c r="BW344" s="348" t="str">
        <f t="array" ref="BW344">IFERROR(IF($BW$11="Metro",INDEX($BN$13:$BN$4972,SMALL(IF((County=$BO$13:$BO$4972),MATCH(ROW($BO$13:$BO$4972),ROW($BO$13:$BO$4972)),""),ROWS($A$13:$A344))),INDEX($BQ$13:$BQ$212,SMALL(IF((County=$BR$13:$BR$212),MATCH(ROW($BR$13:$BR$212),ROW($BR$13:$BR$212)),""),ROWS($A$13:$A344)))),"")</f>
        <v/>
      </c>
      <c r="BY344" s="348" t="str">
        <f t="array" ref="BY344">IFERROR(IF($BY$11="Yes",INDEX($BT$13:$BT$2950,SMALL(IF((County=$BU$13:$BU$2950),MATCH(ROW($BU$13:$BU$2950),ROW($BU$13:$BU$2950)),""),ROWS($A$13:$A344))),""),"")</f>
        <v/>
      </c>
      <c r="CA344" s="2298">
        <v>34209</v>
      </c>
      <c r="CB344" s="345" t="s">
        <v>349</v>
      </c>
      <c r="CD344" s="237">
        <v>9.02</v>
      </c>
      <c r="CE344" s="237" t="s">
        <v>337</v>
      </c>
      <c r="CJ344" s="347">
        <v>19.09</v>
      </c>
      <c r="CK344" s="347" t="s">
        <v>368</v>
      </c>
      <c r="CL344" s="1789"/>
      <c r="CM344" s="2299"/>
      <c r="CN344" s="345"/>
      <c r="CR344" s="345"/>
      <c r="CS344" s="345"/>
      <c r="CX344" s="347"/>
      <c r="CY344" s="347"/>
      <c r="DA344" s="348"/>
      <c r="DC344" s="348"/>
      <c r="DE344" s="1792"/>
      <c r="DF344" s="345"/>
      <c r="DH344" s="237"/>
      <c r="DI344" s="237"/>
      <c r="DN344" s="347"/>
      <c r="DO344" s="347"/>
      <c r="DP344" s="2505"/>
      <c r="DT344" s="663"/>
      <c r="DU344" s="663"/>
      <c r="DV344" s="663"/>
      <c r="DW344" s="663"/>
      <c r="DX344" s="663"/>
      <c r="DY344" s="663"/>
      <c r="DZ344" s="663"/>
      <c r="EA344" s="663"/>
      <c r="EB344" s="663"/>
      <c r="EC344" s="663"/>
      <c r="ED344" s="663"/>
    </row>
    <row r="345" spans="1:134">
      <c r="A345" s="346">
        <v>32259</v>
      </c>
      <c r="B345" s="345" t="s">
        <v>370</v>
      </c>
      <c r="E345" s="934"/>
      <c r="F345" s="345">
        <v>2.1800000000000002</v>
      </c>
      <c r="G345" s="345" t="s">
        <v>352</v>
      </c>
      <c r="L345" s="347">
        <v>4509.01</v>
      </c>
      <c r="M345" s="347" t="s">
        <v>316</v>
      </c>
      <c r="S345" s="346">
        <v>34744</v>
      </c>
      <c r="T345" s="345" t="s">
        <v>360</v>
      </c>
      <c r="V345" s="345">
        <v>100.15</v>
      </c>
      <c r="W345" s="345" t="s">
        <v>352</v>
      </c>
      <c r="AB345" s="347">
        <v>24.15</v>
      </c>
      <c r="AC345" s="347" t="s">
        <v>345</v>
      </c>
      <c r="AD345" s="1138"/>
      <c r="AE345" s="346">
        <v>32766</v>
      </c>
      <c r="AF345" s="345" t="s">
        <v>369</v>
      </c>
      <c r="AI345" s="934"/>
      <c r="AJ345" s="345">
        <v>25.04</v>
      </c>
      <c r="AK345" s="345" t="s">
        <v>350</v>
      </c>
      <c r="AP345" s="347">
        <v>1103.03</v>
      </c>
      <c r="AQ345" s="347" t="s">
        <v>310</v>
      </c>
      <c r="AU345" s="348" t="str">
        <f t="array" ref="AU345">IFERROR(IF($AU$11="Yes",INDEX($AP$13:$AP$2950,SMALL(IF((County=$AQ$13:$AQ$2950),MATCH(ROW($AQ$13:$AQ$2950),ROW($AQ$13:$AQ$2950)),""),ROWS($A$13:$A345))),""),"")</f>
        <v/>
      </c>
      <c r="AW345" s="346">
        <v>34734</v>
      </c>
      <c r="AX345" s="345" t="s">
        <v>359</v>
      </c>
      <c r="AZ345" s="345">
        <v>57.08</v>
      </c>
      <c r="BA345" s="345" t="s">
        <v>352</v>
      </c>
      <c r="BF345" s="347">
        <v>19.079999999999998</v>
      </c>
      <c r="BG345" s="347" t="s">
        <v>349</v>
      </c>
      <c r="BH345" s="1790"/>
      <c r="BI345" s="2299">
        <v>34683</v>
      </c>
      <c r="BJ345" s="345" t="s">
        <v>363</v>
      </c>
      <c r="BM345" s="1784"/>
      <c r="BN345" s="345">
        <v>204.12</v>
      </c>
      <c r="BO345" s="345" t="s">
        <v>310</v>
      </c>
      <c r="BT345" s="347">
        <v>1001.07</v>
      </c>
      <c r="BU345" s="347" t="s">
        <v>310</v>
      </c>
      <c r="BW345" s="348" t="str">
        <f t="array" ref="BW345">IFERROR(IF($BW$11="Metro",INDEX($BN$13:$BN$4972,SMALL(IF((County=$BO$13:$BO$4972),MATCH(ROW($BO$13:$BO$4972),ROW($BO$13:$BO$4972)),""),ROWS($A$13:$A345))),INDEX($BQ$13:$BQ$212,SMALL(IF((County=$BR$13:$BR$212),MATCH(ROW($BR$13:$BR$212),ROW($BR$13:$BR$212)),""),ROWS($A$13:$A345)))),"")</f>
        <v/>
      </c>
      <c r="BY345" s="348" t="str">
        <f t="array" ref="BY345">IFERROR(IF($BY$11="Yes",INDEX($BT$13:$BT$2950,SMALL(IF((County=$BU$13:$BU$2950),MATCH(ROW($BU$13:$BU$2950),ROW($BU$13:$BU$2950)),""),ROWS($A$13:$A345))),""),"")</f>
        <v/>
      </c>
      <c r="CA345" s="2298">
        <v>34211</v>
      </c>
      <c r="CB345" s="345" t="s">
        <v>349</v>
      </c>
      <c r="CD345" s="237">
        <v>9.02</v>
      </c>
      <c r="CE345" s="237" t="s">
        <v>349</v>
      </c>
      <c r="CJ345" s="347">
        <v>19.100000000000001</v>
      </c>
      <c r="CK345" s="347" t="s">
        <v>344</v>
      </c>
      <c r="CL345" s="1789"/>
      <c r="CM345" s="2299"/>
      <c r="CN345" s="345"/>
      <c r="CR345" s="345"/>
      <c r="CS345" s="345"/>
      <c r="CX345" s="347"/>
      <c r="CY345" s="347"/>
      <c r="DA345" s="348"/>
      <c r="DC345" s="348"/>
      <c r="DE345" s="1792"/>
      <c r="DF345" s="345"/>
      <c r="DH345" s="237"/>
      <c r="DI345" s="237"/>
      <c r="DN345" s="347"/>
      <c r="DO345" s="347"/>
      <c r="DP345" s="2505"/>
      <c r="DT345" s="663"/>
      <c r="DU345" s="663"/>
      <c r="DV345" s="663"/>
      <c r="DW345" s="663"/>
      <c r="DX345" s="663"/>
      <c r="DY345" s="663"/>
      <c r="DZ345" s="663"/>
      <c r="EA345" s="663"/>
      <c r="EB345" s="663"/>
      <c r="EC345" s="663"/>
      <c r="ED345" s="663"/>
    </row>
    <row r="346" spans="1:134">
      <c r="A346" s="346">
        <v>34952</v>
      </c>
      <c r="B346" s="345" t="s">
        <v>371</v>
      </c>
      <c r="F346" s="345">
        <v>2.19</v>
      </c>
      <c r="G346" s="345" t="s">
        <v>352</v>
      </c>
      <c r="L346" s="347">
        <v>4509.0200000000004</v>
      </c>
      <c r="M346" s="347" t="s">
        <v>316</v>
      </c>
      <c r="S346" s="346">
        <v>34746</v>
      </c>
      <c r="T346" s="345" t="s">
        <v>360</v>
      </c>
      <c r="V346" s="345">
        <v>102.03</v>
      </c>
      <c r="W346" s="345" t="s">
        <v>337</v>
      </c>
      <c r="AB346" s="347">
        <v>24.16</v>
      </c>
      <c r="AC346" s="347" t="s">
        <v>345</v>
      </c>
      <c r="AD346" s="1138"/>
      <c r="AE346" s="346">
        <v>32779</v>
      </c>
      <c r="AF346" s="345" t="s">
        <v>369</v>
      </c>
      <c r="AJ346" s="345">
        <v>12</v>
      </c>
      <c r="AK346" s="345" t="s">
        <v>351</v>
      </c>
      <c r="AP346" s="347">
        <v>1103.07</v>
      </c>
      <c r="AQ346" s="347" t="s">
        <v>310</v>
      </c>
      <c r="AU346" s="348" t="str">
        <f t="array" ref="AU346">IFERROR(IF($AU$11="Yes",INDEX($AP$13:$AP$2950,SMALL(IF((County=$AQ$13:$AQ$2950),MATCH(ROW($AQ$13:$AQ$2950),ROW($AQ$13:$AQ$2950)),""),ROWS($A$13:$A346))),""),"")</f>
        <v/>
      </c>
      <c r="AW346" s="346">
        <v>34736</v>
      </c>
      <c r="AX346" s="345" t="s">
        <v>343</v>
      </c>
      <c r="AZ346" s="345">
        <v>58.14</v>
      </c>
      <c r="BA346" s="345" t="s">
        <v>361</v>
      </c>
      <c r="BF346" s="347">
        <v>19.09</v>
      </c>
      <c r="BG346" s="347" t="s">
        <v>349</v>
      </c>
      <c r="BH346" s="1790"/>
      <c r="BI346" s="2299">
        <v>34684</v>
      </c>
      <c r="BJ346" s="345" t="s">
        <v>363</v>
      </c>
      <c r="BN346" s="345">
        <v>204.14</v>
      </c>
      <c r="BO346" s="345" t="s">
        <v>310</v>
      </c>
      <c r="BT346" s="347">
        <v>1001.08</v>
      </c>
      <c r="BU346" s="347" t="s">
        <v>310</v>
      </c>
      <c r="BW346" s="348" t="str">
        <f t="array" ref="BW346">IFERROR(IF($BW$11="Metro",INDEX($BN$13:$BN$4972,SMALL(IF((County=$BO$13:$BO$4972),MATCH(ROW($BO$13:$BO$4972),ROW($BO$13:$BO$4972)),""),ROWS($A$13:$A346))),INDEX($BQ$13:$BQ$212,SMALL(IF((County=$BR$13:$BR$212),MATCH(ROW($BR$13:$BR$212),ROW($BR$13:$BR$212)),""),ROWS($A$13:$A346)))),"")</f>
        <v/>
      </c>
      <c r="BY346" s="348" t="str">
        <f t="array" ref="BY346">IFERROR(IF($BY$11="Yes",INDEX($BT$13:$BT$2950,SMALL(IF((County=$BU$13:$BU$2950),MATCH(ROW($BU$13:$BU$2950),ROW($BU$13:$BU$2950)),""),ROWS($A$13:$A346))),""),"")</f>
        <v/>
      </c>
      <c r="CA346" s="2298">
        <v>34212</v>
      </c>
      <c r="CB346" s="345" t="s">
        <v>349</v>
      </c>
      <c r="CD346" s="237">
        <v>9.02</v>
      </c>
      <c r="CE346" s="237" t="s">
        <v>351</v>
      </c>
      <c r="CJ346" s="347">
        <v>19.100000000000001</v>
      </c>
      <c r="CK346" s="347" t="s">
        <v>349</v>
      </c>
      <c r="CL346" s="1789"/>
      <c r="CM346" s="2299"/>
      <c r="CN346" s="345"/>
      <c r="CR346" s="345"/>
      <c r="CS346" s="345"/>
      <c r="CX346" s="347"/>
      <c r="CY346" s="347"/>
      <c r="DA346" s="348"/>
      <c r="DC346" s="348"/>
      <c r="DE346" s="1792"/>
      <c r="DF346" s="345"/>
      <c r="DH346" s="237"/>
      <c r="DI346" s="237"/>
      <c r="DN346" s="347"/>
      <c r="DO346" s="347"/>
      <c r="DP346" s="2505"/>
      <c r="DT346" s="663"/>
      <c r="DU346" s="663"/>
      <c r="DV346" s="663"/>
      <c r="DW346" s="663"/>
      <c r="DX346" s="663"/>
      <c r="DY346" s="663"/>
      <c r="DZ346" s="663"/>
      <c r="EA346" s="663"/>
      <c r="EB346" s="663"/>
      <c r="EC346" s="663"/>
      <c r="ED346" s="663"/>
    </row>
    <row r="347" spans="1:134">
      <c r="A347" s="346">
        <v>34953</v>
      </c>
      <c r="B347" s="345" t="s">
        <v>371</v>
      </c>
      <c r="F347" s="345">
        <v>2.2000000000000002</v>
      </c>
      <c r="G347" s="345" t="s">
        <v>352</v>
      </c>
      <c r="L347" s="347">
        <v>4510</v>
      </c>
      <c r="M347" s="347" t="s">
        <v>316</v>
      </c>
      <c r="S347" s="346">
        <v>34747</v>
      </c>
      <c r="T347" s="345" t="s">
        <v>360</v>
      </c>
      <c r="V347" s="345">
        <v>102.07</v>
      </c>
      <c r="W347" s="345" t="s">
        <v>352</v>
      </c>
      <c r="AB347" s="347">
        <v>24.17</v>
      </c>
      <c r="AC347" s="347" t="s">
        <v>345</v>
      </c>
      <c r="AD347" s="1138"/>
      <c r="AE347" s="346">
        <v>32081</v>
      </c>
      <c r="AF347" s="345" t="s">
        <v>370</v>
      </c>
      <c r="AJ347" s="345">
        <v>14.07</v>
      </c>
      <c r="AK347" s="345" t="s">
        <v>351</v>
      </c>
      <c r="AP347" s="347">
        <v>1103.0899999999999</v>
      </c>
      <c r="AQ347" s="347" t="s">
        <v>310</v>
      </c>
      <c r="AU347" s="348" t="str">
        <f t="array" ref="AU347">IFERROR(IF($AU$11="Yes",INDEX($AP$13:$AP$2950,SMALL(IF((County=$AQ$13:$AQ$2950),MATCH(ROW($AQ$13:$AQ$2950),ROW($AQ$13:$AQ$2950)),""),ROWS($A$13:$A347))),""),"")</f>
        <v/>
      </c>
      <c r="AW347" s="346">
        <v>34737</v>
      </c>
      <c r="AX347" s="345" t="s">
        <v>343</v>
      </c>
      <c r="AZ347" s="345">
        <v>63.03</v>
      </c>
      <c r="BA347" s="345" t="s">
        <v>352</v>
      </c>
      <c r="BF347" s="347">
        <v>19.09</v>
      </c>
      <c r="BG347" s="347" t="s">
        <v>368</v>
      </c>
      <c r="BH347" s="1790"/>
      <c r="BI347" s="2299">
        <v>34685</v>
      </c>
      <c r="BJ347" s="345" t="s">
        <v>363</v>
      </c>
      <c r="BN347" s="345">
        <v>204.15</v>
      </c>
      <c r="BO347" s="345" t="s">
        <v>310</v>
      </c>
      <c r="BT347" s="347">
        <v>1103.03</v>
      </c>
      <c r="BU347" s="347" t="s">
        <v>310</v>
      </c>
      <c r="BW347" s="348" t="str">
        <f t="array" ref="BW347">IFERROR(IF($BW$11="Metro",INDEX($BN$13:$BN$4972,SMALL(IF((County=$BO$13:$BO$4972),MATCH(ROW($BO$13:$BO$4972),ROW($BO$13:$BO$4972)),""),ROWS($A$13:$A347))),INDEX($BQ$13:$BQ$212,SMALL(IF((County=$BR$13:$BR$212),MATCH(ROW($BR$13:$BR$212),ROW($BR$13:$BR$212)),""),ROWS($A$13:$A347)))),"")</f>
        <v/>
      </c>
      <c r="BY347" s="348" t="str">
        <f t="array" ref="BY347">IFERROR(IF($BY$11="Yes",INDEX($BT$13:$BT$2950,SMALL(IF((County=$BU$13:$BU$2950),MATCH(ROW($BU$13:$BU$2950),ROW($BU$13:$BU$2950)),""),ROWS($A$13:$A347))),""),"")</f>
        <v/>
      </c>
      <c r="CA347" s="2298">
        <v>34216</v>
      </c>
      <c r="CB347" s="345" t="s">
        <v>349</v>
      </c>
      <c r="CD347" s="237">
        <v>9.02</v>
      </c>
      <c r="CE347" s="237" t="s">
        <v>361</v>
      </c>
      <c r="CJ347" s="347">
        <v>19.11</v>
      </c>
      <c r="CK347" s="347" t="s">
        <v>344</v>
      </c>
      <c r="CL347" s="1789"/>
      <c r="CM347" s="2299"/>
      <c r="CN347" s="345"/>
      <c r="CR347" s="345"/>
      <c r="CS347" s="345"/>
      <c r="CX347" s="347"/>
      <c r="CY347" s="347"/>
      <c r="DA347" s="348"/>
      <c r="DC347" s="348"/>
      <c r="DE347" s="1792"/>
      <c r="DF347" s="345"/>
      <c r="DH347" s="237"/>
      <c r="DI347" s="237"/>
      <c r="DN347" s="347"/>
      <c r="DO347" s="347"/>
      <c r="DP347" s="2505"/>
      <c r="DT347" s="663"/>
      <c r="DU347" s="663"/>
      <c r="DV347" s="663"/>
      <c r="DW347" s="663"/>
      <c r="DX347" s="663"/>
      <c r="DY347" s="663"/>
      <c r="DZ347" s="663"/>
      <c r="EA347" s="663"/>
      <c r="EB347" s="663"/>
      <c r="EC347" s="663"/>
      <c r="ED347" s="663"/>
    </row>
    <row r="348" spans="1:134">
      <c r="A348" s="346">
        <v>34983</v>
      </c>
      <c r="B348" s="345" t="s">
        <v>371</v>
      </c>
      <c r="F348" s="345">
        <v>3.05</v>
      </c>
      <c r="G348" s="345" t="s">
        <v>352</v>
      </c>
      <c r="L348" s="347">
        <v>4511.01</v>
      </c>
      <c r="M348" s="347" t="s">
        <v>316</v>
      </c>
      <c r="S348" s="346">
        <v>34758</v>
      </c>
      <c r="T348" s="345" t="s">
        <v>360</v>
      </c>
      <c r="V348" s="345">
        <v>102.08</v>
      </c>
      <c r="W348" s="345" t="s">
        <v>352</v>
      </c>
      <c r="AB348" s="347">
        <v>25</v>
      </c>
      <c r="AC348" s="347" t="s">
        <v>306</v>
      </c>
      <c r="AD348" s="1138"/>
      <c r="AE348" s="346">
        <v>32082</v>
      </c>
      <c r="AF348" s="345" t="s">
        <v>370</v>
      </c>
      <c r="AJ348" s="345">
        <v>18.03</v>
      </c>
      <c r="AK348" s="345" t="s">
        <v>351</v>
      </c>
      <c r="AP348" s="347">
        <v>1103.1099999999999</v>
      </c>
      <c r="AQ348" s="347" t="s">
        <v>310</v>
      </c>
      <c r="AU348" s="348" t="str">
        <f t="array" ref="AU348">IFERROR(IF($AU$11="Yes",INDEX($AP$13:$AP$2950,SMALL(IF((County=$AQ$13:$AQ$2950),MATCH(ROW($AQ$13:$AQ$2950),ROW($AQ$13:$AQ$2950)),""),ROWS($A$13:$A348))),""),"")</f>
        <v/>
      </c>
      <c r="AW348" s="346">
        <v>34743</v>
      </c>
      <c r="AX348" s="345" t="s">
        <v>360</v>
      </c>
      <c r="AZ348" s="345">
        <v>63.04</v>
      </c>
      <c r="BA348" s="345" t="s">
        <v>352</v>
      </c>
      <c r="BF348" s="347">
        <v>19.100000000000001</v>
      </c>
      <c r="BG348" s="347" t="s">
        <v>349</v>
      </c>
      <c r="BH348" s="1790"/>
      <c r="BI348" s="2299">
        <v>34688</v>
      </c>
      <c r="BJ348" s="345" t="s">
        <v>363</v>
      </c>
      <c r="BN348" s="345">
        <v>204.16</v>
      </c>
      <c r="BO348" s="345" t="s">
        <v>310</v>
      </c>
      <c r="BT348" s="347">
        <v>1103.07</v>
      </c>
      <c r="BU348" s="347" t="s">
        <v>310</v>
      </c>
      <c r="BW348" s="348" t="str">
        <f t="array" ref="BW348">IFERROR(IF($BW$11="Metro",INDEX($BN$13:$BN$4972,SMALL(IF((County=$BO$13:$BO$4972),MATCH(ROW($BO$13:$BO$4972),ROW($BO$13:$BO$4972)),""),ROWS($A$13:$A348))),INDEX($BQ$13:$BQ$212,SMALL(IF((County=$BR$13:$BR$212),MATCH(ROW($BR$13:$BR$212),ROW($BR$13:$BR$212)),""),ROWS($A$13:$A348)))),"")</f>
        <v/>
      </c>
      <c r="BY348" s="348" t="str">
        <f t="array" ref="BY348">IFERROR(IF($BY$11="Yes",INDEX($BT$13:$BT$2950,SMALL(IF((County=$BU$13:$BU$2950),MATCH(ROW($BU$13:$BU$2950),ROW($BU$13:$BU$2950)),""),ROWS($A$13:$A348))),""),"")</f>
        <v/>
      </c>
      <c r="CA348" s="2298">
        <v>34217</v>
      </c>
      <c r="CB348" s="345" t="s">
        <v>349</v>
      </c>
      <c r="CD348" s="237">
        <v>9.0299999999999994</v>
      </c>
      <c r="CE348" s="237" t="s">
        <v>345</v>
      </c>
      <c r="CJ348" s="347">
        <v>19.11</v>
      </c>
      <c r="CK348" s="347" t="s">
        <v>349</v>
      </c>
      <c r="CL348" s="1789"/>
      <c r="CM348" s="2299"/>
      <c r="CN348" s="345"/>
      <c r="CR348" s="345"/>
      <c r="CS348" s="345"/>
      <c r="CX348" s="347"/>
      <c r="CY348" s="347"/>
      <c r="DA348" s="348"/>
      <c r="DC348" s="348"/>
      <c r="DE348" s="1792"/>
      <c r="DF348" s="345"/>
      <c r="DH348" s="237"/>
      <c r="DI348" s="237"/>
      <c r="DN348" s="347"/>
      <c r="DO348" s="347"/>
      <c r="DP348" s="2505"/>
      <c r="DT348" s="663"/>
      <c r="DU348" s="663"/>
      <c r="DV348" s="663"/>
      <c r="DW348" s="663"/>
      <c r="DX348" s="663"/>
      <c r="DY348" s="663"/>
      <c r="DZ348" s="663"/>
      <c r="EA348" s="663"/>
      <c r="EB348" s="663"/>
      <c r="EC348" s="663"/>
      <c r="ED348" s="663"/>
    </row>
    <row r="349" spans="1:134">
      <c r="A349" s="346">
        <v>34984</v>
      </c>
      <c r="B349" s="345" t="s">
        <v>371</v>
      </c>
      <c r="F349" s="345">
        <v>3.06</v>
      </c>
      <c r="G349" s="345" t="s">
        <v>352</v>
      </c>
      <c r="L349" s="347">
        <v>4516.01</v>
      </c>
      <c r="M349" s="347" t="s">
        <v>316</v>
      </c>
      <c r="S349" s="346">
        <v>34759</v>
      </c>
      <c r="T349" s="345" t="s">
        <v>365</v>
      </c>
      <c r="V349" s="345">
        <v>102.13</v>
      </c>
      <c r="W349" s="345" t="s">
        <v>337</v>
      </c>
      <c r="AB349" s="347">
        <v>25</v>
      </c>
      <c r="AC349" s="347" t="s">
        <v>325</v>
      </c>
      <c r="AD349" s="1138"/>
      <c r="AE349" s="346">
        <v>32092</v>
      </c>
      <c r="AF349" s="345" t="s">
        <v>370</v>
      </c>
      <c r="AJ349" s="345">
        <v>18.04</v>
      </c>
      <c r="AK349" s="345" t="s">
        <v>351</v>
      </c>
      <c r="AP349" s="347">
        <v>1103.19</v>
      </c>
      <c r="AQ349" s="347" t="s">
        <v>310</v>
      </c>
      <c r="AU349" s="348" t="str">
        <f t="array" ref="AU349">IFERROR(IF($AU$11="Yes",INDEX($AP$13:$AP$2950,SMALL(IF((County=$AQ$13:$AQ$2950),MATCH(ROW($AQ$13:$AQ$2950),ROW($AQ$13:$AQ$2950)),""),ROWS($A$13:$A349))),""),"")</f>
        <v/>
      </c>
      <c r="AW349" s="346">
        <v>34744</v>
      </c>
      <c r="AX349" s="345" t="s">
        <v>360</v>
      </c>
      <c r="AZ349" s="345">
        <v>64.02</v>
      </c>
      <c r="BA349" s="345" t="s">
        <v>352</v>
      </c>
      <c r="BF349" s="347">
        <v>19.11</v>
      </c>
      <c r="BG349" s="347" t="s">
        <v>349</v>
      </c>
      <c r="BH349" s="1790"/>
      <c r="BI349" s="2299">
        <v>34695</v>
      </c>
      <c r="BJ349" s="345" t="s">
        <v>363</v>
      </c>
      <c r="BN349" s="345">
        <v>204.17</v>
      </c>
      <c r="BO349" s="345" t="s">
        <v>310</v>
      </c>
      <c r="BT349" s="347">
        <v>1103.08</v>
      </c>
      <c r="BU349" s="347" t="s">
        <v>310</v>
      </c>
      <c r="BW349" s="348" t="str">
        <f t="array" ref="BW349">IFERROR(IF($BW$11="Metro",INDEX($BN$13:$BN$4972,SMALL(IF((County=$BO$13:$BO$4972),MATCH(ROW($BO$13:$BO$4972),ROW($BO$13:$BO$4972)),""),ROWS($A$13:$A349))),INDEX($BQ$13:$BQ$212,SMALL(IF((County=$BR$13:$BR$212),MATCH(ROW($BR$13:$BR$212),ROW($BR$13:$BR$212)),""),ROWS($A$13:$A349)))),"")</f>
        <v/>
      </c>
      <c r="BY349" s="348" t="str">
        <f t="array" ref="BY349">IFERROR(IF($BY$11="Yes",INDEX($BT$13:$BT$2950,SMALL(IF((County=$BU$13:$BU$2950),MATCH(ROW($BU$13:$BU$2950),ROW($BU$13:$BU$2950)),""),ROWS($A$13:$A349))),""),"")</f>
        <v/>
      </c>
      <c r="CA349" s="2298">
        <v>34219</v>
      </c>
      <c r="CB349" s="345" t="s">
        <v>349</v>
      </c>
      <c r="CD349" s="237">
        <v>9.0299999999999994</v>
      </c>
      <c r="CE349" s="237" t="s">
        <v>350</v>
      </c>
      <c r="CJ349" s="347">
        <v>19.13</v>
      </c>
      <c r="CK349" s="347" t="s">
        <v>349</v>
      </c>
      <c r="CL349" s="1789"/>
      <c r="CM349" s="2299"/>
      <c r="CN349" s="345"/>
      <c r="CR349" s="345"/>
      <c r="CS349" s="345"/>
      <c r="CX349" s="347"/>
      <c r="CY349" s="347"/>
      <c r="DA349" s="348"/>
      <c r="DC349" s="348"/>
      <c r="DE349" s="1792"/>
      <c r="DF349" s="345"/>
      <c r="DH349" s="237"/>
      <c r="DI349" s="237"/>
      <c r="DN349" s="347"/>
      <c r="DO349" s="347"/>
      <c r="DP349" s="2505"/>
      <c r="DT349" s="663"/>
      <c r="DU349" s="663"/>
      <c r="DV349" s="663"/>
      <c r="DW349" s="663"/>
      <c r="DX349" s="663"/>
      <c r="DY349" s="663"/>
      <c r="DZ349" s="663"/>
      <c r="EA349" s="663"/>
      <c r="EB349" s="663"/>
      <c r="EC349" s="663"/>
      <c r="ED349" s="663"/>
    </row>
    <row r="350" spans="1:134">
      <c r="A350" s="346">
        <v>34986</v>
      </c>
      <c r="B350" s="345" t="s">
        <v>371</v>
      </c>
      <c r="F350" s="345">
        <v>4.0199999999999996</v>
      </c>
      <c r="G350" s="345" t="s">
        <v>352</v>
      </c>
      <c r="L350" s="347">
        <v>4516.0200000000004</v>
      </c>
      <c r="M350" s="347" t="s">
        <v>316</v>
      </c>
      <c r="S350" s="346">
        <v>34761</v>
      </c>
      <c r="T350" s="345" t="s">
        <v>359</v>
      </c>
      <c r="V350" s="345">
        <v>103</v>
      </c>
      <c r="W350" s="345" t="s">
        <v>365</v>
      </c>
      <c r="AB350" s="347">
        <v>25.02</v>
      </c>
      <c r="AC350" s="347" t="s">
        <v>323</v>
      </c>
      <c r="AD350" s="1138"/>
      <c r="AE350" s="346">
        <v>32259</v>
      </c>
      <c r="AF350" s="345" t="s">
        <v>370</v>
      </c>
      <c r="AJ350" s="345">
        <v>1.0900000000000001</v>
      </c>
      <c r="AK350" s="345" t="s">
        <v>352</v>
      </c>
      <c r="AP350" s="347">
        <v>1103.21</v>
      </c>
      <c r="AQ350" s="347" t="s">
        <v>310</v>
      </c>
      <c r="AU350" s="348" t="str">
        <f t="array" ref="AU350">IFERROR(IF($AU$11="Yes",INDEX($AP$13:$AP$2950,SMALL(IF((County=$AQ$13:$AQ$2950),MATCH(ROW($AQ$13:$AQ$2950),ROW($AQ$13:$AQ$2950)),""),ROWS($A$13:$A350))),""),"")</f>
        <v/>
      </c>
      <c r="AW350" s="346">
        <v>34746</v>
      </c>
      <c r="AX350" s="345" t="s">
        <v>360</v>
      </c>
      <c r="AZ350" s="345">
        <v>64.03</v>
      </c>
      <c r="BA350" s="345" t="s">
        <v>352</v>
      </c>
      <c r="BF350" s="347">
        <v>19.12</v>
      </c>
      <c r="BG350" s="347" t="s">
        <v>344</v>
      </c>
      <c r="BH350" s="1790"/>
      <c r="BI350" s="2299">
        <v>34698</v>
      </c>
      <c r="BJ350" s="345" t="s">
        <v>363</v>
      </c>
      <c r="BN350" s="345">
        <v>204.18</v>
      </c>
      <c r="BO350" s="345" t="s">
        <v>310</v>
      </c>
      <c r="BT350" s="347">
        <v>1103.1099999999999</v>
      </c>
      <c r="BU350" s="347" t="s">
        <v>310</v>
      </c>
      <c r="BW350" s="348" t="str">
        <f t="array" ref="BW350">IFERROR(IF($BW$11="Metro",INDEX($BN$13:$BN$4972,SMALL(IF((County=$BO$13:$BO$4972),MATCH(ROW($BO$13:$BO$4972),ROW($BO$13:$BO$4972)),""),ROWS($A$13:$A350))),INDEX($BQ$13:$BQ$212,SMALL(IF((County=$BR$13:$BR$212),MATCH(ROW($BR$13:$BR$212),ROW($BR$13:$BR$212)),""),ROWS($A$13:$A350)))),"")</f>
        <v/>
      </c>
      <c r="BY350" s="348" t="str">
        <f t="array" ref="BY350">IFERROR(IF($BY$11="Yes",INDEX($BT$13:$BT$2950,SMALL(IF((County=$BU$13:$BU$2950),MATCH(ROW($BU$13:$BU$2950),ROW($BU$13:$BU$2950)),""),ROWS($A$13:$A350))),""),"")</f>
        <v/>
      </c>
      <c r="CA350" s="2298">
        <v>34228</v>
      </c>
      <c r="CB350" s="237" t="s">
        <v>368</v>
      </c>
      <c r="CD350" s="237">
        <v>9.0299999999999994</v>
      </c>
      <c r="CE350" s="237" t="s">
        <v>352</v>
      </c>
      <c r="CJ350" s="347">
        <v>19.14</v>
      </c>
      <c r="CK350" s="347" t="s">
        <v>349</v>
      </c>
      <c r="CL350" s="1789"/>
      <c r="CM350" s="2299"/>
      <c r="CN350" s="345"/>
      <c r="CR350" s="345"/>
      <c r="CS350" s="345"/>
      <c r="CX350" s="347"/>
      <c r="CY350" s="347"/>
      <c r="DA350" s="348"/>
      <c r="DC350" s="348"/>
      <c r="DE350" s="1792"/>
      <c r="DF350" s="345"/>
      <c r="DH350" s="237"/>
      <c r="DI350" s="237"/>
      <c r="DN350" s="347"/>
      <c r="DO350" s="347"/>
      <c r="DP350" s="2505"/>
      <c r="DT350" s="663"/>
      <c r="DU350" s="663"/>
      <c r="DV350" s="663"/>
      <c r="DW350" s="663"/>
      <c r="DX350" s="663"/>
      <c r="DY350" s="663"/>
      <c r="DZ350" s="663"/>
      <c r="EA350" s="663"/>
      <c r="EB350" s="663"/>
      <c r="EC350" s="663"/>
      <c r="ED350" s="663"/>
    </row>
    <row r="351" spans="1:134">
      <c r="A351" s="346">
        <v>34987</v>
      </c>
      <c r="B351" s="345" t="s">
        <v>371</v>
      </c>
      <c r="F351" s="345">
        <v>4.03</v>
      </c>
      <c r="G351" s="345" t="s">
        <v>352</v>
      </c>
      <c r="L351" s="347">
        <v>4517</v>
      </c>
      <c r="M351" s="347" t="s">
        <v>316</v>
      </c>
      <c r="S351" s="346">
        <v>34771</v>
      </c>
      <c r="T351" s="345" t="s">
        <v>360</v>
      </c>
      <c r="V351" s="345">
        <v>103.02</v>
      </c>
      <c r="W351" s="345" t="s">
        <v>315</v>
      </c>
      <c r="AB351" s="347">
        <v>25.02</v>
      </c>
      <c r="AC351" s="347" t="s">
        <v>350</v>
      </c>
      <c r="AD351" s="1138"/>
      <c r="AE351" s="346">
        <v>34952</v>
      </c>
      <c r="AF351" s="345" t="s">
        <v>371</v>
      </c>
      <c r="AJ351" s="345">
        <v>1.24</v>
      </c>
      <c r="AK351" s="345" t="s">
        <v>352</v>
      </c>
      <c r="AP351" s="347">
        <v>1103.23</v>
      </c>
      <c r="AQ351" s="347" t="s">
        <v>310</v>
      </c>
      <c r="AU351" s="348" t="str">
        <f t="array" ref="AU351">IFERROR(IF($AU$11="Yes",INDEX($AP$13:$AP$2950,SMALL(IF((County=$AQ$13:$AQ$2950),MATCH(ROW($AQ$13:$AQ$2950),ROW($AQ$13:$AQ$2950)),""),ROWS($A$13:$A351))),""),"")</f>
        <v/>
      </c>
      <c r="AW351" s="346">
        <v>34747</v>
      </c>
      <c r="AX351" s="345" t="s">
        <v>360</v>
      </c>
      <c r="AZ351" s="345">
        <v>68.02</v>
      </c>
      <c r="BA351" s="345" t="s">
        <v>361</v>
      </c>
      <c r="BF351" s="347">
        <v>19.13</v>
      </c>
      <c r="BG351" s="347" t="s">
        <v>344</v>
      </c>
      <c r="BH351" s="1790"/>
      <c r="BI351" s="2299">
        <v>33803</v>
      </c>
      <c r="BJ351" s="345" t="s">
        <v>365</v>
      </c>
      <c r="BN351" s="345">
        <v>204.19</v>
      </c>
      <c r="BO351" s="345" t="s">
        <v>310</v>
      </c>
      <c r="BT351" s="347">
        <v>1103.1300000000001</v>
      </c>
      <c r="BU351" s="347" t="s">
        <v>310</v>
      </c>
      <c r="BW351" s="348" t="str">
        <f t="array" ref="BW351">IFERROR(IF($BW$11="Metro",INDEX($BN$13:$BN$4972,SMALL(IF((County=$BO$13:$BO$4972),MATCH(ROW($BO$13:$BO$4972),ROW($BO$13:$BO$4972)),""),ROWS($A$13:$A351))),INDEX($BQ$13:$BQ$212,SMALL(IF((County=$BR$13:$BR$212),MATCH(ROW($BR$13:$BR$212),ROW($BR$13:$BR$212)),""),ROWS($A$13:$A351)))),"")</f>
        <v/>
      </c>
      <c r="BY351" s="348" t="str">
        <f t="array" ref="BY351">IFERROR(IF($BY$11="Yes",INDEX($BT$13:$BT$2950,SMALL(IF((County=$BU$13:$BU$2950),MATCH(ROW($BU$13:$BU$2950),ROW($BU$13:$BU$2950)),""),ROWS($A$13:$A351))),""),"")</f>
        <v/>
      </c>
      <c r="CA351" s="2298">
        <v>34232</v>
      </c>
      <c r="CB351" s="237" t="s">
        <v>368</v>
      </c>
      <c r="CD351" s="237">
        <v>9.0299999999999994</v>
      </c>
      <c r="CE351" s="237" t="s">
        <v>361</v>
      </c>
      <c r="CJ351" s="347">
        <v>19.149999999999999</v>
      </c>
      <c r="CK351" s="347" t="s">
        <v>344</v>
      </c>
      <c r="CL351" s="1789"/>
      <c r="CM351" s="2299"/>
      <c r="CN351" s="345"/>
      <c r="CR351" s="345"/>
      <c r="CS351" s="345"/>
      <c r="CX351" s="347"/>
      <c r="CY351" s="347"/>
      <c r="DA351" s="348"/>
      <c r="DC351" s="348"/>
      <c r="DE351" s="1792"/>
      <c r="DF351" s="345"/>
      <c r="DH351" s="237"/>
      <c r="DI351" s="237"/>
      <c r="DN351" s="347"/>
      <c r="DO351" s="347"/>
      <c r="DP351" s="2505"/>
      <c r="DT351" s="663"/>
      <c r="DU351" s="663"/>
      <c r="DV351" s="663"/>
      <c r="DW351" s="663"/>
      <c r="DX351" s="663"/>
      <c r="DY351" s="663"/>
      <c r="DZ351" s="663"/>
      <c r="EA351" s="663"/>
      <c r="EB351" s="663"/>
      <c r="EC351" s="663"/>
      <c r="ED351" s="663"/>
    </row>
    <row r="352" spans="1:134">
      <c r="A352" s="346">
        <v>32162</v>
      </c>
      <c r="B352" s="345" t="s">
        <v>372</v>
      </c>
      <c r="F352" s="345">
        <v>4.08</v>
      </c>
      <c r="G352" s="345" t="s">
        <v>352</v>
      </c>
      <c r="L352" s="347">
        <v>302.01</v>
      </c>
      <c r="M352" s="347" t="s">
        <v>317</v>
      </c>
      <c r="S352" s="346">
        <v>34772</v>
      </c>
      <c r="T352" s="345" t="s">
        <v>360</v>
      </c>
      <c r="V352" s="345">
        <v>103.03</v>
      </c>
      <c r="W352" s="345" t="s">
        <v>337</v>
      </c>
      <c r="AB352" s="347">
        <v>25.03</v>
      </c>
      <c r="AC352" s="347" t="s">
        <v>350</v>
      </c>
      <c r="AD352" s="1138"/>
      <c r="AE352" s="346">
        <v>34953</v>
      </c>
      <c r="AF352" s="345" t="s">
        <v>371</v>
      </c>
      <c r="AJ352" s="345">
        <v>1.26</v>
      </c>
      <c r="AK352" s="345" t="s">
        <v>352</v>
      </c>
      <c r="AP352" s="347">
        <v>1103.26</v>
      </c>
      <c r="AQ352" s="347" t="s">
        <v>310</v>
      </c>
      <c r="AU352" s="348" t="str">
        <f t="array" ref="AU352">IFERROR(IF($AU$11="Yes",INDEX($AP$13:$AP$2950,SMALL(IF((County=$AQ$13:$AQ$2950),MATCH(ROW($AQ$13:$AQ$2950),ROW($AQ$13:$AQ$2950)),""),ROWS($A$13:$A352))),""),"")</f>
        <v/>
      </c>
      <c r="AW352" s="346">
        <v>34758</v>
      </c>
      <c r="AX352" s="345" t="s">
        <v>360</v>
      </c>
      <c r="AZ352" s="345">
        <v>70.02</v>
      </c>
      <c r="BA352" s="345" t="s">
        <v>337</v>
      </c>
      <c r="BF352" s="347">
        <v>19.13</v>
      </c>
      <c r="BG352" s="347" t="s">
        <v>349</v>
      </c>
      <c r="BH352" s="1790"/>
      <c r="BI352" s="2299">
        <v>33810</v>
      </c>
      <c r="BJ352" s="345" t="s">
        <v>365</v>
      </c>
      <c r="BN352" s="345">
        <v>204.2</v>
      </c>
      <c r="BO352" s="345" t="s">
        <v>310</v>
      </c>
      <c r="BT352" s="347">
        <v>1103.19</v>
      </c>
      <c r="BU352" s="347" t="s">
        <v>310</v>
      </c>
      <c r="BW352" s="348" t="str">
        <f t="array" ref="BW352">IFERROR(IF($BW$11="Metro",INDEX($BN$13:$BN$4972,SMALL(IF((County=$BO$13:$BO$4972),MATCH(ROW($BO$13:$BO$4972),ROW($BO$13:$BO$4972)),""),ROWS($A$13:$A352))),INDEX($BQ$13:$BQ$212,SMALL(IF((County=$BR$13:$BR$212),MATCH(ROW($BR$13:$BR$212),ROW($BR$13:$BR$212)),""),ROWS($A$13:$A352)))),"")</f>
        <v/>
      </c>
      <c r="BY352" s="348" t="str">
        <f t="array" ref="BY352">IFERROR(IF($BY$11="Yes",INDEX($BT$13:$BT$2950,SMALL(IF((County=$BU$13:$BU$2950),MATCH(ROW($BU$13:$BU$2950),ROW($BU$13:$BU$2950)),""),ROWS($A$13:$A352))),""),"")</f>
        <v/>
      </c>
      <c r="CA352" s="2298">
        <v>34233</v>
      </c>
      <c r="CB352" s="237" t="s">
        <v>368</v>
      </c>
      <c r="CD352" s="237">
        <v>9.0399999999999991</v>
      </c>
      <c r="CE352" s="237" t="s">
        <v>345</v>
      </c>
      <c r="CJ352" s="347">
        <v>19.149999999999999</v>
      </c>
      <c r="CK352" s="347" t="s">
        <v>349</v>
      </c>
      <c r="CL352" s="1789"/>
      <c r="CM352" s="2299"/>
      <c r="CN352" s="345"/>
      <c r="CR352" s="345"/>
      <c r="CS352" s="345"/>
      <c r="CX352" s="347"/>
      <c r="CY352" s="347"/>
      <c r="DA352" s="348"/>
      <c r="DC352" s="348"/>
      <c r="DE352" s="1792"/>
      <c r="DF352" s="345"/>
      <c r="DH352" s="237"/>
      <c r="DI352" s="237"/>
      <c r="DN352" s="347"/>
      <c r="DO352" s="347"/>
      <c r="DP352" s="2505"/>
      <c r="DT352" s="663"/>
      <c r="DU352" s="663"/>
      <c r="DV352" s="663"/>
      <c r="DW352" s="663"/>
      <c r="DX352" s="663"/>
      <c r="DY352" s="663"/>
      <c r="DZ352" s="663"/>
      <c r="EA352" s="663"/>
      <c r="EB352" s="663"/>
      <c r="EC352" s="663"/>
      <c r="ED352" s="663"/>
    </row>
    <row r="353" spans="1:134">
      <c r="A353" s="346">
        <v>32124</v>
      </c>
      <c r="B353" s="345" t="s">
        <v>376</v>
      </c>
      <c r="F353" s="345">
        <v>4.1100000000000003</v>
      </c>
      <c r="G353" s="345" t="s">
        <v>352</v>
      </c>
      <c r="L353" s="347">
        <v>302.02</v>
      </c>
      <c r="M353" s="347" t="s">
        <v>317</v>
      </c>
      <c r="S353" s="346">
        <v>34786</v>
      </c>
      <c r="T353" s="345" t="s">
        <v>359</v>
      </c>
      <c r="V353" s="345">
        <v>103.07</v>
      </c>
      <c r="W353" s="345" t="s">
        <v>310</v>
      </c>
      <c r="AB353" s="347">
        <v>25.05</v>
      </c>
      <c r="AC353" s="347" t="s">
        <v>345</v>
      </c>
      <c r="AD353" s="1138"/>
      <c r="AE353" s="346">
        <v>34983</v>
      </c>
      <c r="AF353" s="345" t="s">
        <v>371</v>
      </c>
      <c r="AJ353" s="345">
        <v>2.06</v>
      </c>
      <c r="AK353" s="345" t="s">
        <v>352</v>
      </c>
      <c r="AP353" s="347">
        <v>1103.27</v>
      </c>
      <c r="AQ353" s="347" t="s">
        <v>310</v>
      </c>
      <c r="AU353" s="348" t="str">
        <f t="array" ref="AU353">IFERROR(IF($AU$11="Yes",INDEX($AP$13:$AP$2950,SMALL(IF((County=$AQ$13:$AQ$2950),MATCH(ROW($AQ$13:$AQ$2950),ROW($AQ$13:$AQ$2950)),""),ROWS($A$13:$A353))),""),"")</f>
        <v/>
      </c>
      <c r="AW353" s="346">
        <v>34759</v>
      </c>
      <c r="AX353" s="345" t="s">
        <v>365</v>
      </c>
      <c r="AZ353" s="345">
        <v>70.05</v>
      </c>
      <c r="BA353" s="345" t="s">
        <v>352</v>
      </c>
      <c r="BF353" s="347">
        <v>19.14</v>
      </c>
      <c r="BG353" s="347" t="s">
        <v>349</v>
      </c>
      <c r="BH353" s="1790"/>
      <c r="BI353" s="2299">
        <v>33812</v>
      </c>
      <c r="BJ353" s="345" t="s">
        <v>365</v>
      </c>
      <c r="BN353" s="345">
        <v>204.21</v>
      </c>
      <c r="BO353" s="345" t="s">
        <v>310</v>
      </c>
      <c r="BT353" s="347">
        <v>1103.21</v>
      </c>
      <c r="BU353" s="347" t="s">
        <v>310</v>
      </c>
      <c r="BW353" s="348" t="str">
        <f t="array" ref="BW353">IFERROR(IF($BW$11="Metro",INDEX($BN$13:$BN$4972,SMALL(IF((County=$BO$13:$BO$4972),MATCH(ROW($BO$13:$BO$4972),ROW($BO$13:$BO$4972)),""),ROWS($A$13:$A353))),INDEX($BQ$13:$BQ$212,SMALL(IF((County=$BR$13:$BR$212),MATCH(ROW($BR$13:$BR$212),ROW($BR$13:$BR$212)),""),ROWS($A$13:$A353)))),"")</f>
        <v/>
      </c>
      <c r="BY353" s="348" t="str">
        <f t="array" ref="BY353">IFERROR(IF($BY$11="Yes",INDEX($BT$13:$BT$2950,SMALL(IF((County=$BU$13:$BU$2950),MATCH(ROW($BU$13:$BU$2950),ROW($BU$13:$BU$2950)),""),ROWS($A$13:$A353))),""),"")</f>
        <v/>
      </c>
      <c r="CA353" s="2298">
        <v>34235</v>
      </c>
      <c r="CB353" s="237" t="s">
        <v>368</v>
      </c>
      <c r="CD353" s="237">
        <v>9.0399999999999991</v>
      </c>
      <c r="CE353" s="237" t="s">
        <v>350</v>
      </c>
      <c r="CJ353" s="347">
        <v>19.16</v>
      </c>
      <c r="CK353" s="347" t="s">
        <v>344</v>
      </c>
      <c r="CL353" s="1789"/>
      <c r="CM353" s="2299"/>
      <c r="CN353" s="345"/>
      <c r="CR353" s="345"/>
      <c r="CS353" s="345"/>
      <c r="CX353" s="347"/>
      <c r="CY353" s="347"/>
      <c r="DA353" s="348"/>
      <c r="DC353" s="348"/>
      <c r="DE353" s="1792"/>
      <c r="DF353" s="345"/>
      <c r="DH353" s="237"/>
      <c r="DI353" s="237"/>
      <c r="DN353" s="347"/>
      <c r="DO353" s="347"/>
      <c r="DP353" s="2505"/>
      <c r="DT353" s="663"/>
      <c r="DU353" s="663"/>
      <c r="DV353" s="663"/>
      <c r="DW353" s="663"/>
      <c r="DX353" s="663"/>
      <c r="DY353" s="663"/>
      <c r="DZ353" s="663"/>
      <c r="EA353" s="663"/>
      <c r="EB353" s="663"/>
      <c r="EC353" s="663"/>
      <c r="ED353" s="663"/>
    </row>
    <row r="354" spans="1:134">
      <c r="A354" s="346">
        <v>32128</v>
      </c>
      <c r="B354" s="345" t="s">
        <v>376</v>
      </c>
      <c r="F354" s="345">
        <v>4.12</v>
      </c>
      <c r="G354" s="345" t="s">
        <v>352</v>
      </c>
      <c r="L354" s="347">
        <v>302.02999999999997</v>
      </c>
      <c r="M354" s="347" t="s">
        <v>317</v>
      </c>
      <c r="S354" s="346">
        <v>34952</v>
      </c>
      <c r="T354" s="345" t="s">
        <v>371</v>
      </c>
      <c r="V354" s="345">
        <v>104</v>
      </c>
      <c r="W354" s="345" t="s">
        <v>359</v>
      </c>
      <c r="AB354" s="347">
        <v>25.05</v>
      </c>
      <c r="AC354" s="347" t="s">
        <v>368</v>
      </c>
      <c r="AD354" s="1138"/>
      <c r="AE354" s="346">
        <v>34984</v>
      </c>
      <c r="AF354" s="345" t="s">
        <v>371</v>
      </c>
      <c r="AJ354" s="345">
        <v>2.12</v>
      </c>
      <c r="AK354" s="345" t="s">
        <v>352</v>
      </c>
      <c r="AP354" s="347">
        <v>1103.28</v>
      </c>
      <c r="AQ354" s="347" t="s">
        <v>310</v>
      </c>
      <c r="AU354" s="348" t="str">
        <f t="array" ref="AU354">IFERROR(IF($AU$11="Yes",INDEX($AP$13:$AP$2950,SMALL(IF((County=$AQ$13:$AQ$2950),MATCH(ROW($AQ$13:$AQ$2950),ROW($AQ$13:$AQ$2950)),""),ROWS($A$13:$A354))),""),"")</f>
        <v/>
      </c>
      <c r="AW354" s="346">
        <v>34760</v>
      </c>
      <c r="AX354" s="345" t="s">
        <v>359</v>
      </c>
      <c r="AZ354" s="345">
        <v>70.06</v>
      </c>
      <c r="BA354" s="345" t="s">
        <v>352</v>
      </c>
      <c r="BF354" s="347">
        <v>19.149999999999999</v>
      </c>
      <c r="BG354" s="347" t="s">
        <v>349</v>
      </c>
      <c r="BH354" s="1790"/>
      <c r="BI354" s="2299">
        <v>33813</v>
      </c>
      <c r="BJ354" s="345" t="s">
        <v>365</v>
      </c>
      <c r="BN354" s="345">
        <v>205.01</v>
      </c>
      <c r="BO354" s="345" t="s">
        <v>310</v>
      </c>
      <c r="BT354" s="347">
        <v>1103.26</v>
      </c>
      <c r="BU354" s="347" t="s">
        <v>310</v>
      </c>
      <c r="BW354" s="348" t="str">
        <f t="array" ref="BW354">IFERROR(IF($BW$11="Metro",INDEX($BN$13:$BN$4972,SMALL(IF((County=$BO$13:$BO$4972),MATCH(ROW($BO$13:$BO$4972),ROW($BO$13:$BO$4972)),""),ROWS($A$13:$A354))),INDEX($BQ$13:$BQ$212,SMALL(IF((County=$BR$13:$BR$212),MATCH(ROW($BR$13:$BR$212),ROW($BR$13:$BR$212)),""),ROWS($A$13:$A354)))),"")</f>
        <v/>
      </c>
      <c r="BY354" s="348" t="str">
        <f t="array" ref="BY354">IFERROR(IF($BY$11="Yes",INDEX($BT$13:$BT$2950,SMALL(IF((County=$BU$13:$BU$2950),MATCH(ROW($BU$13:$BU$2950),ROW($BU$13:$BU$2950)),""),ROWS($A$13:$A354))),""),"")</f>
        <v/>
      </c>
      <c r="CA354" s="2298">
        <v>34238</v>
      </c>
      <c r="CB354" s="237" t="s">
        <v>368</v>
      </c>
      <c r="CD354" s="237">
        <v>9.0399999999999991</v>
      </c>
      <c r="CE354" s="237" t="s">
        <v>352</v>
      </c>
      <c r="CJ354" s="347">
        <v>19.16</v>
      </c>
      <c r="CK354" s="347" t="s">
        <v>349</v>
      </c>
      <c r="CL354" s="1789"/>
      <c r="CM354" s="2299"/>
      <c r="CN354" s="345"/>
      <c r="CR354" s="345"/>
      <c r="CS354" s="345"/>
      <c r="CX354" s="347"/>
      <c r="CY354" s="347"/>
      <c r="DA354" s="348"/>
      <c r="DC354" s="348"/>
      <c r="DE354" s="1792"/>
      <c r="DF354" s="345"/>
      <c r="DH354" s="237"/>
      <c r="DI354" s="237"/>
      <c r="DN354" s="347"/>
      <c r="DO354" s="347"/>
      <c r="DP354" s="2505"/>
      <c r="DT354" s="663"/>
      <c r="DU354" s="663"/>
      <c r="DV354" s="663"/>
      <c r="DW354" s="663"/>
      <c r="DX354" s="663"/>
      <c r="DY354" s="663"/>
      <c r="DZ354" s="663"/>
      <c r="EA354" s="663"/>
      <c r="EB354" s="663"/>
      <c r="EC354" s="663"/>
      <c r="ED354" s="663"/>
    </row>
    <row r="355" spans="1:134">
      <c r="A355" s="346">
        <v>32129</v>
      </c>
      <c r="B355" s="345" t="s">
        <v>376</v>
      </c>
      <c r="F355" s="345">
        <v>4.1399999999999997</v>
      </c>
      <c r="G355" s="345" t="s">
        <v>352</v>
      </c>
      <c r="L355" s="347">
        <v>303.01</v>
      </c>
      <c r="M355" s="347" t="s">
        <v>317</v>
      </c>
      <c r="S355" s="346">
        <v>34953</v>
      </c>
      <c r="T355" s="345" t="s">
        <v>371</v>
      </c>
      <c r="V355" s="345">
        <v>104.02</v>
      </c>
      <c r="W355" s="345" t="s">
        <v>323</v>
      </c>
      <c r="AB355" s="347">
        <v>25.07</v>
      </c>
      <c r="AC355" s="347" t="s">
        <v>345</v>
      </c>
      <c r="AD355" s="1138"/>
      <c r="AE355" s="346">
        <v>34986</v>
      </c>
      <c r="AF355" s="345" t="s">
        <v>371</v>
      </c>
      <c r="AJ355" s="345">
        <v>2.1800000000000002</v>
      </c>
      <c r="AK355" s="345" t="s">
        <v>352</v>
      </c>
      <c r="AP355" s="347">
        <v>1103.3</v>
      </c>
      <c r="AQ355" s="347" t="s">
        <v>310</v>
      </c>
      <c r="AU355" s="348" t="str">
        <f t="array" ref="AU355">IFERROR(IF($AU$11="Yes",INDEX($AP$13:$AP$2950,SMALL(IF((County=$AQ$13:$AQ$2950),MATCH(ROW($AQ$13:$AQ$2950),ROW($AQ$13:$AQ$2950)),""),ROWS($A$13:$A355))),""),"")</f>
        <v/>
      </c>
      <c r="AW355" s="346">
        <v>34761</v>
      </c>
      <c r="AX355" s="345" t="s">
        <v>359</v>
      </c>
      <c r="AZ355" s="345">
        <v>70.069999999999993</v>
      </c>
      <c r="BA355" s="345" t="s">
        <v>352</v>
      </c>
      <c r="BF355" s="347">
        <v>19.16</v>
      </c>
      <c r="BG355" s="347" t="s">
        <v>349</v>
      </c>
      <c r="BH355" s="1790"/>
      <c r="BI355" s="2299">
        <v>33827</v>
      </c>
      <c r="BJ355" s="345" t="s">
        <v>365</v>
      </c>
      <c r="BN355" s="345">
        <v>205.02</v>
      </c>
      <c r="BO355" s="345" t="s">
        <v>310</v>
      </c>
      <c r="BT355" s="347">
        <v>1103.27</v>
      </c>
      <c r="BU355" s="347" t="s">
        <v>310</v>
      </c>
      <c r="BW355" s="348" t="str">
        <f t="array" ref="BW355">IFERROR(IF($BW$11="Metro",INDEX($BN$13:$BN$4972,SMALL(IF((County=$BO$13:$BO$4972),MATCH(ROW($BO$13:$BO$4972),ROW($BO$13:$BO$4972)),""),ROWS($A$13:$A355))),INDEX($BQ$13:$BQ$212,SMALL(IF((County=$BR$13:$BR$212),MATCH(ROW($BR$13:$BR$212),ROW($BR$13:$BR$212)),""),ROWS($A$13:$A355)))),"")</f>
        <v/>
      </c>
      <c r="BY355" s="348" t="str">
        <f t="array" ref="BY355">IFERROR(IF($BY$11="Yes",INDEX($BT$13:$BT$2950,SMALL(IF((County=$BU$13:$BU$2950),MATCH(ROW($BU$13:$BU$2950),ROW($BU$13:$BU$2950)),""),ROWS($A$13:$A355))),""),"")</f>
        <v/>
      </c>
      <c r="CA355" s="2298">
        <v>34239</v>
      </c>
      <c r="CB355" s="237" t="s">
        <v>368</v>
      </c>
      <c r="CD355" s="237">
        <v>9.0399999999999991</v>
      </c>
      <c r="CE355" s="237" t="s">
        <v>361</v>
      </c>
      <c r="CJ355" s="347">
        <v>19.16</v>
      </c>
      <c r="CK355" s="347" t="s">
        <v>361</v>
      </c>
      <c r="CL355" s="1789"/>
      <c r="CM355" s="2299"/>
      <c r="CN355" s="345"/>
      <c r="CR355" s="345"/>
      <c r="CS355" s="345"/>
      <c r="CX355" s="347"/>
      <c r="CY355" s="347"/>
      <c r="DA355" s="348"/>
      <c r="DC355" s="348"/>
      <c r="DE355" s="1792"/>
      <c r="DF355" s="345"/>
      <c r="DH355" s="237"/>
      <c r="DI355" s="237"/>
      <c r="DN355" s="347"/>
      <c r="DO355" s="347"/>
      <c r="DP355" s="2505"/>
      <c r="DT355" s="663"/>
      <c r="DU355" s="663"/>
      <c r="DV355" s="663"/>
      <c r="DW355" s="663"/>
      <c r="DX355" s="663"/>
      <c r="DY355" s="663"/>
      <c r="DZ355" s="663"/>
      <c r="EA355" s="663"/>
      <c r="EB355" s="663"/>
      <c r="EC355" s="663"/>
      <c r="ED355" s="663"/>
    </row>
    <row r="356" spans="1:134">
      <c r="A356" s="346">
        <v>32169</v>
      </c>
      <c r="B356" s="345" t="s">
        <v>376</v>
      </c>
      <c r="F356" s="345">
        <v>5.01</v>
      </c>
      <c r="G356" s="345" t="s">
        <v>352</v>
      </c>
      <c r="L356" s="347">
        <v>303.02999999999997</v>
      </c>
      <c r="M356" s="347" t="s">
        <v>317</v>
      </c>
      <c r="S356" s="346">
        <v>34983</v>
      </c>
      <c r="T356" s="345" t="s">
        <v>371</v>
      </c>
      <c r="V356" s="345">
        <v>104.1</v>
      </c>
      <c r="W356" s="345" t="s">
        <v>318</v>
      </c>
      <c r="AB356" s="347">
        <v>25.07</v>
      </c>
      <c r="AC356" s="347" t="s">
        <v>368</v>
      </c>
      <c r="AD356" s="1138"/>
      <c r="AE356" s="346">
        <v>34987</v>
      </c>
      <c r="AF356" s="345" t="s">
        <v>371</v>
      </c>
      <c r="AJ356" s="345">
        <v>2.19</v>
      </c>
      <c r="AK356" s="345" t="s">
        <v>352</v>
      </c>
      <c r="AP356" s="347">
        <v>1103.32</v>
      </c>
      <c r="AQ356" s="347" t="s">
        <v>310</v>
      </c>
      <c r="AU356" s="348" t="str">
        <f t="array" ref="AU356">IFERROR(IF($AU$11="Yes",INDEX($AP$13:$AP$2950,SMALL(IF((County=$AQ$13:$AQ$2950),MATCH(ROW($AQ$13:$AQ$2950),ROW($AQ$13:$AQ$2950)),""),ROWS($A$13:$A356))),""),"")</f>
        <v/>
      </c>
      <c r="AW356" s="346">
        <v>34772</v>
      </c>
      <c r="AX356" s="345" t="s">
        <v>360</v>
      </c>
      <c r="AZ356" s="345">
        <v>72</v>
      </c>
      <c r="BA356" s="345" t="s">
        <v>352</v>
      </c>
      <c r="BF356" s="347">
        <v>19.18</v>
      </c>
      <c r="BG356" s="347" t="s">
        <v>344</v>
      </c>
      <c r="BH356" s="1790"/>
      <c r="BI356" s="2299">
        <v>33837</v>
      </c>
      <c r="BJ356" s="345" t="s">
        <v>365</v>
      </c>
      <c r="BN356" s="345">
        <v>301</v>
      </c>
      <c r="BO356" s="345" t="s">
        <v>310</v>
      </c>
      <c r="BT356" s="347">
        <v>1103.28</v>
      </c>
      <c r="BU356" s="347" t="s">
        <v>310</v>
      </c>
      <c r="BW356" s="348" t="str">
        <f t="array" ref="BW356">IFERROR(IF($BW$11="Metro",INDEX($BN$13:$BN$4972,SMALL(IF((County=$BO$13:$BO$4972),MATCH(ROW($BO$13:$BO$4972),ROW($BO$13:$BO$4972)),""),ROWS($A$13:$A356))),INDEX($BQ$13:$BQ$212,SMALL(IF((County=$BR$13:$BR$212),MATCH(ROW($BR$13:$BR$212),ROW($BR$13:$BR$212)),""),ROWS($A$13:$A356)))),"")</f>
        <v/>
      </c>
      <c r="BY356" s="348" t="str">
        <f t="array" ref="BY356">IFERROR(IF($BY$11="Yes",INDEX($BT$13:$BT$2950,SMALL(IF((County=$BU$13:$BU$2950),MATCH(ROW($BU$13:$BU$2950),ROW($BU$13:$BU$2950)),""),ROWS($A$13:$A356))),""),"")</f>
        <v/>
      </c>
      <c r="CA356" s="2298">
        <v>34240</v>
      </c>
      <c r="CB356" s="237" t="s">
        <v>368</v>
      </c>
      <c r="CD356" s="237">
        <v>9.0500000000000007</v>
      </c>
      <c r="CE356" s="237" t="s">
        <v>345</v>
      </c>
      <c r="CJ356" s="347">
        <v>19.18</v>
      </c>
      <c r="CK356" s="347" t="s">
        <v>361</v>
      </c>
      <c r="CL356" s="1789"/>
      <c r="CM356" s="2299"/>
      <c r="CN356" s="345"/>
      <c r="CR356" s="345"/>
      <c r="CS356" s="345"/>
      <c r="CX356" s="347"/>
      <c r="CY356" s="347"/>
      <c r="DA356" s="348"/>
      <c r="DC356" s="348"/>
      <c r="DE356" s="1792"/>
      <c r="DF356" s="345"/>
      <c r="DH356" s="237"/>
      <c r="DI356" s="237"/>
      <c r="DN356" s="347"/>
      <c r="DO356" s="347"/>
      <c r="DP356" s="2505"/>
      <c r="DT356" s="663"/>
      <c r="DU356" s="663"/>
      <c r="DV356" s="663"/>
      <c r="DW356" s="663"/>
      <c r="DX356" s="663"/>
      <c r="DY356" s="663"/>
      <c r="DZ356" s="663"/>
      <c r="EA356" s="663"/>
      <c r="EB356" s="663"/>
      <c r="EC356" s="663"/>
      <c r="ED356" s="663"/>
    </row>
    <row r="357" spans="1:134">
      <c r="A357" s="346">
        <v>32176</v>
      </c>
      <c r="B357" s="345" t="s">
        <v>376</v>
      </c>
      <c r="F357" s="345">
        <v>5.03</v>
      </c>
      <c r="G357" s="345" t="s">
        <v>352</v>
      </c>
      <c r="L357" s="347">
        <v>307.01</v>
      </c>
      <c r="M357" s="347" t="s">
        <v>317</v>
      </c>
      <c r="S357" s="346">
        <v>34984</v>
      </c>
      <c r="T357" s="345" t="s">
        <v>371</v>
      </c>
      <c r="V357" s="345">
        <v>104.2</v>
      </c>
      <c r="W357" s="345" t="s">
        <v>318</v>
      </c>
      <c r="AB357" s="347">
        <v>25.08</v>
      </c>
      <c r="AC357" s="347" t="s">
        <v>345</v>
      </c>
      <c r="AD357" s="1138"/>
      <c r="AE357" s="346">
        <v>32162</v>
      </c>
      <c r="AF357" s="345" t="s">
        <v>372</v>
      </c>
      <c r="AJ357" s="345">
        <v>2.2000000000000002</v>
      </c>
      <c r="AK357" s="345" t="s">
        <v>352</v>
      </c>
      <c r="AP357" s="347">
        <v>1103.33</v>
      </c>
      <c r="AQ357" s="347" t="s">
        <v>310</v>
      </c>
      <c r="AU357" s="348" t="str">
        <f t="array" ref="AU357">IFERROR(IF($AU$11="Yes",INDEX($AP$13:$AP$2950,SMALL(IF((County=$AQ$13:$AQ$2950),MATCH(ROW($AQ$13:$AQ$2950),ROW($AQ$13:$AQ$2950)),""),ROWS($A$13:$A357))),""),"")</f>
        <v/>
      </c>
      <c r="AW357" s="346">
        <v>34773</v>
      </c>
      <c r="AX357" s="345" t="s">
        <v>360</v>
      </c>
      <c r="AZ357" s="345">
        <v>76.03</v>
      </c>
      <c r="BA357" s="345" t="s">
        <v>352</v>
      </c>
      <c r="BF357" s="347">
        <v>19.18</v>
      </c>
      <c r="BG357" s="347" t="s">
        <v>361</v>
      </c>
      <c r="BH357" s="1790"/>
      <c r="BI357" s="2299">
        <v>33884</v>
      </c>
      <c r="BJ357" s="345" t="s">
        <v>365</v>
      </c>
      <c r="BN357" s="345">
        <v>302.01</v>
      </c>
      <c r="BO357" s="345" t="s">
        <v>310</v>
      </c>
      <c r="BT357" s="347">
        <v>1103.3</v>
      </c>
      <c r="BU357" s="347" t="s">
        <v>310</v>
      </c>
      <c r="BW357" s="348" t="str">
        <f t="array" ref="BW357">IFERROR(IF($BW$11="Metro",INDEX($BN$13:$BN$4972,SMALL(IF((County=$BO$13:$BO$4972),MATCH(ROW($BO$13:$BO$4972),ROW($BO$13:$BO$4972)),""),ROWS($A$13:$A357))),INDEX($BQ$13:$BQ$212,SMALL(IF((County=$BR$13:$BR$212),MATCH(ROW($BR$13:$BR$212),ROW($BR$13:$BR$212)),""),ROWS($A$13:$A357)))),"")</f>
        <v/>
      </c>
      <c r="BY357" s="348" t="str">
        <f t="array" ref="BY357">IFERROR(IF($BY$11="Yes",INDEX($BT$13:$BT$2950,SMALL(IF((County=$BU$13:$BU$2950),MATCH(ROW($BU$13:$BU$2950),ROW($BU$13:$BU$2950)),""),ROWS($A$13:$A357))),""),"")</f>
        <v/>
      </c>
      <c r="CA357" s="2298">
        <v>34241</v>
      </c>
      <c r="CB357" s="237" t="s">
        <v>368</v>
      </c>
      <c r="CD357" s="237">
        <v>9.0500000000000007</v>
      </c>
      <c r="CE357" s="237" t="s">
        <v>352</v>
      </c>
      <c r="CJ357" s="347">
        <v>19.190000000000001</v>
      </c>
      <c r="CK357" s="347" t="s">
        <v>344</v>
      </c>
      <c r="CL357" s="1789"/>
      <c r="CM357" s="2299"/>
      <c r="CN357" s="345"/>
      <c r="CR357" s="345"/>
      <c r="CS357" s="345"/>
      <c r="CX357" s="347"/>
      <c r="CY357" s="347"/>
      <c r="DA357" s="348"/>
      <c r="DC357" s="348"/>
      <c r="DE357" s="1792"/>
      <c r="DF357" s="345"/>
      <c r="DH357" s="237"/>
      <c r="DI357" s="237"/>
      <c r="DN357" s="347"/>
      <c r="DO357" s="347"/>
      <c r="DP357" s="2505"/>
      <c r="DT357" s="663"/>
      <c r="DU357" s="663"/>
      <c r="DV357" s="663"/>
      <c r="DW357" s="663"/>
      <c r="DX357" s="663"/>
      <c r="DY357" s="663"/>
      <c r="DZ357" s="663"/>
      <c r="EA357" s="663"/>
      <c r="EB357" s="663"/>
      <c r="EC357" s="663"/>
      <c r="ED357" s="663"/>
    </row>
    <row r="358" spans="1:134">
      <c r="A358" s="346">
        <v>32725</v>
      </c>
      <c r="B358" s="345" t="s">
        <v>376</v>
      </c>
      <c r="F358" s="345">
        <v>5.04</v>
      </c>
      <c r="G358" s="345" t="s">
        <v>352</v>
      </c>
      <c r="L358" s="347">
        <v>307.02</v>
      </c>
      <c r="M358" s="347" t="s">
        <v>317</v>
      </c>
      <c r="S358" s="346">
        <v>34986</v>
      </c>
      <c r="T358" s="345" t="s">
        <v>371</v>
      </c>
      <c r="V358" s="345">
        <v>105</v>
      </c>
      <c r="W358" s="345" t="s">
        <v>359</v>
      </c>
      <c r="AB358" s="347">
        <v>25.09</v>
      </c>
      <c r="AC358" s="347" t="s">
        <v>345</v>
      </c>
      <c r="AD358" s="1138"/>
      <c r="AE358" s="346">
        <v>32124</v>
      </c>
      <c r="AF358" s="345" t="s">
        <v>376</v>
      </c>
      <c r="AJ358" s="345">
        <v>2.2200000000000002</v>
      </c>
      <c r="AK358" s="345" t="s">
        <v>352</v>
      </c>
      <c r="AP358" s="347">
        <v>1103.3699999999999</v>
      </c>
      <c r="AQ358" s="347" t="s">
        <v>310</v>
      </c>
      <c r="AU358" s="348" t="str">
        <f t="array" ref="AU358">IFERROR(IF($AU$11="Yes",INDEX($AP$13:$AP$2950,SMALL(IF((County=$AQ$13:$AQ$2950),MATCH(ROW($AQ$13:$AQ$2950),ROW($AQ$13:$AQ$2950)),""),ROWS($A$13:$A358))),""),"")</f>
        <v/>
      </c>
      <c r="AW358" s="346">
        <v>34786</v>
      </c>
      <c r="AX358" s="345" t="s">
        <v>359</v>
      </c>
      <c r="AZ358" s="345">
        <v>76.19</v>
      </c>
      <c r="BA358" s="345" t="s">
        <v>361</v>
      </c>
      <c r="BF358" s="347">
        <v>19.190000000000001</v>
      </c>
      <c r="BG358" s="347" t="s">
        <v>344</v>
      </c>
      <c r="BH358" s="1790"/>
      <c r="BI358" s="2299">
        <v>33896</v>
      </c>
      <c r="BJ358" s="345" t="s">
        <v>365</v>
      </c>
      <c r="BN358" s="345">
        <v>302.02</v>
      </c>
      <c r="BO358" s="345" t="s">
        <v>310</v>
      </c>
      <c r="BT358" s="347">
        <v>1103.32</v>
      </c>
      <c r="BU358" s="347" t="s">
        <v>310</v>
      </c>
      <c r="BW358" s="348" t="str">
        <f t="array" ref="BW358">IFERROR(IF($BW$11="Metro",INDEX($BN$13:$BN$4972,SMALL(IF((County=$BO$13:$BO$4972),MATCH(ROW($BO$13:$BO$4972),ROW($BO$13:$BO$4972)),""),ROWS($A$13:$A358))),INDEX($BQ$13:$BQ$212,SMALL(IF((County=$BR$13:$BR$212),MATCH(ROW($BR$13:$BR$212),ROW($BR$13:$BR$212)),""),ROWS($A$13:$A358)))),"")</f>
        <v/>
      </c>
      <c r="BY358" s="348" t="str">
        <f t="array" ref="BY358">IFERROR(IF($BY$11="Yes",INDEX($BT$13:$BT$2950,SMALL(IF((County=$BU$13:$BU$2950),MATCH(ROW($BU$13:$BU$2950),ROW($BU$13:$BU$2950)),""),ROWS($A$13:$A358))),""),"")</f>
        <v/>
      </c>
      <c r="CA358" s="2298">
        <v>34242</v>
      </c>
      <c r="CB358" s="237" t="s">
        <v>368</v>
      </c>
      <c r="CD358" s="237">
        <v>9.0500000000000007</v>
      </c>
      <c r="CE358" s="237" t="s">
        <v>361</v>
      </c>
      <c r="CJ358" s="347">
        <v>19.190000000000001</v>
      </c>
      <c r="CK358" s="347" t="s">
        <v>361</v>
      </c>
      <c r="CL358" s="1789"/>
      <c r="CM358" s="2299"/>
      <c r="CN358" s="345"/>
      <c r="CR358" s="345"/>
      <c r="CS358" s="345"/>
      <c r="CX358" s="347"/>
      <c r="CY358" s="347"/>
      <c r="DA358" s="348"/>
      <c r="DC358" s="348"/>
      <c r="DE358" s="1792"/>
      <c r="DF358" s="345"/>
      <c r="DH358" s="237"/>
      <c r="DI358" s="237"/>
      <c r="DN358" s="347"/>
      <c r="DO358" s="347"/>
      <c r="DP358" s="2505"/>
      <c r="DT358" s="663"/>
      <c r="DU358" s="663"/>
      <c r="DV358" s="663"/>
      <c r="DW358" s="663"/>
      <c r="DX358" s="663"/>
      <c r="DY358" s="663"/>
      <c r="DZ358" s="663"/>
      <c r="EA358" s="663"/>
      <c r="EB358" s="663"/>
      <c r="EC358" s="663"/>
      <c r="ED358" s="663"/>
    </row>
    <row r="359" spans="1:134">
      <c r="A359" s="346">
        <v>32459</v>
      </c>
      <c r="B359" s="345" t="s">
        <v>378</v>
      </c>
      <c r="F359" s="345">
        <v>5.05</v>
      </c>
      <c r="G359" s="345" t="s">
        <v>352</v>
      </c>
      <c r="L359" s="347">
        <v>307.02999999999997</v>
      </c>
      <c r="M359" s="347" t="s">
        <v>317</v>
      </c>
      <c r="S359" s="346">
        <v>34987</v>
      </c>
      <c r="T359" s="345" t="s">
        <v>371</v>
      </c>
      <c r="V359" s="345">
        <v>105.01</v>
      </c>
      <c r="W359" s="345" t="s">
        <v>337</v>
      </c>
      <c r="AB359" s="347">
        <v>25.1</v>
      </c>
      <c r="AC359" s="347" t="s">
        <v>345</v>
      </c>
      <c r="AD359" s="1138"/>
      <c r="AE359" s="346">
        <v>32128</v>
      </c>
      <c r="AF359" s="345" t="s">
        <v>376</v>
      </c>
      <c r="AJ359" s="345">
        <v>2.23</v>
      </c>
      <c r="AK359" s="345" t="s">
        <v>352</v>
      </c>
      <c r="AP359" s="347">
        <v>1103.3900000000001</v>
      </c>
      <c r="AQ359" s="347" t="s">
        <v>310</v>
      </c>
      <c r="AU359" s="348" t="str">
        <f t="array" ref="AU359">IFERROR(IF($AU$11="Yes",INDEX($AP$13:$AP$2950,SMALL(IF((County=$AQ$13:$AQ$2950),MATCH(ROW($AQ$13:$AQ$2950),ROW($AQ$13:$AQ$2950)),""),ROWS($A$13:$A359))),""),"")</f>
        <v/>
      </c>
      <c r="AW359" s="346">
        <v>34952</v>
      </c>
      <c r="AX359" s="345" t="s">
        <v>371</v>
      </c>
      <c r="AZ359" s="345">
        <v>76.2</v>
      </c>
      <c r="BA359" s="345" t="s">
        <v>361</v>
      </c>
      <c r="BF359" s="347">
        <v>19.190000000000001</v>
      </c>
      <c r="BG359" s="347" t="s">
        <v>361</v>
      </c>
      <c r="BH359" s="1790"/>
      <c r="BI359" s="2299">
        <v>33897</v>
      </c>
      <c r="BJ359" s="345" t="s">
        <v>365</v>
      </c>
      <c r="BN359" s="345">
        <v>302.02999999999997</v>
      </c>
      <c r="BO359" s="345" t="s">
        <v>310</v>
      </c>
      <c r="BT359" s="347">
        <v>1103.33</v>
      </c>
      <c r="BU359" s="347" t="s">
        <v>310</v>
      </c>
      <c r="BW359" s="348" t="str">
        <f t="array" ref="BW359">IFERROR(IF($BW$11="Metro",INDEX($BN$13:$BN$4972,SMALL(IF((County=$BO$13:$BO$4972),MATCH(ROW($BO$13:$BO$4972),ROW($BO$13:$BO$4972)),""),ROWS($A$13:$A359))),INDEX($BQ$13:$BQ$212,SMALL(IF((County=$BR$13:$BR$212),MATCH(ROW($BR$13:$BR$212),ROW($BR$13:$BR$212)),""),ROWS($A$13:$A359)))),"")</f>
        <v/>
      </c>
      <c r="BY359" s="348" t="str">
        <f t="array" ref="BY359">IFERROR(IF($BY$11="Yes",INDEX($BT$13:$BT$2950,SMALL(IF((County=$BU$13:$BU$2950),MATCH(ROW($BU$13:$BU$2950),ROW($BU$13:$BU$2950)),""),ROWS($A$13:$A359))),""),"")</f>
        <v/>
      </c>
      <c r="CA359" s="2298">
        <v>34243</v>
      </c>
      <c r="CB359" s="345" t="s">
        <v>349</v>
      </c>
      <c r="CD359" s="237">
        <v>9.06</v>
      </c>
      <c r="CE359" s="237" t="s">
        <v>345</v>
      </c>
      <c r="CJ359" s="347">
        <v>19.2</v>
      </c>
      <c r="CK359" s="347" t="s">
        <v>344</v>
      </c>
      <c r="CL359" s="1789"/>
      <c r="CM359" s="2299"/>
      <c r="CN359" s="345"/>
      <c r="CR359" s="345"/>
      <c r="CS359" s="345"/>
      <c r="CX359" s="347"/>
      <c r="CY359" s="347"/>
      <c r="DA359" s="348"/>
      <c r="DC359" s="348"/>
      <c r="DE359" s="1792"/>
      <c r="DF359" s="345"/>
      <c r="DH359" s="237"/>
      <c r="DI359" s="237"/>
      <c r="DN359" s="347"/>
      <c r="DO359" s="347"/>
      <c r="DP359" s="2505"/>
      <c r="DT359" s="663"/>
      <c r="DU359" s="663"/>
      <c r="DV359" s="663"/>
      <c r="DW359" s="663"/>
      <c r="DX359" s="663"/>
      <c r="DY359" s="663"/>
      <c r="DZ359" s="663"/>
      <c r="EA359" s="663"/>
      <c r="EB359" s="663"/>
      <c r="EC359" s="663"/>
      <c r="ED359" s="663"/>
    </row>
    <row r="360" spans="1:134">
      <c r="A360" s="346">
        <v>32550</v>
      </c>
      <c r="B360" s="345" t="s">
        <v>378</v>
      </c>
      <c r="F360" s="345">
        <v>6.01</v>
      </c>
      <c r="G360" s="345" t="s">
        <v>352</v>
      </c>
      <c r="L360" s="347">
        <v>308.01</v>
      </c>
      <c r="M360" s="347" t="s">
        <v>317</v>
      </c>
      <c r="S360" s="346">
        <v>34990</v>
      </c>
      <c r="T360" s="345" t="s">
        <v>351</v>
      </c>
      <c r="V360" s="345">
        <v>106.01</v>
      </c>
      <c r="W360" s="345" t="s">
        <v>318</v>
      </c>
      <c r="AB360" s="347">
        <v>25.11</v>
      </c>
      <c r="AC360" s="347" t="s">
        <v>345</v>
      </c>
      <c r="AD360" s="1138"/>
      <c r="AE360" s="346">
        <v>32129</v>
      </c>
      <c r="AF360" s="345" t="s">
        <v>376</v>
      </c>
      <c r="AJ360" s="345">
        <v>2.2400000000000002</v>
      </c>
      <c r="AK360" s="345" t="s">
        <v>352</v>
      </c>
      <c r="AP360" s="347">
        <v>1103.44</v>
      </c>
      <c r="AQ360" s="347" t="s">
        <v>310</v>
      </c>
      <c r="AU360" s="348" t="str">
        <f t="array" ref="AU360">IFERROR(IF($AU$11="Yes",INDEX($AP$13:$AP$2950,SMALL(IF((County=$AQ$13:$AQ$2950),MATCH(ROW($AQ$13:$AQ$2950),ROW($AQ$13:$AQ$2950)),""),ROWS($A$13:$A360))),""),"")</f>
        <v/>
      </c>
      <c r="AW360" s="346">
        <v>34953</v>
      </c>
      <c r="AX360" s="345" t="s">
        <v>371</v>
      </c>
      <c r="AZ360" s="345">
        <v>77.459999999999994</v>
      </c>
      <c r="BA360" s="345" t="s">
        <v>361</v>
      </c>
      <c r="BF360" s="347">
        <v>19.2</v>
      </c>
      <c r="BG360" s="347" t="s">
        <v>344</v>
      </c>
      <c r="BH360" s="1790"/>
      <c r="BI360" s="2299">
        <v>34759</v>
      </c>
      <c r="BJ360" s="345" t="s">
        <v>365</v>
      </c>
      <c r="BN360" s="345">
        <v>303.01</v>
      </c>
      <c r="BO360" s="345" t="s">
        <v>310</v>
      </c>
      <c r="BT360" s="347">
        <v>1103.3699999999999</v>
      </c>
      <c r="BU360" s="347" t="s">
        <v>310</v>
      </c>
      <c r="BW360" s="348" t="str">
        <f t="array" ref="BW360">IFERROR(IF($BW$11="Metro",INDEX($BN$13:$BN$4972,SMALL(IF((County=$BO$13:$BO$4972),MATCH(ROW($BO$13:$BO$4972),ROW($BO$13:$BO$4972)),""),ROWS($A$13:$A360))),INDEX($BQ$13:$BQ$212,SMALL(IF((County=$BR$13:$BR$212),MATCH(ROW($BR$13:$BR$212),ROW($BR$13:$BR$212)),""),ROWS($A$13:$A360)))),"")</f>
        <v/>
      </c>
      <c r="BY360" s="348" t="str">
        <f t="array" ref="BY360">IFERROR(IF($BY$11="Yes",INDEX($BT$13:$BT$2950,SMALL(IF((County=$BU$13:$BU$2950),MATCH(ROW($BU$13:$BU$2950),ROW($BU$13:$BU$2950)),""),ROWS($A$13:$A360))),""),"")</f>
        <v/>
      </c>
      <c r="CA360" s="2298">
        <v>34251</v>
      </c>
      <c r="CB360" s="345" t="s">
        <v>349</v>
      </c>
      <c r="CD360" s="237">
        <v>9.06</v>
      </c>
      <c r="CE360" s="237" t="s">
        <v>352</v>
      </c>
      <c r="CJ360" s="347">
        <v>19.21</v>
      </c>
      <c r="CK360" s="347" t="s">
        <v>344</v>
      </c>
      <c r="CL360" s="1789"/>
      <c r="CM360" s="2299"/>
      <c r="CN360" s="345"/>
      <c r="CR360" s="345"/>
      <c r="CS360" s="345"/>
      <c r="CX360" s="347"/>
      <c r="CY360" s="347"/>
      <c r="DA360" s="348"/>
      <c r="DC360" s="348"/>
      <c r="DE360" s="1792"/>
      <c r="DF360" s="345"/>
      <c r="DH360" s="237"/>
      <c r="DI360" s="237"/>
      <c r="DN360" s="347"/>
      <c r="DO360" s="347"/>
      <c r="DP360" s="2505"/>
      <c r="DT360" s="663"/>
      <c r="DU360" s="663"/>
      <c r="DV360" s="663"/>
      <c r="DW360" s="663"/>
      <c r="DX360" s="663"/>
      <c r="DY360" s="663"/>
      <c r="DZ360" s="663"/>
      <c r="EA360" s="663"/>
      <c r="EB360" s="663"/>
      <c r="EC360" s="663"/>
      <c r="ED360" s="663"/>
    </row>
    <row r="361" spans="1:134">
      <c r="A361" s="2831" t="s">
        <v>2310</v>
      </c>
      <c r="B361" s="2832"/>
      <c r="F361" s="345">
        <v>6.02</v>
      </c>
      <c r="G361" s="345" t="s">
        <v>352</v>
      </c>
      <c r="L361" s="347">
        <v>308.02</v>
      </c>
      <c r="M361" s="347" t="s">
        <v>317</v>
      </c>
      <c r="S361" s="2831" t="s">
        <v>2310</v>
      </c>
      <c r="T361" s="2832"/>
      <c r="V361" s="345">
        <v>106.09</v>
      </c>
      <c r="W361" s="345" t="s">
        <v>352</v>
      </c>
      <c r="AB361" s="347">
        <v>25.11</v>
      </c>
      <c r="AC361" s="347" t="s">
        <v>368</v>
      </c>
      <c r="AD361" s="1138"/>
      <c r="AE361" s="346">
        <v>32169</v>
      </c>
      <c r="AF361" s="345" t="s">
        <v>376</v>
      </c>
      <c r="AJ361" s="345">
        <v>2.27</v>
      </c>
      <c r="AK361" s="345" t="s">
        <v>352</v>
      </c>
      <c r="AP361" s="347">
        <v>1103.45</v>
      </c>
      <c r="AQ361" s="347" t="s">
        <v>310</v>
      </c>
      <c r="AU361" s="348" t="str">
        <f t="array" ref="AU361">IFERROR(IF($AU$11="Yes",INDEX($AP$13:$AP$2950,SMALL(IF((County=$AQ$13:$AQ$2950),MATCH(ROW($AQ$13:$AQ$2950),ROW($AQ$13:$AQ$2950)),""),ROWS($A$13:$A361))),""),"")</f>
        <v/>
      </c>
      <c r="AW361" s="346">
        <v>34983</v>
      </c>
      <c r="AX361" s="345" t="s">
        <v>371</v>
      </c>
      <c r="AZ361" s="345">
        <v>78.33</v>
      </c>
      <c r="BA361" s="345" t="s">
        <v>361</v>
      </c>
      <c r="BF361" s="347">
        <v>19.21</v>
      </c>
      <c r="BG361" s="347" t="s">
        <v>344</v>
      </c>
      <c r="BH361" s="1790"/>
      <c r="BI361" s="2299">
        <v>32561</v>
      </c>
      <c r="BJ361" s="345" t="s">
        <v>367</v>
      </c>
      <c r="BN361" s="345">
        <v>303.02</v>
      </c>
      <c r="BO361" s="345" t="s">
        <v>310</v>
      </c>
      <c r="BT361" s="347">
        <v>1103.44</v>
      </c>
      <c r="BU361" s="347" t="s">
        <v>310</v>
      </c>
      <c r="BW361" s="348" t="str">
        <f t="array" ref="BW361">IFERROR(IF($BW$11="Metro",INDEX($BN$13:$BN$4972,SMALL(IF((County=$BO$13:$BO$4972),MATCH(ROW($BO$13:$BO$4972),ROW($BO$13:$BO$4972)),""),ROWS($A$13:$A361))),INDEX($BQ$13:$BQ$212,SMALL(IF((County=$BR$13:$BR$212),MATCH(ROW($BR$13:$BR$212),ROW($BR$13:$BR$212)),""),ROWS($A$13:$A361)))),"")</f>
        <v/>
      </c>
      <c r="BY361" s="348" t="str">
        <f t="array" ref="BY361">IFERROR(IF($BY$11="Yes",INDEX($BT$13:$BT$2950,SMALL(IF((County=$BU$13:$BU$2950),MATCH(ROW($BU$13:$BU$2950),ROW($BU$13:$BU$2950)),""),ROWS($A$13:$A361))),""),"")</f>
        <v/>
      </c>
      <c r="CA361" s="2298">
        <v>34286</v>
      </c>
      <c r="CB361" s="237" t="s">
        <v>368</v>
      </c>
      <c r="CD361" s="237">
        <v>9.07</v>
      </c>
      <c r="CE361" s="237" t="s">
        <v>345</v>
      </c>
      <c r="CJ361" s="347">
        <v>19.23</v>
      </c>
      <c r="CK361" s="347" t="s">
        <v>344</v>
      </c>
      <c r="CL361" s="1789"/>
      <c r="CM361" s="2299"/>
      <c r="CN361" s="345"/>
      <c r="CR361" s="345"/>
      <c r="CS361" s="345"/>
      <c r="CX361" s="347"/>
      <c r="CY361" s="347"/>
      <c r="DA361" s="348"/>
      <c r="DC361" s="348"/>
      <c r="DE361" s="1792"/>
      <c r="DF361" s="345"/>
      <c r="DH361" s="237"/>
      <c r="DI361" s="237"/>
      <c r="DN361" s="347"/>
      <c r="DO361" s="347"/>
      <c r="DP361" s="2505"/>
      <c r="DT361" s="663"/>
      <c r="DU361" s="663"/>
      <c r="DV361" s="663"/>
      <c r="DW361" s="663"/>
      <c r="DX361" s="663"/>
      <c r="DY361" s="663"/>
      <c r="DZ361" s="663"/>
      <c r="EA361" s="663"/>
      <c r="EB361" s="663"/>
      <c r="EC361" s="663"/>
      <c r="ED361" s="663"/>
    </row>
    <row r="362" spans="1:134">
      <c r="F362" s="345">
        <v>6.03</v>
      </c>
      <c r="G362" s="345" t="s">
        <v>352</v>
      </c>
      <c r="L362" s="347">
        <v>309.02</v>
      </c>
      <c r="M362" s="347" t="s">
        <v>317</v>
      </c>
      <c r="V362" s="345">
        <v>107.01</v>
      </c>
      <c r="W362" s="345" t="s">
        <v>318</v>
      </c>
      <c r="AB362" s="347">
        <v>25.12</v>
      </c>
      <c r="AC362" s="347" t="s">
        <v>345</v>
      </c>
      <c r="AD362" s="1138"/>
      <c r="AE362" s="346">
        <v>32176</v>
      </c>
      <c r="AF362" s="345" t="s">
        <v>376</v>
      </c>
      <c r="AJ362" s="345">
        <v>2.2799999999999998</v>
      </c>
      <c r="AK362" s="345" t="s">
        <v>352</v>
      </c>
      <c r="AP362" s="347">
        <v>1103.46</v>
      </c>
      <c r="AQ362" s="347" t="s">
        <v>310</v>
      </c>
      <c r="AU362" s="348" t="str">
        <f t="array" ref="AU362">IFERROR(IF($AU$11="Yes",INDEX($AP$13:$AP$2950,SMALL(IF((County=$AQ$13:$AQ$2950),MATCH(ROW($AQ$13:$AQ$2950),ROW($AQ$13:$AQ$2950)),""),ROWS($A$13:$A362))),""),"")</f>
        <v/>
      </c>
      <c r="AW362" s="346">
        <v>34984</v>
      </c>
      <c r="AX362" s="345" t="s">
        <v>371</v>
      </c>
      <c r="AZ362" s="345">
        <v>80.010000000000005</v>
      </c>
      <c r="BA362" s="345" t="s">
        <v>361</v>
      </c>
      <c r="BF362" s="347">
        <v>19.21</v>
      </c>
      <c r="BG362" s="347" t="s">
        <v>361</v>
      </c>
      <c r="BH362" s="1790"/>
      <c r="BI362" s="2299">
        <v>32566</v>
      </c>
      <c r="BJ362" s="345" t="s">
        <v>367</v>
      </c>
      <c r="BN362" s="345">
        <v>304.01</v>
      </c>
      <c r="BO362" s="345" t="s">
        <v>310</v>
      </c>
      <c r="BT362" s="347">
        <v>1103.45</v>
      </c>
      <c r="BU362" s="347" t="s">
        <v>310</v>
      </c>
      <c r="BW362" s="348" t="str">
        <f t="array" ref="BW362">IFERROR(IF($BW$11="Metro",INDEX($BN$13:$BN$4972,SMALL(IF((County=$BO$13:$BO$4972),MATCH(ROW($BO$13:$BO$4972),ROW($BO$13:$BO$4972)),""),ROWS($A$13:$A362))),INDEX($BQ$13:$BQ$212,SMALL(IF((County=$BR$13:$BR$212),MATCH(ROW($BR$13:$BR$212),ROW($BR$13:$BR$212)),""),ROWS($A$13:$A362)))),"")</f>
        <v/>
      </c>
      <c r="BY362" s="348" t="str">
        <f t="array" ref="BY362">IFERROR(IF($BY$11="Yes",INDEX($BT$13:$BT$2950,SMALL(IF((County=$BU$13:$BU$2950),MATCH(ROW($BU$13:$BU$2950),ROW($BU$13:$BU$2950)),""),ROWS($A$13:$A362))),""),"")</f>
        <v/>
      </c>
      <c r="CA362" s="2298">
        <v>34288</v>
      </c>
      <c r="CB362" s="237" t="s">
        <v>368</v>
      </c>
      <c r="CD362" s="237">
        <v>9.07</v>
      </c>
      <c r="CE362" s="237" t="s">
        <v>352</v>
      </c>
      <c r="CJ362" s="347">
        <v>20.03</v>
      </c>
      <c r="CK362" s="347" t="s">
        <v>349</v>
      </c>
      <c r="CL362" s="1789"/>
      <c r="CM362" s="2299"/>
      <c r="CN362" s="345"/>
      <c r="CR362" s="345"/>
      <c r="CS362" s="345"/>
      <c r="CX362" s="347"/>
      <c r="CY362" s="347"/>
      <c r="DA362" s="348"/>
      <c r="DC362" s="348"/>
      <c r="DE362" s="1792"/>
      <c r="DF362" s="345"/>
      <c r="DH362" s="237"/>
      <c r="DI362" s="237"/>
      <c r="DN362" s="347"/>
      <c r="DO362" s="347"/>
      <c r="DP362" s="2505"/>
      <c r="DT362" s="663"/>
      <c r="DU362" s="663"/>
      <c r="DV362" s="663"/>
      <c r="DW362" s="663"/>
      <c r="DX362" s="663"/>
      <c r="DY362" s="663"/>
      <c r="DZ362" s="663"/>
      <c r="EA362" s="663"/>
      <c r="EB362" s="663"/>
      <c r="EC362" s="663"/>
      <c r="ED362" s="663"/>
    </row>
    <row r="363" spans="1:134">
      <c r="F363" s="345">
        <v>6.05</v>
      </c>
      <c r="G363" s="345" t="s">
        <v>352</v>
      </c>
      <c r="L363" s="347">
        <v>309.04000000000002</v>
      </c>
      <c r="M363" s="347" t="s">
        <v>317</v>
      </c>
      <c r="V363" s="345">
        <v>107.05</v>
      </c>
      <c r="W363" s="345" t="s">
        <v>367</v>
      </c>
      <c r="AB363" s="347">
        <v>25.13</v>
      </c>
      <c r="AC363" s="347" t="s">
        <v>345</v>
      </c>
      <c r="AD363" s="1138"/>
      <c r="AE363" s="346">
        <v>32725</v>
      </c>
      <c r="AF363" s="345" t="s">
        <v>376</v>
      </c>
      <c r="AJ363" s="345">
        <v>3.06</v>
      </c>
      <c r="AK363" s="345" t="s">
        <v>352</v>
      </c>
      <c r="AP363" s="347">
        <v>1103.47</v>
      </c>
      <c r="AQ363" s="347" t="s">
        <v>310</v>
      </c>
      <c r="AU363" s="348" t="str">
        <f t="array" ref="AU363">IFERROR(IF($AU$11="Yes",INDEX($AP$13:$AP$2950,SMALL(IF((County=$AQ$13:$AQ$2950),MATCH(ROW($AQ$13:$AQ$2950),ROW($AQ$13:$AQ$2950)),""),ROWS($A$13:$A363))),""),"")</f>
        <v/>
      </c>
      <c r="AW363" s="346">
        <v>34986</v>
      </c>
      <c r="AX363" s="345" t="s">
        <v>371</v>
      </c>
      <c r="AZ363" s="345">
        <v>80.02</v>
      </c>
      <c r="BA363" s="345" t="s">
        <v>361</v>
      </c>
      <c r="BF363" s="347">
        <v>19.23</v>
      </c>
      <c r="BG363" s="347" t="s">
        <v>344</v>
      </c>
      <c r="BH363" s="1790"/>
      <c r="BI363" s="2299">
        <v>34228</v>
      </c>
      <c r="BJ363" s="345" t="s">
        <v>368</v>
      </c>
      <c r="BN363" s="345">
        <v>304.02</v>
      </c>
      <c r="BO363" s="345" t="s">
        <v>310</v>
      </c>
      <c r="BT363" s="347">
        <v>1103.46</v>
      </c>
      <c r="BU363" s="347" t="s">
        <v>310</v>
      </c>
      <c r="BW363" s="348" t="str">
        <f t="array" ref="BW363">IFERROR(IF($BW$11="Metro",INDEX($BN$13:$BN$4972,SMALL(IF((County=$BO$13:$BO$4972),MATCH(ROW($BO$13:$BO$4972),ROW($BO$13:$BO$4972)),""),ROWS($A$13:$A363))),INDEX($BQ$13:$BQ$212,SMALL(IF((County=$BR$13:$BR$212),MATCH(ROW($BR$13:$BR$212),ROW($BR$13:$BR$212)),""),ROWS($A$13:$A363)))),"")</f>
        <v/>
      </c>
      <c r="BY363" s="348" t="str">
        <f t="array" ref="BY363">IFERROR(IF($BY$11="Yes",INDEX($BT$13:$BT$2950,SMALL(IF((County=$BU$13:$BU$2950),MATCH(ROW($BU$13:$BU$2950),ROW($BU$13:$BU$2950)),""),ROWS($A$13:$A363))),""),"")</f>
        <v/>
      </c>
      <c r="CA363" s="2298">
        <v>34291</v>
      </c>
      <c r="CB363" s="237" t="s">
        <v>368</v>
      </c>
      <c r="CD363" s="237">
        <v>9.08</v>
      </c>
      <c r="CE363" s="237" t="s">
        <v>352</v>
      </c>
      <c r="CJ363" s="347">
        <v>20.04</v>
      </c>
      <c r="CK363" s="347" t="s">
        <v>368</v>
      </c>
      <c r="CL363" s="1789"/>
      <c r="CM363" s="2299"/>
      <c r="CN363" s="345"/>
      <c r="CR363" s="345"/>
      <c r="CS363" s="345"/>
      <c r="CX363" s="347"/>
      <c r="CY363" s="347"/>
      <c r="DA363" s="348"/>
      <c r="DC363" s="348"/>
      <c r="DE363" s="1792"/>
      <c r="DF363" s="345"/>
      <c r="DH363" s="237"/>
      <c r="DI363" s="237"/>
      <c r="DN363" s="347"/>
      <c r="DO363" s="347"/>
      <c r="DP363" s="2505"/>
      <c r="DT363" s="663"/>
      <c r="DU363" s="663"/>
      <c r="DV363" s="663"/>
      <c r="DW363" s="663"/>
      <c r="DX363" s="663"/>
      <c r="DY363" s="663"/>
      <c r="DZ363" s="663"/>
      <c r="EA363" s="663"/>
      <c r="EB363" s="663"/>
      <c r="EC363" s="663"/>
      <c r="ED363" s="663"/>
    </row>
    <row r="364" spans="1:134">
      <c r="F364" s="345">
        <v>6.08</v>
      </c>
      <c r="G364" s="345" t="s">
        <v>352</v>
      </c>
      <c r="L364" s="347">
        <v>311.07</v>
      </c>
      <c r="M364" s="347" t="s">
        <v>317</v>
      </c>
      <c r="V364" s="345">
        <v>108</v>
      </c>
      <c r="W364" s="345" t="s">
        <v>323</v>
      </c>
      <c r="AB364" s="347">
        <v>26</v>
      </c>
      <c r="AC364" s="347" t="s">
        <v>361</v>
      </c>
      <c r="AD364" s="1138"/>
      <c r="AE364" s="346">
        <v>32346</v>
      </c>
      <c r="AF364" s="345" t="s">
        <v>377</v>
      </c>
      <c r="AJ364" s="345">
        <v>3.09</v>
      </c>
      <c r="AK364" s="345" t="s">
        <v>352</v>
      </c>
      <c r="AP364" s="347">
        <v>1103.48</v>
      </c>
      <c r="AQ364" s="347" t="s">
        <v>310</v>
      </c>
      <c r="AU364" s="348" t="str">
        <f t="array" ref="AU364">IFERROR(IF($AU$11="Yes",INDEX($AP$13:$AP$2950,SMALL(IF((County=$AQ$13:$AQ$2950),MATCH(ROW($AQ$13:$AQ$2950),ROW($AQ$13:$AQ$2950)),""),ROWS($A$13:$A364))),""),"")</f>
        <v/>
      </c>
      <c r="AW364" s="346">
        <v>34987</v>
      </c>
      <c r="AX364" s="345" t="s">
        <v>371</v>
      </c>
      <c r="AZ364" s="345">
        <v>81.010000000000005</v>
      </c>
      <c r="BA364" s="345" t="s">
        <v>361</v>
      </c>
      <c r="BF364" s="347">
        <v>20.010000000000002</v>
      </c>
      <c r="BG364" s="347" t="s">
        <v>350</v>
      </c>
      <c r="BH364" s="1790"/>
      <c r="BI364" s="2299">
        <v>34232</v>
      </c>
      <c r="BJ364" s="345" t="s">
        <v>368</v>
      </c>
      <c r="BN364" s="345">
        <v>305</v>
      </c>
      <c r="BO364" s="345" t="s">
        <v>310</v>
      </c>
      <c r="BT364" s="347">
        <v>1103.47</v>
      </c>
      <c r="BU364" s="347" t="s">
        <v>310</v>
      </c>
      <c r="BW364" s="348" t="str">
        <f t="array" ref="BW364">IFERROR(IF($BW$11="Metro",INDEX($BN$13:$BN$4972,SMALL(IF((County=$BO$13:$BO$4972),MATCH(ROW($BO$13:$BO$4972),ROW($BO$13:$BO$4972)),""),ROWS($A$13:$A364))),INDEX($BQ$13:$BQ$212,SMALL(IF((County=$BR$13:$BR$212),MATCH(ROW($BR$13:$BR$212),ROW($BR$13:$BR$212)),""),ROWS($A$13:$A364)))),"")</f>
        <v/>
      </c>
      <c r="BY364" s="348" t="str">
        <f t="array" ref="BY364">IFERROR(IF($BY$11="Yes",INDEX($BT$13:$BT$2950,SMALL(IF((County=$BU$13:$BU$2950),MATCH(ROW($BU$13:$BU$2950),ROW($BU$13:$BU$2950)),""),ROWS($A$13:$A364))),""),"")</f>
        <v/>
      </c>
      <c r="CA364" s="2298">
        <v>34292</v>
      </c>
      <c r="CB364" s="237" t="s">
        <v>368</v>
      </c>
      <c r="CD364" s="345">
        <v>10</v>
      </c>
      <c r="CE364" s="345" t="s">
        <v>297</v>
      </c>
      <c r="CJ364" s="347">
        <v>20.05</v>
      </c>
      <c r="CK364" s="347" t="s">
        <v>349</v>
      </c>
      <c r="CL364" s="1789"/>
      <c r="CM364" s="2299"/>
      <c r="CN364" s="345"/>
      <c r="CR364" s="345"/>
      <c r="CS364" s="345"/>
      <c r="CX364" s="347"/>
      <c r="CY364" s="347"/>
      <c r="DA364" s="348"/>
      <c r="DC364" s="348"/>
      <c r="DE364" s="1792"/>
      <c r="DF364" s="345"/>
      <c r="DH364" s="237"/>
      <c r="DI364" s="237"/>
      <c r="DN364" s="347"/>
      <c r="DO364" s="347"/>
      <c r="DP364" s="2505"/>
      <c r="DT364" s="663"/>
      <c r="DU364" s="663"/>
      <c r="DV364" s="663"/>
      <c r="DW364" s="663"/>
      <c r="DX364" s="663"/>
      <c r="DY364" s="663"/>
      <c r="DZ364" s="663"/>
      <c r="EA364" s="663"/>
      <c r="EB364" s="663"/>
      <c r="EC364" s="663"/>
      <c r="ED364" s="663"/>
    </row>
    <row r="365" spans="1:134">
      <c r="F365" s="345">
        <v>7.05</v>
      </c>
      <c r="G365" s="345" t="s">
        <v>352</v>
      </c>
      <c r="L365" s="347">
        <v>312</v>
      </c>
      <c r="M365" s="347" t="s">
        <v>317</v>
      </c>
      <c r="V365" s="345">
        <v>108.01</v>
      </c>
      <c r="W365" s="345" t="s">
        <v>352</v>
      </c>
      <c r="AB365" s="347">
        <v>26.01</v>
      </c>
      <c r="AC365" s="347" t="s">
        <v>306</v>
      </c>
      <c r="AD365" s="1138"/>
      <c r="AE365" s="346">
        <v>32459</v>
      </c>
      <c r="AF365" s="345" t="s">
        <v>378</v>
      </c>
      <c r="AJ365" s="345">
        <v>3.1</v>
      </c>
      <c r="AK365" s="345" t="s">
        <v>352</v>
      </c>
      <c r="AP365" s="347">
        <v>1103.49</v>
      </c>
      <c r="AQ365" s="347" t="s">
        <v>310</v>
      </c>
      <c r="AU365" s="348" t="str">
        <f t="array" ref="AU365">IFERROR(IF($AU$11="Yes",INDEX($AP$13:$AP$2950,SMALL(IF((County=$AQ$13:$AQ$2950),MATCH(ROW($AQ$13:$AQ$2950),ROW($AQ$13:$AQ$2950)),""),ROWS($A$13:$A365))),""),"")</f>
        <v/>
      </c>
      <c r="AW365" s="346">
        <v>34990</v>
      </c>
      <c r="AX365" s="345" t="s">
        <v>351</v>
      </c>
      <c r="AZ365" s="345">
        <v>82.01</v>
      </c>
      <c r="BA365" s="345" t="s">
        <v>361</v>
      </c>
      <c r="BF365" s="347">
        <v>20.03</v>
      </c>
      <c r="BG365" s="347" t="s">
        <v>349</v>
      </c>
      <c r="BH365" s="1790"/>
      <c r="BI365" s="2299">
        <v>34233</v>
      </c>
      <c r="BJ365" s="345" t="s">
        <v>368</v>
      </c>
      <c r="BN365" s="345">
        <v>306.01</v>
      </c>
      <c r="BO365" s="345" t="s">
        <v>310</v>
      </c>
      <c r="BT365" s="347">
        <v>1103.48</v>
      </c>
      <c r="BU365" s="347" t="s">
        <v>310</v>
      </c>
      <c r="BW365" s="348" t="str">
        <f t="array" ref="BW365">IFERROR(IF($BW$11="Metro",INDEX($BN$13:$BN$4972,SMALL(IF((County=$BO$13:$BO$4972),MATCH(ROW($BO$13:$BO$4972),ROW($BO$13:$BO$4972)),""),ROWS($A$13:$A365))),INDEX($BQ$13:$BQ$212,SMALL(IF((County=$BR$13:$BR$212),MATCH(ROW($BR$13:$BR$212),ROW($BR$13:$BR$212)),""),ROWS($A$13:$A365)))),"")</f>
        <v/>
      </c>
      <c r="BY365" s="348" t="str">
        <f t="array" ref="BY365">IFERROR(IF($BY$11="Yes",INDEX($BT$13:$BT$2950,SMALL(IF((County=$BU$13:$BU$2950),MATCH(ROW($BU$13:$BU$2950),ROW($BU$13:$BU$2950)),""),ROWS($A$13:$A365))),""),"")</f>
        <v/>
      </c>
      <c r="CA365" s="2298">
        <v>34293</v>
      </c>
      <c r="CB365" s="237" t="s">
        <v>368</v>
      </c>
      <c r="CD365" s="345">
        <v>10</v>
      </c>
      <c r="CE365" s="345" t="s">
        <v>306</v>
      </c>
      <c r="CJ365" s="347">
        <v>20.07</v>
      </c>
      <c r="CK365" s="347" t="s">
        <v>368</v>
      </c>
      <c r="CL365" s="1789"/>
      <c r="CM365" s="2299"/>
      <c r="CN365" s="345"/>
      <c r="CR365" s="345"/>
      <c r="CS365" s="345"/>
      <c r="CX365" s="347"/>
      <c r="CY365" s="347"/>
      <c r="DA365" s="348"/>
      <c r="DC365" s="348"/>
      <c r="DE365" s="1792"/>
      <c r="DF365" s="345"/>
      <c r="DH365" s="237"/>
      <c r="DI365" s="237"/>
      <c r="DN365" s="347"/>
      <c r="DO365" s="347"/>
      <c r="DP365" s="2505"/>
      <c r="DT365" s="663"/>
      <c r="DU365" s="663"/>
      <c r="DV365" s="663"/>
      <c r="DW365" s="663"/>
      <c r="DX365" s="663"/>
      <c r="DY365" s="663"/>
      <c r="DZ365" s="663"/>
      <c r="EA365" s="663"/>
      <c r="EB365" s="663"/>
      <c r="EC365" s="663"/>
      <c r="ED365" s="663"/>
    </row>
    <row r="366" spans="1:134">
      <c r="F366" s="345">
        <v>7.06</v>
      </c>
      <c r="G366" s="345" t="s">
        <v>352</v>
      </c>
      <c r="L366" s="347">
        <v>1.01</v>
      </c>
      <c r="M366" s="347" t="s">
        <v>318</v>
      </c>
      <c r="V366" s="345">
        <v>108.02</v>
      </c>
      <c r="W366" s="345" t="s">
        <v>344</v>
      </c>
      <c r="AB366" s="347">
        <v>26.01</v>
      </c>
      <c r="AC366" s="347" t="s">
        <v>325</v>
      </c>
      <c r="AD366" s="1138"/>
      <c r="AE366" s="2831" t="s">
        <v>2310</v>
      </c>
      <c r="AF366" s="2832"/>
      <c r="AJ366" s="345">
        <v>4.0199999999999996</v>
      </c>
      <c r="AK366" s="345" t="s">
        <v>352</v>
      </c>
      <c r="AP366" s="347">
        <v>1103.5</v>
      </c>
      <c r="AQ366" s="347" t="s">
        <v>310</v>
      </c>
      <c r="AU366" s="348" t="str">
        <f t="array" ref="AU366">IFERROR(IF($AU$11="Yes",INDEX($AP$13:$AP$2950,SMALL(IF((County=$AQ$13:$AQ$2950),MATCH(ROW($AQ$13:$AQ$2950),ROW($AQ$13:$AQ$2950)),""),ROWS($A$13:$A366))),""),"")</f>
        <v/>
      </c>
      <c r="AW366" s="2831" t="s">
        <v>2310</v>
      </c>
      <c r="AX366" s="2832"/>
      <c r="AZ366" s="345">
        <v>82.02</v>
      </c>
      <c r="BA366" s="345" t="s">
        <v>361</v>
      </c>
      <c r="BF366" s="347">
        <v>20.04</v>
      </c>
      <c r="BG366" s="347" t="s">
        <v>368</v>
      </c>
      <c r="BH366" s="1790"/>
      <c r="BI366" s="2298">
        <v>34235</v>
      </c>
      <c r="BJ366" s="237" t="s">
        <v>368</v>
      </c>
      <c r="BN366" s="345">
        <v>306.02</v>
      </c>
      <c r="BO366" s="345" t="s">
        <v>310</v>
      </c>
      <c r="BT366" s="347">
        <v>1103.49</v>
      </c>
      <c r="BU366" s="347" t="s">
        <v>310</v>
      </c>
      <c r="BW366" s="348" t="str">
        <f t="array" ref="BW366">IFERROR(IF($BW$11="Metro",INDEX($BN$13:$BN$4972,SMALL(IF((County=$BO$13:$BO$4972),MATCH(ROW($BO$13:$BO$4972),ROW($BO$13:$BO$4972)),""),ROWS($A$13:$A366))),INDEX($BQ$13:$BQ$212,SMALL(IF((County=$BR$13:$BR$212),MATCH(ROW($BR$13:$BR$212),ROW($BR$13:$BR$212)),""),ROWS($A$13:$A366)))),"")</f>
        <v/>
      </c>
      <c r="BY366" s="348" t="str">
        <f t="array" ref="BY366">IFERROR(IF($BY$11="Yes",INDEX($BT$13:$BT$2950,SMALL(IF((County=$BU$13:$BU$2950),MATCH(ROW($BU$13:$BU$2950),ROW($BU$13:$BU$2950)),""),ROWS($A$13:$A366))),""),"")</f>
        <v/>
      </c>
      <c r="CA366" s="2298">
        <v>34434</v>
      </c>
      <c r="CB366" s="345" t="s">
        <v>316</v>
      </c>
      <c r="CD366" s="237">
        <v>10</v>
      </c>
      <c r="CE366" s="237" t="s">
        <v>323</v>
      </c>
      <c r="CJ366" s="347">
        <v>20.079999999999998</v>
      </c>
      <c r="CK366" s="347" t="s">
        <v>349</v>
      </c>
      <c r="CL366" s="1789"/>
      <c r="CM366" s="2299"/>
      <c r="CN366" s="345"/>
      <c r="CR366" s="345"/>
      <c r="CS366" s="345"/>
      <c r="CX366" s="347"/>
      <c r="CY366" s="347"/>
      <c r="DA366" s="348"/>
      <c r="DC366" s="348"/>
      <c r="DE366" s="1792"/>
      <c r="DF366" s="345"/>
      <c r="DH366" s="237"/>
      <c r="DI366" s="237"/>
      <c r="DN366" s="347"/>
      <c r="DO366" s="347"/>
      <c r="DP366" s="2505"/>
      <c r="DT366" s="663"/>
      <c r="DU366" s="663"/>
      <c r="DV366" s="663"/>
      <c r="DW366" s="663"/>
      <c r="DX366" s="663"/>
      <c r="DY366" s="663"/>
      <c r="DZ366" s="663"/>
      <c r="EA366" s="663"/>
      <c r="EB366" s="663"/>
      <c r="EC366" s="663"/>
      <c r="ED366" s="663"/>
    </row>
    <row r="367" spans="1:134">
      <c r="F367" s="345">
        <v>7.08</v>
      </c>
      <c r="G367" s="345" t="s">
        <v>352</v>
      </c>
      <c r="L367" s="347">
        <v>1.02</v>
      </c>
      <c r="M367" s="347" t="s">
        <v>318</v>
      </c>
      <c r="V367" s="345">
        <v>108.02</v>
      </c>
      <c r="W367" s="345" t="s">
        <v>352</v>
      </c>
      <c r="AB367" s="347">
        <v>26.01</v>
      </c>
      <c r="AC367" s="347" t="s">
        <v>368</v>
      </c>
      <c r="AD367" s="1138"/>
      <c r="AJ367" s="345">
        <v>4.08</v>
      </c>
      <c r="AK367" s="345" t="s">
        <v>352</v>
      </c>
      <c r="AP367" s="347">
        <v>1103.53</v>
      </c>
      <c r="AQ367" s="347" t="s">
        <v>310</v>
      </c>
      <c r="AU367" s="348" t="str">
        <f t="array" ref="AU367">IFERROR(IF($AU$11="Yes",INDEX($AP$13:$AP$2950,SMALL(IF((County=$AQ$13:$AQ$2950),MATCH(ROW($AQ$13:$AQ$2950),ROW($AQ$13:$AQ$2950)),""),ROWS($A$13:$A367))),""),"")</f>
        <v/>
      </c>
      <c r="AZ367" s="345">
        <v>82.03</v>
      </c>
      <c r="BA367" s="345" t="s">
        <v>361</v>
      </c>
      <c r="BF367" s="347">
        <v>20.05</v>
      </c>
      <c r="BG367" s="347" t="s">
        <v>349</v>
      </c>
      <c r="BH367" s="1790"/>
      <c r="BI367" s="2298">
        <v>34238</v>
      </c>
      <c r="BJ367" s="237" t="s">
        <v>368</v>
      </c>
      <c r="BN367" s="345">
        <v>307.02</v>
      </c>
      <c r="BO367" s="345" t="s">
        <v>310</v>
      </c>
      <c r="BT367" s="347">
        <v>1103.5</v>
      </c>
      <c r="BU367" s="347" t="s">
        <v>310</v>
      </c>
      <c r="BW367" s="348" t="str">
        <f t="array" ref="BW367">IFERROR(IF($BW$11="Metro",INDEX($BN$13:$BN$4972,SMALL(IF((County=$BO$13:$BO$4972),MATCH(ROW($BO$13:$BO$4972),ROW($BO$13:$BO$4972)),""),ROWS($A$13:$A367))),INDEX($BQ$13:$BQ$212,SMALL(IF((County=$BR$13:$BR$212),MATCH(ROW($BR$13:$BR$212),ROW($BR$13:$BR$212)),""),ROWS($A$13:$A367)))),"")</f>
        <v/>
      </c>
      <c r="BY367" s="348" t="str">
        <f t="array" ref="BY367">IFERROR(IF($BY$11="Yes",INDEX($BT$13:$BT$2950,SMALL(IF((County=$BU$13:$BU$2950),MATCH(ROW($BU$13:$BU$2950),ROW($BU$13:$BU$2950)),""),ROWS($A$13:$A367))),""),"")</f>
        <v/>
      </c>
      <c r="CA367" s="2298">
        <v>34472</v>
      </c>
      <c r="CB367" s="345" t="s">
        <v>350</v>
      </c>
      <c r="CD367" s="237">
        <v>10</v>
      </c>
      <c r="CE367" s="237" t="s">
        <v>351</v>
      </c>
      <c r="CJ367" s="347">
        <v>20.079999999999998</v>
      </c>
      <c r="CK367" s="347" t="s">
        <v>368</v>
      </c>
      <c r="CL367" s="1789"/>
      <c r="CM367" s="2299"/>
      <c r="CN367" s="345"/>
      <c r="CR367" s="345"/>
      <c r="CS367" s="345"/>
      <c r="CX367" s="347"/>
      <c r="CY367" s="347"/>
      <c r="DA367" s="348"/>
      <c r="DC367" s="348"/>
      <c r="DE367" s="1792"/>
      <c r="DF367" s="345"/>
      <c r="DH367" s="237"/>
      <c r="DI367" s="237"/>
      <c r="DN367" s="347"/>
      <c r="DO367" s="347"/>
      <c r="DP367" s="2505"/>
      <c r="DT367" s="663"/>
      <c r="DU367" s="663"/>
      <c r="DV367" s="663"/>
      <c r="DW367" s="663"/>
      <c r="DX367" s="663"/>
      <c r="DY367" s="663"/>
      <c r="DZ367" s="663"/>
      <c r="EA367" s="663"/>
      <c r="EB367" s="663"/>
      <c r="EC367" s="663"/>
      <c r="ED367" s="663"/>
    </row>
    <row r="368" spans="1:134">
      <c r="F368" s="345">
        <v>7.09</v>
      </c>
      <c r="G368" s="345" t="s">
        <v>352</v>
      </c>
      <c r="L368" s="347">
        <v>2</v>
      </c>
      <c r="M368" s="347" t="s">
        <v>318</v>
      </c>
      <c r="V368" s="345">
        <v>108.05</v>
      </c>
      <c r="W368" s="345" t="s">
        <v>337</v>
      </c>
      <c r="AB368" s="347">
        <v>26.02</v>
      </c>
      <c r="AC368" s="347" t="s">
        <v>325</v>
      </c>
      <c r="AD368" s="1138"/>
      <c r="AJ368" s="345">
        <v>4.1100000000000003</v>
      </c>
      <c r="AK368" s="345" t="s">
        <v>352</v>
      </c>
      <c r="AP368" s="347">
        <v>1103.56</v>
      </c>
      <c r="AQ368" s="347" t="s">
        <v>310</v>
      </c>
      <c r="AU368" s="348" t="str">
        <f t="array" ref="AU368">IFERROR(IF($AU$11="Yes",INDEX($AP$13:$AP$2950,SMALL(IF((County=$AQ$13:$AQ$2950),MATCH(ROW($AQ$13:$AQ$2950),ROW($AQ$13:$AQ$2950)),""),ROWS($A$13:$A368))),""),"")</f>
        <v/>
      </c>
      <c r="AZ368" s="345">
        <v>83.01</v>
      </c>
      <c r="BA368" s="345" t="s">
        <v>361</v>
      </c>
      <c r="BF368" s="347">
        <v>20.07</v>
      </c>
      <c r="BG368" s="347" t="s">
        <v>368</v>
      </c>
      <c r="BH368" s="1790"/>
      <c r="BI368" s="2298">
        <v>34239</v>
      </c>
      <c r="BJ368" s="237" t="s">
        <v>368</v>
      </c>
      <c r="BN368" s="345">
        <v>307.02999999999997</v>
      </c>
      <c r="BO368" s="345" t="s">
        <v>310</v>
      </c>
      <c r="BT368" s="347">
        <v>1103.52</v>
      </c>
      <c r="BU368" s="347" t="s">
        <v>310</v>
      </c>
      <c r="BW368" s="348" t="str">
        <f t="array" ref="BW368">IFERROR(IF($BW$11="Metro",INDEX($BN$13:$BN$4972,SMALL(IF((County=$BO$13:$BO$4972),MATCH(ROW($BO$13:$BO$4972),ROW($BO$13:$BO$4972)),""),ROWS($A$13:$A368))),INDEX($BQ$13:$BQ$212,SMALL(IF((County=$BR$13:$BR$212),MATCH(ROW($BR$13:$BR$212),ROW($BR$13:$BR$212)),""),ROWS($A$13:$A368)))),"")</f>
        <v/>
      </c>
      <c r="BY368" s="348" t="str">
        <f t="array" ref="BY368">IFERROR(IF($BY$11="Yes",INDEX($BT$13:$BT$2950,SMALL(IF((County=$BU$13:$BU$2950),MATCH(ROW($BU$13:$BU$2950),ROW($BU$13:$BU$2950)),""),ROWS($A$13:$A368))),""),"")</f>
        <v/>
      </c>
      <c r="CA368" s="2298">
        <v>34473</v>
      </c>
      <c r="CB368" s="345" t="s">
        <v>350</v>
      </c>
      <c r="CD368" s="237">
        <v>10</v>
      </c>
      <c r="CE368" s="237" t="s">
        <v>368</v>
      </c>
      <c r="CJ368" s="347">
        <v>20.100000000000001</v>
      </c>
      <c r="CK368" s="347" t="s">
        <v>349</v>
      </c>
      <c r="CL368" s="1789"/>
      <c r="CM368" s="2299"/>
      <c r="CN368" s="345"/>
      <c r="CR368" s="345"/>
      <c r="CS368" s="345"/>
      <c r="CX368" s="347"/>
      <c r="CY368" s="347"/>
      <c r="DA368" s="348"/>
      <c r="DC368" s="348"/>
      <c r="DE368" s="1792"/>
      <c r="DF368" s="345"/>
      <c r="DH368" s="237"/>
      <c r="DI368" s="237"/>
      <c r="DN368" s="347"/>
      <c r="DO368" s="347"/>
      <c r="DP368" s="2505"/>
      <c r="DT368" s="663"/>
      <c r="DU368" s="663"/>
      <c r="DV368" s="663"/>
      <c r="DW368" s="663"/>
      <c r="DX368" s="663"/>
      <c r="DY368" s="663"/>
      <c r="DZ368" s="663"/>
      <c r="EA368" s="663"/>
      <c r="EB368" s="663"/>
      <c r="EC368" s="663"/>
      <c r="ED368" s="663"/>
    </row>
    <row r="369" spans="6:134">
      <c r="F369" s="345">
        <v>7.1</v>
      </c>
      <c r="G369" s="345" t="s">
        <v>352</v>
      </c>
      <c r="L369" s="347">
        <v>3.01</v>
      </c>
      <c r="M369" s="347" t="s">
        <v>318</v>
      </c>
      <c r="V369" s="345">
        <v>108.08</v>
      </c>
      <c r="W369" s="345" t="s">
        <v>337</v>
      </c>
      <c r="AB369" s="347">
        <v>26.03</v>
      </c>
      <c r="AC369" s="347" t="s">
        <v>325</v>
      </c>
      <c r="AD369" s="1138"/>
      <c r="AJ369" s="345">
        <v>4.1399999999999997</v>
      </c>
      <c r="AK369" s="345" t="s">
        <v>352</v>
      </c>
      <c r="AP369" s="347">
        <v>1103.57</v>
      </c>
      <c r="AQ369" s="347" t="s">
        <v>310</v>
      </c>
      <c r="AU369" s="348" t="str">
        <f t="array" ref="AU369">IFERROR(IF($AU$11="Yes",INDEX($AP$13:$AP$2950,SMALL(IF((County=$AQ$13:$AQ$2950),MATCH(ROW($AQ$13:$AQ$2950),ROW($AQ$13:$AQ$2950)),""),ROWS($A$13:$A369))),""),"")</f>
        <v/>
      </c>
      <c r="AZ369" s="345">
        <v>83.02</v>
      </c>
      <c r="BA369" s="345" t="s">
        <v>361</v>
      </c>
      <c r="BF369" s="347">
        <v>20.079999999999998</v>
      </c>
      <c r="BG369" s="347" t="s">
        <v>349</v>
      </c>
      <c r="BH369" s="1790"/>
      <c r="BI369" s="2298">
        <v>34240</v>
      </c>
      <c r="BJ369" s="237" t="s">
        <v>368</v>
      </c>
      <c r="BN369" s="345">
        <v>307.04000000000002</v>
      </c>
      <c r="BO369" s="345" t="s">
        <v>310</v>
      </c>
      <c r="BT369" s="347">
        <v>1103.53</v>
      </c>
      <c r="BU369" s="347" t="s">
        <v>310</v>
      </c>
      <c r="BW369" s="348" t="str">
        <f t="array" ref="BW369">IFERROR(IF($BW$11="Metro",INDEX($BN$13:$BN$4972,SMALL(IF((County=$BO$13:$BO$4972),MATCH(ROW($BO$13:$BO$4972),ROW($BO$13:$BO$4972)),""),ROWS($A$13:$A369))),INDEX($BQ$13:$BQ$212,SMALL(IF((County=$BR$13:$BR$212),MATCH(ROW($BR$13:$BR$212),ROW($BR$13:$BR$212)),""),ROWS($A$13:$A369)))),"")</f>
        <v/>
      </c>
      <c r="BY369" s="348" t="str">
        <f t="array" ref="BY369">IFERROR(IF($BY$11="Yes",INDEX($BT$13:$BT$2950,SMALL(IF((County=$BU$13:$BU$2950),MATCH(ROW($BU$13:$BU$2950),ROW($BU$13:$BU$2950)),""),ROWS($A$13:$A369))),""),"")</f>
        <v/>
      </c>
      <c r="CA369" s="2298">
        <v>34474</v>
      </c>
      <c r="CB369" s="345" t="s">
        <v>350</v>
      </c>
      <c r="CD369" s="237">
        <v>10.01</v>
      </c>
      <c r="CE369" s="237" t="s">
        <v>325</v>
      </c>
      <c r="CJ369" s="347">
        <v>20.12</v>
      </c>
      <c r="CK369" s="347" t="s">
        <v>349</v>
      </c>
      <c r="CL369" s="1789"/>
      <c r="CM369" s="2299"/>
      <c r="CN369" s="345"/>
      <c r="CR369" s="345"/>
      <c r="CS369" s="345"/>
      <c r="CX369" s="347"/>
      <c r="CY369" s="347"/>
      <c r="DA369" s="348"/>
      <c r="DC369" s="348"/>
      <c r="DE369" s="1792"/>
      <c r="DF369" s="345"/>
      <c r="DH369" s="237"/>
      <c r="DI369" s="237"/>
      <c r="DN369" s="347"/>
      <c r="DO369" s="347"/>
      <c r="DP369" s="2505"/>
      <c r="DT369" s="663"/>
      <c r="DU369" s="663"/>
      <c r="DV369" s="663"/>
      <c r="DW369" s="663"/>
      <c r="DX369" s="663"/>
      <c r="DY369" s="663"/>
      <c r="DZ369" s="663"/>
      <c r="EA369" s="663"/>
      <c r="EB369" s="663"/>
      <c r="EC369" s="663"/>
      <c r="ED369" s="663"/>
    </row>
    <row r="370" spans="6:134">
      <c r="F370" s="345">
        <v>7.11</v>
      </c>
      <c r="G370" s="345" t="s">
        <v>352</v>
      </c>
      <c r="L370" s="347">
        <v>3.02</v>
      </c>
      <c r="M370" s="347" t="s">
        <v>318</v>
      </c>
      <c r="V370" s="345">
        <v>108.09</v>
      </c>
      <c r="W370" s="345" t="s">
        <v>337</v>
      </c>
      <c r="AB370" s="347">
        <v>26.04</v>
      </c>
      <c r="AC370" s="347" t="s">
        <v>306</v>
      </c>
      <c r="AD370" s="1138"/>
      <c r="AJ370" s="345">
        <v>4.1500000000000004</v>
      </c>
      <c r="AK370" s="345" t="s">
        <v>352</v>
      </c>
      <c r="AP370" s="347">
        <v>1103.5899999999999</v>
      </c>
      <c r="AQ370" s="347" t="s">
        <v>310</v>
      </c>
      <c r="AU370" s="348" t="str">
        <f t="array" ref="AU370">IFERROR(IF($AU$11="Yes",INDEX($AP$13:$AP$2950,SMALL(IF((County=$AQ$13:$AQ$2950),MATCH(ROW($AQ$13:$AQ$2950),ROW($AQ$13:$AQ$2950)),""),ROWS($A$13:$A370))),""),"")</f>
        <v/>
      </c>
      <c r="AZ370" s="345">
        <v>83.09</v>
      </c>
      <c r="BA370" s="345" t="s">
        <v>352</v>
      </c>
      <c r="BF370" s="347">
        <v>20.079999999999998</v>
      </c>
      <c r="BG370" s="347" t="s">
        <v>368</v>
      </c>
      <c r="BH370" s="1790"/>
      <c r="BI370" s="2298">
        <v>34241</v>
      </c>
      <c r="BJ370" s="237" t="s">
        <v>368</v>
      </c>
      <c r="BN370" s="345">
        <v>307.05</v>
      </c>
      <c r="BO370" s="345" t="s">
        <v>310</v>
      </c>
      <c r="BT370" s="347">
        <v>1103.56</v>
      </c>
      <c r="BU370" s="347" t="s">
        <v>310</v>
      </c>
      <c r="BW370" s="348" t="str">
        <f t="array" ref="BW370">IFERROR(IF($BW$11="Metro",INDEX($BN$13:$BN$4972,SMALL(IF((County=$BO$13:$BO$4972),MATCH(ROW($BO$13:$BO$4972),ROW($BO$13:$BO$4972)),""),ROWS($A$13:$A370))),INDEX($BQ$13:$BQ$212,SMALL(IF((County=$BR$13:$BR$212),MATCH(ROW($BR$13:$BR$212),ROW($BR$13:$BR$212)),""),ROWS($A$13:$A370)))),"")</f>
        <v/>
      </c>
      <c r="BY370" s="348" t="str">
        <f t="array" ref="BY370">IFERROR(IF($BY$11="Yes",INDEX($BT$13:$BT$2950,SMALL(IF((County=$BU$13:$BU$2950),MATCH(ROW($BU$13:$BU$2950),ROW($BU$13:$BU$2950)),""),ROWS($A$13:$A370))),""),"")</f>
        <v/>
      </c>
      <c r="CA370" s="2298">
        <v>34476</v>
      </c>
      <c r="CB370" s="345" t="s">
        <v>350</v>
      </c>
      <c r="CD370" s="237">
        <v>10.01</v>
      </c>
      <c r="CE370" s="237" t="s">
        <v>337</v>
      </c>
      <c r="CJ370" s="347">
        <v>20.12</v>
      </c>
      <c r="CK370" s="347" t="s">
        <v>368</v>
      </c>
      <c r="CL370" s="1789"/>
      <c r="CM370" s="2299"/>
      <c r="CN370" s="345"/>
      <c r="CR370" s="345"/>
      <c r="CS370" s="345"/>
      <c r="CX370" s="347"/>
      <c r="CY370" s="347"/>
      <c r="DA370" s="348"/>
      <c r="DC370" s="348"/>
      <c r="DE370" s="1792"/>
      <c r="DF370" s="345"/>
      <c r="DH370" s="237"/>
      <c r="DI370" s="237"/>
      <c r="DN370" s="347"/>
      <c r="DO370" s="347"/>
      <c r="DP370" s="2505"/>
      <c r="DT370" s="663"/>
      <c r="DU370" s="663"/>
      <c r="DV370" s="663"/>
      <c r="DW370" s="663"/>
      <c r="DX370" s="663"/>
      <c r="DY370" s="663"/>
      <c r="DZ370" s="663"/>
      <c r="EA370" s="663"/>
      <c r="EB370" s="663"/>
      <c r="EC370" s="663"/>
      <c r="ED370" s="663"/>
    </row>
    <row r="371" spans="6:134">
      <c r="F371" s="345">
        <v>7.12</v>
      </c>
      <c r="G371" s="345" t="s">
        <v>352</v>
      </c>
      <c r="L371" s="347">
        <v>4.01</v>
      </c>
      <c r="M371" s="347" t="s">
        <v>318</v>
      </c>
      <c r="V371" s="345">
        <v>108.11</v>
      </c>
      <c r="W371" s="345" t="s">
        <v>337</v>
      </c>
      <c r="AB371" s="347">
        <v>26.04</v>
      </c>
      <c r="AC371" s="347" t="s">
        <v>325</v>
      </c>
      <c r="AD371" s="1138"/>
      <c r="AJ371" s="345">
        <v>4.16</v>
      </c>
      <c r="AK371" s="345" t="s">
        <v>352</v>
      </c>
      <c r="AP371" s="347">
        <v>1103.5999999999999</v>
      </c>
      <c r="AQ371" s="347" t="s">
        <v>310</v>
      </c>
      <c r="AU371" s="348" t="str">
        <f t="array" ref="AU371">IFERROR(IF($AU$11="Yes",INDEX($AP$13:$AP$2950,SMALL(IF((County=$AQ$13:$AQ$2950),MATCH(ROW($AQ$13:$AQ$2950),ROW($AQ$13:$AQ$2950)),""),ROWS($A$13:$A371))),""),"")</f>
        <v/>
      </c>
      <c r="AZ371" s="345">
        <v>88.05</v>
      </c>
      <c r="BA371" s="345" t="s">
        <v>352</v>
      </c>
      <c r="BF371" s="347">
        <v>20.100000000000001</v>
      </c>
      <c r="BG371" s="347" t="s">
        <v>349</v>
      </c>
      <c r="BH371" s="1790"/>
      <c r="BI371" s="2298">
        <v>34242</v>
      </c>
      <c r="BJ371" s="237" t="s">
        <v>368</v>
      </c>
      <c r="BN371" s="345">
        <v>308.02999999999997</v>
      </c>
      <c r="BO371" s="345" t="s">
        <v>310</v>
      </c>
      <c r="BT371" s="347">
        <v>1103.57</v>
      </c>
      <c r="BU371" s="347" t="s">
        <v>310</v>
      </c>
      <c r="BW371" s="348" t="str">
        <f t="array" ref="BW371">IFERROR(IF($BW$11="Metro",INDEX($BN$13:$BN$4972,SMALL(IF((County=$BO$13:$BO$4972),MATCH(ROW($BO$13:$BO$4972),ROW($BO$13:$BO$4972)),""),ROWS($A$13:$A371))),INDEX($BQ$13:$BQ$212,SMALL(IF((County=$BR$13:$BR$212),MATCH(ROW($BR$13:$BR$212),ROW($BR$13:$BR$212)),""),ROWS($A$13:$A371)))),"")</f>
        <v/>
      </c>
      <c r="BY371" s="348" t="str">
        <f t="array" ref="BY371">IFERROR(IF($BY$11="Yes",INDEX($BT$13:$BT$2950,SMALL(IF((County=$BU$13:$BU$2950),MATCH(ROW($BU$13:$BU$2950),ROW($BU$13:$BU$2950)),""),ROWS($A$13:$A371))),""),"")</f>
        <v/>
      </c>
      <c r="CA371" s="2298">
        <v>34609</v>
      </c>
      <c r="CB371" s="345" t="s">
        <v>335</v>
      </c>
      <c r="CD371" s="237">
        <v>10.01</v>
      </c>
      <c r="CE371" s="237" t="s">
        <v>344</v>
      </c>
      <c r="CJ371" s="347">
        <v>20.13</v>
      </c>
      <c r="CK371" s="347" t="s">
        <v>368</v>
      </c>
      <c r="CL371" s="1789"/>
      <c r="CM371" s="2299"/>
      <c r="CN371" s="345"/>
      <c r="CR371" s="345"/>
      <c r="CS371" s="345"/>
      <c r="CX371" s="347"/>
      <c r="CY371" s="347"/>
      <c r="DA371" s="348"/>
      <c r="DC371" s="348"/>
      <c r="DE371" s="1792"/>
      <c r="DF371" s="345"/>
      <c r="DH371" s="237"/>
      <c r="DI371" s="237"/>
      <c r="DN371" s="347"/>
      <c r="DO371" s="347"/>
      <c r="DP371" s="2505"/>
      <c r="DT371" s="663"/>
      <c r="DU371" s="663"/>
      <c r="DV371" s="663"/>
      <c r="DW371" s="663"/>
      <c r="DX371" s="663"/>
      <c r="DY371" s="663"/>
      <c r="DZ371" s="663"/>
      <c r="EA371" s="663"/>
      <c r="EB371" s="663"/>
      <c r="EC371" s="663"/>
      <c r="ED371" s="663"/>
    </row>
    <row r="372" spans="6:134">
      <c r="F372" s="345">
        <v>8.0399999999999991</v>
      </c>
      <c r="G372" s="345" t="s">
        <v>352</v>
      </c>
      <c r="L372" s="347">
        <v>4.0199999999999996</v>
      </c>
      <c r="M372" s="347" t="s">
        <v>318</v>
      </c>
      <c r="V372" s="345">
        <v>108.12</v>
      </c>
      <c r="W372" s="345" t="s">
        <v>337</v>
      </c>
      <c r="AB372" s="347">
        <v>26.04</v>
      </c>
      <c r="AC372" s="347" t="s">
        <v>350</v>
      </c>
      <c r="AD372" s="1138"/>
      <c r="AJ372" s="345">
        <v>4.17</v>
      </c>
      <c r="AK372" s="345" t="s">
        <v>352</v>
      </c>
      <c r="AP372" s="347">
        <v>1103.6099999999999</v>
      </c>
      <c r="AQ372" s="347" t="s">
        <v>310</v>
      </c>
      <c r="AU372" s="348" t="str">
        <f t="array" ref="AU372">IFERROR(IF($AU$11="Yes",INDEX($AP$13:$AP$2950,SMALL(IF((County=$AQ$13:$AQ$2950),MATCH(ROW($AQ$13:$AQ$2950),ROW($AQ$13:$AQ$2950)),""),ROWS($A$13:$A372))),""),"")</f>
        <v/>
      </c>
      <c r="AZ372" s="345">
        <v>90.2</v>
      </c>
      <c r="BA372" s="345" t="s">
        <v>352</v>
      </c>
      <c r="BF372" s="347">
        <v>20.11</v>
      </c>
      <c r="BG372" s="347" t="s">
        <v>349</v>
      </c>
      <c r="BH372" s="1790"/>
      <c r="BI372" s="2298">
        <v>34286</v>
      </c>
      <c r="BJ372" s="237" t="s">
        <v>368</v>
      </c>
      <c r="BN372" s="345">
        <v>308.04000000000002</v>
      </c>
      <c r="BO372" s="345" t="s">
        <v>310</v>
      </c>
      <c r="BT372" s="347">
        <v>1103.58</v>
      </c>
      <c r="BU372" s="347" t="s">
        <v>310</v>
      </c>
      <c r="BW372" s="348" t="str">
        <f t="array" ref="BW372">IFERROR(IF($BW$11="Metro",INDEX($BN$13:$BN$4972,SMALL(IF((County=$BO$13:$BO$4972),MATCH(ROW($BO$13:$BO$4972),ROW($BO$13:$BO$4972)),""),ROWS($A$13:$A372))),INDEX($BQ$13:$BQ$212,SMALL(IF((County=$BR$13:$BR$212),MATCH(ROW($BR$13:$BR$212),ROW($BR$13:$BR$212)),""),ROWS($A$13:$A372)))),"")</f>
        <v/>
      </c>
      <c r="BY372" s="348" t="str">
        <f t="array" ref="BY372">IFERROR(IF($BY$11="Yes",INDEX($BT$13:$BT$2950,SMALL(IF((County=$BU$13:$BU$2950),MATCH(ROW($BU$13:$BU$2950),ROW($BU$13:$BU$2950)),""),ROWS($A$13:$A372))),""),"")</f>
        <v/>
      </c>
      <c r="CA372" s="2298">
        <v>34637</v>
      </c>
      <c r="CB372" s="345" t="s">
        <v>362</v>
      </c>
      <c r="CD372" s="237">
        <v>10.01</v>
      </c>
      <c r="CE372" s="237" t="s">
        <v>345</v>
      </c>
      <c r="CJ372" s="347">
        <v>20.14</v>
      </c>
      <c r="CK372" s="347" t="s">
        <v>349</v>
      </c>
      <c r="CL372" s="1789"/>
      <c r="CM372" s="2299"/>
      <c r="CN372" s="345"/>
      <c r="CR372" s="345"/>
      <c r="CS372" s="345"/>
      <c r="CX372" s="347"/>
      <c r="CY372" s="347"/>
      <c r="DA372" s="348"/>
      <c r="DC372" s="348"/>
      <c r="DE372" s="1792"/>
      <c r="DF372" s="345"/>
      <c r="DH372" s="237"/>
      <c r="DI372" s="237"/>
      <c r="DN372" s="347"/>
      <c r="DO372" s="347"/>
      <c r="DP372" s="2505"/>
      <c r="DT372" s="663"/>
      <c r="DU372" s="663"/>
      <c r="DV372" s="663"/>
      <c r="DW372" s="663"/>
      <c r="DX372" s="663"/>
      <c r="DY372" s="663"/>
      <c r="DZ372" s="663"/>
      <c r="EA372" s="663"/>
      <c r="EB372" s="663"/>
      <c r="EC372" s="663"/>
      <c r="ED372" s="663"/>
    </row>
    <row r="373" spans="6:134">
      <c r="F373" s="345">
        <v>8.0500000000000007</v>
      </c>
      <c r="G373" s="345" t="s">
        <v>352</v>
      </c>
      <c r="L373" s="347">
        <v>5</v>
      </c>
      <c r="M373" s="347" t="s">
        <v>318</v>
      </c>
      <c r="V373" s="345">
        <v>108.13</v>
      </c>
      <c r="W373" s="345" t="s">
        <v>337</v>
      </c>
      <c r="AB373" s="347">
        <v>26.05</v>
      </c>
      <c r="AC373" s="347" t="s">
        <v>325</v>
      </c>
      <c r="AD373" s="1138"/>
      <c r="AJ373" s="345">
        <v>4.18</v>
      </c>
      <c r="AK373" s="345" t="s">
        <v>352</v>
      </c>
      <c r="AP373" s="347">
        <v>1103.6300000000001</v>
      </c>
      <c r="AQ373" s="347" t="s">
        <v>310</v>
      </c>
      <c r="AU373" s="348" t="str">
        <f t="array" ref="AU373">IFERROR(IF($AU$11="Yes",INDEX($AP$13:$AP$2950,SMALL(IF((County=$AQ$13:$AQ$2950),MATCH(ROW($AQ$13:$AQ$2950),ROW($AQ$13:$AQ$2950)),""),ROWS($A$13:$A373))),""),"")</f>
        <v/>
      </c>
      <c r="AZ373" s="345">
        <v>90.21</v>
      </c>
      <c r="BA373" s="345" t="s">
        <v>352</v>
      </c>
      <c r="BF373" s="347">
        <v>20.12</v>
      </c>
      <c r="BG373" s="347" t="s">
        <v>349</v>
      </c>
      <c r="BH373" s="1790"/>
      <c r="BI373" s="2298">
        <v>34288</v>
      </c>
      <c r="BJ373" s="237" t="s">
        <v>368</v>
      </c>
      <c r="BN373" s="345">
        <v>308.05</v>
      </c>
      <c r="BO373" s="345" t="s">
        <v>310</v>
      </c>
      <c r="BT373" s="347">
        <v>1103.5899999999999</v>
      </c>
      <c r="BU373" s="347" t="s">
        <v>310</v>
      </c>
      <c r="BW373" s="348" t="str">
        <f t="array" ref="BW373">IFERROR(IF($BW$11="Metro",INDEX($BN$13:$BN$4972,SMALL(IF((County=$BO$13:$BO$4972),MATCH(ROW($BO$13:$BO$4972),ROW($BO$13:$BO$4972)),""),ROWS($A$13:$A373))),INDEX($BQ$13:$BQ$212,SMALL(IF((County=$BR$13:$BR$212),MATCH(ROW($BR$13:$BR$212),ROW($BR$13:$BR$212)),""),ROWS($A$13:$A373)))),"")</f>
        <v/>
      </c>
      <c r="BY373" s="348" t="str">
        <f t="array" ref="BY373">IFERROR(IF($BY$11="Yes",INDEX($BT$13:$BT$2950,SMALL(IF((County=$BU$13:$BU$2950),MATCH(ROW($BU$13:$BU$2950),ROW($BU$13:$BU$2950)),""),ROWS($A$13:$A373))),""),"")</f>
        <v/>
      </c>
      <c r="CA373" s="2298">
        <v>34638</v>
      </c>
      <c r="CB373" s="345" t="s">
        <v>362</v>
      </c>
      <c r="CD373" s="237">
        <v>10.01</v>
      </c>
      <c r="CE373" s="237" t="s">
        <v>349</v>
      </c>
      <c r="CJ373" s="347">
        <v>20.14</v>
      </c>
      <c r="CK373" s="347" t="s">
        <v>368</v>
      </c>
      <c r="CL373" s="1789"/>
      <c r="CM373" s="2299"/>
      <c r="CN373" s="345"/>
      <c r="CR373" s="345"/>
      <c r="CS373" s="345"/>
      <c r="CX373" s="347"/>
      <c r="CY373" s="347"/>
      <c r="DA373" s="348"/>
      <c r="DC373" s="348"/>
      <c r="DE373" s="1792"/>
      <c r="DF373" s="345"/>
      <c r="DH373" s="237"/>
      <c r="DI373" s="237"/>
      <c r="DN373" s="347"/>
      <c r="DO373" s="347"/>
      <c r="DP373" s="2505"/>
      <c r="DT373" s="663"/>
      <c r="DU373" s="663"/>
      <c r="DV373" s="663"/>
      <c r="DW373" s="663"/>
      <c r="DX373" s="663"/>
      <c r="DY373" s="663"/>
      <c r="DZ373" s="663"/>
      <c r="EA373" s="663"/>
      <c r="EB373" s="663"/>
      <c r="EC373" s="663"/>
      <c r="ED373" s="663"/>
    </row>
    <row r="374" spans="6:134">
      <c r="F374" s="345">
        <v>8.06</v>
      </c>
      <c r="G374" s="345" t="s">
        <v>352</v>
      </c>
      <c r="L374" s="347">
        <v>6</v>
      </c>
      <c r="M374" s="347" t="s">
        <v>318</v>
      </c>
      <c r="V374" s="345">
        <v>108.14</v>
      </c>
      <c r="W374" s="345" t="s">
        <v>337</v>
      </c>
      <c r="AB374" s="347">
        <v>26.05</v>
      </c>
      <c r="AC374" s="347" t="s">
        <v>345</v>
      </c>
      <c r="AD374" s="1138"/>
      <c r="AJ374" s="345">
        <v>5.04</v>
      </c>
      <c r="AK374" s="345" t="s">
        <v>352</v>
      </c>
      <c r="AP374" s="347">
        <v>1103.6400000000001</v>
      </c>
      <c r="AQ374" s="347" t="s">
        <v>310</v>
      </c>
      <c r="AU374" s="348" t="str">
        <f t="array" ref="AU374">IFERROR(IF($AU$11="Yes",INDEX($AP$13:$AP$2950,SMALL(IF((County=$AQ$13:$AQ$2950),MATCH(ROW($AQ$13:$AQ$2950),ROW($AQ$13:$AQ$2950)),""),ROWS($A$13:$A374))),""),"")</f>
        <v/>
      </c>
      <c r="AZ374" s="345">
        <v>90.26</v>
      </c>
      <c r="BA374" s="345" t="s">
        <v>352</v>
      </c>
      <c r="BF374" s="347">
        <v>20.12</v>
      </c>
      <c r="BG374" s="347" t="s">
        <v>368</v>
      </c>
      <c r="BH374" s="1790"/>
      <c r="BI374" s="2298">
        <v>34291</v>
      </c>
      <c r="BJ374" s="237" t="s">
        <v>368</v>
      </c>
      <c r="BN374" s="345">
        <v>308.06</v>
      </c>
      <c r="BO374" s="345" t="s">
        <v>310</v>
      </c>
      <c r="BT374" s="347">
        <v>1103.5999999999999</v>
      </c>
      <c r="BU374" s="347" t="s">
        <v>310</v>
      </c>
      <c r="BW374" s="348" t="str">
        <f t="array" ref="BW374">IFERROR(IF($BW$11="Metro",INDEX($BN$13:$BN$4972,SMALL(IF((County=$BO$13:$BO$4972),MATCH(ROW($BO$13:$BO$4972),ROW($BO$13:$BO$4972)),""),ROWS($A$13:$A374))),INDEX($BQ$13:$BQ$212,SMALL(IF((County=$BR$13:$BR$212),MATCH(ROW($BR$13:$BR$212),ROW($BR$13:$BR$212)),""),ROWS($A$13:$A374)))),"")</f>
        <v/>
      </c>
      <c r="BY374" s="348" t="str">
        <f t="array" ref="BY374">IFERROR(IF($BY$11="Yes",INDEX($BT$13:$BT$2950,SMALL(IF((County=$BU$13:$BU$2950),MATCH(ROW($BU$13:$BU$2950),ROW($BU$13:$BU$2950)),""),ROWS($A$13:$A374))),""),"")</f>
        <v/>
      </c>
      <c r="CA374" s="2298">
        <v>34639</v>
      </c>
      <c r="CB374" s="345" t="s">
        <v>362</v>
      </c>
      <c r="CD374" s="237">
        <v>10.02</v>
      </c>
      <c r="CE374" s="237" t="s">
        <v>325</v>
      </c>
      <c r="CJ374" s="347">
        <v>20.149999999999999</v>
      </c>
      <c r="CK374" s="347" t="s">
        <v>368</v>
      </c>
      <c r="CL374" s="1789"/>
      <c r="CM374" s="2299"/>
      <c r="CN374" s="345"/>
      <c r="CR374" s="345"/>
      <c r="CS374" s="345"/>
      <c r="CX374" s="347"/>
      <c r="CY374" s="347"/>
      <c r="DA374" s="348"/>
      <c r="DC374" s="348"/>
      <c r="DE374" s="1792"/>
      <c r="DF374" s="345"/>
      <c r="DH374" s="237"/>
      <c r="DI374" s="237"/>
      <c r="DN374" s="347"/>
      <c r="DO374" s="347"/>
      <c r="DP374" s="2505"/>
      <c r="DT374" s="663"/>
      <c r="DU374" s="663"/>
      <c r="DV374" s="663"/>
      <c r="DW374" s="663"/>
      <c r="DX374" s="663"/>
      <c r="DY374" s="663"/>
      <c r="DZ374" s="663"/>
      <c r="EA374" s="663"/>
      <c r="EB374" s="663"/>
      <c r="EC374" s="663"/>
      <c r="ED374" s="663"/>
    </row>
    <row r="375" spans="6:134">
      <c r="F375" s="345">
        <v>8.07</v>
      </c>
      <c r="G375" s="345" t="s">
        <v>352</v>
      </c>
      <c r="L375" s="347">
        <v>101.02</v>
      </c>
      <c r="M375" s="347" t="s">
        <v>318</v>
      </c>
      <c r="V375" s="345">
        <v>108.15</v>
      </c>
      <c r="W375" s="345" t="s">
        <v>337</v>
      </c>
      <c r="AB375" s="347">
        <v>26.05</v>
      </c>
      <c r="AC375" s="347" t="s">
        <v>350</v>
      </c>
      <c r="AD375" s="1138"/>
      <c r="AJ375" s="345">
        <v>5.05</v>
      </c>
      <c r="AK375" s="345" t="s">
        <v>352</v>
      </c>
      <c r="AP375" s="347">
        <v>1103.6500000000001</v>
      </c>
      <c r="AQ375" s="347" t="s">
        <v>310</v>
      </c>
      <c r="AU375" s="348" t="str">
        <f t="array" ref="AU375">IFERROR(IF($AU$11="Yes",INDEX($AP$13:$AP$2950,SMALL(IF((County=$AQ$13:$AQ$2950),MATCH(ROW($AQ$13:$AQ$2950),ROW($AQ$13:$AQ$2950)),""),ROWS($A$13:$A375))),""),"")</f>
        <v/>
      </c>
      <c r="AZ375" s="345">
        <v>91.02</v>
      </c>
      <c r="BA375" s="345" t="s">
        <v>352</v>
      </c>
      <c r="BF375" s="347">
        <v>20.13</v>
      </c>
      <c r="BG375" s="347" t="s">
        <v>368</v>
      </c>
      <c r="BH375" s="1790"/>
      <c r="BI375" s="2298">
        <v>34292</v>
      </c>
      <c r="BJ375" s="237" t="s">
        <v>368</v>
      </c>
      <c r="BN375" s="345">
        <v>309.02</v>
      </c>
      <c r="BO375" s="345" t="s">
        <v>310</v>
      </c>
      <c r="BT375" s="347">
        <v>1103.6099999999999</v>
      </c>
      <c r="BU375" s="347" t="s">
        <v>310</v>
      </c>
      <c r="BW375" s="348" t="str">
        <f t="array" ref="BW375">IFERROR(IF($BW$11="Metro",INDEX($BN$13:$BN$4972,SMALL(IF((County=$BO$13:$BO$4972),MATCH(ROW($BO$13:$BO$4972),ROW($BO$13:$BO$4972)),""),ROWS($A$13:$A375))),INDEX($BQ$13:$BQ$212,SMALL(IF((County=$BR$13:$BR$212),MATCH(ROW($BR$13:$BR$212),ROW($BR$13:$BR$212)),""),ROWS($A$13:$A375)))),"")</f>
        <v/>
      </c>
      <c r="BY375" s="348" t="str">
        <f t="array" ref="BY375">IFERROR(IF($BY$11="Yes",INDEX($BT$13:$BT$2950,SMALL(IF((County=$BU$13:$BU$2950),MATCH(ROW($BU$13:$BU$2950),ROW($BU$13:$BU$2950)),""),ROWS($A$13:$A375))),""),"")</f>
        <v/>
      </c>
      <c r="CA375" s="2298">
        <v>34654</v>
      </c>
      <c r="CB375" s="345" t="s">
        <v>362</v>
      </c>
      <c r="CD375" s="237">
        <v>10.02</v>
      </c>
      <c r="CE375" s="237" t="s">
        <v>337</v>
      </c>
      <c r="CJ375" s="347">
        <v>20.16</v>
      </c>
      <c r="CK375" s="347" t="s">
        <v>349</v>
      </c>
      <c r="CL375" s="1789"/>
      <c r="CM375" s="2299"/>
      <c r="CN375" s="345"/>
      <c r="CR375" s="345"/>
      <c r="CS375" s="345"/>
      <c r="CX375" s="347"/>
      <c r="CY375" s="347"/>
      <c r="DA375" s="348"/>
      <c r="DC375" s="348"/>
      <c r="DE375" s="1792"/>
      <c r="DF375" s="345"/>
      <c r="DH375" s="237"/>
      <c r="DI375" s="237"/>
      <c r="DN375" s="347"/>
      <c r="DO375" s="347"/>
      <c r="DP375" s="2505"/>
      <c r="DT375" s="663"/>
      <c r="DU375" s="663"/>
      <c r="DV375" s="663"/>
      <c r="DW375" s="663"/>
      <c r="DX375" s="663"/>
      <c r="DY375" s="663"/>
      <c r="DZ375" s="663"/>
      <c r="EA375" s="663"/>
      <c r="EB375" s="663"/>
      <c r="EC375" s="663"/>
      <c r="ED375" s="663"/>
    </row>
    <row r="376" spans="6:134">
      <c r="F376" s="345">
        <v>8.08</v>
      </c>
      <c r="G376" s="345" t="s">
        <v>352</v>
      </c>
      <c r="L376" s="347">
        <v>101.05</v>
      </c>
      <c r="M376" s="347" t="s">
        <v>318</v>
      </c>
      <c r="V376" s="345">
        <v>108.16</v>
      </c>
      <c r="W376" s="345" t="s">
        <v>337</v>
      </c>
      <c r="AB376" s="347">
        <v>26.06</v>
      </c>
      <c r="AC376" s="347" t="s">
        <v>306</v>
      </c>
      <c r="AD376" s="1138"/>
      <c r="AJ376" s="345">
        <v>5.0599999999999996</v>
      </c>
      <c r="AK376" s="345" t="s">
        <v>352</v>
      </c>
      <c r="AP376" s="347">
        <v>1103.68</v>
      </c>
      <c r="AQ376" s="347" t="s">
        <v>310</v>
      </c>
      <c r="AU376" s="348" t="str">
        <f t="array" ref="AU376">IFERROR(IF($AU$11="Yes",INDEX($AP$13:$AP$2950,SMALL(IF((County=$AQ$13:$AQ$2950),MATCH(ROW($AQ$13:$AQ$2950),ROW($AQ$13:$AQ$2950)),""),ROWS($A$13:$A376))),""),"")</f>
        <v/>
      </c>
      <c r="AZ376" s="345">
        <v>93.14</v>
      </c>
      <c r="BA376" s="345" t="s">
        <v>352</v>
      </c>
      <c r="BF376" s="347">
        <v>20.14</v>
      </c>
      <c r="BG376" s="347" t="s">
        <v>349</v>
      </c>
      <c r="BH376" s="1790"/>
      <c r="BI376" s="2298">
        <v>34293</v>
      </c>
      <c r="BJ376" s="237" t="s">
        <v>368</v>
      </c>
      <c r="BN376" s="345">
        <v>309.02999999999997</v>
      </c>
      <c r="BO376" s="345" t="s">
        <v>310</v>
      </c>
      <c r="BT376" s="347">
        <v>1103.6199999999999</v>
      </c>
      <c r="BU376" s="347" t="s">
        <v>310</v>
      </c>
      <c r="BW376" s="348" t="str">
        <f t="array" ref="BW376">IFERROR(IF($BW$11="Metro",INDEX($BN$13:$BN$4972,SMALL(IF((County=$BO$13:$BO$4972),MATCH(ROW($BO$13:$BO$4972),ROW($BO$13:$BO$4972)),""),ROWS($A$13:$A376))),INDEX($BQ$13:$BQ$212,SMALL(IF((County=$BR$13:$BR$212),MATCH(ROW($BR$13:$BR$212),ROW($BR$13:$BR$212)),""),ROWS($A$13:$A376)))),"")</f>
        <v/>
      </c>
      <c r="BY376" s="348" t="str">
        <f t="array" ref="BY376">IFERROR(IF($BY$11="Yes",INDEX($BT$13:$BT$2950,SMALL(IF((County=$BU$13:$BU$2950),MATCH(ROW($BU$13:$BU$2950),ROW($BU$13:$BU$2950)),""),ROWS($A$13:$A376))),""),"")</f>
        <v/>
      </c>
      <c r="CA376" s="2298">
        <v>34655</v>
      </c>
      <c r="CB376" s="345" t="s">
        <v>362</v>
      </c>
      <c r="CD376" s="237">
        <v>10.02</v>
      </c>
      <c r="CE376" s="237" t="s">
        <v>344</v>
      </c>
      <c r="CJ376" s="347">
        <v>20.16</v>
      </c>
      <c r="CK376" s="347" t="s">
        <v>368</v>
      </c>
      <c r="CL376" s="1789"/>
      <c r="CM376" s="2299"/>
      <c r="CN376" s="345"/>
      <c r="CR376" s="345"/>
      <c r="CS376" s="345"/>
      <c r="CX376" s="347"/>
      <c r="CY376" s="347"/>
      <c r="DA376" s="348"/>
      <c r="DC376" s="348"/>
      <c r="DE376" s="1792"/>
      <c r="DF376" s="345"/>
      <c r="DH376" s="237"/>
      <c r="DI376" s="237"/>
      <c r="DN376" s="347"/>
      <c r="DO376" s="347"/>
      <c r="DP376" s="2505"/>
      <c r="DT376" s="663"/>
      <c r="DU376" s="663"/>
      <c r="DV376" s="663"/>
      <c r="DW376" s="663"/>
      <c r="DX376" s="663"/>
      <c r="DY376" s="663"/>
      <c r="DZ376" s="663"/>
      <c r="EA376" s="663"/>
      <c r="EB376" s="663"/>
      <c r="EC376" s="663"/>
      <c r="ED376" s="663"/>
    </row>
    <row r="377" spans="6:134">
      <c r="F377" s="345">
        <v>9.02</v>
      </c>
      <c r="G377" s="345" t="s">
        <v>352</v>
      </c>
      <c r="L377" s="347">
        <v>101.06</v>
      </c>
      <c r="M377" s="347" t="s">
        <v>318</v>
      </c>
      <c r="V377" s="345">
        <v>108.17</v>
      </c>
      <c r="W377" s="345" t="s">
        <v>337</v>
      </c>
      <c r="AB377" s="347">
        <v>26.06</v>
      </c>
      <c r="AC377" s="347" t="s">
        <v>345</v>
      </c>
      <c r="AD377" s="1138"/>
      <c r="AJ377" s="345">
        <v>5.07</v>
      </c>
      <c r="AK377" s="345" t="s">
        <v>352</v>
      </c>
      <c r="AP377" s="347">
        <v>1104.02</v>
      </c>
      <c r="AQ377" s="347" t="s">
        <v>310</v>
      </c>
      <c r="AU377" s="348" t="str">
        <f t="array" ref="AU377">IFERROR(IF($AU$11="Yes",INDEX($AP$13:$AP$2950,SMALL(IF((County=$AQ$13:$AQ$2950),MATCH(ROW($AQ$13:$AQ$2950),ROW($AQ$13:$AQ$2950)),""),ROWS($A$13:$A377))),""),"")</f>
        <v/>
      </c>
      <c r="AZ377" s="345">
        <v>93.15</v>
      </c>
      <c r="BA377" s="345" t="s">
        <v>352</v>
      </c>
      <c r="BF377" s="347">
        <v>20.14</v>
      </c>
      <c r="BG377" s="347" t="s">
        <v>368</v>
      </c>
      <c r="BH377" s="1790"/>
      <c r="BI377" s="2298">
        <v>32701</v>
      </c>
      <c r="BJ377" s="237" t="s">
        <v>369</v>
      </c>
      <c r="BN377" s="345">
        <v>309.04000000000002</v>
      </c>
      <c r="BO377" s="345" t="s">
        <v>310</v>
      </c>
      <c r="BT377" s="347">
        <v>1103.6300000000001</v>
      </c>
      <c r="BU377" s="347" t="s">
        <v>310</v>
      </c>
      <c r="BW377" s="348" t="str">
        <f t="array" ref="BW377">IFERROR(IF($BW$11="Metro",INDEX($BN$13:$BN$4972,SMALL(IF((County=$BO$13:$BO$4972),MATCH(ROW($BO$13:$BO$4972),ROW($BO$13:$BO$4972)),""),ROWS($A$13:$A377))),INDEX($BQ$13:$BQ$212,SMALL(IF((County=$BR$13:$BR$212),MATCH(ROW($BR$13:$BR$212),ROW($BR$13:$BR$212)),""),ROWS($A$13:$A377)))),"")</f>
        <v/>
      </c>
      <c r="BY377" s="348" t="str">
        <f t="array" ref="BY377">IFERROR(IF($BY$11="Yes",INDEX($BT$13:$BT$2950,SMALL(IF((County=$BU$13:$BU$2950),MATCH(ROW($BU$13:$BU$2950),ROW($BU$13:$BU$2950)),""),ROWS($A$13:$A377))),""),"")</f>
        <v/>
      </c>
      <c r="CA377" s="2298">
        <v>34677</v>
      </c>
      <c r="CB377" s="345" t="s">
        <v>363</v>
      </c>
      <c r="CD377" s="237">
        <v>10.02</v>
      </c>
      <c r="CE377" s="237" t="s">
        <v>345</v>
      </c>
      <c r="CJ377" s="347">
        <v>20.170000000000002</v>
      </c>
      <c r="CK377" s="347" t="s">
        <v>349</v>
      </c>
      <c r="CL377" s="1789"/>
      <c r="CM377" s="2299"/>
      <c r="CN377" s="345"/>
      <c r="CR377" s="345"/>
      <c r="CS377" s="345"/>
      <c r="CX377" s="347"/>
      <c r="CY377" s="347"/>
      <c r="DA377" s="348"/>
      <c r="DC377" s="348"/>
      <c r="DE377" s="1792"/>
      <c r="DF377" s="345"/>
      <c r="DH377" s="237"/>
      <c r="DI377" s="237"/>
      <c r="DN377" s="347"/>
      <c r="DO377" s="347"/>
      <c r="DP377" s="2505"/>
      <c r="DT377" s="663"/>
      <c r="DU377" s="663"/>
      <c r="DV377" s="663"/>
      <c r="DW377" s="663"/>
      <c r="DX377" s="663"/>
      <c r="DY377" s="663"/>
      <c r="DZ377" s="663"/>
      <c r="EA377" s="663"/>
      <c r="EB377" s="663"/>
      <c r="EC377" s="663"/>
      <c r="ED377" s="663"/>
    </row>
    <row r="378" spans="6:134">
      <c r="F378" s="345">
        <v>9.0299999999999994</v>
      </c>
      <c r="G378" s="345" t="s">
        <v>352</v>
      </c>
      <c r="L378" s="347">
        <v>101.07</v>
      </c>
      <c r="M378" s="347" t="s">
        <v>318</v>
      </c>
      <c r="V378" s="345">
        <v>108.18</v>
      </c>
      <c r="W378" s="345" t="s">
        <v>337</v>
      </c>
      <c r="AB378" s="347">
        <v>26.06</v>
      </c>
      <c r="AC378" s="347" t="s">
        <v>350</v>
      </c>
      <c r="AD378" s="1138"/>
      <c r="AJ378" s="345">
        <v>5.08</v>
      </c>
      <c r="AK378" s="345" t="s">
        <v>352</v>
      </c>
      <c r="AP378" s="347">
        <v>1105.01</v>
      </c>
      <c r="AQ378" s="347" t="s">
        <v>310</v>
      </c>
      <c r="AU378" s="348" t="str">
        <f t="array" ref="AU378">IFERROR(IF($AU$11="Yes",INDEX($AP$13:$AP$2950,SMALL(IF((County=$AQ$13:$AQ$2950),MATCH(ROW($AQ$13:$AQ$2950),ROW($AQ$13:$AQ$2950)),""),ROWS($A$13:$A378))),""),"")</f>
        <v/>
      </c>
      <c r="AZ378" s="345">
        <v>93.16</v>
      </c>
      <c r="BA378" s="345" t="s">
        <v>352</v>
      </c>
      <c r="BF378" s="347">
        <v>20.16</v>
      </c>
      <c r="BG378" s="347" t="s">
        <v>349</v>
      </c>
      <c r="BH378" s="1790"/>
      <c r="BI378" s="2298">
        <v>32707</v>
      </c>
      <c r="BJ378" s="237" t="s">
        <v>369</v>
      </c>
      <c r="BN378" s="345">
        <v>310.01</v>
      </c>
      <c r="BO378" s="345" t="s">
        <v>310</v>
      </c>
      <c r="BT378" s="347">
        <v>1103.6400000000001</v>
      </c>
      <c r="BU378" s="347" t="s">
        <v>310</v>
      </c>
      <c r="BW378" s="348" t="str">
        <f t="array" ref="BW378">IFERROR(IF($BW$11="Metro",INDEX($BN$13:$BN$4972,SMALL(IF((County=$BO$13:$BO$4972),MATCH(ROW($BO$13:$BO$4972),ROW($BO$13:$BO$4972)),""),ROWS($A$13:$A378))),INDEX($BQ$13:$BQ$212,SMALL(IF((County=$BR$13:$BR$212),MATCH(ROW($BR$13:$BR$212),ROW($BR$13:$BR$212)),""),ROWS($A$13:$A378)))),"")</f>
        <v/>
      </c>
      <c r="BY378" s="348" t="str">
        <f t="array" ref="BY378">IFERROR(IF($BY$11="Yes",INDEX($BT$13:$BT$2950,SMALL(IF((County=$BU$13:$BU$2950),MATCH(ROW($BU$13:$BU$2950),ROW($BU$13:$BU$2950)),""),ROWS($A$13:$A378))),""),"")</f>
        <v/>
      </c>
      <c r="CA378" s="2298">
        <v>34681</v>
      </c>
      <c r="CB378" s="345" t="s">
        <v>363</v>
      </c>
      <c r="CD378" s="237">
        <v>10.02</v>
      </c>
      <c r="CE378" s="237" t="s">
        <v>349</v>
      </c>
      <c r="CJ378" s="347">
        <v>20.18</v>
      </c>
      <c r="CK378" s="347" t="s">
        <v>349</v>
      </c>
      <c r="CL378" s="1789"/>
      <c r="CM378" s="2299"/>
      <c r="CN378" s="345"/>
      <c r="CR378" s="345"/>
      <c r="CS378" s="345"/>
      <c r="CX378" s="347"/>
      <c r="CY378" s="347"/>
      <c r="DA378" s="348"/>
      <c r="DC378" s="348"/>
      <c r="DE378" s="1792"/>
      <c r="DF378" s="345"/>
      <c r="DH378" s="237"/>
      <c r="DI378" s="237"/>
      <c r="DN378" s="347"/>
      <c r="DO378" s="347"/>
      <c r="DP378" s="2505"/>
      <c r="DT378" s="663"/>
      <c r="DU378" s="663"/>
      <c r="DV378" s="663"/>
      <c r="DW378" s="663"/>
      <c r="DX378" s="663"/>
      <c r="DY378" s="663"/>
      <c r="DZ378" s="663"/>
      <c r="EA378" s="663"/>
      <c r="EB378" s="663"/>
      <c r="EC378" s="663"/>
      <c r="ED378" s="663"/>
    </row>
    <row r="379" spans="6:134">
      <c r="F379" s="345">
        <v>10.02</v>
      </c>
      <c r="G379" s="345" t="s">
        <v>352</v>
      </c>
      <c r="L379" s="347">
        <v>101.08</v>
      </c>
      <c r="M379" s="347" t="s">
        <v>318</v>
      </c>
      <c r="V379" s="345">
        <v>109</v>
      </c>
      <c r="W379" s="345" t="s">
        <v>352</v>
      </c>
      <c r="AB379" s="347">
        <v>26.07</v>
      </c>
      <c r="AC379" s="347" t="s">
        <v>306</v>
      </c>
      <c r="AD379" s="1138"/>
      <c r="AJ379" s="345">
        <v>5.09</v>
      </c>
      <c r="AK379" s="345" t="s">
        <v>352</v>
      </c>
      <c r="AP379" s="347">
        <v>1106</v>
      </c>
      <c r="AQ379" s="347" t="s">
        <v>310</v>
      </c>
      <c r="AU379" s="348" t="str">
        <f t="array" ref="AU379">IFERROR(IF($AU$11="Yes",INDEX($AP$13:$AP$2950,SMALL(IF((County=$AQ$13:$AQ$2950),MATCH(ROW($AQ$13:$AQ$2950),ROW($AQ$13:$AQ$2950)),""),ROWS($A$13:$A379))),""),"")</f>
        <v/>
      </c>
      <c r="AZ379" s="345">
        <v>93.17</v>
      </c>
      <c r="BA379" s="345" t="s">
        <v>352</v>
      </c>
      <c r="BF379" s="347">
        <v>20.16</v>
      </c>
      <c r="BG379" s="347" t="s">
        <v>368</v>
      </c>
      <c r="BH379" s="1790"/>
      <c r="BI379" s="2298">
        <v>32708</v>
      </c>
      <c r="BJ379" s="237" t="s">
        <v>369</v>
      </c>
      <c r="BN379" s="345">
        <v>310.02</v>
      </c>
      <c r="BO379" s="345" t="s">
        <v>310</v>
      </c>
      <c r="BT379" s="347">
        <v>1103.6500000000001</v>
      </c>
      <c r="BU379" s="347" t="s">
        <v>310</v>
      </c>
      <c r="BW379" s="348" t="str">
        <f t="array" ref="BW379">IFERROR(IF($BW$11="Metro",INDEX($BN$13:$BN$4972,SMALL(IF((County=$BO$13:$BO$4972),MATCH(ROW($BO$13:$BO$4972),ROW($BO$13:$BO$4972)),""),ROWS($A$13:$A379))),INDEX($BQ$13:$BQ$212,SMALL(IF((County=$BR$13:$BR$212),MATCH(ROW($BR$13:$BR$212),ROW($BR$13:$BR$212)),""),ROWS($A$13:$A379)))),"")</f>
        <v/>
      </c>
      <c r="BY379" s="348" t="str">
        <f t="array" ref="BY379">IFERROR(IF($BY$11="Yes",INDEX($BT$13:$BT$2950,SMALL(IF((County=$BU$13:$BU$2950),MATCH(ROW($BU$13:$BU$2950),ROW($BU$13:$BU$2950)),""),ROWS($A$13:$A379))),""),"")</f>
        <v/>
      </c>
      <c r="CA379" s="2298">
        <v>34683</v>
      </c>
      <c r="CB379" s="345" t="s">
        <v>363</v>
      </c>
      <c r="CD379" s="237">
        <v>10.02</v>
      </c>
      <c r="CE379" s="237" t="s">
        <v>361</v>
      </c>
      <c r="CJ379" s="347">
        <v>20.190000000000001</v>
      </c>
      <c r="CK379" s="347" t="s">
        <v>349</v>
      </c>
      <c r="CL379" s="1789"/>
      <c r="CM379" s="2299"/>
      <c r="CN379" s="345"/>
      <c r="CR379" s="345"/>
      <c r="CS379" s="345"/>
      <c r="CX379" s="347"/>
      <c r="CY379" s="347"/>
      <c r="DA379" s="348"/>
      <c r="DC379" s="348"/>
      <c r="DE379" s="1792"/>
      <c r="DF379" s="345"/>
      <c r="DH379" s="237"/>
      <c r="DI379" s="237"/>
      <c r="DN379" s="347"/>
      <c r="DO379" s="347"/>
      <c r="DP379" s="2505"/>
      <c r="DT379" s="663"/>
      <c r="DU379" s="663"/>
      <c r="DV379" s="663"/>
      <c r="DW379" s="663"/>
      <c r="DX379" s="663"/>
      <c r="DY379" s="663"/>
      <c r="DZ379" s="663"/>
      <c r="EA379" s="663"/>
      <c r="EB379" s="663"/>
      <c r="EC379" s="663"/>
      <c r="ED379" s="663"/>
    </row>
    <row r="380" spans="6:134">
      <c r="F380" s="345">
        <v>10.029999999999999</v>
      </c>
      <c r="G380" s="345" t="s">
        <v>352</v>
      </c>
      <c r="L380" s="347">
        <v>101.09</v>
      </c>
      <c r="M380" s="347" t="s">
        <v>318</v>
      </c>
      <c r="V380" s="345">
        <v>110</v>
      </c>
      <c r="W380" s="345" t="s">
        <v>323</v>
      </c>
      <c r="AB380" s="347">
        <v>26.08</v>
      </c>
      <c r="AC380" s="347" t="s">
        <v>306</v>
      </c>
      <c r="AD380" s="1138"/>
      <c r="AJ380" s="345">
        <v>6.01</v>
      </c>
      <c r="AK380" s="345" t="s">
        <v>352</v>
      </c>
      <c r="AP380" s="347">
        <v>101</v>
      </c>
      <c r="AQ380" s="347" t="s">
        <v>313</v>
      </c>
      <c r="AU380" s="348" t="str">
        <f t="array" ref="AU380">IFERROR(IF($AU$11="Yes",INDEX($AP$13:$AP$2950,SMALL(IF((County=$AQ$13:$AQ$2950),MATCH(ROW($AQ$13:$AQ$2950),ROW($AQ$13:$AQ$2950)),""),ROWS($A$13:$A380))),""),"")</f>
        <v/>
      </c>
      <c r="AZ380" s="345">
        <v>93.2</v>
      </c>
      <c r="BA380" s="345" t="s">
        <v>352</v>
      </c>
      <c r="BF380" s="347">
        <v>20.170000000000002</v>
      </c>
      <c r="BG380" s="347" t="s">
        <v>349</v>
      </c>
      <c r="BH380" s="1790"/>
      <c r="BI380" s="2298">
        <v>32714</v>
      </c>
      <c r="BJ380" s="237" t="s">
        <v>369</v>
      </c>
      <c r="BN380" s="345">
        <v>311.01</v>
      </c>
      <c r="BO380" s="345" t="s">
        <v>310</v>
      </c>
      <c r="BT380" s="347">
        <v>1103.68</v>
      </c>
      <c r="BU380" s="347" t="s">
        <v>310</v>
      </c>
      <c r="BW380" s="348" t="str">
        <f t="array" ref="BW380">IFERROR(IF($BW$11="Metro",INDEX($BN$13:$BN$4972,SMALL(IF((County=$BO$13:$BO$4972),MATCH(ROW($BO$13:$BO$4972),ROW($BO$13:$BO$4972)),""),ROWS($A$13:$A380))),INDEX($BQ$13:$BQ$212,SMALL(IF((County=$BR$13:$BR$212),MATCH(ROW($BR$13:$BR$212),ROW($BR$13:$BR$212)),""),ROWS($A$13:$A380)))),"")</f>
        <v/>
      </c>
      <c r="BY380" s="348" t="str">
        <f t="array" ref="BY380">IFERROR(IF($BY$11="Yes",INDEX($BT$13:$BT$2950,SMALL(IF((County=$BU$13:$BU$2950),MATCH(ROW($BU$13:$BU$2950),ROW($BU$13:$BU$2950)),""),ROWS($A$13:$A380))),""),"")</f>
        <v/>
      </c>
      <c r="CA380" s="2298">
        <v>34684</v>
      </c>
      <c r="CB380" s="345" t="s">
        <v>363</v>
      </c>
      <c r="CD380" s="237">
        <v>10.029999999999999</v>
      </c>
      <c r="CE380" s="237" t="s">
        <v>350</v>
      </c>
      <c r="CJ380" s="347">
        <v>20.2</v>
      </c>
      <c r="CK380" s="347" t="s">
        <v>349</v>
      </c>
      <c r="CL380" s="1789"/>
      <c r="CM380" s="2299"/>
      <c r="CN380" s="345"/>
      <c r="CR380" s="345"/>
      <c r="CS380" s="345"/>
      <c r="CX380" s="347"/>
      <c r="CY380" s="347"/>
      <c r="DA380" s="348"/>
      <c r="DC380" s="348"/>
      <c r="DE380" s="1792"/>
      <c r="DF380" s="345"/>
      <c r="DH380" s="237"/>
      <c r="DI380" s="237"/>
      <c r="DN380" s="347"/>
      <c r="DO380" s="347"/>
      <c r="DP380" s="2505"/>
      <c r="DT380" s="663"/>
      <c r="DU380" s="663"/>
      <c r="DV380" s="663"/>
      <c r="DW380" s="663"/>
      <c r="DX380" s="663"/>
      <c r="DY380" s="663"/>
      <c r="DZ380" s="663"/>
      <c r="EA380" s="663"/>
      <c r="EB380" s="663"/>
      <c r="EC380" s="663"/>
      <c r="ED380" s="663"/>
    </row>
    <row r="381" spans="6:134">
      <c r="F381" s="345">
        <v>10.039999999999999</v>
      </c>
      <c r="G381" s="345" t="s">
        <v>352</v>
      </c>
      <c r="L381" s="347">
        <v>102.05</v>
      </c>
      <c r="M381" s="347" t="s">
        <v>318</v>
      </c>
      <c r="V381" s="345">
        <v>110</v>
      </c>
      <c r="W381" s="345" t="s">
        <v>359</v>
      </c>
      <c r="AB381" s="347">
        <v>27</v>
      </c>
      <c r="AC381" s="347" t="s">
        <v>361</v>
      </c>
      <c r="AD381" s="1138"/>
      <c r="AJ381" s="345">
        <v>6.03</v>
      </c>
      <c r="AK381" s="345" t="s">
        <v>352</v>
      </c>
      <c r="AP381" s="347">
        <v>102</v>
      </c>
      <c r="AQ381" s="347" t="s">
        <v>313</v>
      </c>
      <c r="AU381" s="348" t="str">
        <f t="array" ref="AU381">IFERROR(IF($AU$11="Yes",INDEX($AP$13:$AP$2950,SMALL(IF((County=$AQ$13:$AQ$2950),MATCH(ROW($AQ$13:$AQ$2950),ROW($AQ$13:$AQ$2950)),""),ROWS($A$13:$A381))),""),"")</f>
        <v/>
      </c>
      <c r="AZ381" s="345">
        <v>93.21</v>
      </c>
      <c r="BA381" s="345" t="s">
        <v>352</v>
      </c>
      <c r="BF381" s="347">
        <v>20.18</v>
      </c>
      <c r="BG381" s="347" t="s">
        <v>349</v>
      </c>
      <c r="BH381" s="1790"/>
      <c r="BI381" s="2298">
        <v>32732</v>
      </c>
      <c r="BJ381" s="237" t="s">
        <v>369</v>
      </c>
      <c r="BN381" s="345">
        <v>311.02</v>
      </c>
      <c r="BO381" s="345" t="s">
        <v>310</v>
      </c>
      <c r="BT381" s="347">
        <v>1104.02</v>
      </c>
      <c r="BU381" s="347" t="s">
        <v>310</v>
      </c>
      <c r="BW381" s="348" t="str">
        <f t="array" ref="BW381">IFERROR(IF($BW$11="Metro",INDEX($BN$13:$BN$4972,SMALL(IF((County=$BO$13:$BO$4972),MATCH(ROW($BO$13:$BO$4972),ROW($BO$13:$BO$4972)),""),ROWS($A$13:$A381))),INDEX($BQ$13:$BQ$212,SMALL(IF((County=$BR$13:$BR$212),MATCH(ROW($BR$13:$BR$212),ROW($BR$13:$BR$212)),""),ROWS($A$13:$A381)))),"")</f>
        <v/>
      </c>
      <c r="BY381" s="348" t="str">
        <f t="array" ref="BY381">IFERROR(IF($BY$11="Yes",INDEX($BT$13:$BT$2950,SMALL(IF((County=$BU$13:$BU$2950),MATCH(ROW($BU$13:$BU$2950),ROW($BU$13:$BU$2950)),""),ROWS($A$13:$A381))),""),"")</f>
        <v/>
      </c>
      <c r="CA381" s="2298">
        <v>34685</v>
      </c>
      <c r="CB381" s="345" t="s">
        <v>363</v>
      </c>
      <c r="CD381" s="237">
        <v>10.029999999999999</v>
      </c>
      <c r="CE381" s="237" t="s">
        <v>352</v>
      </c>
      <c r="CJ381" s="347">
        <v>20.21</v>
      </c>
      <c r="CK381" s="347" t="s">
        <v>349</v>
      </c>
      <c r="CL381" s="1789"/>
      <c r="CM381" s="2299"/>
      <c r="CN381" s="345"/>
      <c r="CR381" s="345"/>
      <c r="CS381" s="345"/>
      <c r="CX381" s="347"/>
      <c r="CY381" s="347"/>
      <c r="DA381" s="348"/>
      <c r="DC381" s="348"/>
      <c r="DE381" s="1792"/>
      <c r="DF381" s="345"/>
      <c r="DH381" s="237"/>
      <c r="DI381" s="237"/>
      <c r="DN381" s="347"/>
      <c r="DO381" s="347"/>
      <c r="DP381" s="2505"/>
      <c r="DT381" s="663"/>
      <c r="DU381" s="663"/>
      <c r="DV381" s="663"/>
      <c r="DW381" s="663"/>
      <c r="DX381" s="663"/>
      <c r="DY381" s="663"/>
      <c r="DZ381" s="663"/>
      <c r="EA381" s="663"/>
      <c r="EB381" s="663"/>
      <c r="EC381" s="663"/>
      <c r="ED381" s="663"/>
    </row>
    <row r="382" spans="6:134">
      <c r="F382" s="345">
        <v>10.050000000000001</v>
      </c>
      <c r="G382" s="345" t="s">
        <v>352</v>
      </c>
      <c r="L382" s="347">
        <v>102.08</v>
      </c>
      <c r="M382" s="347" t="s">
        <v>318</v>
      </c>
      <c r="V382" s="345">
        <v>110</v>
      </c>
      <c r="W382" s="345" t="s">
        <v>365</v>
      </c>
      <c r="AB382" s="347">
        <v>27.01</v>
      </c>
      <c r="AC382" s="347" t="s">
        <v>306</v>
      </c>
      <c r="AD382" s="1138"/>
      <c r="AJ382" s="345">
        <v>6.07</v>
      </c>
      <c r="AK382" s="345" t="s">
        <v>352</v>
      </c>
      <c r="AP382" s="347">
        <v>103.01</v>
      </c>
      <c r="AQ382" s="347" t="s">
        <v>313</v>
      </c>
      <c r="AU382" s="348" t="str">
        <f t="array" ref="AU382">IFERROR(IF($AU$11="Yes",INDEX($AP$13:$AP$2950,SMALL(IF((County=$AQ$13:$AQ$2950),MATCH(ROW($AQ$13:$AQ$2950),ROW($AQ$13:$AQ$2950)),""),ROWS($A$13:$A382))),""),"")</f>
        <v/>
      </c>
      <c r="AZ382" s="345">
        <v>93.22</v>
      </c>
      <c r="BA382" s="345" t="s">
        <v>352</v>
      </c>
      <c r="BF382" s="347">
        <v>20.190000000000001</v>
      </c>
      <c r="BG382" s="347" t="s">
        <v>349</v>
      </c>
      <c r="BH382" s="1790"/>
      <c r="BI382" s="2298">
        <v>32746</v>
      </c>
      <c r="BJ382" s="237" t="s">
        <v>369</v>
      </c>
      <c r="BN382" s="345">
        <v>312.02999999999997</v>
      </c>
      <c r="BO382" s="345" t="s">
        <v>310</v>
      </c>
      <c r="BT382" s="347">
        <v>1105.01</v>
      </c>
      <c r="BU382" s="347" t="s">
        <v>310</v>
      </c>
      <c r="BW382" s="348" t="str">
        <f t="array" ref="BW382">IFERROR(IF($BW$11="Metro",INDEX($BN$13:$BN$4972,SMALL(IF((County=$BO$13:$BO$4972),MATCH(ROW($BO$13:$BO$4972),ROW($BO$13:$BO$4972)),""),ROWS($A$13:$A382))),INDEX($BQ$13:$BQ$212,SMALL(IF((County=$BR$13:$BR$212),MATCH(ROW($BR$13:$BR$212),ROW($BR$13:$BR$212)),""),ROWS($A$13:$A382)))),"")</f>
        <v/>
      </c>
      <c r="BY382" s="348" t="str">
        <f t="array" ref="BY382">IFERROR(IF($BY$11="Yes",INDEX($BT$13:$BT$2950,SMALL(IF((County=$BU$13:$BU$2950),MATCH(ROW($BU$13:$BU$2950),ROW($BU$13:$BU$2950)),""),ROWS($A$13:$A382))),""),"")</f>
        <v/>
      </c>
      <c r="CA382" s="2298">
        <v>34688</v>
      </c>
      <c r="CB382" s="345" t="s">
        <v>363</v>
      </c>
      <c r="CD382" s="237">
        <v>10.029999999999999</v>
      </c>
      <c r="CE382" s="237" t="s">
        <v>361</v>
      </c>
      <c r="CJ382" s="347">
        <v>20.22</v>
      </c>
      <c r="CK382" s="347" t="s">
        <v>349</v>
      </c>
      <c r="CL382" s="1789"/>
      <c r="CM382" s="2299"/>
      <c r="CN382" s="345"/>
      <c r="CR382" s="345"/>
      <c r="CS382" s="345"/>
      <c r="CX382" s="347"/>
      <c r="CY382" s="347"/>
      <c r="DA382" s="348"/>
      <c r="DC382" s="348"/>
      <c r="DE382" s="1792"/>
      <c r="DF382" s="345"/>
      <c r="DH382" s="237"/>
      <c r="DI382" s="237"/>
      <c r="DN382" s="347"/>
      <c r="DO382" s="347"/>
      <c r="DP382" s="2505"/>
      <c r="DT382" s="663"/>
      <c r="DU382" s="663"/>
      <c r="DV382" s="663"/>
      <c r="DW382" s="663"/>
      <c r="DX382" s="663"/>
      <c r="DY382" s="663"/>
      <c r="DZ382" s="663"/>
      <c r="EA382" s="663"/>
      <c r="EB382" s="663"/>
      <c r="EC382" s="663"/>
      <c r="ED382" s="663"/>
    </row>
    <row r="383" spans="6:134">
      <c r="F383" s="345">
        <v>10.06</v>
      </c>
      <c r="G383" s="345" t="s">
        <v>352</v>
      </c>
      <c r="L383" s="347">
        <v>102.09</v>
      </c>
      <c r="M383" s="347" t="s">
        <v>318</v>
      </c>
      <c r="V383" s="345">
        <v>110.01</v>
      </c>
      <c r="W383" s="345" t="s">
        <v>352</v>
      </c>
      <c r="AB383" s="347">
        <v>27.01</v>
      </c>
      <c r="AC383" s="347" t="s">
        <v>325</v>
      </c>
      <c r="AD383" s="1138"/>
      <c r="AJ383" s="345">
        <v>6.09</v>
      </c>
      <c r="AK383" s="345" t="s">
        <v>352</v>
      </c>
      <c r="AP383" s="347">
        <v>103.01</v>
      </c>
      <c r="AQ383" s="347" t="s">
        <v>315</v>
      </c>
      <c r="AU383" s="348" t="str">
        <f t="array" ref="AU383">IFERROR(IF($AU$11="Yes",INDEX($AP$13:$AP$2950,SMALL(IF((County=$AQ$13:$AQ$2950),MATCH(ROW($AQ$13:$AQ$2950),ROW($AQ$13:$AQ$2950)),""),ROWS($A$13:$A383))),""),"")</f>
        <v/>
      </c>
      <c r="AZ383" s="345">
        <v>93.23</v>
      </c>
      <c r="BA383" s="345" t="s">
        <v>352</v>
      </c>
      <c r="BF383" s="347">
        <v>20.2</v>
      </c>
      <c r="BG383" s="347" t="s">
        <v>349</v>
      </c>
      <c r="BH383" s="1790"/>
      <c r="BI383" s="2298">
        <v>32750</v>
      </c>
      <c r="BJ383" s="237" t="s">
        <v>369</v>
      </c>
      <c r="BN383" s="345">
        <v>312.04000000000002</v>
      </c>
      <c r="BO383" s="345" t="s">
        <v>310</v>
      </c>
      <c r="BT383" s="347">
        <v>1106</v>
      </c>
      <c r="BU383" s="347" t="s">
        <v>310</v>
      </c>
      <c r="BW383" s="348" t="str">
        <f t="array" ref="BW383">IFERROR(IF($BW$11="Metro",INDEX($BN$13:$BN$4972,SMALL(IF((County=$BO$13:$BO$4972),MATCH(ROW($BO$13:$BO$4972),ROW($BO$13:$BO$4972)),""),ROWS($A$13:$A383))),INDEX($BQ$13:$BQ$212,SMALL(IF((County=$BR$13:$BR$212),MATCH(ROW($BR$13:$BR$212),ROW($BR$13:$BR$212)),""),ROWS($A$13:$A383)))),"")</f>
        <v/>
      </c>
      <c r="BY383" s="348" t="str">
        <f t="array" ref="BY383">IFERROR(IF($BY$11="Yes",INDEX($BT$13:$BT$2950,SMALL(IF((County=$BU$13:$BU$2950),MATCH(ROW($BU$13:$BU$2950),ROW($BU$13:$BU$2950)),""),ROWS($A$13:$A383))),""),"")</f>
        <v/>
      </c>
      <c r="CA383" s="2298">
        <v>34695</v>
      </c>
      <c r="CB383" s="345" t="s">
        <v>363</v>
      </c>
      <c r="CD383" s="237">
        <v>10.039999999999999</v>
      </c>
      <c r="CE383" s="237" t="s">
        <v>352</v>
      </c>
      <c r="CJ383" s="347">
        <v>20.23</v>
      </c>
      <c r="CK383" s="347" t="s">
        <v>349</v>
      </c>
      <c r="CL383" s="1789"/>
      <c r="CM383" s="2299"/>
      <c r="CN383" s="345"/>
      <c r="CR383" s="345"/>
      <c r="CS383" s="345"/>
      <c r="CX383" s="347"/>
      <c r="CY383" s="347"/>
      <c r="DA383" s="348"/>
      <c r="DC383" s="348"/>
      <c r="DE383" s="1792"/>
      <c r="DF383" s="345"/>
      <c r="DH383" s="237"/>
      <c r="DI383" s="237"/>
      <c r="DN383" s="347"/>
      <c r="DO383" s="347"/>
      <c r="DP383" s="2505"/>
      <c r="DT383" s="663"/>
      <c r="DU383" s="663"/>
      <c r="DV383" s="663"/>
      <c r="DW383" s="663"/>
      <c r="DX383" s="663"/>
      <c r="DY383" s="663"/>
      <c r="DZ383" s="663"/>
      <c r="EA383" s="663"/>
      <c r="EB383" s="663"/>
      <c r="EC383" s="663"/>
      <c r="ED383" s="663"/>
    </row>
    <row r="384" spans="6:134">
      <c r="F384" s="345">
        <v>11.03</v>
      </c>
      <c r="G384" s="345" t="s">
        <v>352</v>
      </c>
      <c r="L384" s="347">
        <v>102.1</v>
      </c>
      <c r="M384" s="347" t="s">
        <v>318</v>
      </c>
      <c r="V384" s="345">
        <v>110.03</v>
      </c>
      <c r="W384" s="345" t="s">
        <v>352</v>
      </c>
      <c r="AB384" s="347">
        <v>27.02</v>
      </c>
      <c r="AC384" s="347" t="s">
        <v>306</v>
      </c>
      <c r="AD384" s="1138"/>
      <c r="AJ384" s="345">
        <v>6.1</v>
      </c>
      <c r="AK384" s="345" t="s">
        <v>352</v>
      </c>
      <c r="AP384" s="347">
        <v>104.01</v>
      </c>
      <c r="AQ384" s="347" t="s">
        <v>315</v>
      </c>
      <c r="AU384" s="348" t="str">
        <f t="array" ref="AU384">IFERROR(IF($AU$11="Yes",INDEX($AP$13:$AP$2950,SMALL(IF((County=$AQ$13:$AQ$2950),MATCH(ROW($AQ$13:$AQ$2950),ROW($AQ$13:$AQ$2950)),""),ROWS($A$13:$A384))),""),"")</f>
        <v/>
      </c>
      <c r="AZ384" s="345">
        <v>93.24</v>
      </c>
      <c r="BA384" s="345" t="s">
        <v>352</v>
      </c>
      <c r="BF384" s="347">
        <v>20.21</v>
      </c>
      <c r="BG384" s="347" t="s">
        <v>349</v>
      </c>
      <c r="BH384" s="1790"/>
      <c r="BI384" s="2298">
        <v>32765</v>
      </c>
      <c r="BJ384" s="237" t="s">
        <v>369</v>
      </c>
      <c r="BN384" s="345">
        <v>312.05</v>
      </c>
      <c r="BO384" s="345" t="s">
        <v>310</v>
      </c>
      <c r="BT384" s="347">
        <v>101</v>
      </c>
      <c r="BU384" s="347" t="s">
        <v>313</v>
      </c>
      <c r="BW384" s="348" t="str">
        <f t="array" ref="BW384">IFERROR(IF($BW$11="Metro",INDEX($BN$13:$BN$4972,SMALL(IF((County=$BO$13:$BO$4972),MATCH(ROW($BO$13:$BO$4972),ROW($BO$13:$BO$4972)),""),ROWS($A$13:$A384))),INDEX($BQ$13:$BQ$212,SMALL(IF((County=$BR$13:$BR$212),MATCH(ROW($BR$13:$BR$212),ROW($BR$13:$BR$212)),""),ROWS($A$13:$A384)))),"")</f>
        <v/>
      </c>
      <c r="BY384" s="348" t="str">
        <f t="array" ref="BY384">IFERROR(IF($BY$11="Yes",INDEX($BT$13:$BT$2950,SMALL(IF((County=$BU$13:$BU$2950),MATCH(ROW($BU$13:$BU$2950),ROW($BU$13:$BU$2950)),""),ROWS($A$13:$A384))),""),"")</f>
        <v/>
      </c>
      <c r="CA384" s="2298">
        <v>34698</v>
      </c>
      <c r="CB384" s="345" t="s">
        <v>363</v>
      </c>
      <c r="CD384" s="237">
        <v>10.039999999999999</v>
      </c>
      <c r="CE384" s="237" t="s">
        <v>361</v>
      </c>
      <c r="CJ384" s="347">
        <v>20.239999999999998</v>
      </c>
      <c r="CK384" s="347" t="s">
        <v>349</v>
      </c>
      <c r="CL384" s="1789"/>
      <c r="CM384" s="2299"/>
      <c r="CN384" s="345"/>
      <c r="CR384" s="345"/>
      <c r="CS384" s="345"/>
      <c r="CX384" s="347"/>
      <c r="CY384" s="347"/>
      <c r="DA384" s="348"/>
      <c r="DC384" s="348"/>
      <c r="DE384" s="1792"/>
      <c r="DF384" s="345"/>
      <c r="DH384" s="237"/>
      <c r="DI384" s="237"/>
      <c r="DN384" s="347"/>
      <c r="DO384" s="347"/>
      <c r="DP384" s="2505"/>
      <c r="DT384" s="663"/>
      <c r="DU384" s="663"/>
      <c r="DV384" s="663"/>
      <c r="DW384" s="663"/>
      <c r="DX384" s="663"/>
      <c r="DY384" s="663"/>
      <c r="DZ384" s="663"/>
      <c r="EA384" s="663"/>
      <c r="EB384" s="663"/>
      <c r="EC384" s="663"/>
      <c r="ED384" s="663"/>
    </row>
    <row r="385" spans="6:134">
      <c r="F385" s="345">
        <v>12.03</v>
      </c>
      <c r="G385" s="345" t="s">
        <v>352</v>
      </c>
      <c r="L385" s="347">
        <v>102.11</v>
      </c>
      <c r="M385" s="347" t="s">
        <v>318</v>
      </c>
      <c r="V385" s="345">
        <v>110.1</v>
      </c>
      <c r="W385" s="345" t="s">
        <v>337</v>
      </c>
      <c r="AB385" s="347">
        <v>27.02</v>
      </c>
      <c r="AC385" s="347" t="s">
        <v>345</v>
      </c>
      <c r="AD385" s="1138"/>
      <c r="AJ385" s="345">
        <v>6.11</v>
      </c>
      <c r="AK385" s="345" t="s">
        <v>352</v>
      </c>
      <c r="AP385" s="347">
        <v>104.02</v>
      </c>
      <c r="AQ385" s="347" t="s">
        <v>315</v>
      </c>
      <c r="AU385" s="348" t="str">
        <f t="array" ref="AU385">IFERROR(IF($AU$11="Yes",INDEX($AP$13:$AP$2950,SMALL(IF((County=$AQ$13:$AQ$2950),MATCH(ROW($AQ$13:$AQ$2950),ROW($AQ$13:$AQ$2950)),""),ROWS($A$13:$A385))),""),"")</f>
        <v/>
      </c>
      <c r="AZ385" s="345">
        <v>93.25</v>
      </c>
      <c r="BA385" s="345" t="s">
        <v>352</v>
      </c>
      <c r="BF385" s="347">
        <v>20.22</v>
      </c>
      <c r="BG385" s="347" t="s">
        <v>349</v>
      </c>
      <c r="BH385" s="1790"/>
      <c r="BI385" s="2298">
        <v>32766</v>
      </c>
      <c r="BJ385" s="237" t="s">
        <v>369</v>
      </c>
      <c r="BN385" s="345">
        <v>312.06</v>
      </c>
      <c r="BO385" s="345" t="s">
        <v>310</v>
      </c>
      <c r="BT385" s="347">
        <v>102</v>
      </c>
      <c r="BU385" s="347" t="s">
        <v>313</v>
      </c>
      <c r="BW385" s="348" t="str">
        <f t="array" ref="BW385">IFERROR(IF($BW$11="Metro",INDEX($BN$13:$BN$4972,SMALL(IF((County=$BO$13:$BO$4972),MATCH(ROW($BO$13:$BO$4972),ROW($BO$13:$BO$4972)),""),ROWS($A$13:$A385))),INDEX($BQ$13:$BQ$212,SMALL(IF((County=$BR$13:$BR$212),MATCH(ROW($BR$13:$BR$212),ROW($BR$13:$BR$212)),""),ROWS($A$13:$A385)))),"")</f>
        <v/>
      </c>
      <c r="BY385" s="348" t="str">
        <f t="array" ref="BY385">IFERROR(IF($BY$11="Yes",INDEX($BT$13:$BT$2950,SMALL(IF((County=$BU$13:$BU$2950),MATCH(ROW($BU$13:$BU$2950),ROW($BU$13:$BU$2950)),""),ROWS($A$13:$A385))),""),"")</f>
        <v/>
      </c>
      <c r="CA385" s="2298">
        <v>34711</v>
      </c>
      <c r="CB385" s="345" t="s">
        <v>343</v>
      </c>
      <c r="CD385" s="237">
        <v>10.050000000000001</v>
      </c>
      <c r="CE385" s="237" t="s">
        <v>350</v>
      </c>
      <c r="CJ385" s="347">
        <v>20.25</v>
      </c>
      <c r="CK385" s="347" t="s">
        <v>349</v>
      </c>
      <c r="CL385" s="1789"/>
      <c r="CM385" s="2299"/>
      <c r="CN385" s="345"/>
      <c r="CR385" s="345"/>
      <c r="CS385" s="345"/>
      <c r="CX385" s="347"/>
      <c r="CY385" s="347"/>
      <c r="DA385" s="348"/>
      <c r="DC385" s="348"/>
      <c r="DE385" s="1792"/>
      <c r="DF385" s="345"/>
      <c r="DH385" s="237"/>
      <c r="DI385" s="237"/>
      <c r="DN385" s="347"/>
      <c r="DO385" s="347"/>
      <c r="DP385" s="2505"/>
      <c r="DT385" s="663"/>
      <c r="DU385" s="663"/>
      <c r="DV385" s="663"/>
      <c r="DW385" s="663"/>
      <c r="DX385" s="663"/>
      <c r="DY385" s="663"/>
      <c r="DZ385" s="663"/>
      <c r="EA385" s="663"/>
      <c r="EB385" s="663"/>
      <c r="EC385" s="663"/>
      <c r="ED385" s="663"/>
    </row>
    <row r="386" spans="6:134">
      <c r="F386" s="345">
        <v>13.01</v>
      </c>
      <c r="G386" s="345" t="s">
        <v>352</v>
      </c>
      <c r="L386" s="347">
        <v>102.12</v>
      </c>
      <c r="M386" s="347" t="s">
        <v>318</v>
      </c>
      <c r="V386" s="345">
        <v>111</v>
      </c>
      <c r="W386" s="345" t="s">
        <v>323</v>
      </c>
      <c r="AB386" s="347">
        <v>27.02</v>
      </c>
      <c r="AC386" s="347" t="s">
        <v>350</v>
      </c>
      <c r="AD386" s="1138"/>
      <c r="AJ386" s="345">
        <v>7.05</v>
      </c>
      <c r="AK386" s="345" t="s">
        <v>352</v>
      </c>
      <c r="AP386" s="347">
        <v>104.05</v>
      </c>
      <c r="AQ386" s="347" t="s">
        <v>315</v>
      </c>
      <c r="AU386" s="348" t="str">
        <f t="array" ref="AU386">IFERROR(IF($AU$11="Yes",INDEX($AP$13:$AP$2950,SMALL(IF((County=$AQ$13:$AQ$2950),MATCH(ROW($AQ$13:$AQ$2950),ROW($AQ$13:$AQ$2950)),""),ROWS($A$13:$A386))),""),"")</f>
        <v/>
      </c>
      <c r="AZ386" s="345">
        <v>93.26</v>
      </c>
      <c r="BA386" s="345" t="s">
        <v>352</v>
      </c>
      <c r="BF386" s="347">
        <v>20.23</v>
      </c>
      <c r="BG386" s="347" t="s">
        <v>349</v>
      </c>
      <c r="BH386" s="1790"/>
      <c r="BI386" s="2298">
        <v>32779</v>
      </c>
      <c r="BJ386" s="237" t="s">
        <v>369</v>
      </c>
      <c r="BN386" s="345">
        <v>312.07</v>
      </c>
      <c r="BO386" s="345" t="s">
        <v>310</v>
      </c>
      <c r="BT386" s="347">
        <v>103.01</v>
      </c>
      <c r="BU386" s="347" t="s">
        <v>313</v>
      </c>
      <c r="BW386" s="348" t="str">
        <f t="array" ref="BW386">IFERROR(IF($BW$11="Metro",INDEX($BN$13:$BN$4972,SMALL(IF((County=$BO$13:$BO$4972),MATCH(ROW($BO$13:$BO$4972),ROW($BO$13:$BO$4972)),""),ROWS($A$13:$A386))),INDEX($BQ$13:$BQ$212,SMALL(IF((County=$BR$13:$BR$212),MATCH(ROW($BR$13:$BR$212),ROW($BR$13:$BR$212)),""),ROWS($A$13:$A386)))),"")</f>
        <v/>
      </c>
      <c r="BY386" s="348" t="str">
        <f t="array" ref="BY386">IFERROR(IF($BY$11="Yes",INDEX($BT$13:$BT$2950,SMALL(IF((County=$BU$13:$BU$2950),MATCH(ROW($BU$13:$BU$2950),ROW($BU$13:$BU$2950)),""),ROWS($A$13:$A386))),""),"")</f>
        <v/>
      </c>
      <c r="CA386" s="2298">
        <v>34714</v>
      </c>
      <c r="CB386" s="345" t="s">
        <v>343</v>
      </c>
      <c r="CD386" s="237">
        <v>10.050000000000001</v>
      </c>
      <c r="CE386" s="237" t="s">
        <v>352</v>
      </c>
      <c r="CJ386" s="347">
        <v>21</v>
      </c>
      <c r="CK386" s="347" t="s">
        <v>350</v>
      </c>
      <c r="CL386" s="1789"/>
      <c r="CM386" s="2299"/>
      <c r="CN386" s="345"/>
      <c r="CR386" s="345"/>
      <c r="CS386" s="345"/>
      <c r="CX386" s="347"/>
      <c r="CY386" s="347"/>
      <c r="DA386" s="348"/>
      <c r="DC386" s="348"/>
      <c r="DE386" s="1792"/>
      <c r="DF386" s="345"/>
      <c r="DH386" s="237"/>
      <c r="DI386" s="237"/>
      <c r="DN386" s="347"/>
      <c r="DO386" s="347"/>
      <c r="DP386" s="2505"/>
      <c r="DT386" s="663"/>
      <c r="DU386" s="663"/>
      <c r="DV386" s="663"/>
      <c r="DW386" s="663"/>
      <c r="DX386" s="663"/>
      <c r="DY386" s="663"/>
      <c r="DZ386" s="663"/>
      <c r="EA386" s="663"/>
      <c r="EB386" s="663"/>
      <c r="EC386" s="663"/>
      <c r="ED386" s="663"/>
    </row>
    <row r="387" spans="6:134">
      <c r="F387" s="345">
        <v>14.01</v>
      </c>
      <c r="G387" s="345" t="s">
        <v>352</v>
      </c>
      <c r="L387" s="347">
        <v>102.13</v>
      </c>
      <c r="M387" s="347" t="s">
        <v>318</v>
      </c>
      <c r="V387" s="345">
        <v>111</v>
      </c>
      <c r="W387" s="345" t="s">
        <v>365</v>
      </c>
      <c r="AB387" s="347">
        <v>27.02</v>
      </c>
      <c r="AC387" s="347" t="s">
        <v>352</v>
      </c>
      <c r="AD387" s="1138"/>
      <c r="AJ387" s="345">
        <v>7.1</v>
      </c>
      <c r="AK387" s="345" t="s">
        <v>352</v>
      </c>
      <c r="AP387" s="347">
        <v>105.03</v>
      </c>
      <c r="AQ387" s="347" t="s">
        <v>315</v>
      </c>
      <c r="AU387" s="348" t="str">
        <f t="array" ref="AU387">IFERROR(IF($AU$11="Yes",INDEX($AP$13:$AP$2950,SMALL(IF((County=$AQ$13:$AQ$2950),MATCH(ROW($AQ$13:$AQ$2950),ROW($AQ$13:$AQ$2950)),""),ROWS($A$13:$A387))),""),"")</f>
        <v/>
      </c>
      <c r="AZ387" s="345">
        <v>93.27</v>
      </c>
      <c r="BA387" s="345" t="s">
        <v>352</v>
      </c>
      <c r="BF387" s="347">
        <v>20.239999999999998</v>
      </c>
      <c r="BG387" s="347" t="s">
        <v>349</v>
      </c>
      <c r="BH387" s="1790"/>
      <c r="BI387" s="1792">
        <v>32081</v>
      </c>
      <c r="BJ387" s="237" t="s">
        <v>370</v>
      </c>
      <c r="BN387" s="345">
        <v>401.01</v>
      </c>
      <c r="BO387" s="345" t="s">
        <v>310</v>
      </c>
      <c r="BT387" s="347">
        <v>103.01</v>
      </c>
      <c r="BU387" s="347" t="s">
        <v>315</v>
      </c>
      <c r="BW387" s="348" t="str">
        <f t="array" ref="BW387">IFERROR(IF($BW$11="Metro",INDEX($BN$13:$BN$4972,SMALL(IF((County=$BO$13:$BO$4972),MATCH(ROW($BO$13:$BO$4972),ROW($BO$13:$BO$4972)),""),ROWS($A$13:$A387))),INDEX($BQ$13:$BQ$212,SMALL(IF((County=$BR$13:$BR$212),MATCH(ROW($BR$13:$BR$212),ROW($BR$13:$BR$212)),""),ROWS($A$13:$A387)))),"")</f>
        <v/>
      </c>
      <c r="BY387" s="348" t="str">
        <f t="array" ref="BY387">IFERROR(IF($BY$11="Yes",INDEX($BT$13:$BT$2950,SMALL(IF((County=$BU$13:$BU$2950),MATCH(ROW($BU$13:$BU$2950),ROW($BU$13:$BU$2950)),""),ROWS($A$13:$A387))),""),"")</f>
        <v/>
      </c>
      <c r="CA387" s="2298">
        <v>34715</v>
      </c>
      <c r="CB387" s="345" t="s">
        <v>343</v>
      </c>
      <c r="CD387" s="237">
        <v>10.06</v>
      </c>
      <c r="CE387" s="237" t="s">
        <v>352</v>
      </c>
      <c r="CJ387" s="347">
        <v>21</v>
      </c>
      <c r="CK387" s="347" t="s">
        <v>352</v>
      </c>
      <c r="CL387" s="1789"/>
      <c r="CM387" s="2299"/>
      <c r="CN387" s="345"/>
      <c r="CR387" s="345"/>
      <c r="CS387" s="345"/>
      <c r="CX387" s="347"/>
      <c r="CY387" s="347"/>
      <c r="DA387" s="348"/>
      <c r="DC387" s="348"/>
      <c r="DE387" s="1792"/>
      <c r="DF387" s="345"/>
      <c r="DH387" s="237"/>
      <c r="DI387" s="237"/>
      <c r="DN387" s="347"/>
      <c r="DO387" s="347"/>
      <c r="DP387" s="2505"/>
      <c r="DT387" s="663"/>
      <c r="DU387" s="663"/>
      <c r="DV387" s="663"/>
      <c r="DW387" s="663"/>
      <c r="DX387" s="663"/>
      <c r="DY387" s="663"/>
      <c r="DZ387" s="663"/>
      <c r="EA387" s="663"/>
      <c r="EB387" s="663"/>
      <c r="EC387" s="663"/>
      <c r="ED387" s="663"/>
    </row>
    <row r="388" spans="6:134">
      <c r="F388" s="345">
        <v>14.02</v>
      </c>
      <c r="G388" s="345" t="s">
        <v>352</v>
      </c>
      <c r="L388" s="347">
        <v>102.15</v>
      </c>
      <c r="M388" s="347" t="s">
        <v>318</v>
      </c>
      <c r="V388" s="345">
        <v>111.01</v>
      </c>
      <c r="W388" s="345" t="s">
        <v>352</v>
      </c>
      <c r="AB388" s="347">
        <v>27.03</v>
      </c>
      <c r="AC388" s="347" t="s">
        <v>306</v>
      </c>
      <c r="AD388" s="1138"/>
      <c r="AJ388" s="345">
        <v>7.11</v>
      </c>
      <c r="AK388" s="345" t="s">
        <v>352</v>
      </c>
      <c r="AP388" s="347">
        <v>105.05</v>
      </c>
      <c r="AQ388" s="347" t="s">
        <v>315</v>
      </c>
      <c r="AU388" s="348" t="str">
        <f t="array" ref="AU388">IFERROR(IF($AU$11="Yes",INDEX($AP$13:$AP$2950,SMALL(IF((County=$AQ$13:$AQ$2950),MATCH(ROW($AQ$13:$AQ$2950),ROW($AQ$13:$AQ$2950)),""),ROWS($A$13:$A388))),""),"")</f>
        <v/>
      </c>
      <c r="AZ388" s="345">
        <v>95.05</v>
      </c>
      <c r="BA388" s="345" t="s">
        <v>352</v>
      </c>
      <c r="BF388" s="347">
        <v>20.25</v>
      </c>
      <c r="BG388" s="347" t="s">
        <v>349</v>
      </c>
      <c r="BH388" s="1790"/>
      <c r="BI388" s="1792">
        <v>32082</v>
      </c>
      <c r="BJ388" s="237" t="s">
        <v>370</v>
      </c>
      <c r="BN388" s="345">
        <v>401.02</v>
      </c>
      <c r="BO388" s="345" t="s">
        <v>310</v>
      </c>
      <c r="BT388" s="347">
        <v>104.01</v>
      </c>
      <c r="BU388" s="347" t="s">
        <v>315</v>
      </c>
      <c r="BW388" s="348" t="str">
        <f t="array" ref="BW388">IFERROR(IF($BW$11="Metro",INDEX($BN$13:$BN$4972,SMALL(IF((County=$BO$13:$BO$4972),MATCH(ROW($BO$13:$BO$4972),ROW($BO$13:$BO$4972)),""),ROWS($A$13:$A388))),INDEX($BQ$13:$BQ$212,SMALL(IF((County=$BR$13:$BR$212),MATCH(ROW($BR$13:$BR$212),ROW($BR$13:$BR$212)),""),ROWS($A$13:$A388)))),"")</f>
        <v/>
      </c>
      <c r="BY388" s="348" t="str">
        <f t="array" ref="BY388">IFERROR(IF($BY$11="Yes",INDEX($BT$13:$BT$2950,SMALL(IF((County=$BU$13:$BU$2950),MATCH(ROW($BU$13:$BU$2950),ROW($BU$13:$BU$2950)),""),ROWS($A$13:$A388))),""),"")</f>
        <v/>
      </c>
      <c r="CA388" s="2298">
        <v>34734</v>
      </c>
      <c r="CB388" s="345" t="s">
        <v>359</v>
      </c>
      <c r="CD388" s="237">
        <v>10.07</v>
      </c>
      <c r="CE388" s="237" t="s">
        <v>350</v>
      </c>
      <c r="CJ388" s="347">
        <v>21.01</v>
      </c>
      <c r="CK388" s="347" t="s">
        <v>297</v>
      </c>
      <c r="CL388" s="1789"/>
      <c r="CM388" s="2299"/>
      <c r="CN388" s="345"/>
      <c r="CR388" s="345"/>
      <c r="CS388" s="345"/>
      <c r="CX388" s="347"/>
      <c r="CY388" s="347"/>
      <c r="DA388" s="348"/>
      <c r="DC388" s="348"/>
      <c r="DE388" s="1792"/>
      <c r="DF388" s="345"/>
      <c r="DH388" s="237"/>
      <c r="DI388" s="237"/>
      <c r="DN388" s="347"/>
      <c r="DO388" s="347"/>
      <c r="DP388" s="2505"/>
      <c r="DT388" s="663"/>
      <c r="DU388" s="663"/>
      <c r="DV388" s="663"/>
      <c r="DW388" s="663"/>
      <c r="DX388" s="663"/>
      <c r="DY388" s="663"/>
      <c r="DZ388" s="663"/>
      <c r="EA388" s="663"/>
      <c r="EB388" s="663"/>
      <c r="EC388" s="663"/>
      <c r="ED388" s="663"/>
    </row>
    <row r="389" spans="6:134">
      <c r="F389" s="345">
        <v>15.01</v>
      </c>
      <c r="G389" s="345" t="s">
        <v>352</v>
      </c>
      <c r="L389" s="347">
        <v>104.01</v>
      </c>
      <c r="M389" s="347" t="s">
        <v>318</v>
      </c>
      <c r="V389" s="345">
        <v>111.03</v>
      </c>
      <c r="W389" s="345" t="s">
        <v>318</v>
      </c>
      <c r="AB389" s="347">
        <v>27.03</v>
      </c>
      <c r="AC389" s="347" t="s">
        <v>352</v>
      </c>
      <c r="AD389" s="1138"/>
      <c r="AJ389" s="345">
        <v>7.12</v>
      </c>
      <c r="AK389" s="345" t="s">
        <v>352</v>
      </c>
      <c r="AP389" s="347">
        <v>105.06</v>
      </c>
      <c r="AQ389" s="347" t="s">
        <v>315</v>
      </c>
      <c r="AU389" s="348" t="str">
        <f t="array" ref="AU389">IFERROR(IF($AU$11="Yes",INDEX($AP$13:$AP$2950,SMALL(IF((County=$AQ$13:$AQ$2950),MATCH(ROW($AQ$13:$AQ$2950),ROW($AQ$13:$AQ$2950)),""),ROWS($A$13:$A389))),""),"")</f>
        <v/>
      </c>
      <c r="AZ389" s="345">
        <v>95.06</v>
      </c>
      <c r="BA389" s="345" t="s">
        <v>352</v>
      </c>
      <c r="BF389" s="347">
        <v>21</v>
      </c>
      <c r="BG389" s="347" t="s">
        <v>350</v>
      </c>
      <c r="BH389" s="1790"/>
      <c r="BI389" s="1792">
        <v>32092</v>
      </c>
      <c r="BJ389" s="237" t="s">
        <v>370</v>
      </c>
      <c r="BN389" s="345">
        <v>402.03</v>
      </c>
      <c r="BO389" s="345" t="s">
        <v>310</v>
      </c>
      <c r="BT389" s="347">
        <v>104.02</v>
      </c>
      <c r="BU389" s="347" t="s">
        <v>315</v>
      </c>
      <c r="BW389" s="348" t="str">
        <f t="array" ref="BW389">IFERROR(IF($BW$11="Metro",INDEX($BN$13:$BN$4972,SMALL(IF((County=$BO$13:$BO$4972),MATCH(ROW($BO$13:$BO$4972),ROW($BO$13:$BO$4972)),""),ROWS($A$13:$A389))),INDEX($BQ$13:$BQ$212,SMALL(IF((County=$BR$13:$BR$212),MATCH(ROW($BR$13:$BR$212),ROW($BR$13:$BR$212)),""),ROWS($A$13:$A389)))),"")</f>
        <v/>
      </c>
      <c r="BY389" s="348" t="str">
        <f t="array" ref="BY389">IFERROR(IF($BY$11="Yes",INDEX($BT$13:$BT$2950,SMALL(IF((County=$BU$13:$BU$2950),MATCH(ROW($BU$13:$BU$2950),ROW($BU$13:$BU$2950)),""),ROWS($A$13:$A389))),""),"")</f>
        <v/>
      </c>
      <c r="CA389" s="2298">
        <v>34736</v>
      </c>
      <c r="CB389" s="345" t="s">
        <v>343</v>
      </c>
      <c r="CD389" s="237">
        <v>10.07</v>
      </c>
      <c r="CE389" s="237" t="s">
        <v>352</v>
      </c>
      <c r="CJ389" s="347">
        <v>21.01</v>
      </c>
      <c r="CK389" s="347" t="s">
        <v>323</v>
      </c>
      <c r="CL389" s="1789"/>
      <c r="CM389" s="2299"/>
      <c r="CN389" s="345"/>
      <c r="CR389" s="345"/>
      <c r="CS389" s="345"/>
      <c r="CX389" s="347"/>
      <c r="CY389" s="347"/>
      <c r="DA389" s="348"/>
      <c r="DC389" s="348"/>
      <c r="DE389" s="1792"/>
      <c r="DF389" s="345"/>
      <c r="DH389" s="237"/>
      <c r="DI389" s="237"/>
      <c r="DN389" s="347"/>
      <c r="DO389" s="347"/>
      <c r="DP389" s="2505"/>
      <c r="DT389" s="663"/>
      <c r="DU389" s="663"/>
      <c r="DV389" s="663"/>
      <c r="DW389" s="663"/>
      <c r="DX389" s="663"/>
      <c r="DY389" s="663"/>
      <c r="DZ389" s="663"/>
      <c r="EA389" s="663"/>
      <c r="EB389" s="663"/>
      <c r="EC389" s="663"/>
      <c r="ED389" s="663"/>
    </row>
    <row r="390" spans="6:134">
      <c r="F390" s="345">
        <v>15.02</v>
      </c>
      <c r="G390" s="345" t="s">
        <v>352</v>
      </c>
      <c r="L390" s="347">
        <v>104.05</v>
      </c>
      <c r="M390" s="347" t="s">
        <v>318</v>
      </c>
      <c r="V390" s="345">
        <v>112</v>
      </c>
      <c r="W390" s="345" t="s">
        <v>323</v>
      </c>
      <c r="AB390" s="347">
        <v>27.04</v>
      </c>
      <c r="AC390" s="347" t="s">
        <v>306</v>
      </c>
      <c r="AD390" s="1138"/>
      <c r="AJ390" s="345">
        <v>7.13</v>
      </c>
      <c r="AK390" s="345" t="s">
        <v>352</v>
      </c>
      <c r="AP390" s="347">
        <v>201.01</v>
      </c>
      <c r="AQ390" s="347" t="s">
        <v>315</v>
      </c>
      <c r="AU390" s="348" t="str">
        <f t="array" ref="AU390">IFERROR(IF($AU$11="Yes",INDEX($AP$13:$AP$2950,SMALL(IF((County=$AQ$13:$AQ$2950),MATCH(ROW($AQ$13:$AQ$2950),ROW($AQ$13:$AQ$2950)),""),ROWS($A$13:$A390))),""),"")</f>
        <v/>
      </c>
      <c r="AZ390" s="345">
        <v>96.01</v>
      </c>
      <c r="BA390" s="345" t="s">
        <v>352</v>
      </c>
      <c r="BF390" s="347">
        <v>21.01</v>
      </c>
      <c r="BG390" s="347" t="s">
        <v>323</v>
      </c>
      <c r="BH390" s="1790"/>
      <c r="BI390" s="1792">
        <v>32259</v>
      </c>
      <c r="BJ390" s="237" t="s">
        <v>370</v>
      </c>
      <c r="BN390" s="345">
        <v>402.04</v>
      </c>
      <c r="BO390" s="345" t="s">
        <v>310</v>
      </c>
      <c r="BT390" s="347">
        <v>104.05</v>
      </c>
      <c r="BU390" s="347" t="s">
        <v>315</v>
      </c>
      <c r="BW390" s="348" t="str">
        <f t="array" ref="BW390">IFERROR(IF($BW$11="Metro",INDEX($BN$13:$BN$4972,SMALL(IF((County=$BO$13:$BO$4972),MATCH(ROW($BO$13:$BO$4972),ROW($BO$13:$BO$4972)),""),ROWS($A$13:$A390))),INDEX($BQ$13:$BQ$212,SMALL(IF((County=$BR$13:$BR$212),MATCH(ROW($BR$13:$BR$212),ROW($BR$13:$BR$212)),""),ROWS($A$13:$A390)))),"")</f>
        <v/>
      </c>
      <c r="BY390" s="348" t="str">
        <f t="array" ref="BY390">IFERROR(IF($BY$11="Yes",INDEX($BT$13:$BT$2950,SMALL(IF((County=$BU$13:$BU$2950),MATCH(ROW($BU$13:$BU$2950),ROW($BU$13:$BU$2950)),""),ROWS($A$13:$A390))),""),"")</f>
        <v/>
      </c>
      <c r="CA390" s="2298">
        <v>34737</v>
      </c>
      <c r="CB390" s="345" t="s">
        <v>343</v>
      </c>
      <c r="CD390" s="237">
        <v>10.08</v>
      </c>
      <c r="CE390" s="237" t="s">
        <v>350</v>
      </c>
      <c r="CJ390" s="347">
        <v>21.01</v>
      </c>
      <c r="CK390" s="347" t="s">
        <v>368</v>
      </c>
      <c r="CL390" s="1789"/>
      <c r="CM390" s="2299"/>
      <c r="CN390" s="345"/>
      <c r="CR390" s="345"/>
      <c r="CS390" s="345"/>
      <c r="CX390" s="347"/>
      <c r="CY390" s="347"/>
      <c r="DA390" s="348"/>
      <c r="DC390" s="348"/>
      <c r="DE390" s="1792"/>
      <c r="DF390" s="345"/>
      <c r="DH390" s="237"/>
      <c r="DI390" s="237"/>
      <c r="DN390" s="347"/>
      <c r="DO390" s="347"/>
      <c r="DP390" s="2505"/>
      <c r="DT390" s="663"/>
      <c r="DU390" s="663"/>
      <c r="DV390" s="663"/>
      <c r="DW390" s="663"/>
      <c r="DX390" s="663"/>
      <c r="DY390" s="663"/>
      <c r="DZ390" s="663"/>
      <c r="EA390" s="663"/>
      <c r="EB390" s="663"/>
      <c r="EC390" s="663"/>
      <c r="ED390" s="663"/>
    </row>
    <row r="391" spans="6:134">
      <c r="F391" s="345">
        <v>16.05</v>
      </c>
      <c r="G391" s="345" t="s">
        <v>352</v>
      </c>
      <c r="L391" s="347">
        <v>104.08</v>
      </c>
      <c r="M391" s="347" t="s">
        <v>318</v>
      </c>
      <c r="V391" s="345">
        <v>112.01</v>
      </c>
      <c r="W391" s="345" t="s">
        <v>352</v>
      </c>
      <c r="AB391" s="347">
        <v>27.05</v>
      </c>
      <c r="AC391" s="347" t="s">
        <v>306</v>
      </c>
      <c r="AD391" s="1138"/>
      <c r="AJ391" s="345">
        <v>7.14</v>
      </c>
      <c r="AK391" s="345" t="s">
        <v>352</v>
      </c>
      <c r="AP391" s="347">
        <v>201.03</v>
      </c>
      <c r="AQ391" s="347" t="s">
        <v>315</v>
      </c>
      <c r="AU391" s="348" t="str">
        <f t="array" ref="AU391">IFERROR(IF($AU$11="Yes",INDEX($AP$13:$AP$2950,SMALL(IF((County=$AQ$13:$AQ$2950),MATCH(ROW($AQ$13:$AQ$2950),ROW($AQ$13:$AQ$2950)),""),ROWS($A$13:$A391))),""),"")</f>
        <v/>
      </c>
      <c r="AZ391" s="345">
        <v>96.02</v>
      </c>
      <c r="BA391" s="345" t="s">
        <v>352</v>
      </c>
      <c r="BF391" s="347">
        <v>21.01</v>
      </c>
      <c r="BG391" s="347" t="s">
        <v>368</v>
      </c>
      <c r="BH391" s="1790"/>
      <c r="BI391" s="2298">
        <v>34949</v>
      </c>
      <c r="BJ391" s="237" t="s">
        <v>371</v>
      </c>
      <c r="BN391" s="345">
        <v>402.05</v>
      </c>
      <c r="BO391" s="345" t="s">
        <v>310</v>
      </c>
      <c r="BT391" s="347">
        <v>105.03</v>
      </c>
      <c r="BU391" s="347" t="s">
        <v>315</v>
      </c>
      <c r="BW391" s="348" t="str">
        <f t="array" ref="BW391">IFERROR(IF($BW$11="Metro",INDEX($BN$13:$BN$4972,SMALL(IF((County=$BO$13:$BO$4972),MATCH(ROW($BO$13:$BO$4972),ROW($BO$13:$BO$4972)),""),ROWS($A$13:$A391))),INDEX($BQ$13:$BQ$212,SMALL(IF((County=$BR$13:$BR$212),MATCH(ROW($BR$13:$BR$212),ROW($BR$13:$BR$212)),""),ROWS($A$13:$A391)))),"")</f>
        <v/>
      </c>
      <c r="BY391" s="348" t="str">
        <f t="array" ref="BY391">IFERROR(IF($BY$11="Yes",INDEX($BT$13:$BT$2950,SMALL(IF((County=$BU$13:$BU$2950),MATCH(ROW($BU$13:$BU$2950),ROW($BU$13:$BU$2950)),""),ROWS($A$13:$A391))),""),"")</f>
        <v/>
      </c>
      <c r="CA391" s="2298">
        <v>34743</v>
      </c>
      <c r="CB391" s="345" t="s">
        <v>360</v>
      </c>
      <c r="CD391" s="237">
        <v>10.08</v>
      </c>
      <c r="CE391" s="237" t="s">
        <v>352</v>
      </c>
      <c r="CJ391" s="347">
        <v>21.02</v>
      </c>
      <c r="CK391" s="347" t="s">
        <v>323</v>
      </c>
      <c r="CL391" s="1789"/>
      <c r="CM391" s="2299"/>
      <c r="CN391" s="345"/>
      <c r="CR391" s="345"/>
      <c r="CS391" s="345"/>
      <c r="CX391" s="347"/>
      <c r="CY391" s="347"/>
      <c r="DA391" s="348"/>
      <c r="DC391" s="348"/>
      <c r="DE391" s="1792"/>
      <c r="DF391" s="345"/>
      <c r="DH391" s="237"/>
      <c r="DI391" s="237"/>
      <c r="DN391" s="347"/>
      <c r="DO391" s="347"/>
      <c r="DP391" s="2505"/>
      <c r="DT391" s="663"/>
      <c r="DU391" s="663"/>
      <c r="DV391" s="663"/>
      <c r="DW391" s="663"/>
      <c r="DX391" s="663"/>
      <c r="DY391" s="663"/>
      <c r="DZ391" s="663"/>
      <c r="EA391" s="663"/>
      <c r="EB391" s="663"/>
      <c r="EC391" s="663"/>
      <c r="ED391" s="663"/>
    </row>
    <row r="392" spans="6:134">
      <c r="F392" s="345">
        <v>16.059999999999999</v>
      </c>
      <c r="G392" s="345" t="s">
        <v>352</v>
      </c>
      <c r="L392" s="347">
        <v>104.12</v>
      </c>
      <c r="M392" s="347" t="s">
        <v>318</v>
      </c>
      <c r="V392" s="345">
        <v>112.02</v>
      </c>
      <c r="W392" s="345" t="s">
        <v>352</v>
      </c>
      <c r="AB392" s="347">
        <v>27.05</v>
      </c>
      <c r="AC392" s="347" t="s">
        <v>352</v>
      </c>
      <c r="AD392" s="1138"/>
      <c r="AJ392" s="345">
        <v>7.15</v>
      </c>
      <c r="AK392" s="345" t="s">
        <v>352</v>
      </c>
      <c r="AP392" s="347">
        <v>201.04</v>
      </c>
      <c r="AQ392" s="347" t="s">
        <v>315</v>
      </c>
      <c r="AU392" s="348" t="str">
        <f t="array" ref="AU392">IFERROR(IF($AU$11="Yes",INDEX($AP$13:$AP$2950,SMALL(IF((County=$AQ$13:$AQ$2950),MATCH(ROW($AQ$13:$AQ$2950),ROW($AQ$13:$AQ$2950)),""),ROWS($A$13:$A392))),""),"")</f>
        <v/>
      </c>
      <c r="AZ392" s="345">
        <v>97.05</v>
      </c>
      <c r="BA392" s="345" t="s">
        <v>352</v>
      </c>
      <c r="BF392" s="347">
        <v>21.02</v>
      </c>
      <c r="BG392" s="347" t="s">
        <v>323</v>
      </c>
      <c r="BH392" s="1790"/>
      <c r="BI392" s="2298">
        <v>34952</v>
      </c>
      <c r="BJ392" s="237" t="s">
        <v>371</v>
      </c>
      <c r="BN392" s="345">
        <v>402.06</v>
      </c>
      <c r="BO392" s="345" t="s">
        <v>310</v>
      </c>
      <c r="BT392" s="347">
        <v>105.05</v>
      </c>
      <c r="BU392" s="347" t="s">
        <v>315</v>
      </c>
      <c r="BW392" s="348" t="str">
        <f t="array" ref="BW392">IFERROR(IF($BW$11="Metro",INDEX($BN$13:$BN$4972,SMALL(IF((County=$BO$13:$BO$4972),MATCH(ROW($BO$13:$BO$4972),ROW($BO$13:$BO$4972)),""),ROWS($A$13:$A392))),INDEX($BQ$13:$BQ$212,SMALL(IF((County=$BR$13:$BR$212),MATCH(ROW($BR$13:$BR$212),ROW($BR$13:$BR$212)),""),ROWS($A$13:$A392)))),"")</f>
        <v/>
      </c>
      <c r="BY392" s="348" t="str">
        <f t="array" ref="BY392">IFERROR(IF($BY$11="Yes",INDEX($BT$13:$BT$2950,SMALL(IF((County=$BU$13:$BU$2950),MATCH(ROW($BU$13:$BU$2950),ROW($BU$13:$BU$2950)),""),ROWS($A$13:$A392))),""),"")</f>
        <v/>
      </c>
      <c r="CA392" s="2298">
        <v>34744</v>
      </c>
      <c r="CB392" s="345" t="s">
        <v>360</v>
      </c>
      <c r="CD392" s="237">
        <v>10.09</v>
      </c>
      <c r="CE392" s="237" t="s">
        <v>350</v>
      </c>
      <c r="CJ392" s="347">
        <v>21.02</v>
      </c>
      <c r="CK392" s="347" t="s">
        <v>368</v>
      </c>
      <c r="CL392" s="1789"/>
      <c r="CM392" s="2299"/>
      <c r="CN392" s="345"/>
      <c r="CR392" s="345"/>
      <c r="CS392" s="345"/>
      <c r="CX392" s="347"/>
      <c r="CY392" s="347"/>
      <c r="DA392" s="348"/>
      <c r="DC392" s="348"/>
      <c r="DE392" s="1792"/>
      <c r="DF392" s="345"/>
      <c r="DH392" s="237"/>
      <c r="DI392" s="237"/>
      <c r="DN392" s="347"/>
      <c r="DO392" s="347"/>
      <c r="DP392" s="2505"/>
      <c r="DT392" s="663"/>
      <c r="DU392" s="663"/>
      <c r="DV392" s="663"/>
      <c r="DW392" s="663"/>
      <c r="DX392" s="663"/>
      <c r="DY392" s="663"/>
      <c r="DZ392" s="663"/>
      <c r="EA392" s="663"/>
      <c r="EB392" s="663"/>
      <c r="EC392" s="663"/>
      <c r="ED392" s="663"/>
    </row>
    <row r="393" spans="6:134">
      <c r="F393" s="345">
        <v>17.010000000000002</v>
      </c>
      <c r="G393" s="345" t="s">
        <v>352</v>
      </c>
      <c r="L393" s="347">
        <v>104.13</v>
      </c>
      <c r="M393" s="347" t="s">
        <v>318</v>
      </c>
      <c r="V393" s="345">
        <v>112.02</v>
      </c>
      <c r="W393" s="345" t="s">
        <v>365</v>
      </c>
      <c r="AB393" s="347">
        <v>27.06</v>
      </c>
      <c r="AC393" s="347" t="s">
        <v>352</v>
      </c>
      <c r="AD393" s="1138"/>
      <c r="AJ393" s="345">
        <v>7.17</v>
      </c>
      <c r="AK393" s="345" t="s">
        <v>352</v>
      </c>
      <c r="AP393" s="347">
        <v>202.03</v>
      </c>
      <c r="AQ393" s="347" t="s">
        <v>315</v>
      </c>
      <c r="AU393" s="348" t="str">
        <f t="array" ref="AU393">IFERROR(IF($AU$11="Yes",INDEX($AP$13:$AP$2950,SMALL(IF((County=$AQ$13:$AQ$2950),MATCH(ROW($AQ$13:$AQ$2950),ROW($AQ$13:$AQ$2950)),""),ROWS($A$13:$A393))),""),"")</f>
        <v/>
      </c>
      <c r="AZ393" s="345">
        <v>100.1</v>
      </c>
      <c r="BA393" s="345" t="s">
        <v>352</v>
      </c>
      <c r="BF393" s="347">
        <v>21.02</v>
      </c>
      <c r="BG393" s="347" t="s">
        <v>368</v>
      </c>
      <c r="BH393" s="1790"/>
      <c r="BI393" s="2298">
        <v>34953</v>
      </c>
      <c r="BJ393" s="237" t="s">
        <v>371</v>
      </c>
      <c r="BN393" s="345">
        <v>403</v>
      </c>
      <c r="BO393" s="345" t="s">
        <v>310</v>
      </c>
      <c r="BT393" s="347">
        <v>105.06</v>
      </c>
      <c r="BU393" s="347" t="s">
        <v>315</v>
      </c>
      <c r="BW393" s="348" t="str">
        <f t="array" ref="BW393">IFERROR(IF($BW$11="Metro",INDEX($BN$13:$BN$4972,SMALL(IF((County=$BO$13:$BO$4972),MATCH(ROW($BO$13:$BO$4972),ROW($BO$13:$BO$4972)),""),ROWS($A$13:$A393))),INDEX($BQ$13:$BQ$212,SMALL(IF((County=$BR$13:$BR$212),MATCH(ROW($BR$13:$BR$212),ROW($BR$13:$BR$212)),""),ROWS($A$13:$A393)))),"")</f>
        <v/>
      </c>
      <c r="BY393" s="348" t="str">
        <f t="array" ref="BY393">IFERROR(IF($BY$11="Yes",INDEX($BT$13:$BT$2950,SMALL(IF((County=$BU$13:$BU$2950),MATCH(ROW($BU$13:$BU$2950),ROW($BU$13:$BU$2950)),""),ROWS($A$13:$A393))),""),"")</f>
        <v/>
      </c>
      <c r="CA393" s="2298">
        <v>34746</v>
      </c>
      <c r="CB393" s="345" t="s">
        <v>360</v>
      </c>
      <c r="CD393" s="237">
        <v>10.1</v>
      </c>
      <c r="CE393" s="237" t="s">
        <v>350</v>
      </c>
      <c r="CJ393" s="347">
        <v>22</v>
      </c>
      <c r="CK393" s="347" t="s">
        <v>323</v>
      </c>
      <c r="CL393" s="1789"/>
      <c r="CM393" s="2299"/>
      <c r="CN393" s="345"/>
      <c r="CR393" s="345"/>
      <c r="CS393" s="345"/>
      <c r="CX393" s="347"/>
      <c r="CY393" s="347"/>
      <c r="DA393" s="348"/>
      <c r="DC393" s="348"/>
      <c r="DE393" s="1792"/>
      <c r="DF393" s="345"/>
      <c r="DH393" s="237"/>
      <c r="DI393" s="237"/>
      <c r="DN393" s="347"/>
      <c r="DO393" s="347"/>
      <c r="DP393" s="2505"/>
      <c r="DT393" s="663"/>
      <c r="DU393" s="663"/>
      <c r="DV393" s="663"/>
      <c r="DW393" s="663"/>
      <c r="DX393" s="663"/>
      <c r="DY393" s="663"/>
      <c r="DZ393" s="663"/>
      <c r="EA393" s="663"/>
      <c r="EB393" s="663"/>
      <c r="EC393" s="663"/>
      <c r="ED393" s="663"/>
    </row>
    <row r="394" spans="6:134">
      <c r="F394" s="345">
        <v>17.02</v>
      </c>
      <c r="G394" s="345" t="s">
        <v>352</v>
      </c>
      <c r="L394" s="347">
        <v>104.14</v>
      </c>
      <c r="M394" s="347" t="s">
        <v>318</v>
      </c>
      <c r="V394" s="345">
        <v>112.03</v>
      </c>
      <c r="W394" s="345" t="s">
        <v>365</v>
      </c>
      <c r="AB394" s="347">
        <v>27.11</v>
      </c>
      <c r="AC394" s="347" t="s">
        <v>368</v>
      </c>
      <c r="AD394" s="1138"/>
      <c r="AJ394" s="345">
        <v>7.18</v>
      </c>
      <c r="AK394" s="345" t="s">
        <v>352</v>
      </c>
      <c r="AP394" s="347">
        <v>202.04</v>
      </c>
      <c r="AQ394" s="347" t="s">
        <v>315</v>
      </c>
      <c r="AU394" s="348" t="str">
        <f t="array" ref="AU394">IFERROR(IF($AU$11="Yes",INDEX($AP$13:$AP$2950,SMALL(IF((County=$AQ$13:$AQ$2950),MATCH(ROW($AQ$13:$AQ$2950),ROW($AQ$13:$AQ$2950)),""),ROWS($A$13:$A394))),""),"")</f>
        <v/>
      </c>
      <c r="AZ394" s="345">
        <v>100.15</v>
      </c>
      <c r="BA394" s="345" t="s">
        <v>352</v>
      </c>
      <c r="BF394" s="347">
        <v>22</v>
      </c>
      <c r="BG394" s="347" t="s">
        <v>323</v>
      </c>
      <c r="BH394" s="1790"/>
      <c r="BI394" s="2298">
        <v>34983</v>
      </c>
      <c r="BJ394" s="237" t="s">
        <v>371</v>
      </c>
      <c r="BN394" s="345">
        <v>404.01</v>
      </c>
      <c r="BO394" s="345" t="s">
        <v>310</v>
      </c>
      <c r="BT394" s="347">
        <v>201.03</v>
      </c>
      <c r="BU394" s="347" t="s">
        <v>315</v>
      </c>
      <c r="BW394" s="348" t="str">
        <f t="array" ref="BW394">IFERROR(IF($BW$11="Metro",INDEX($BN$13:$BN$4972,SMALL(IF((County=$BO$13:$BO$4972),MATCH(ROW($BO$13:$BO$4972),ROW($BO$13:$BO$4972)),""),ROWS($A$13:$A394))),INDEX($BQ$13:$BQ$212,SMALL(IF((County=$BR$13:$BR$212),MATCH(ROW($BR$13:$BR$212),ROW($BR$13:$BR$212)),""),ROWS($A$13:$A394)))),"")</f>
        <v/>
      </c>
      <c r="BY394" s="348" t="str">
        <f t="array" ref="BY394">IFERROR(IF($BY$11="Yes",INDEX($BT$13:$BT$2950,SMALL(IF((County=$BU$13:$BU$2950),MATCH(ROW($BU$13:$BU$2950),ROW($BU$13:$BU$2950)),""),ROWS($A$13:$A394))),""),"")</f>
        <v/>
      </c>
      <c r="CA394" s="2298">
        <v>34747</v>
      </c>
      <c r="CB394" s="345" t="s">
        <v>360</v>
      </c>
      <c r="CD394" s="237">
        <v>10.11</v>
      </c>
      <c r="CE394" s="237" t="s">
        <v>350</v>
      </c>
      <c r="CJ394" s="347">
        <v>22</v>
      </c>
      <c r="CK394" s="347" t="s">
        <v>337</v>
      </c>
      <c r="CL394" s="1789"/>
      <c r="CM394" s="2299"/>
      <c r="CN394" s="345"/>
      <c r="CR394" s="345"/>
      <c r="CS394" s="345"/>
      <c r="CX394" s="347"/>
      <c r="CY394" s="347"/>
      <c r="DA394" s="348"/>
      <c r="DC394" s="348"/>
      <c r="DE394" s="1792"/>
      <c r="DF394" s="345"/>
      <c r="DH394" s="237"/>
      <c r="DI394" s="237"/>
      <c r="DN394" s="347"/>
      <c r="DO394" s="347"/>
      <c r="DP394" s="2505"/>
      <c r="DT394" s="663"/>
      <c r="DU394" s="663"/>
      <c r="DV394" s="663"/>
      <c r="DW394" s="663"/>
      <c r="DX394" s="663"/>
      <c r="DY394" s="663"/>
      <c r="DZ394" s="663"/>
      <c r="EA394" s="663"/>
      <c r="EB394" s="663"/>
      <c r="EC394" s="663"/>
      <c r="ED394" s="663"/>
    </row>
    <row r="395" spans="6:134">
      <c r="F395" s="345">
        <v>17.03</v>
      </c>
      <c r="G395" s="345" t="s">
        <v>352</v>
      </c>
      <c r="L395" s="347">
        <v>104.15</v>
      </c>
      <c r="M395" s="347" t="s">
        <v>318</v>
      </c>
      <c r="V395" s="345">
        <v>112.04</v>
      </c>
      <c r="W395" s="345" t="s">
        <v>318</v>
      </c>
      <c r="AB395" s="347">
        <v>27.12</v>
      </c>
      <c r="AC395" s="347" t="s">
        <v>368</v>
      </c>
      <c r="AD395" s="1138"/>
      <c r="AJ395" s="345">
        <v>7.19</v>
      </c>
      <c r="AK395" s="345" t="s">
        <v>352</v>
      </c>
      <c r="AP395" s="347">
        <v>202.06</v>
      </c>
      <c r="AQ395" s="347" t="s">
        <v>315</v>
      </c>
      <c r="AU395" s="348" t="str">
        <f t="array" ref="AU395">IFERROR(IF($AU$11="Yes",INDEX($AP$13:$AP$2950,SMALL(IF((County=$AQ$13:$AQ$2950),MATCH(ROW($AQ$13:$AQ$2950),ROW($AQ$13:$AQ$2950)),""),ROWS($A$13:$A395))),""),"")</f>
        <v/>
      </c>
      <c r="AZ395" s="345">
        <v>100.21</v>
      </c>
      <c r="BA395" s="345" t="s">
        <v>352</v>
      </c>
      <c r="BF395" s="347">
        <v>22</v>
      </c>
      <c r="BG395" s="347" t="s">
        <v>337</v>
      </c>
      <c r="BH395" s="1790"/>
      <c r="BI395" s="2298">
        <v>34984</v>
      </c>
      <c r="BJ395" s="237" t="s">
        <v>371</v>
      </c>
      <c r="BN395" s="345">
        <v>404.02</v>
      </c>
      <c r="BO395" s="345" t="s">
        <v>310</v>
      </c>
      <c r="BT395" s="347">
        <v>201.04</v>
      </c>
      <c r="BU395" s="347" t="s">
        <v>315</v>
      </c>
      <c r="BW395" s="348" t="str">
        <f t="array" ref="BW395">IFERROR(IF($BW$11="Metro",INDEX($BN$13:$BN$4972,SMALL(IF((County=$BO$13:$BO$4972),MATCH(ROW($BO$13:$BO$4972),ROW($BO$13:$BO$4972)),""),ROWS($A$13:$A395))),INDEX($BQ$13:$BQ$212,SMALL(IF((County=$BR$13:$BR$212),MATCH(ROW($BR$13:$BR$212),ROW($BR$13:$BR$212)),""),ROWS($A$13:$A395)))),"")</f>
        <v/>
      </c>
      <c r="BY395" s="348" t="str">
        <f t="array" ref="BY395">IFERROR(IF($BY$11="Yes",INDEX($BT$13:$BT$2950,SMALL(IF((County=$BU$13:$BU$2950),MATCH(ROW($BU$13:$BU$2950),ROW($BU$13:$BU$2950)),""),ROWS($A$13:$A395))),""),"")</f>
        <v/>
      </c>
      <c r="CA395" s="2298">
        <v>34758</v>
      </c>
      <c r="CB395" s="345" t="s">
        <v>360</v>
      </c>
      <c r="CD395" s="237">
        <v>10.119999999999999</v>
      </c>
      <c r="CE395" s="237" t="s">
        <v>350</v>
      </c>
      <c r="CJ395" s="347">
        <v>22.01</v>
      </c>
      <c r="CK395" s="347" t="s">
        <v>297</v>
      </c>
      <c r="CL395" s="1789"/>
      <c r="CM395" s="2299"/>
      <c r="CN395" s="345"/>
      <c r="CR395" s="345"/>
      <c r="CS395" s="345"/>
      <c r="CX395" s="347"/>
      <c r="CY395" s="347"/>
      <c r="DA395" s="348"/>
      <c r="DC395" s="348"/>
      <c r="DE395" s="1792"/>
      <c r="DF395" s="345"/>
      <c r="DH395" s="237"/>
      <c r="DI395" s="237"/>
      <c r="DN395" s="347"/>
      <c r="DO395" s="347"/>
      <c r="DP395" s="2505"/>
      <c r="DT395" s="663"/>
      <c r="DU395" s="663"/>
      <c r="DV395" s="663"/>
      <c r="DW395" s="663"/>
      <c r="DX395" s="663"/>
      <c r="DY395" s="663"/>
      <c r="DZ395" s="663"/>
      <c r="EA395" s="663"/>
      <c r="EB395" s="663"/>
      <c r="EC395" s="663"/>
      <c r="ED395" s="663"/>
    </row>
    <row r="396" spans="6:134">
      <c r="F396" s="345">
        <v>18.010000000000002</v>
      </c>
      <c r="G396" s="345" t="s">
        <v>352</v>
      </c>
      <c r="L396" s="347">
        <v>104.16</v>
      </c>
      <c r="M396" s="347" t="s">
        <v>318</v>
      </c>
      <c r="V396" s="345">
        <v>112.04</v>
      </c>
      <c r="W396" s="345" t="s">
        <v>365</v>
      </c>
      <c r="AB396" s="347">
        <v>27.13</v>
      </c>
      <c r="AC396" s="347" t="s">
        <v>368</v>
      </c>
      <c r="AD396" s="1138"/>
      <c r="AJ396" s="345">
        <v>7.2</v>
      </c>
      <c r="AK396" s="345" t="s">
        <v>352</v>
      </c>
      <c r="AP396" s="347">
        <v>203.01</v>
      </c>
      <c r="AQ396" s="347" t="s">
        <v>315</v>
      </c>
      <c r="AU396" s="348" t="str">
        <f t="array" ref="AU396">IFERROR(IF($AU$11="Yes",INDEX($AP$13:$AP$2950,SMALL(IF((County=$AQ$13:$AQ$2950),MATCH(ROW($AQ$13:$AQ$2950),ROW($AQ$13:$AQ$2950)),""),ROWS($A$13:$A396))),""),"")</f>
        <v/>
      </c>
      <c r="AZ396" s="345">
        <v>100.22</v>
      </c>
      <c r="BA396" s="345" t="s">
        <v>352</v>
      </c>
      <c r="BF396" s="347">
        <v>22.01</v>
      </c>
      <c r="BG396" s="347" t="s">
        <v>297</v>
      </c>
      <c r="BH396" s="1790"/>
      <c r="BI396" s="2298">
        <v>34986</v>
      </c>
      <c r="BJ396" s="237" t="s">
        <v>371</v>
      </c>
      <c r="BN396" s="345">
        <v>405.02</v>
      </c>
      <c r="BO396" s="345" t="s">
        <v>310</v>
      </c>
      <c r="BT396" s="347">
        <v>202.04</v>
      </c>
      <c r="BU396" s="347" t="s">
        <v>315</v>
      </c>
      <c r="BW396" s="348" t="str">
        <f t="array" ref="BW396">IFERROR(IF($BW$11="Metro",INDEX($BN$13:$BN$4972,SMALL(IF((County=$BO$13:$BO$4972),MATCH(ROW($BO$13:$BO$4972),ROW($BO$13:$BO$4972)),""),ROWS($A$13:$A396))),INDEX($BQ$13:$BQ$212,SMALL(IF((County=$BR$13:$BR$212),MATCH(ROW($BR$13:$BR$212),ROW($BR$13:$BR$212)),""),ROWS($A$13:$A396)))),"")</f>
        <v/>
      </c>
      <c r="BY396" s="348" t="str">
        <f t="array" ref="BY396">IFERROR(IF($BY$11="Yes",INDEX($BT$13:$BT$2950,SMALL(IF((County=$BU$13:$BU$2950),MATCH(ROW($BU$13:$BU$2950),ROW($BU$13:$BU$2950)),""),ROWS($A$13:$A396))),""),"")</f>
        <v/>
      </c>
      <c r="CA396" s="2298">
        <v>34759</v>
      </c>
      <c r="CB396" s="345" t="s">
        <v>365</v>
      </c>
      <c r="CD396" s="237">
        <v>10.130000000000001</v>
      </c>
      <c r="CE396" s="237" t="s">
        <v>350</v>
      </c>
      <c r="CJ396" s="347">
        <v>22.01</v>
      </c>
      <c r="CK396" s="347" t="s">
        <v>350</v>
      </c>
      <c r="CL396" s="1789"/>
      <c r="CM396" s="2299"/>
      <c r="CN396" s="345"/>
      <c r="CR396" s="345"/>
      <c r="CS396" s="345"/>
      <c r="CX396" s="347"/>
      <c r="CY396" s="347"/>
      <c r="DA396" s="348"/>
      <c r="DC396" s="348"/>
      <c r="DE396" s="1792"/>
      <c r="DF396" s="345"/>
      <c r="DH396" s="237"/>
      <c r="DI396" s="237"/>
      <c r="DN396" s="347"/>
      <c r="DO396" s="347"/>
      <c r="DP396" s="2505"/>
      <c r="DT396" s="663"/>
      <c r="DU396" s="663"/>
      <c r="DV396" s="663"/>
      <c r="DW396" s="663"/>
      <c r="DX396" s="663"/>
      <c r="DY396" s="663"/>
      <c r="DZ396" s="663"/>
      <c r="EA396" s="663"/>
      <c r="EB396" s="663"/>
      <c r="EC396" s="663"/>
      <c r="ED396" s="663"/>
    </row>
    <row r="397" spans="6:134">
      <c r="F397" s="345">
        <v>18.02</v>
      </c>
      <c r="G397" s="345" t="s">
        <v>352</v>
      </c>
      <c r="L397" s="347">
        <v>104.17</v>
      </c>
      <c r="M397" s="347" t="s">
        <v>318</v>
      </c>
      <c r="V397" s="345">
        <v>112.05</v>
      </c>
      <c r="W397" s="345" t="s">
        <v>318</v>
      </c>
      <c r="AB397" s="347">
        <v>27.14</v>
      </c>
      <c r="AC397" s="347" t="s">
        <v>368</v>
      </c>
      <c r="AD397" s="1138"/>
      <c r="AJ397" s="345">
        <v>8.0399999999999991</v>
      </c>
      <c r="AK397" s="345" t="s">
        <v>352</v>
      </c>
      <c r="AP397" s="347">
        <v>204.01</v>
      </c>
      <c r="AQ397" s="347" t="s">
        <v>315</v>
      </c>
      <c r="AU397" s="348" t="str">
        <f t="array" ref="AU397">IFERROR(IF($AU$11="Yes",INDEX($AP$13:$AP$2950,SMALL(IF((County=$AQ$13:$AQ$2950),MATCH(ROW($AQ$13:$AQ$2950),ROW($AQ$13:$AQ$2950)),""),ROWS($A$13:$A397))),""),"")</f>
        <v/>
      </c>
      <c r="AZ397" s="345">
        <v>100.23</v>
      </c>
      <c r="BA397" s="345" t="s">
        <v>352</v>
      </c>
      <c r="BF397" s="347">
        <v>22.01</v>
      </c>
      <c r="BG397" s="347" t="s">
        <v>350</v>
      </c>
      <c r="BH397" s="1790"/>
      <c r="BI397" s="2298">
        <v>34987</v>
      </c>
      <c r="BJ397" s="237" t="s">
        <v>371</v>
      </c>
      <c r="BN397" s="345">
        <v>405.03</v>
      </c>
      <c r="BO397" s="345" t="s">
        <v>310</v>
      </c>
      <c r="BT397" s="347">
        <v>202.06</v>
      </c>
      <c r="BU397" s="347" t="s">
        <v>315</v>
      </c>
      <c r="BW397" s="348" t="str">
        <f t="array" ref="BW397">IFERROR(IF($BW$11="Metro",INDEX($BN$13:$BN$4972,SMALL(IF((County=$BO$13:$BO$4972),MATCH(ROW($BO$13:$BO$4972),ROW($BO$13:$BO$4972)),""),ROWS($A$13:$A397))),INDEX($BQ$13:$BQ$212,SMALL(IF((County=$BR$13:$BR$212),MATCH(ROW($BR$13:$BR$212),ROW($BR$13:$BR$212)),""),ROWS($A$13:$A397)))),"")</f>
        <v/>
      </c>
      <c r="BY397" s="348" t="str">
        <f t="array" ref="BY397">IFERROR(IF($BY$11="Yes",INDEX($BT$13:$BT$2950,SMALL(IF((County=$BU$13:$BU$2950),MATCH(ROW($BU$13:$BU$2950),ROW($BU$13:$BU$2950)),""),ROWS($A$13:$A397))),""),"")</f>
        <v/>
      </c>
      <c r="CA397" s="2298">
        <v>34760</v>
      </c>
      <c r="CB397" s="345" t="s">
        <v>359</v>
      </c>
      <c r="CD397" s="345">
        <v>11</v>
      </c>
      <c r="CE397" s="345" t="s">
        <v>297</v>
      </c>
      <c r="CJ397" s="347">
        <v>22.01</v>
      </c>
      <c r="CK397" s="347" t="s">
        <v>352</v>
      </c>
      <c r="CL397" s="1789"/>
      <c r="CM397" s="2299"/>
      <c r="CN397" s="345"/>
      <c r="CR397" s="345"/>
      <c r="CS397" s="345"/>
      <c r="CX397" s="347"/>
      <c r="CY397" s="347"/>
      <c r="DA397" s="348"/>
      <c r="DC397" s="348"/>
      <c r="DE397" s="1792"/>
      <c r="DF397" s="345"/>
      <c r="DH397" s="237"/>
      <c r="DI397" s="237"/>
      <c r="DN397" s="347"/>
      <c r="DO397" s="347"/>
      <c r="DP397" s="2505"/>
      <c r="DT397" s="663"/>
      <c r="DU397" s="663"/>
      <c r="DV397" s="663"/>
      <c r="DW397" s="663"/>
      <c r="DX397" s="663"/>
      <c r="DY397" s="663"/>
      <c r="DZ397" s="663"/>
      <c r="EA397" s="663"/>
      <c r="EB397" s="663"/>
      <c r="EC397" s="663"/>
      <c r="ED397" s="663"/>
    </row>
    <row r="398" spans="6:134">
      <c r="F398" s="345">
        <v>18.03</v>
      </c>
      <c r="G398" s="345" t="s">
        <v>352</v>
      </c>
      <c r="L398" s="347">
        <v>104.18</v>
      </c>
      <c r="M398" s="347" t="s">
        <v>318</v>
      </c>
      <c r="V398" s="345">
        <v>112.06</v>
      </c>
      <c r="W398" s="345" t="s">
        <v>337</v>
      </c>
      <c r="AB398" s="347">
        <v>27.16</v>
      </c>
      <c r="AC398" s="347" t="s">
        <v>368</v>
      </c>
      <c r="AD398" s="1138"/>
      <c r="AJ398" s="345">
        <v>8.0500000000000007</v>
      </c>
      <c r="AK398" s="345" t="s">
        <v>352</v>
      </c>
      <c r="AP398" s="347">
        <v>204.02</v>
      </c>
      <c r="AQ398" s="347" t="s">
        <v>315</v>
      </c>
      <c r="AU398" s="348" t="str">
        <f t="array" ref="AU398">IFERROR(IF($AU$11="Yes",INDEX($AP$13:$AP$2950,SMALL(IF((County=$AQ$13:$AQ$2950),MATCH(ROW($AQ$13:$AQ$2950),ROW($AQ$13:$AQ$2950)),""),ROWS($A$13:$A398))),""),"")</f>
        <v/>
      </c>
      <c r="AZ398" s="345">
        <v>100.24</v>
      </c>
      <c r="BA398" s="345" t="s">
        <v>352</v>
      </c>
      <c r="BF398" s="347">
        <v>22.01</v>
      </c>
      <c r="BG398" s="347" t="s">
        <v>352</v>
      </c>
      <c r="BH398" s="1790"/>
      <c r="BI398" s="2298">
        <v>32162</v>
      </c>
      <c r="BJ398" s="237" t="s">
        <v>372</v>
      </c>
      <c r="BN398" s="345">
        <v>405.05</v>
      </c>
      <c r="BO398" s="345" t="s">
        <v>310</v>
      </c>
      <c r="BT398" s="347">
        <v>203.03</v>
      </c>
      <c r="BU398" s="347" t="s">
        <v>315</v>
      </c>
      <c r="BW398" s="348" t="str">
        <f t="array" ref="BW398">IFERROR(IF($BW$11="Metro",INDEX($BN$13:$BN$4972,SMALL(IF((County=$BO$13:$BO$4972),MATCH(ROW($BO$13:$BO$4972),ROW($BO$13:$BO$4972)),""),ROWS($A$13:$A398))),INDEX($BQ$13:$BQ$212,SMALL(IF((County=$BR$13:$BR$212),MATCH(ROW($BR$13:$BR$212),ROW($BR$13:$BR$212)),""),ROWS($A$13:$A398)))),"")</f>
        <v/>
      </c>
      <c r="BY398" s="348" t="str">
        <f t="array" ref="BY398">IFERROR(IF($BY$11="Yes",INDEX($BT$13:$BT$2950,SMALL(IF((County=$BU$13:$BU$2950),MATCH(ROW($BU$13:$BU$2950),ROW($BU$13:$BU$2950)),""),ROWS($A$13:$A398))),""),"")</f>
        <v/>
      </c>
      <c r="CA398" s="2298">
        <v>34761</v>
      </c>
      <c r="CB398" s="345" t="s">
        <v>359</v>
      </c>
      <c r="CD398" s="345">
        <v>11</v>
      </c>
      <c r="CE398" s="345" t="s">
        <v>306</v>
      </c>
      <c r="CJ398" s="347">
        <v>22.02</v>
      </c>
      <c r="CK398" s="347" t="s">
        <v>297</v>
      </c>
      <c r="CL398" s="1789"/>
      <c r="CM398" s="2299"/>
      <c r="CN398" s="345"/>
      <c r="CR398" s="345"/>
      <c r="CS398" s="345"/>
      <c r="CX398" s="347"/>
      <c r="CY398" s="347"/>
      <c r="DA398" s="348"/>
      <c r="DC398" s="348"/>
      <c r="DE398" s="1792"/>
      <c r="DF398" s="345"/>
      <c r="DH398" s="237"/>
      <c r="DI398" s="237"/>
      <c r="DN398" s="347"/>
      <c r="DO398" s="347"/>
      <c r="DP398" s="2505"/>
      <c r="DT398" s="663"/>
      <c r="DU398" s="663"/>
      <c r="DV398" s="663"/>
      <c r="DW398" s="663"/>
      <c r="DX398" s="663"/>
      <c r="DY398" s="663"/>
      <c r="DZ398" s="663"/>
      <c r="EA398" s="663"/>
      <c r="EB398" s="663"/>
      <c r="EC398" s="663"/>
      <c r="ED398" s="663"/>
    </row>
    <row r="399" spans="6:134">
      <c r="F399" s="345">
        <v>19.010000000000002</v>
      </c>
      <c r="G399" s="345" t="s">
        <v>352</v>
      </c>
      <c r="L399" s="347">
        <v>105.09</v>
      </c>
      <c r="M399" s="347" t="s">
        <v>318</v>
      </c>
      <c r="V399" s="345">
        <v>113</v>
      </c>
      <c r="W399" s="345" t="s">
        <v>323</v>
      </c>
      <c r="AB399" s="347">
        <v>27.18</v>
      </c>
      <c r="AC399" s="347" t="s">
        <v>368</v>
      </c>
      <c r="AD399" s="1138"/>
      <c r="AJ399" s="345">
        <v>8.06</v>
      </c>
      <c r="AK399" s="345" t="s">
        <v>352</v>
      </c>
      <c r="AP399" s="347">
        <v>205.01</v>
      </c>
      <c r="AQ399" s="347" t="s">
        <v>315</v>
      </c>
      <c r="AU399" s="348" t="str">
        <f t="array" ref="AU399">IFERROR(IF($AU$11="Yes",INDEX($AP$13:$AP$2950,SMALL(IF((County=$AQ$13:$AQ$2950),MATCH(ROW($AQ$13:$AQ$2950),ROW($AQ$13:$AQ$2950)),""),ROWS($A$13:$A399))),""),"")</f>
        <v/>
      </c>
      <c r="AZ399" s="345">
        <v>100.25</v>
      </c>
      <c r="BA399" s="345" t="s">
        <v>352</v>
      </c>
      <c r="BF399" s="347">
        <v>22.02</v>
      </c>
      <c r="BG399" s="347" t="s">
        <v>297</v>
      </c>
      <c r="BH399" s="1790"/>
      <c r="BI399" s="1792">
        <v>32124</v>
      </c>
      <c r="BJ399" s="237" t="s">
        <v>376</v>
      </c>
      <c r="BN399" s="345">
        <v>405.06</v>
      </c>
      <c r="BO399" s="345" t="s">
        <v>310</v>
      </c>
      <c r="BT399" s="347">
        <v>204.01</v>
      </c>
      <c r="BU399" s="347" t="s">
        <v>315</v>
      </c>
      <c r="BW399" s="348" t="str">
        <f t="array" ref="BW399">IFERROR(IF($BW$11="Metro",INDEX($BN$13:$BN$4972,SMALL(IF((County=$BO$13:$BO$4972),MATCH(ROW($BO$13:$BO$4972),ROW($BO$13:$BO$4972)),""),ROWS($A$13:$A399))),INDEX($BQ$13:$BQ$212,SMALL(IF((County=$BR$13:$BR$212),MATCH(ROW($BR$13:$BR$212),ROW($BR$13:$BR$212)),""),ROWS($A$13:$A399)))),"")</f>
        <v/>
      </c>
      <c r="BY399" s="348" t="str">
        <f t="array" ref="BY399">IFERROR(IF($BY$11="Yes",INDEX($BT$13:$BT$2950,SMALL(IF((County=$BU$13:$BU$2950),MATCH(ROW($BU$13:$BU$2950),ROW($BU$13:$BU$2950)),""),ROWS($A$13:$A399))),""),"")</f>
        <v/>
      </c>
      <c r="CA399" s="2298">
        <v>34772</v>
      </c>
      <c r="CB399" s="345" t="s">
        <v>360</v>
      </c>
      <c r="CD399" s="237">
        <v>11</v>
      </c>
      <c r="CE399" s="237" t="s">
        <v>323</v>
      </c>
      <c r="CJ399" s="347">
        <v>22.02</v>
      </c>
      <c r="CK399" s="347" t="s">
        <v>350</v>
      </c>
      <c r="CL399" s="1789"/>
      <c r="CM399" s="2299"/>
      <c r="CN399" s="345"/>
      <c r="CR399" s="345"/>
      <c r="CS399" s="345"/>
      <c r="CX399" s="347"/>
      <c r="CY399" s="347"/>
      <c r="DA399" s="348"/>
      <c r="DC399" s="348"/>
      <c r="DE399" s="1792"/>
      <c r="DF399" s="345"/>
      <c r="DH399" s="237"/>
      <c r="DI399" s="237"/>
      <c r="DN399" s="347"/>
      <c r="DO399" s="347"/>
      <c r="DP399" s="2505"/>
      <c r="DT399" s="663"/>
      <c r="DU399" s="663"/>
      <c r="DV399" s="663"/>
      <c r="DW399" s="663"/>
      <c r="DX399" s="663"/>
      <c r="DY399" s="663"/>
      <c r="DZ399" s="663"/>
      <c r="EA399" s="663"/>
      <c r="EB399" s="663"/>
      <c r="EC399" s="663"/>
      <c r="ED399" s="663"/>
    </row>
    <row r="400" spans="6:134">
      <c r="F400" s="345">
        <v>19.03</v>
      </c>
      <c r="G400" s="345" t="s">
        <v>352</v>
      </c>
      <c r="L400" s="347">
        <v>106.06</v>
      </c>
      <c r="M400" s="347" t="s">
        <v>318</v>
      </c>
      <c r="V400" s="345">
        <v>113</v>
      </c>
      <c r="W400" s="345" t="s">
        <v>352</v>
      </c>
      <c r="AB400" s="347">
        <v>27.19</v>
      </c>
      <c r="AC400" s="347" t="s">
        <v>368</v>
      </c>
      <c r="AD400" s="1138"/>
      <c r="AJ400" s="345">
        <v>8.07</v>
      </c>
      <c r="AK400" s="345" t="s">
        <v>352</v>
      </c>
      <c r="AP400" s="347">
        <v>205.02</v>
      </c>
      <c r="AQ400" s="347" t="s">
        <v>315</v>
      </c>
      <c r="AU400" s="348" t="str">
        <f t="array" ref="AU400">IFERROR(IF($AU$11="Yes",INDEX($AP$13:$AP$2950,SMALL(IF((County=$AQ$13:$AQ$2950),MATCH(ROW($AQ$13:$AQ$2950),ROW($AQ$13:$AQ$2950)),""),ROWS($A$13:$A400))),""),"")</f>
        <v/>
      </c>
      <c r="AZ400" s="345">
        <v>100.26</v>
      </c>
      <c r="BA400" s="345" t="s">
        <v>352</v>
      </c>
      <c r="BF400" s="347">
        <v>22.02</v>
      </c>
      <c r="BG400" s="347" t="s">
        <v>350</v>
      </c>
      <c r="BH400" s="1790"/>
      <c r="BI400" s="1792">
        <v>32127</v>
      </c>
      <c r="BJ400" s="237" t="s">
        <v>376</v>
      </c>
      <c r="BN400" s="345">
        <v>406.01</v>
      </c>
      <c r="BO400" s="345" t="s">
        <v>310</v>
      </c>
      <c r="BT400" s="347">
        <v>204.02</v>
      </c>
      <c r="BU400" s="347" t="s">
        <v>315</v>
      </c>
      <c r="BW400" s="348" t="str">
        <f t="array" ref="BW400">IFERROR(IF($BW$11="Metro",INDEX($BN$13:$BN$4972,SMALL(IF((County=$BO$13:$BO$4972),MATCH(ROW($BO$13:$BO$4972),ROW($BO$13:$BO$4972)),""),ROWS($A$13:$A400))),INDEX($BQ$13:$BQ$212,SMALL(IF((County=$BR$13:$BR$212),MATCH(ROW($BR$13:$BR$212),ROW($BR$13:$BR$212)),""),ROWS($A$13:$A400)))),"")</f>
        <v/>
      </c>
      <c r="BY400" s="348" t="str">
        <f t="array" ref="BY400">IFERROR(IF($BY$11="Yes",INDEX($BT$13:$BT$2950,SMALL(IF((County=$BU$13:$BU$2950),MATCH(ROW($BU$13:$BU$2950),ROW($BU$13:$BU$2950)),""),ROWS($A$13:$A400))),""),"")</f>
        <v/>
      </c>
      <c r="CA400" s="2298">
        <v>34773</v>
      </c>
      <c r="CB400" s="345" t="s">
        <v>360</v>
      </c>
      <c r="CD400" s="237">
        <v>11</v>
      </c>
      <c r="CE400" s="237" t="s">
        <v>337</v>
      </c>
      <c r="CJ400" s="347">
        <v>22.03</v>
      </c>
      <c r="CK400" s="347" t="s">
        <v>350</v>
      </c>
      <c r="CL400" s="1789"/>
      <c r="CM400" s="2299"/>
      <c r="CN400" s="345"/>
      <c r="CR400" s="345"/>
      <c r="CS400" s="345"/>
      <c r="CX400" s="347"/>
      <c r="CY400" s="347"/>
      <c r="DA400" s="348"/>
      <c r="DC400" s="348"/>
      <c r="DE400" s="1792"/>
      <c r="DF400" s="345"/>
      <c r="DH400" s="237"/>
      <c r="DI400" s="237"/>
      <c r="DN400" s="347"/>
      <c r="DO400" s="347"/>
      <c r="DP400" s="2505"/>
      <c r="DT400" s="663"/>
      <c r="DU400" s="663"/>
      <c r="DV400" s="663"/>
      <c r="DW400" s="663"/>
      <c r="DX400" s="663"/>
      <c r="DY400" s="663"/>
      <c r="DZ400" s="663"/>
      <c r="EA400" s="663"/>
      <c r="EB400" s="663"/>
      <c r="EC400" s="663"/>
      <c r="ED400" s="663"/>
    </row>
    <row r="401" spans="6:134">
      <c r="F401" s="345">
        <v>19.04</v>
      </c>
      <c r="G401" s="345" t="s">
        <v>352</v>
      </c>
      <c r="L401" s="347">
        <v>107.02</v>
      </c>
      <c r="M401" s="347" t="s">
        <v>318</v>
      </c>
      <c r="V401" s="345">
        <v>113</v>
      </c>
      <c r="W401" s="345" t="s">
        <v>365</v>
      </c>
      <c r="AB401" s="347">
        <v>27.2</v>
      </c>
      <c r="AC401" s="347" t="s">
        <v>368</v>
      </c>
      <c r="AD401" s="1138"/>
      <c r="AJ401" s="345">
        <v>8.08</v>
      </c>
      <c r="AK401" s="345" t="s">
        <v>352</v>
      </c>
      <c r="AP401" s="347">
        <v>206.01</v>
      </c>
      <c r="AQ401" s="347" t="s">
        <v>315</v>
      </c>
      <c r="AU401" s="348" t="str">
        <f t="array" ref="AU401">IFERROR(IF($AU$11="Yes",INDEX($AP$13:$AP$2950,SMALL(IF((County=$AQ$13:$AQ$2950),MATCH(ROW($AQ$13:$AQ$2950),ROW($AQ$13:$AQ$2950)),""),ROWS($A$13:$A401))),""),"")</f>
        <v/>
      </c>
      <c r="AZ401" s="345">
        <v>102.03</v>
      </c>
      <c r="BA401" s="345" t="s">
        <v>337</v>
      </c>
      <c r="BF401" s="347">
        <v>22.03</v>
      </c>
      <c r="BG401" s="347" t="s">
        <v>350</v>
      </c>
      <c r="BH401" s="1790"/>
      <c r="BI401" s="1792">
        <v>32128</v>
      </c>
      <c r="BJ401" s="237" t="s">
        <v>376</v>
      </c>
      <c r="BN401" s="345">
        <v>406.02</v>
      </c>
      <c r="BO401" s="345" t="s">
        <v>310</v>
      </c>
      <c r="BT401" s="347">
        <v>205.01</v>
      </c>
      <c r="BU401" s="347" t="s">
        <v>315</v>
      </c>
      <c r="BW401" s="348" t="str">
        <f t="array" ref="BW401">IFERROR(IF($BW$11="Metro",INDEX($BN$13:$BN$4972,SMALL(IF((County=$BO$13:$BO$4972),MATCH(ROW($BO$13:$BO$4972),ROW($BO$13:$BO$4972)),""),ROWS($A$13:$A401))),INDEX($BQ$13:$BQ$212,SMALL(IF((County=$BR$13:$BR$212),MATCH(ROW($BR$13:$BR$212),ROW($BR$13:$BR$212)),""),ROWS($A$13:$A401)))),"")</f>
        <v/>
      </c>
      <c r="BY401" s="348" t="str">
        <f t="array" ref="BY401">IFERROR(IF($BY$11="Yes",INDEX($BT$13:$BT$2950,SMALL(IF((County=$BU$13:$BU$2950),MATCH(ROW($BU$13:$BU$2950),ROW($BU$13:$BU$2950)),""),ROWS($A$13:$A401))),""),"")</f>
        <v/>
      </c>
      <c r="CA401" s="2298">
        <v>34786</v>
      </c>
      <c r="CB401" s="345" t="s">
        <v>359</v>
      </c>
      <c r="CD401" s="237">
        <v>11.01</v>
      </c>
      <c r="CE401" s="237" t="s">
        <v>325</v>
      </c>
      <c r="CJ401" s="347">
        <v>22.04</v>
      </c>
      <c r="CK401" s="347" t="s">
        <v>297</v>
      </c>
      <c r="CL401" s="1789"/>
      <c r="CM401" s="2299"/>
      <c r="CN401" s="345"/>
      <c r="CR401" s="345"/>
      <c r="CS401" s="345"/>
      <c r="CX401" s="347"/>
      <c r="CY401" s="347"/>
      <c r="DA401" s="348"/>
      <c r="DC401" s="348"/>
      <c r="DE401" s="1792"/>
      <c r="DF401" s="345"/>
      <c r="DH401" s="237"/>
      <c r="DI401" s="237"/>
      <c r="DN401" s="347"/>
      <c r="DO401" s="347"/>
      <c r="DP401" s="2505"/>
      <c r="DT401" s="663"/>
      <c r="DU401" s="663"/>
      <c r="DV401" s="663"/>
      <c r="DW401" s="663"/>
      <c r="DX401" s="663"/>
      <c r="DY401" s="663"/>
      <c r="DZ401" s="663"/>
      <c r="EA401" s="663"/>
      <c r="EB401" s="663"/>
      <c r="EC401" s="663"/>
      <c r="ED401" s="663"/>
    </row>
    <row r="402" spans="6:134">
      <c r="F402" s="345">
        <v>20.010000000000002</v>
      </c>
      <c r="G402" s="345" t="s">
        <v>352</v>
      </c>
      <c r="L402" s="347">
        <v>108.01</v>
      </c>
      <c r="M402" s="347" t="s">
        <v>318</v>
      </c>
      <c r="V402" s="345">
        <v>113.01</v>
      </c>
      <c r="W402" s="345" t="s">
        <v>318</v>
      </c>
      <c r="AB402" s="347">
        <v>28</v>
      </c>
      <c r="AC402" s="347" t="s">
        <v>337</v>
      </c>
      <c r="AD402" s="1138"/>
      <c r="AJ402" s="345">
        <v>9.0299999999999994</v>
      </c>
      <c r="AK402" s="345" t="s">
        <v>352</v>
      </c>
      <c r="AP402" s="347">
        <v>209</v>
      </c>
      <c r="AQ402" s="347" t="s">
        <v>315</v>
      </c>
      <c r="AU402" s="348" t="str">
        <f t="array" ref="AU402">IFERROR(IF($AU$11="Yes",INDEX($AP$13:$AP$2950,SMALL(IF((County=$AQ$13:$AQ$2950),MATCH(ROW($AQ$13:$AQ$2950),ROW($AQ$13:$AQ$2950)),""),ROWS($A$13:$A402))),""),"")</f>
        <v/>
      </c>
      <c r="AZ402" s="345">
        <v>102.07</v>
      </c>
      <c r="BA402" s="345" t="s">
        <v>352</v>
      </c>
      <c r="BF402" s="347">
        <v>22.04</v>
      </c>
      <c r="BG402" s="347" t="s">
        <v>297</v>
      </c>
      <c r="BH402" s="1790"/>
      <c r="BI402" s="1792">
        <v>32129</v>
      </c>
      <c r="BJ402" s="237" t="s">
        <v>376</v>
      </c>
      <c r="BN402" s="345">
        <v>407.01</v>
      </c>
      <c r="BO402" s="345" t="s">
        <v>310</v>
      </c>
      <c r="BT402" s="347">
        <v>205.02</v>
      </c>
      <c r="BU402" s="347" t="s">
        <v>315</v>
      </c>
      <c r="BW402" s="348" t="str">
        <f t="array" ref="BW402">IFERROR(IF($BW$11="Metro",INDEX($BN$13:$BN$4972,SMALL(IF((County=$BO$13:$BO$4972),MATCH(ROW($BO$13:$BO$4972),ROW($BO$13:$BO$4972)),""),ROWS($A$13:$A402))),INDEX($BQ$13:$BQ$212,SMALL(IF((County=$BR$13:$BR$212),MATCH(ROW($BR$13:$BR$212),ROW($BR$13:$BR$212)),""),ROWS($A$13:$A402)))),"")</f>
        <v/>
      </c>
      <c r="BY402" s="348" t="str">
        <f t="array" ref="BY402">IFERROR(IF($BY$11="Yes",INDEX($BT$13:$BT$2950,SMALL(IF((County=$BU$13:$BU$2950),MATCH(ROW($BU$13:$BU$2950),ROW($BU$13:$BU$2950)),""),ROWS($A$13:$A402))),""),"")</f>
        <v/>
      </c>
      <c r="CA402" s="2298">
        <v>34787</v>
      </c>
      <c r="CB402" s="345" t="s">
        <v>359</v>
      </c>
      <c r="CD402" s="237">
        <v>11.01</v>
      </c>
      <c r="CE402" s="237" t="s">
        <v>344</v>
      </c>
      <c r="CJ402" s="347">
        <v>22.04</v>
      </c>
      <c r="CK402" s="347" t="s">
        <v>368</v>
      </c>
      <c r="CL402" s="1789"/>
      <c r="CM402" s="2299"/>
      <c r="CN402" s="345"/>
      <c r="CR402" s="345"/>
      <c r="CS402" s="345"/>
      <c r="CX402" s="347"/>
      <c r="CY402" s="347"/>
      <c r="DA402" s="348"/>
      <c r="DC402" s="348"/>
      <c r="DE402" s="1792"/>
      <c r="DF402" s="345"/>
      <c r="DH402" s="237"/>
      <c r="DI402" s="237"/>
      <c r="DN402" s="347"/>
      <c r="DO402" s="347"/>
      <c r="DP402" s="2505"/>
      <c r="DT402" s="663"/>
      <c r="DU402" s="663"/>
      <c r="DV402" s="663"/>
      <c r="DW402" s="663"/>
      <c r="DX402" s="663"/>
      <c r="DY402" s="663"/>
      <c r="DZ402" s="663"/>
      <c r="EA402" s="663"/>
      <c r="EB402" s="663"/>
      <c r="EC402" s="663"/>
      <c r="ED402" s="663"/>
    </row>
    <row r="403" spans="6:134">
      <c r="F403" s="345">
        <v>20.03</v>
      </c>
      <c r="G403" s="345" t="s">
        <v>352</v>
      </c>
      <c r="L403" s="347">
        <v>109.02</v>
      </c>
      <c r="M403" s="347" t="s">
        <v>318</v>
      </c>
      <c r="V403" s="345">
        <v>113.02</v>
      </c>
      <c r="W403" s="345" t="s">
        <v>318</v>
      </c>
      <c r="AB403" s="347">
        <v>28.02</v>
      </c>
      <c r="AC403" s="347" t="s">
        <v>325</v>
      </c>
      <c r="AD403" s="1138"/>
      <c r="AJ403" s="345">
        <v>9.0399999999999991</v>
      </c>
      <c r="AK403" s="345" t="s">
        <v>352</v>
      </c>
      <c r="AP403" s="347">
        <v>210.01</v>
      </c>
      <c r="AQ403" s="347" t="s">
        <v>315</v>
      </c>
      <c r="AU403" s="348" t="str">
        <f t="array" ref="AU403">IFERROR(IF($AU$11="Yes",INDEX($AP$13:$AP$2950,SMALL(IF((County=$AQ$13:$AQ$2950),MATCH(ROW($AQ$13:$AQ$2950),ROW($AQ$13:$AQ$2950)),""),ROWS($A$13:$A403))),""),"")</f>
        <v/>
      </c>
      <c r="AZ403" s="345">
        <v>102.08</v>
      </c>
      <c r="BA403" s="345" t="s">
        <v>352</v>
      </c>
      <c r="BF403" s="347">
        <v>22.04</v>
      </c>
      <c r="BG403" s="347" t="s">
        <v>368</v>
      </c>
      <c r="BH403" s="1790"/>
      <c r="BI403" s="1792">
        <v>32169</v>
      </c>
      <c r="BJ403" s="237" t="s">
        <v>376</v>
      </c>
      <c r="BN403" s="345">
        <v>407.02</v>
      </c>
      <c r="BO403" s="345" t="s">
        <v>310</v>
      </c>
      <c r="BT403" s="347">
        <v>209</v>
      </c>
      <c r="BU403" s="347" t="s">
        <v>315</v>
      </c>
      <c r="BW403" s="348" t="str">
        <f t="array" ref="BW403">IFERROR(IF($BW$11="Metro",INDEX($BN$13:$BN$4972,SMALL(IF((County=$BO$13:$BO$4972),MATCH(ROW($BO$13:$BO$4972),ROW($BO$13:$BO$4972)),""),ROWS($A$13:$A403))),INDEX($BQ$13:$BQ$212,SMALL(IF((County=$BR$13:$BR$212),MATCH(ROW($BR$13:$BR$212),ROW($BR$13:$BR$212)),""),ROWS($A$13:$A403)))),"")</f>
        <v/>
      </c>
      <c r="BY403" s="348" t="str">
        <f t="array" ref="BY403">IFERROR(IF($BY$11="Yes",INDEX($BT$13:$BT$2950,SMALL(IF((County=$BU$13:$BU$2950),MATCH(ROW($BU$13:$BU$2950),ROW($BU$13:$BU$2950)),""),ROWS($A$13:$A403))),""),"")</f>
        <v/>
      </c>
      <c r="CA403" s="2298">
        <v>34949</v>
      </c>
      <c r="CB403" s="237" t="s">
        <v>371</v>
      </c>
      <c r="CD403" s="237">
        <v>11.01</v>
      </c>
      <c r="CE403" s="237" t="s">
        <v>345</v>
      </c>
      <c r="CJ403" s="347">
        <v>22.05</v>
      </c>
      <c r="CK403" s="347" t="s">
        <v>368</v>
      </c>
      <c r="CL403" s="1789"/>
      <c r="CM403" s="2299"/>
      <c r="CN403" s="345"/>
      <c r="CR403" s="345"/>
      <c r="CS403" s="345"/>
      <c r="CX403" s="347"/>
      <c r="CY403" s="347"/>
      <c r="DA403" s="348"/>
      <c r="DC403" s="348"/>
      <c r="DE403" s="1792"/>
      <c r="DF403" s="345"/>
      <c r="DH403" s="237"/>
      <c r="DI403" s="237"/>
      <c r="DN403" s="347"/>
      <c r="DO403" s="347"/>
      <c r="DP403" s="2505"/>
      <c r="DT403" s="663"/>
      <c r="DU403" s="663"/>
      <c r="DV403" s="663"/>
      <c r="DW403" s="663"/>
      <c r="DX403" s="663"/>
      <c r="DY403" s="663"/>
      <c r="DZ403" s="663"/>
      <c r="EA403" s="663"/>
      <c r="EB403" s="663"/>
      <c r="EC403" s="663"/>
      <c r="ED403" s="663"/>
    </row>
    <row r="404" spans="6:134">
      <c r="F404" s="345">
        <v>20.04</v>
      </c>
      <c r="G404" s="345" t="s">
        <v>352</v>
      </c>
      <c r="L404" s="347">
        <v>109.03</v>
      </c>
      <c r="M404" s="347" t="s">
        <v>318</v>
      </c>
      <c r="V404" s="345">
        <v>114</v>
      </c>
      <c r="W404" s="345" t="s">
        <v>318</v>
      </c>
      <c r="AB404" s="347">
        <v>28.04</v>
      </c>
      <c r="AC404" s="347" t="s">
        <v>325</v>
      </c>
      <c r="AD404" s="1138"/>
      <c r="AJ404" s="345">
        <v>9.06</v>
      </c>
      <c r="AK404" s="345" t="s">
        <v>352</v>
      </c>
      <c r="AP404" s="347">
        <v>301.02</v>
      </c>
      <c r="AQ404" s="347" t="s">
        <v>315</v>
      </c>
      <c r="AU404" s="348" t="str">
        <f t="array" ref="AU404">IFERROR(IF($AU$11="Yes",INDEX($AP$13:$AP$2950,SMALL(IF((County=$AQ$13:$AQ$2950),MATCH(ROW($AQ$13:$AQ$2950),ROW($AQ$13:$AQ$2950)),""),ROWS($A$13:$A404))),""),"")</f>
        <v/>
      </c>
      <c r="AZ404" s="345">
        <v>102.13</v>
      </c>
      <c r="BA404" s="345" t="s">
        <v>337</v>
      </c>
      <c r="BF404" s="347">
        <v>22.05</v>
      </c>
      <c r="BG404" s="347" t="s">
        <v>368</v>
      </c>
      <c r="BH404" s="1790"/>
      <c r="BI404" s="1792">
        <v>32176</v>
      </c>
      <c r="BJ404" s="237" t="s">
        <v>376</v>
      </c>
      <c r="BN404" s="345">
        <v>408.01</v>
      </c>
      <c r="BO404" s="345" t="s">
        <v>310</v>
      </c>
      <c r="BT404" s="347">
        <v>210.02</v>
      </c>
      <c r="BU404" s="347" t="s">
        <v>315</v>
      </c>
      <c r="BW404" s="348" t="str">
        <f t="array" ref="BW404">IFERROR(IF($BW$11="Metro",INDEX($BN$13:$BN$4972,SMALL(IF((County=$BO$13:$BO$4972),MATCH(ROW($BO$13:$BO$4972),ROW($BO$13:$BO$4972)),""),ROWS($A$13:$A404))),INDEX($BQ$13:$BQ$212,SMALL(IF((County=$BR$13:$BR$212),MATCH(ROW($BR$13:$BR$212),ROW($BR$13:$BR$212)),""),ROWS($A$13:$A404)))),"")</f>
        <v/>
      </c>
      <c r="BY404" s="348" t="str">
        <f t="array" ref="BY404">IFERROR(IF($BY$11="Yes",INDEX($BT$13:$BT$2950,SMALL(IF((County=$BU$13:$BU$2950),MATCH(ROW($BU$13:$BU$2950),ROW($BU$13:$BU$2950)),""),ROWS($A$13:$A404))),""),"")</f>
        <v/>
      </c>
      <c r="CA404" s="2298">
        <v>34952</v>
      </c>
      <c r="CB404" s="237" t="s">
        <v>371</v>
      </c>
      <c r="CD404" s="237">
        <v>11.01</v>
      </c>
      <c r="CE404" s="237" t="s">
        <v>352</v>
      </c>
      <c r="CJ404" s="347">
        <v>22.06</v>
      </c>
      <c r="CK404" s="347" t="s">
        <v>345</v>
      </c>
      <c r="CL404" s="1789"/>
      <c r="CM404" s="2299"/>
      <c r="CN404" s="345"/>
      <c r="CR404" s="345"/>
      <c r="CS404" s="345"/>
      <c r="CX404" s="347"/>
      <c r="CY404" s="347"/>
      <c r="DA404" s="348"/>
      <c r="DC404" s="348"/>
      <c r="DE404" s="1792"/>
      <c r="DF404" s="345"/>
      <c r="DH404" s="237"/>
      <c r="DI404" s="237"/>
      <c r="DN404" s="347"/>
      <c r="DO404" s="347"/>
      <c r="DP404" s="2505"/>
      <c r="DT404" s="663"/>
      <c r="DU404" s="663"/>
      <c r="DV404" s="663"/>
      <c r="DW404" s="663"/>
      <c r="DX404" s="663"/>
      <c r="DY404" s="663"/>
      <c r="DZ404" s="663"/>
      <c r="EA404" s="663"/>
      <c r="EB404" s="663"/>
      <c r="EC404" s="663"/>
      <c r="ED404" s="663"/>
    </row>
    <row r="405" spans="6:134">
      <c r="F405" s="345">
        <v>22.02</v>
      </c>
      <c r="G405" s="345" t="s">
        <v>352</v>
      </c>
      <c r="L405" s="347">
        <v>109.04</v>
      </c>
      <c r="M405" s="347" t="s">
        <v>318</v>
      </c>
      <c r="V405" s="345">
        <v>114</v>
      </c>
      <c r="W405" s="345" t="s">
        <v>323</v>
      </c>
      <c r="AB405" s="347">
        <v>32.020000000000003</v>
      </c>
      <c r="AC405" s="347" t="s">
        <v>361</v>
      </c>
      <c r="AD405" s="1138"/>
      <c r="AJ405" s="345">
        <v>9.07</v>
      </c>
      <c r="AK405" s="345" t="s">
        <v>352</v>
      </c>
      <c r="AP405" s="347">
        <v>302.02</v>
      </c>
      <c r="AQ405" s="347" t="s">
        <v>315</v>
      </c>
      <c r="AU405" s="348" t="str">
        <f t="array" ref="AU405">IFERROR(IF($AU$11="Yes",INDEX($AP$13:$AP$2950,SMALL(IF((County=$AQ$13:$AQ$2950),MATCH(ROW($AQ$13:$AQ$2950),ROW($AQ$13:$AQ$2950)),""),ROWS($A$13:$A405))),""),"")</f>
        <v/>
      </c>
      <c r="AZ405" s="345">
        <v>102.13</v>
      </c>
      <c r="BA405" s="345" t="s">
        <v>352</v>
      </c>
      <c r="BF405" s="347">
        <v>22.06</v>
      </c>
      <c r="BG405" s="347" t="s">
        <v>345</v>
      </c>
      <c r="BH405" s="1790"/>
      <c r="BI405" s="1792">
        <v>32713</v>
      </c>
      <c r="BJ405" s="237" t="s">
        <v>376</v>
      </c>
      <c r="BN405" s="345">
        <v>408.02</v>
      </c>
      <c r="BO405" s="345" t="s">
        <v>310</v>
      </c>
      <c r="BT405" s="347">
        <v>302.02</v>
      </c>
      <c r="BU405" s="347" t="s">
        <v>315</v>
      </c>
      <c r="BW405" s="348" t="str">
        <f t="array" ref="BW405">IFERROR(IF($BW$11="Metro",INDEX($BN$13:$BN$4972,SMALL(IF((County=$BO$13:$BO$4972),MATCH(ROW($BO$13:$BO$4972),ROW($BO$13:$BO$4972)),""),ROWS($A$13:$A405))),INDEX($BQ$13:$BQ$212,SMALL(IF((County=$BR$13:$BR$212),MATCH(ROW($BR$13:$BR$212),ROW($BR$13:$BR$212)),""),ROWS($A$13:$A405)))),"")</f>
        <v/>
      </c>
      <c r="BY405" s="348" t="str">
        <f t="array" ref="BY405">IFERROR(IF($BY$11="Yes",INDEX($BT$13:$BT$2950,SMALL(IF((County=$BU$13:$BU$2950),MATCH(ROW($BU$13:$BU$2950),ROW($BU$13:$BU$2950)),""),ROWS($A$13:$A405))),""),"")</f>
        <v/>
      </c>
      <c r="CA405" s="2298">
        <v>34953</v>
      </c>
      <c r="CB405" s="237" t="s">
        <v>371</v>
      </c>
      <c r="CD405" s="237">
        <v>11.01</v>
      </c>
      <c r="CE405" s="237" t="s">
        <v>361</v>
      </c>
      <c r="CJ405" s="347">
        <v>22.07</v>
      </c>
      <c r="CK405" s="347" t="s">
        <v>297</v>
      </c>
      <c r="CL405" s="1789"/>
      <c r="CM405" s="2299"/>
      <c r="CN405" s="345"/>
      <c r="CR405" s="345"/>
      <c r="CS405" s="345"/>
      <c r="CX405" s="347"/>
      <c r="CY405" s="347"/>
      <c r="DA405" s="348"/>
      <c r="DC405" s="348"/>
      <c r="DE405" s="1792"/>
      <c r="DF405" s="345"/>
      <c r="DH405" s="237"/>
      <c r="DI405" s="237"/>
      <c r="DN405" s="347"/>
      <c r="DO405" s="347"/>
      <c r="DP405" s="2505"/>
      <c r="DT405" s="663"/>
      <c r="DU405" s="663"/>
      <c r="DV405" s="663"/>
      <c r="DW405" s="663"/>
      <c r="DX405" s="663"/>
      <c r="DY405" s="663"/>
      <c r="DZ405" s="663"/>
      <c r="EA405" s="663"/>
      <c r="EB405" s="663"/>
      <c r="EC405" s="663"/>
      <c r="ED405" s="663"/>
    </row>
    <row r="406" spans="6:134">
      <c r="F406" s="345">
        <v>23</v>
      </c>
      <c r="G406" s="345" t="s">
        <v>352</v>
      </c>
      <c r="L406" s="347">
        <v>109.05</v>
      </c>
      <c r="M406" s="347" t="s">
        <v>318</v>
      </c>
      <c r="V406" s="345">
        <v>114</v>
      </c>
      <c r="W406" s="345" t="s">
        <v>365</v>
      </c>
      <c r="AB406" s="347">
        <v>32.04</v>
      </c>
      <c r="AC406" s="347" t="s">
        <v>325</v>
      </c>
      <c r="AD406" s="1138"/>
      <c r="AJ406" s="345">
        <v>9.08</v>
      </c>
      <c r="AK406" s="345" t="s">
        <v>352</v>
      </c>
      <c r="AP406" s="347">
        <v>303.01</v>
      </c>
      <c r="AQ406" s="347" t="s">
        <v>315</v>
      </c>
      <c r="AU406" s="348" t="str">
        <f t="array" ref="AU406">IFERROR(IF($AU$11="Yes",INDEX($AP$13:$AP$2950,SMALL(IF((County=$AQ$13:$AQ$2950),MATCH(ROW($AQ$13:$AQ$2950),ROW($AQ$13:$AQ$2950)),""),ROWS($A$13:$A406))),""),"")</f>
        <v/>
      </c>
      <c r="AZ406" s="345">
        <v>103</v>
      </c>
      <c r="BA406" s="345" t="s">
        <v>365</v>
      </c>
      <c r="BF406" s="347">
        <v>22.07</v>
      </c>
      <c r="BG406" s="347" t="s">
        <v>297</v>
      </c>
      <c r="BH406" s="1790"/>
      <c r="BI406" s="1792">
        <v>32725</v>
      </c>
      <c r="BJ406" s="237" t="s">
        <v>376</v>
      </c>
      <c r="BN406" s="345">
        <v>409.01</v>
      </c>
      <c r="BO406" s="345" t="s">
        <v>310</v>
      </c>
      <c r="BT406" s="347">
        <v>303.01</v>
      </c>
      <c r="BU406" s="347" t="s">
        <v>315</v>
      </c>
      <c r="BW406" s="348" t="str">
        <f t="array" ref="BW406">IFERROR(IF($BW$11="Metro",INDEX($BN$13:$BN$4972,SMALL(IF((County=$BO$13:$BO$4972),MATCH(ROW($BO$13:$BO$4972),ROW($BO$13:$BO$4972)),""),ROWS($A$13:$A406))),INDEX($BQ$13:$BQ$212,SMALL(IF((County=$BR$13:$BR$212),MATCH(ROW($BR$13:$BR$212),ROW($BR$13:$BR$212)),""),ROWS($A$13:$A406)))),"")</f>
        <v/>
      </c>
      <c r="BY406" s="348" t="str">
        <f t="array" ref="BY406">IFERROR(IF($BY$11="Yes",INDEX($BT$13:$BT$2950,SMALL(IF((County=$BU$13:$BU$2950),MATCH(ROW($BU$13:$BU$2950),ROW($BU$13:$BU$2950)),""),ROWS($A$13:$A406))),""),"")</f>
        <v/>
      </c>
      <c r="CA406" s="2298">
        <v>34983</v>
      </c>
      <c r="CB406" s="237" t="s">
        <v>371</v>
      </c>
      <c r="CD406" s="237">
        <v>11.01</v>
      </c>
      <c r="CE406" s="237" t="s">
        <v>368</v>
      </c>
      <c r="CJ406" s="347">
        <v>22.07</v>
      </c>
      <c r="CK406" s="347" t="s">
        <v>345</v>
      </c>
      <c r="CL406" s="1789"/>
      <c r="CM406" s="2299"/>
      <c r="CN406" s="345"/>
      <c r="CR406" s="345"/>
      <c r="CS406" s="345"/>
      <c r="CX406" s="347"/>
      <c r="CY406" s="347"/>
      <c r="DA406" s="348"/>
      <c r="DC406" s="348"/>
      <c r="DE406" s="1792"/>
      <c r="DF406" s="345"/>
      <c r="DH406" s="237"/>
      <c r="DI406" s="237"/>
      <c r="DN406" s="347"/>
      <c r="DO406" s="347"/>
      <c r="DP406" s="2505"/>
      <c r="DT406" s="663"/>
      <c r="DU406" s="663"/>
      <c r="DV406" s="663"/>
      <c r="DW406" s="663"/>
      <c r="DX406" s="663"/>
      <c r="DY406" s="663"/>
      <c r="DZ406" s="663"/>
      <c r="EA406" s="663"/>
      <c r="EB406" s="663"/>
      <c r="EC406" s="663"/>
      <c r="ED406" s="663"/>
    </row>
    <row r="407" spans="6:134">
      <c r="F407" s="345">
        <v>24.02</v>
      </c>
      <c r="G407" s="345" t="s">
        <v>352</v>
      </c>
      <c r="L407" s="347">
        <v>110.01</v>
      </c>
      <c r="M407" s="347" t="s">
        <v>318</v>
      </c>
      <c r="V407" s="345">
        <v>114.03</v>
      </c>
      <c r="W407" s="345" t="s">
        <v>352</v>
      </c>
      <c r="AB407" s="347">
        <v>33.01</v>
      </c>
      <c r="AC407" s="347" t="s">
        <v>325</v>
      </c>
      <c r="AD407" s="1138"/>
      <c r="AJ407" s="345">
        <v>10.029999999999999</v>
      </c>
      <c r="AK407" s="345" t="s">
        <v>352</v>
      </c>
      <c r="AP407" s="347">
        <v>304.01</v>
      </c>
      <c r="AQ407" s="347" t="s">
        <v>315</v>
      </c>
      <c r="AU407" s="348" t="str">
        <f t="array" ref="AU407">IFERROR(IF($AU$11="Yes",INDEX($AP$13:$AP$2950,SMALL(IF((County=$AQ$13:$AQ$2950),MATCH(ROW($AQ$13:$AQ$2950),ROW($AQ$13:$AQ$2950)),""),ROWS($A$13:$A407))),""),"")</f>
        <v/>
      </c>
      <c r="AZ407" s="345">
        <v>103.07</v>
      </c>
      <c r="BA407" s="345" t="s">
        <v>310</v>
      </c>
      <c r="BF407" s="347">
        <v>22.07</v>
      </c>
      <c r="BG407" s="347" t="s">
        <v>345</v>
      </c>
      <c r="BH407" s="1790"/>
      <c r="BI407" s="1792">
        <v>32738</v>
      </c>
      <c r="BJ407" s="237" t="s">
        <v>376</v>
      </c>
      <c r="BN407" s="345">
        <v>409.02</v>
      </c>
      <c r="BO407" s="345" t="s">
        <v>310</v>
      </c>
      <c r="BT407" s="347">
        <v>304.02</v>
      </c>
      <c r="BU407" s="347" t="s">
        <v>315</v>
      </c>
      <c r="BW407" s="348" t="str">
        <f t="array" ref="BW407">IFERROR(IF($BW$11="Metro",INDEX($BN$13:$BN$4972,SMALL(IF((County=$BO$13:$BO$4972),MATCH(ROW($BO$13:$BO$4972),ROW($BO$13:$BO$4972)),""),ROWS($A$13:$A407))),INDEX($BQ$13:$BQ$212,SMALL(IF((County=$BR$13:$BR$212),MATCH(ROW($BR$13:$BR$212),ROW($BR$13:$BR$212)),""),ROWS($A$13:$A407)))),"")</f>
        <v/>
      </c>
      <c r="BY407" s="348" t="str">
        <f t="array" ref="BY407">IFERROR(IF($BY$11="Yes",INDEX($BT$13:$BT$2950,SMALL(IF((County=$BU$13:$BU$2950),MATCH(ROW($BU$13:$BU$2950),ROW($BU$13:$BU$2950)),""),ROWS($A$13:$A407))),""),"")</f>
        <v/>
      </c>
      <c r="CA407" s="2298">
        <v>34984</v>
      </c>
      <c r="CB407" s="237" t="s">
        <v>371</v>
      </c>
      <c r="CD407" s="237">
        <v>11.02</v>
      </c>
      <c r="CE407" s="237" t="s">
        <v>345</v>
      </c>
      <c r="CJ407" s="347">
        <v>22.08</v>
      </c>
      <c r="CK407" s="347" t="s">
        <v>297</v>
      </c>
      <c r="CL407" s="1789"/>
      <c r="CM407" s="2299"/>
      <c r="CN407" s="345"/>
      <c r="CR407" s="345"/>
      <c r="CS407" s="345"/>
      <c r="CX407" s="347"/>
      <c r="CY407" s="347"/>
      <c r="DA407" s="348"/>
      <c r="DC407" s="348"/>
      <c r="DE407" s="1792"/>
      <c r="DF407" s="345"/>
      <c r="DH407" s="237"/>
      <c r="DI407" s="237"/>
      <c r="DN407" s="347"/>
      <c r="DO407" s="347"/>
      <c r="DP407" s="2505"/>
      <c r="DT407" s="663"/>
      <c r="DU407" s="663"/>
      <c r="DV407" s="663"/>
      <c r="DW407" s="663"/>
      <c r="DX407" s="663"/>
      <c r="DY407" s="663"/>
      <c r="DZ407" s="663"/>
      <c r="EA407" s="663"/>
      <c r="EB407" s="663"/>
      <c r="EC407" s="663"/>
      <c r="ED407" s="663"/>
    </row>
    <row r="408" spans="6:134">
      <c r="F408" s="345">
        <v>24.03</v>
      </c>
      <c r="G408" s="345" t="s">
        <v>352</v>
      </c>
      <c r="L408" s="347">
        <v>110.02</v>
      </c>
      <c r="M408" s="347" t="s">
        <v>318</v>
      </c>
      <c r="V408" s="345">
        <v>114.04</v>
      </c>
      <c r="W408" s="345" t="s">
        <v>352</v>
      </c>
      <c r="AB408" s="347">
        <v>33.049999999999997</v>
      </c>
      <c r="AC408" s="347" t="s">
        <v>325</v>
      </c>
      <c r="AD408" s="1138"/>
      <c r="AJ408" s="345">
        <v>10.039999999999999</v>
      </c>
      <c r="AK408" s="345" t="s">
        <v>352</v>
      </c>
      <c r="AP408" s="347">
        <v>304.02</v>
      </c>
      <c r="AQ408" s="347" t="s">
        <v>315</v>
      </c>
      <c r="AU408" s="348" t="str">
        <f t="array" ref="AU408">IFERROR(IF($AU$11="Yes",INDEX($AP$13:$AP$2950,SMALL(IF((County=$AQ$13:$AQ$2950),MATCH(ROW($AQ$13:$AQ$2950),ROW($AQ$13:$AQ$2950)),""),ROWS($A$13:$A408))),""),"")</f>
        <v/>
      </c>
      <c r="AZ408" s="345">
        <v>104</v>
      </c>
      <c r="BA408" s="345" t="s">
        <v>359</v>
      </c>
      <c r="BF408" s="347">
        <v>22.08</v>
      </c>
      <c r="BG408" s="347" t="s">
        <v>297</v>
      </c>
      <c r="BH408" s="1790"/>
      <c r="BI408" s="1792">
        <v>32346</v>
      </c>
      <c r="BJ408" s="237" t="s">
        <v>377</v>
      </c>
      <c r="BN408" s="345">
        <v>410</v>
      </c>
      <c r="BO408" s="345" t="s">
        <v>310</v>
      </c>
      <c r="BT408" s="347">
        <v>305.01</v>
      </c>
      <c r="BU408" s="347" t="s">
        <v>315</v>
      </c>
      <c r="BW408" s="348" t="str">
        <f t="array" ref="BW408">IFERROR(IF($BW$11="Metro",INDEX($BN$13:$BN$4972,SMALL(IF((County=$BO$13:$BO$4972),MATCH(ROW($BO$13:$BO$4972),ROW($BO$13:$BO$4972)),""),ROWS($A$13:$A408))),INDEX($BQ$13:$BQ$212,SMALL(IF((County=$BR$13:$BR$212),MATCH(ROW($BR$13:$BR$212),ROW($BR$13:$BR$212)),""),ROWS($A$13:$A408)))),"")</f>
        <v/>
      </c>
      <c r="BY408" s="348" t="str">
        <f t="array" ref="BY408">IFERROR(IF($BY$11="Yes",INDEX($BT$13:$BT$2950,SMALL(IF((County=$BU$13:$BU$2950),MATCH(ROW($BU$13:$BU$2950),ROW($BU$13:$BU$2950)),""),ROWS($A$13:$A408))),""),"")</f>
        <v/>
      </c>
      <c r="CA408" s="2298">
        <v>34986</v>
      </c>
      <c r="CB408" s="237" t="s">
        <v>371</v>
      </c>
      <c r="CD408" s="237">
        <v>11.02</v>
      </c>
      <c r="CE408" s="237" t="s">
        <v>350</v>
      </c>
      <c r="CJ408" s="347">
        <v>22.08</v>
      </c>
      <c r="CK408" s="347" t="s">
        <v>345</v>
      </c>
      <c r="CL408" s="1789"/>
      <c r="CM408" s="2299"/>
      <c r="CN408" s="345"/>
      <c r="CR408" s="345"/>
      <c r="CS408" s="345"/>
      <c r="CX408" s="347"/>
      <c r="CY408" s="347"/>
      <c r="DA408" s="348"/>
      <c r="DC408" s="348"/>
      <c r="DE408" s="1792"/>
      <c r="DF408" s="345"/>
      <c r="DH408" s="237"/>
      <c r="DI408" s="237"/>
      <c r="DN408" s="347"/>
      <c r="DO408" s="347"/>
      <c r="DP408" s="2505"/>
      <c r="DT408" s="663"/>
      <c r="DU408" s="663"/>
      <c r="DV408" s="663"/>
      <c r="DW408" s="663"/>
      <c r="DX408" s="663"/>
      <c r="DY408" s="663"/>
      <c r="DZ408" s="663"/>
      <c r="EA408" s="663"/>
      <c r="EB408" s="663"/>
      <c r="EC408" s="663"/>
      <c r="ED408" s="663"/>
    </row>
    <row r="409" spans="6:134">
      <c r="F409" s="345">
        <v>24.04</v>
      </c>
      <c r="G409" s="345" t="s">
        <v>352</v>
      </c>
      <c r="L409" s="347">
        <v>111.02</v>
      </c>
      <c r="M409" s="347" t="s">
        <v>318</v>
      </c>
      <c r="V409" s="345">
        <v>115</v>
      </c>
      <c r="W409" s="345" t="s">
        <v>323</v>
      </c>
      <c r="AB409" s="347">
        <v>33.08</v>
      </c>
      <c r="AC409" s="347" t="s">
        <v>325</v>
      </c>
      <c r="AD409" s="1138"/>
      <c r="AJ409" s="345">
        <v>10.050000000000001</v>
      </c>
      <c r="AK409" s="345" t="s">
        <v>352</v>
      </c>
      <c r="AP409" s="347">
        <v>305.01</v>
      </c>
      <c r="AQ409" s="347" t="s">
        <v>315</v>
      </c>
      <c r="AU409" s="348" t="str">
        <f t="array" ref="AU409">IFERROR(IF($AU$11="Yes",INDEX($AP$13:$AP$2950,SMALL(IF((County=$AQ$13:$AQ$2950),MATCH(ROW($AQ$13:$AQ$2950),ROW($AQ$13:$AQ$2950)),""),ROWS($A$13:$A409))),""),"")</f>
        <v/>
      </c>
      <c r="AZ409" s="345">
        <v>104.02</v>
      </c>
      <c r="BA409" s="345" t="s">
        <v>323</v>
      </c>
      <c r="BF409" s="347">
        <v>22.08</v>
      </c>
      <c r="BG409" s="347" t="s">
        <v>345</v>
      </c>
      <c r="BH409" s="1790"/>
      <c r="BI409" s="1792">
        <v>32459</v>
      </c>
      <c r="BJ409" s="237" t="s">
        <v>378</v>
      </c>
      <c r="BN409" s="345">
        <v>411</v>
      </c>
      <c r="BO409" s="345" t="s">
        <v>310</v>
      </c>
      <c r="BT409" s="347">
        <v>305.04000000000002</v>
      </c>
      <c r="BU409" s="347" t="s">
        <v>315</v>
      </c>
      <c r="BW409" s="348" t="str">
        <f t="array" ref="BW409">IFERROR(IF($BW$11="Metro",INDEX($BN$13:$BN$4972,SMALL(IF((County=$BO$13:$BO$4972),MATCH(ROW($BO$13:$BO$4972),ROW($BO$13:$BO$4972)),""),ROWS($A$13:$A409))),INDEX($BQ$13:$BQ$212,SMALL(IF((County=$BR$13:$BR$212),MATCH(ROW($BR$13:$BR$212),ROW($BR$13:$BR$212)),""),ROWS($A$13:$A409)))),"")</f>
        <v/>
      </c>
      <c r="BY409" s="348" t="str">
        <f t="array" ref="BY409">IFERROR(IF($BY$11="Yes",INDEX($BT$13:$BT$2950,SMALL(IF((County=$BU$13:$BU$2950),MATCH(ROW($BU$13:$BU$2950),ROW($BU$13:$BU$2950)),""),ROWS($A$13:$A409))),""),"")</f>
        <v/>
      </c>
      <c r="CA409" s="2298">
        <v>34987</v>
      </c>
      <c r="CB409" s="237" t="s">
        <v>371</v>
      </c>
      <c r="CD409" s="237">
        <v>11.02</v>
      </c>
      <c r="CE409" s="237" t="s">
        <v>352</v>
      </c>
      <c r="CJ409" s="347">
        <v>22.09</v>
      </c>
      <c r="CK409" s="347" t="s">
        <v>297</v>
      </c>
      <c r="CL409" s="1789"/>
      <c r="CM409" s="2299"/>
      <c r="CN409" s="345"/>
      <c r="CR409" s="345"/>
      <c r="CS409" s="345"/>
      <c r="CX409" s="347"/>
      <c r="CY409" s="347"/>
      <c r="DA409" s="348"/>
      <c r="DC409" s="348"/>
      <c r="DE409" s="1792"/>
      <c r="DF409" s="345"/>
      <c r="DH409" s="237"/>
      <c r="DI409" s="237"/>
      <c r="DN409" s="347"/>
      <c r="DO409" s="347"/>
      <c r="DP409" s="2505"/>
      <c r="DT409" s="663"/>
      <c r="DU409" s="663"/>
      <c r="DV409" s="663"/>
      <c r="DW409" s="663"/>
      <c r="DX409" s="663"/>
      <c r="DY409" s="663"/>
      <c r="DZ409" s="663"/>
      <c r="EA409" s="663"/>
      <c r="EB409" s="663"/>
      <c r="EC409" s="663"/>
      <c r="ED409" s="663"/>
    </row>
    <row r="410" spans="6:134">
      <c r="F410" s="345">
        <v>25.01</v>
      </c>
      <c r="G410" s="345" t="s">
        <v>352</v>
      </c>
      <c r="L410" s="347">
        <v>111.06</v>
      </c>
      <c r="M410" s="347" t="s">
        <v>318</v>
      </c>
      <c r="V410" s="345">
        <v>115.01</v>
      </c>
      <c r="W410" s="345" t="s">
        <v>365</v>
      </c>
      <c r="AB410" s="347">
        <v>33.090000000000003</v>
      </c>
      <c r="AC410" s="347" t="s">
        <v>325</v>
      </c>
      <c r="AD410" s="1138"/>
      <c r="AJ410" s="345">
        <v>10.06</v>
      </c>
      <c r="AK410" s="345" t="s">
        <v>352</v>
      </c>
      <c r="AP410" s="347">
        <v>305.04000000000002</v>
      </c>
      <c r="AQ410" s="347" t="s">
        <v>315</v>
      </c>
      <c r="AU410" s="348" t="str">
        <f t="array" ref="AU410">IFERROR(IF($AU$11="Yes",INDEX($AP$13:$AP$2950,SMALL(IF((County=$AQ$13:$AQ$2950),MATCH(ROW($AQ$13:$AQ$2950),ROW($AQ$13:$AQ$2950)),""),ROWS($A$13:$A410))),""),"")</f>
        <v/>
      </c>
      <c r="AZ410" s="345">
        <v>104.2</v>
      </c>
      <c r="BA410" s="345" t="s">
        <v>318</v>
      </c>
      <c r="BF410" s="347">
        <v>22.09</v>
      </c>
      <c r="BG410" s="347" t="s">
        <v>297</v>
      </c>
      <c r="BH410" s="1790"/>
      <c r="BI410" s="1792">
        <v>32550</v>
      </c>
      <c r="BJ410" s="237" t="s">
        <v>378</v>
      </c>
      <c r="BN410" s="345">
        <v>412</v>
      </c>
      <c r="BO410" s="345" t="s">
        <v>310</v>
      </c>
      <c r="BT410" s="347">
        <v>305.05</v>
      </c>
      <c r="BU410" s="347" t="s">
        <v>315</v>
      </c>
      <c r="BW410" s="348" t="str">
        <f t="array" ref="BW410">IFERROR(IF($BW$11="Metro",INDEX($BN$13:$BN$4972,SMALL(IF((County=$BO$13:$BO$4972),MATCH(ROW($BO$13:$BO$4972),ROW($BO$13:$BO$4972)),""),ROWS($A$13:$A410))),INDEX($BQ$13:$BQ$212,SMALL(IF((County=$BR$13:$BR$212),MATCH(ROW($BR$13:$BR$212),ROW($BR$13:$BR$212)),""),ROWS($A$13:$A410)))),"")</f>
        <v/>
      </c>
      <c r="BY410" s="348" t="str">
        <f t="array" ref="BY410">IFERROR(IF($BY$11="Yes",INDEX($BT$13:$BT$2950,SMALL(IF((County=$BU$13:$BU$2950),MATCH(ROW($BU$13:$BU$2950),ROW($BU$13:$BU$2950)),""),ROWS($A$13:$A410))),""),"")</f>
        <v/>
      </c>
      <c r="CA410" s="2298">
        <v>34990</v>
      </c>
      <c r="CB410" s="345" t="s">
        <v>351</v>
      </c>
      <c r="CD410" s="237">
        <v>11.02</v>
      </c>
      <c r="CE410" s="237" t="s">
        <v>361</v>
      </c>
      <c r="CJ410" s="347">
        <v>22.19</v>
      </c>
      <c r="CK410" s="347" t="s">
        <v>297</v>
      </c>
      <c r="CL410" s="1789"/>
      <c r="CM410" s="2299"/>
      <c r="CN410" s="345"/>
      <c r="CR410" s="345"/>
      <c r="CS410" s="345"/>
      <c r="CX410" s="347"/>
      <c r="CY410" s="347"/>
      <c r="DA410" s="348"/>
      <c r="DC410" s="348"/>
      <c r="DE410" s="1792"/>
      <c r="DF410" s="345"/>
      <c r="DH410" s="237"/>
      <c r="DI410" s="237"/>
      <c r="DN410" s="347"/>
      <c r="DO410" s="347"/>
      <c r="DP410" s="2505"/>
      <c r="DT410" s="663"/>
      <c r="DU410" s="663"/>
      <c r="DV410" s="663"/>
      <c r="DW410" s="663"/>
      <c r="DX410" s="663"/>
      <c r="DY410" s="663"/>
      <c r="DZ410" s="663"/>
      <c r="EA410" s="663"/>
      <c r="EB410" s="663"/>
      <c r="EC410" s="663"/>
      <c r="ED410" s="663"/>
    </row>
    <row r="411" spans="6:134">
      <c r="F411" s="345">
        <v>25.02</v>
      </c>
      <c r="G411" s="345" t="s">
        <v>352</v>
      </c>
      <c r="L411" s="347">
        <v>112.01</v>
      </c>
      <c r="M411" s="347" t="s">
        <v>318</v>
      </c>
      <c r="V411" s="345">
        <v>116</v>
      </c>
      <c r="W411" s="345" t="s">
        <v>323</v>
      </c>
      <c r="AB411" s="347">
        <v>34</v>
      </c>
      <c r="AC411" s="347" t="s">
        <v>361</v>
      </c>
      <c r="AD411" s="1138"/>
      <c r="AJ411" s="345">
        <v>10.07</v>
      </c>
      <c r="AK411" s="345" t="s">
        <v>352</v>
      </c>
      <c r="AP411" s="347">
        <v>305.05</v>
      </c>
      <c r="AQ411" s="347" t="s">
        <v>315</v>
      </c>
      <c r="AU411" s="348" t="str">
        <f t="array" ref="AU411">IFERROR(IF($AU$11="Yes",INDEX($AP$13:$AP$2950,SMALL(IF((County=$AQ$13:$AQ$2950),MATCH(ROW($AQ$13:$AQ$2950),ROW($AQ$13:$AQ$2950)),""),ROWS($A$13:$A411))),""),"")</f>
        <v/>
      </c>
      <c r="AZ411" s="345">
        <v>105</v>
      </c>
      <c r="BA411" s="345" t="s">
        <v>359</v>
      </c>
      <c r="BF411" s="347">
        <v>22.1</v>
      </c>
      <c r="BG411" s="347" t="s">
        <v>297</v>
      </c>
      <c r="BH411" s="1790"/>
      <c r="BI411" s="2831" t="s">
        <v>2310</v>
      </c>
      <c r="BJ411" s="2832"/>
      <c r="BN411" s="345">
        <v>413</v>
      </c>
      <c r="BO411" s="345" t="s">
        <v>310</v>
      </c>
      <c r="BT411" s="347">
        <v>305.07</v>
      </c>
      <c r="BU411" s="347" t="s">
        <v>315</v>
      </c>
      <c r="BW411" s="348" t="str">
        <f t="array" ref="BW411">IFERROR(IF($BW$11="Metro",INDEX($BN$13:$BN$4972,SMALL(IF((County=$BO$13:$BO$4972),MATCH(ROW($BO$13:$BO$4972),ROW($BO$13:$BO$4972)),""),ROWS($A$13:$A411))),INDEX($BQ$13:$BQ$212,SMALL(IF((County=$BR$13:$BR$212),MATCH(ROW($BR$13:$BR$212),ROW($BR$13:$BR$212)),""),ROWS($A$13:$A411)))),"")</f>
        <v/>
      </c>
      <c r="BY411" s="348" t="str">
        <f t="array" ref="BY411">IFERROR(IF($BY$11="Yes",INDEX($BT$13:$BT$2950,SMALL(IF((County=$BU$13:$BU$2950),MATCH(ROW($BU$13:$BU$2950),ROW($BU$13:$BU$2950)),""),ROWS($A$13:$A411))),""),"")</f>
        <v/>
      </c>
      <c r="CA411" s="2831" t="s">
        <v>2310</v>
      </c>
      <c r="CB411" s="2832"/>
      <c r="CD411" s="237">
        <v>11.02</v>
      </c>
      <c r="CE411" s="237" t="s">
        <v>368</v>
      </c>
      <c r="CJ411" s="347">
        <v>22.21</v>
      </c>
      <c r="CK411" s="347" t="s">
        <v>297</v>
      </c>
      <c r="CL411" s="1789"/>
      <c r="CM411" s="2299"/>
      <c r="CN411" s="345"/>
      <c r="CR411" s="345"/>
      <c r="CS411" s="345"/>
      <c r="CX411" s="347"/>
      <c r="CY411" s="347"/>
      <c r="DA411" s="348"/>
      <c r="DC411" s="348"/>
      <c r="DE411" s="1792"/>
      <c r="DF411" s="345"/>
      <c r="DH411" s="237"/>
      <c r="DI411" s="237"/>
      <c r="DN411" s="347"/>
      <c r="DO411" s="347"/>
      <c r="DP411" s="2505"/>
      <c r="DT411" s="663"/>
      <c r="DU411" s="663"/>
      <c r="DV411" s="663"/>
      <c r="DW411" s="663"/>
      <c r="DX411" s="663"/>
      <c r="DY411" s="663"/>
      <c r="DZ411" s="663"/>
      <c r="EA411" s="663"/>
      <c r="EB411" s="663"/>
      <c r="EC411" s="663"/>
      <c r="ED411" s="663"/>
    </row>
    <row r="412" spans="6:134">
      <c r="F412" s="345">
        <v>26</v>
      </c>
      <c r="G412" s="345" t="s">
        <v>352</v>
      </c>
      <c r="L412" s="347">
        <v>112.02</v>
      </c>
      <c r="M412" s="347" t="s">
        <v>318</v>
      </c>
      <c r="V412" s="345">
        <v>116</v>
      </c>
      <c r="W412" s="345" t="s">
        <v>359</v>
      </c>
      <c r="AB412" s="347">
        <v>35.03</v>
      </c>
      <c r="AC412" s="347" t="s">
        <v>325</v>
      </c>
      <c r="AD412" s="1138"/>
      <c r="AJ412" s="345">
        <v>10.08</v>
      </c>
      <c r="AK412" s="345" t="s">
        <v>352</v>
      </c>
      <c r="AP412" s="347">
        <v>305.07</v>
      </c>
      <c r="AQ412" s="347" t="s">
        <v>315</v>
      </c>
      <c r="AU412" s="348" t="str">
        <f t="array" ref="AU412">IFERROR(IF($AU$11="Yes",INDEX($AP$13:$AP$2950,SMALL(IF((County=$AQ$13:$AQ$2950),MATCH(ROW($AQ$13:$AQ$2950),ROW($AQ$13:$AQ$2950)),""),ROWS($A$13:$A412))),""),"")</f>
        <v/>
      </c>
      <c r="AZ412" s="345">
        <v>105.01</v>
      </c>
      <c r="BA412" s="345" t="s">
        <v>337</v>
      </c>
      <c r="BF412" s="347">
        <v>22.19</v>
      </c>
      <c r="BG412" s="347" t="s">
        <v>297</v>
      </c>
      <c r="BH412" s="1790"/>
      <c r="BI412" s="1793"/>
      <c r="BJ412" s="1329"/>
      <c r="BN412" s="345">
        <v>414</v>
      </c>
      <c r="BO412" s="345" t="s">
        <v>310</v>
      </c>
      <c r="BT412" s="347">
        <v>4501.03</v>
      </c>
      <c r="BU412" s="347" t="s">
        <v>316</v>
      </c>
      <c r="BW412" s="348" t="str">
        <f t="array" ref="BW412">IFERROR(IF($BW$11="Metro",INDEX($BN$13:$BN$4972,SMALL(IF((County=$BO$13:$BO$4972),MATCH(ROW($BO$13:$BO$4972),ROW($BO$13:$BO$4972)),""),ROWS($A$13:$A412))),INDEX($BQ$13:$BQ$212,SMALL(IF((County=$BR$13:$BR$212),MATCH(ROW($BR$13:$BR$212),ROW($BR$13:$BR$212)),""),ROWS($A$13:$A412)))),"")</f>
        <v/>
      </c>
      <c r="BY412" s="348" t="str">
        <f t="array" ref="BY412">IFERROR(IF($BY$11="Yes",INDEX($BT$13:$BT$2950,SMALL(IF((County=$BU$13:$BU$2950),MATCH(ROW($BU$13:$BU$2950),ROW($BU$13:$BU$2950)),""),ROWS($A$13:$A412))),""),"")</f>
        <v/>
      </c>
      <c r="CD412" s="237">
        <v>11.03</v>
      </c>
      <c r="CE412" s="237" t="s">
        <v>325</v>
      </c>
      <c r="CJ412" s="347">
        <v>22.22</v>
      </c>
      <c r="CK412" s="347" t="s">
        <v>297</v>
      </c>
      <c r="CL412" s="1789"/>
      <c r="CM412" s="2299"/>
      <c r="CN412" s="345"/>
      <c r="CR412" s="345"/>
      <c r="CS412" s="345"/>
      <c r="CX412" s="347"/>
      <c r="CY412" s="347"/>
      <c r="DA412" s="348"/>
      <c r="DC412" s="348"/>
      <c r="DE412" s="1792"/>
      <c r="DF412" s="345"/>
      <c r="DH412" s="237"/>
      <c r="DI412" s="237"/>
      <c r="DN412" s="347"/>
      <c r="DO412" s="347"/>
      <c r="DP412" s="2505"/>
      <c r="DT412" s="663"/>
      <c r="DU412" s="663"/>
      <c r="DV412" s="663"/>
      <c r="DW412" s="663"/>
      <c r="DX412" s="663"/>
      <c r="DY412" s="663"/>
      <c r="DZ412" s="663"/>
      <c r="EA412" s="663"/>
      <c r="EB412" s="663"/>
      <c r="EC412" s="663"/>
      <c r="ED412" s="663"/>
    </row>
    <row r="413" spans="6:134">
      <c r="F413" s="345">
        <v>28</v>
      </c>
      <c r="G413" s="345" t="s">
        <v>352</v>
      </c>
      <c r="L413" s="347">
        <v>1102.01</v>
      </c>
      <c r="M413" s="347" t="s">
        <v>319</v>
      </c>
      <c r="V413" s="345">
        <v>116.04</v>
      </c>
      <c r="W413" s="345" t="s">
        <v>365</v>
      </c>
      <c r="AB413" s="347">
        <v>35.04</v>
      </c>
      <c r="AC413" s="347" t="s">
        <v>361</v>
      </c>
      <c r="AD413" s="1138"/>
      <c r="AJ413" s="345">
        <v>11.03</v>
      </c>
      <c r="AK413" s="345" t="s">
        <v>352</v>
      </c>
      <c r="AP413" s="347">
        <v>4501.03</v>
      </c>
      <c r="AQ413" s="347" t="s">
        <v>316</v>
      </c>
      <c r="AU413" s="348" t="str">
        <f t="array" ref="AU413">IFERROR(IF($AU$11="Yes",INDEX($AP$13:$AP$2950,SMALL(IF((County=$AQ$13:$AQ$2950),MATCH(ROW($AQ$13:$AQ$2950),ROW($AQ$13:$AQ$2950)),""),ROWS($A$13:$A413))),""),"")</f>
        <v/>
      </c>
      <c r="AZ413" s="345">
        <v>106.09</v>
      </c>
      <c r="BA413" s="345" t="s">
        <v>352</v>
      </c>
      <c r="BF413" s="347">
        <v>22.21</v>
      </c>
      <c r="BG413" s="347" t="s">
        <v>297</v>
      </c>
      <c r="BH413" s="1790"/>
      <c r="BI413" s="1793"/>
      <c r="BJ413" s="1329"/>
      <c r="BN413" s="345">
        <v>415</v>
      </c>
      <c r="BO413" s="345" t="s">
        <v>310</v>
      </c>
      <c r="BT413" s="347">
        <v>4501.04</v>
      </c>
      <c r="BU413" s="347" t="s">
        <v>316</v>
      </c>
      <c r="BW413" s="348" t="str">
        <f t="array" ref="BW413">IFERROR(IF($BW$11="Metro",INDEX($BN$13:$BN$4972,SMALL(IF((County=$BO$13:$BO$4972),MATCH(ROW($BO$13:$BO$4972),ROW($BO$13:$BO$4972)),""),ROWS($A$13:$A413))),INDEX($BQ$13:$BQ$212,SMALL(IF((County=$BR$13:$BR$212),MATCH(ROW($BR$13:$BR$212),ROW($BR$13:$BR$212)),""),ROWS($A$13:$A413)))),"")</f>
        <v/>
      </c>
      <c r="BY413" s="348" t="str">
        <f t="array" ref="BY413">IFERROR(IF($BY$11="Yes",INDEX($BT$13:$BT$2950,SMALL(IF((County=$BU$13:$BU$2950),MATCH(ROW($BU$13:$BU$2950),ROW($BU$13:$BU$2950)),""),ROWS($A$13:$A413))),""),"")</f>
        <v/>
      </c>
      <c r="CD413" s="237">
        <v>11.03</v>
      </c>
      <c r="CE413" s="237" t="s">
        <v>344</v>
      </c>
      <c r="CJ413" s="347">
        <v>23</v>
      </c>
      <c r="CK413" s="347" t="s">
        <v>306</v>
      </c>
      <c r="CL413" s="1789"/>
      <c r="CM413" s="2299"/>
      <c r="CN413" s="345"/>
      <c r="CR413" s="345"/>
      <c r="CS413" s="345"/>
      <c r="CX413" s="347"/>
      <c r="CY413" s="347"/>
      <c r="DA413" s="348"/>
      <c r="DC413" s="348"/>
      <c r="DE413" s="1792"/>
      <c r="DF413" s="345"/>
      <c r="DH413" s="237"/>
      <c r="DI413" s="237"/>
      <c r="DN413" s="347"/>
      <c r="DO413" s="347"/>
      <c r="DP413" s="2505"/>
      <c r="DT413" s="663"/>
      <c r="DU413" s="663"/>
      <c r="DV413" s="663"/>
      <c r="DW413" s="663"/>
      <c r="DX413" s="663"/>
      <c r="DY413" s="663"/>
      <c r="DZ413" s="663"/>
      <c r="EA413" s="663"/>
      <c r="EB413" s="663"/>
      <c r="EC413" s="663"/>
      <c r="ED413" s="663"/>
    </row>
    <row r="414" spans="6:134">
      <c r="F414" s="345">
        <v>29</v>
      </c>
      <c r="G414" s="345" t="s">
        <v>352</v>
      </c>
      <c r="L414" s="347">
        <v>1105</v>
      </c>
      <c r="M414" s="347" t="s">
        <v>319</v>
      </c>
      <c r="V414" s="345">
        <v>116.1</v>
      </c>
      <c r="W414" s="345" t="s">
        <v>337</v>
      </c>
      <c r="AB414" s="347">
        <v>35.06</v>
      </c>
      <c r="AC414" s="347" t="s">
        <v>325</v>
      </c>
      <c r="AD414" s="1138"/>
      <c r="AJ414" s="345">
        <v>12.07</v>
      </c>
      <c r="AK414" s="345" t="s">
        <v>352</v>
      </c>
      <c r="AP414" s="347">
        <v>4501.04</v>
      </c>
      <c r="AQ414" s="347" t="s">
        <v>316</v>
      </c>
      <c r="AU414" s="348" t="str">
        <f t="array" ref="AU414">IFERROR(IF($AU$11="Yes",INDEX($AP$13:$AP$2950,SMALL(IF((County=$AQ$13:$AQ$2950),MATCH(ROW($AQ$13:$AQ$2950),ROW($AQ$13:$AQ$2950)),""),ROWS($A$13:$A414))),""),"")</f>
        <v/>
      </c>
      <c r="AZ414" s="345">
        <v>107</v>
      </c>
      <c r="BA414" s="345" t="s">
        <v>323</v>
      </c>
      <c r="BF414" s="347">
        <v>22.22</v>
      </c>
      <c r="BG414" s="347" t="s">
        <v>297</v>
      </c>
      <c r="BH414" s="1790"/>
      <c r="BI414" s="1793"/>
      <c r="BJ414" s="1329"/>
      <c r="BN414" s="345">
        <v>416.01</v>
      </c>
      <c r="BO414" s="345" t="s">
        <v>310</v>
      </c>
      <c r="BT414" s="347">
        <v>4503.05</v>
      </c>
      <c r="BU414" s="347" t="s">
        <v>316</v>
      </c>
      <c r="BW414" s="348" t="str">
        <f t="array" ref="BW414">IFERROR(IF($BW$11="Metro",INDEX($BN$13:$BN$4972,SMALL(IF((County=$BO$13:$BO$4972),MATCH(ROW($BO$13:$BO$4972),ROW($BO$13:$BO$4972)),""),ROWS($A$13:$A414))),INDEX($BQ$13:$BQ$212,SMALL(IF((County=$BR$13:$BR$212),MATCH(ROW($BR$13:$BR$212),ROW($BR$13:$BR$212)),""),ROWS($A$13:$A414)))),"")</f>
        <v/>
      </c>
      <c r="BY414" s="348" t="str">
        <f t="array" ref="BY414">IFERROR(IF($BY$11="Yes",INDEX($BT$13:$BT$2950,SMALL(IF((County=$BU$13:$BU$2950),MATCH(ROW($BU$13:$BU$2950),ROW($BU$13:$BU$2950)),""),ROWS($A$13:$A414))),""),"")</f>
        <v/>
      </c>
      <c r="CD414" s="237">
        <v>11.03</v>
      </c>
      <c r="CE414" s="237" t="s">
        <v>350</v>
      </c>
      <c r="CJ414" s="347">
        <v>23</v>
      </c>
      <c r="CK414" s="347" t="s">
        <v>323</v>
      </c>
      <c r="CL414" s="1789"/>
      <c r="CM414" s="2299"/>
      <c r="CN414" s="345"/>
      <c r="CR414" s="345"/>
      <c r="CS414" s="345"/>
      <c r="CX414" s="347"/>
      <c r="CY414" s="347"/>
      <c r="DA414" s="348"/>
      <c r="DC414" s="348"/>
      <c r="DE414" s="1792"/>
      <c r="DF414" s="345"/>
      <c r="DH414" s="237"/>
      <c r="DI414" s="237"/>
      <c r="DN414" s="347"/>
      <c r="DO414" s="347"/>
      <c r="DP414" s="2505"/>
      <c r="DT414" s="663"/>
      <c r="DU414" s="663"/>
      <c r="DV414" s="663"/>
      <c r="DW414" s="663"/>
      <c r="DX414" s="663"/>
      <c r="DY414" s="663"/>
      <c r="DZ414" s="663"/>
      <c r="EA414" s="663"/>
      <c r="EB414" s="663"/>
      <c r="EC414" s="663"/>
      <c r="ED414" s="663"/>
    </row>
    <row r="415" spans="6:134">
      <c r="F415" s="345">
        <v>30.01</v>
      </c>
      <c r="G415" s="345" t="s">
        <v>352</v>
      </c>
      <c r="L415" s="347">
        <v>1106.01</v>
      </c>
      <c r="M415" s="347" t="s">
        <v>319</v>
      </c>
      <c r="V415" s="345">
        <v>116.14</v>
      </c>
      <c r="W415" s="345" t="s">
        <v>337</v>
      </c>
      <c r="AB415" s="347">
        <v>35.07</v>
      </c>
      <c r="AC415" s="347" t="s">
        <v>361</v>
      </c>
      <c r="AD415" s="1138"/>
      <c r="AJ415" s="345">
        <v>12.08</v>
      </c>
      <c r="AK415" s="345" t="s">
        <v>352</v>
      </c>
      <c r="AP415" s="347">
        <v>4502.0200000000004</v>
      </c>
      <c r="AQ415" s="347" t="s">
        <v>316</v>
      </c>
      <c r="AU415" s="348" t="str">
        <f t="array" ref="AU415">IFERROR(IF($AU$11="Yes",INDEX($AP$13:$AP$2950,SMALL(IF((County=$AQ$13:$AQ$2950),MATCH(ROW($AQ$13:$AQ$2950),ROW($AQ$13:$AQ$2950)),""),ROWS($A$13:$A415))),""),"")</f>
        <v/>
      </c>
      <c r="AZ415" s="345">
        <v>107.01</v>
      </c>
      <c r="BA415" s="345" t="s">
        <v>318</v>
      </c>
      <c r="BF415" s="347">
        <v>23</v>
      </c>
      <c r="BG415" s="347" t="s">
        <v>323</v>
      </c>
      <c r="BH415" s="1790"/>
      <c r="BI415" s="1793"/>
      <c r="BJ415" s="1329"/>
      <c r="BN415" s="345">
        <v>416.02</v>
      </c>
      <c r="BO415" s="345" t="s">
        <v>310</v>
      </c>
      <c r="BT415" s="347">
        <v>4503.07</v>
      </c>
      <c r="BU415" s="347" t="s">
        <v>316</v>
      </c>
      <c r="BW415" s="348" t="str">
        <f t="array" ref="BW415">IFERROR(IF($BW$11="Metro",INDEX($BN$13:$BN$4972,SMALL(IF((County=$BO$13:$BO$4972),MATCH(ROW($BO$13:$BO$4972),ROW($BO$13:$BO$4972)),""),ROWS($A$13:$A415))),INDEX($BQ$13:$BQ$212,SMALL(IF((County=$BR$13:$BR$212),MATCH(ROW($BR$13:$BR$212),ROW($BR$13:$BR$212)),""),ROWS($A$13:$A415)))),"")</f>
        <v/>
      </c>
      <c r="BY415" s="348" t="str">
        <f t="array" ref="BY415">IFERROR(IF($BY$11="Yes",INDEX($BT$13:$BT$2950,SMALL(IF((County=$BU$13:$BU$2950),MATCH(ROW($BU$13:$BU$2950),ROW($BU$13:$BU$2950)),""),ROWS($A$13:$A415))),""),"")</f>
        <v/>
      </c>
      <c r="CD415" s="237">
        <v>11.03</v>
      </c>
      <c r="CE415" s="237" t="s">
        <v>351</v>
      </c>
      <c r="CJ415" s="347">
        <v>23</v>
      </c>
      <c r="CK415" s="347" t="s">
        <v>325</v>
      </c>
      <c r="CL415" s="1789"/>
      <c r="CM415" s="2299"/>
      <c r="CN415" s="345"/>
      <c r="CR415" s="345"/>
      <c r="CS415" s="345"/>
      <c r="CX415" s="347"/>
      <c r="CY415" s="347"/>
      <c r="DA415" s="348"/>
      <c r="DC415" s="348"/>
      <c r="DE415" s="1792"/>
      <c r="DF415" s="345"/>
      <c r="DH415" s="237"/>
      <c r="DI415" s="237"/>
      <c r="DN415" s="347"/>
      <c r="DO415" s="347"/>
      <c r="DP415" s="2505"/>
      <c r="DT415" s="663"/>
      <c r="DU415" s="663"/>
      <c r="DV415" s="663"/>
      <c r="DW415" s="663"/>
      <c r="DX415" s="663"/>
      <c r="DY415" s="663"/>
      <c r="DZ415" s="663"/>
      <c r="EA415" s="663"/>
      <c r="EB415" s="663"/>
      <c r="EC415" s="663"/>
      <c r="ED415" s="663"/>
    </row>
    <row r="416" spans="6:134">
      <c r="F416" s="345">
        <v>30.03</v>
      </c>
      <c r="G416" s="345" t="s">
        <v>352</v>
      </c>
      <c r="L416" s="347">
        <v>1107</v>
      </c>
      <c r="M416" s="347" t="s">
        <v>319</v>
      </c>
      <c r="V416" s="345">
        <v>116.15</v>
      </c>
      <c r="W416" s="345" t="s">
        <v>337</v>
      </c>
      <c r="AB416" s="347">
        <v>35.090000000000003</v>
      </c>
      <c r="AC416" s="347" t="s">
        <v>361</v>
      </c>
      <c r="AD416" s="1138"/>
      <c r="AJ416" s="345">
        <v>12.09</v>
      </c>
      <c r="AK416" s="345" t="s">
        <v>352</v>
      </c>
      <c r="AP416" s="347">
        <v>4503.05</v>
      </c>
      <c r="AQ416" s="347" t="s">
        <v>316</v>
      </c>
      <c r="AU416" s="348" t="str">
        <f t="array" ref="AU416">IFERROR(IF($AU$11="Yes",INDEX($AP$13:$AP$2950,SMALL(IF((County=$AQ$13:$AQ$2950),MATCH(ROW($AQ$13:$AQ$2950),ROW($AQ$13:$AQ$2950)),""),ROWS($A$13:$A416))),""),"")</f>
        <v/>
      </c>
      <c r="AZ416" s="345">
        <v>107.05</v>
      </c>
      <c r="BA416" s="345" t="s">
        <v>367</v>
      </c>
      <c r="BF416" s="347">
        <v>23</v>
      </c>
      <c r="BG416" s="347" t="s">
        <v>337</v>
      </c>
      <c r="BH416" s="1790"/>
      <c r="BI416" s="1793"/>
      <c r="BJ416" s="1329"/>
      <c r="BN416" s="345">
        <v>417</v>
      </c>
      <c r="BO416" s="345" t="s">
        <v>310</v>
      </c>
      <c r="BT416" s="347">
        <v>4503.08</v>
      </c>
      <c r="BU416" s="347" t="s">
        <v>316</v>
      </c>
      <c r="BW416" s="348" t="str">
        <f t="array" ref="BW416">IFERROR(IF($BW$11="Metro",INDEX($BN$13:$BN$4972,SMALL(IF((County=$BO$13:$BO$4972),MATCH(ROW($BO$13:$BO$4972),ROW($BO$13:$BO$4972)),""),ROWS($A$13:$A416))),INDEX($BQ$13:$BQ$212,SMALL(IF((County=$BR$13:$BR$212),MATCH(ROW($BR$13:$BR$212),ROW($BR$13:$BR$212)),""),ROWS($A$13:$A416)))),"")</f>
        <v/>
      </c>
      <c r="BY416" s="348" t="str">
        <f t="array" ref="BY416">IFERROR(IF($BY$11="Yes",INDEX($BT$13:$BT$2950,SMALL(IF((County=$BU$13:$BU$2950),MATCH(ROW($BU$13:$BU$2950),ROW($BU$13:$BU$2950)),""),ROWS($A$13:$A416))),""),"")</f>
        <v/>
      </c>
      <c r="CD416" s="237">
        <v>11.03</v>
      </c>
      <c r="CE416" s="237" t="s">
        <v>352</v>
      </c>
      <c r="CJ416" s="347">
        <v>23</v>
      </c>
      <c r="CK416" s="347" t="s">
        <v>337</v>
      </c>
      <c r="CL416" s="1789"/>
      <c r="CM416" s="2299"/>
      <c r="CN416" s="345"/>
      <c r="CR416" s="345"/>
      <c r="CS416" s="345"/>
      <c r="CX416" s="347"/>
      <c r="CY416" s="347"/>
      <c r="DA416" s="348"/>
      <c r="DC416" s="348"/>
      <c r="DE416" s="1792"/>
      <c r="DF416" s="345"/>
      <c r="DH416" s="237"/>
      <c r="DI416" s="237"/>
      <c r="DN416" s="347"/>
      <c r="DO416" s="347"/>
      <c r="DP416" s="2505"/>
      <c r="DT416" s="663"/>
      <c r="DU416" s="663"/>
      <c r="DV416" s="663"/>
      <c r="DW416" s="663"/>
      <c r="DX416" s="663"/>
      <c r="DY416" s="663"/>
      <c r="DZ416" s="663"/>
      <c r="EA416" s="663"/>
      <c r="EB416" s="663"/>
      <c r="EC416" s="663"/>
      <c r="ED416" s="663"/>
    </row>
    <row r="417" spans="6:134">
      <c r="F417" s="345">
        <v>30.04</v>
      </c>
      <c r="G417" s="345" t="s">
        <v>352</v>
      </c>
      <c r="L417" s="347">
        <v>1108</v>
      </c>
      <c r="M417" s="347" t="s">
        <v>319</v>
      </c>
      <c r="V417" s="345">
        <v>117</v>
      </c>
      <c r="W417" s="345" t="s">
        <v>352</v>
      </c>
      <c r="AB417" s="347">
        <v>35.11</v>
      </c>
      <c r="AC417" s="347" t="s">
        <v>361</v>
      </c>
      <c r="AD417" s="1138"/>
      <c r="AJ417" s="345">
        <v>13.01</v>
      </c>
      <c r="AK417" s="345" t="s">
        <v>352</v>
      </c>
      <c r="AP417" s="347">
        <v>4503.07</v>
      </c>
      <c r="AQ417" s="347" t="s">
        <v>316</v>
      </c>
      <c r="AU417" s="348" t="str">
        <f t="array" ref="AU417">IFERROR(IF($AU$11="Yes",INDEX($AP$13:$AP$2950,SMALL(IF((County=$AQ$13:$AQ$2950),MATCH(ROW($AQ$13:$AQ$2950),ROW($AQ$13:$AQ$2950)),""),ROWS($A$13:$A417))),""),"")</f>
        <v/>
      </c>
      <c r="AZ417" s="345">
        <v>107.06</v>
      </c>
      <c r="BA417" s="345" t="s">
        <v>352</v>
      </c>
      <c r="BF417" s="347">
        <v>23.02</v>
      </c>
      <c r="BG417" s="347" t="s">
        <v>345</v>
      </c>
      <c r="BH417" s="1790"/>
      <c r="BI417" s="1793"/>
      <c r="BJ417" s="1329"/>
      <c r="BN417" s="345">
        <v>418.01</v>
      </c>
      <c r="BO417" s="345" t="s">
        <v>310</v>
      </c>
      <c r="BT417" s="347">
        <v>4503.09</v>
      </c>
      <c r="BU417" s="347" t="s">
        <v>316</v>
      </c>
      <c r="BW417" s="348" t="str">
        <f t="array" ref="BW417">IFERROR(IF($BW$11="Metro",INDEX($BN$13:$BN$4972,SMALL(IF((County=$BO$13:$BO$4972),MATCH(ROW($BO$13:$BO$4972),ROW($BO$13:$BO$4972)),""),ROWS($A$13:$A417))),INDEX($BQ$13:$BQ$212,SMALL(IF((County=$BR$13:$BR$212),MATCH(ROW($BR$13:$BR$212),ROW($BR$13:$BR$212)),""),ROWS($A$13:$A417)))),"")</f>
        <v/>
      </c>
      <c r="BY417" s="348" t="str">
        <f t="array" ref="BY417">IFERROR(IF($BY$11="Yes",INDEX($BT$13:$BT$2950,SMALL(IF((County=$BU$13:$BU$2950),MATCH(ROW($BU$13:$BU$2950),ROW($BU$13:$BU$2950)),""),ROWS($A$13:$A417))),""),"")</f>
        <v/>
      </c>
      <c r="CD417" s="237">
        <v>11.04</v>
      </c>
      <c r="CE417" s="237" t="s">
        <v>325</v>
      </c>
      <c r="CJ417" s="347">
        <v>23.02</v>
      </c>
      <c r="CK417" s="347" t="s">
        <v>345</v>
      </c>
      <c r="CL417" s="1789"/>
      <c r="CM417" s="2299"/>
      <c r="CN417" s="345"/>
      <c r="CR417" s="345"/>
      <c r="CS417" s="345"/>
      <c r="CX417" s="347"/>
      <c r="CY417" s="347"/>
      <c r="DA417" s="348"/>
      <c r="DC417" s="348"/>
      <c r="DE417" s="1792"/>
      <c r="DF417" s="345"/>
      <c r="DH417" s="237"/>
      <c r="DI417" s="237"/>
      <c r="DN417" s="347"/>
      <c r="DO417" s="347"/>
      <c r="DP417" s="2505"/>
      <c r="DT417" s="663"/>
      <c r="DU417" s="663"/>
      <c r="DV417" s="663"/>
      <c r="DW417" s="663"/>
      <c r="DX417" s="663"/>
      <c r="DY417" s="663"/>
      <c r="DZ417" s="663"/>
      <c r="EA417" s="663"/>
      <c r="EB417" s="663"/>
      <c r="EC417" s="663"/>
      <c r="ED417" s="663"/>
    </row>
    <row r="418" spans="6:134">
      <c r="F418" s="345">
        <v>31</v>
      </c>
      <c r="G418" s="345" t="s">
        <v>352</v>
      </c>
      <c r="L418" s="347">
        <v>1109.04</v>
      </c>
      <c r="M418" s="347" t="s">
        <v>319</v>
      </c>
      <c r="V418" s="345">
        <v>117.01</v>
      </c>
      <c r="W418" s="345" t="s">
        <v>359</v>
      </c>
      <c r="AB418" s="347">
        <v>36</v>
      </c>
      <c r="AC418" s="347" t="s">
        <v>361</v>
      </c>
      <c r="AD418" s="1138"/>
      <c r="AJ418" s="345">
        <v>14.01</v>
      </c>
      <c r="AK418" s="345" t="s">
        <v>352</v>
      </c>
      <c r="AP418" s="347">
        <v>4503.08</v>
      </c>
      <c r="AQ418" s="347" t="s">
        <v>316</v>
      </c>
      <c r="AU418" s="348" t="str">
        <f t="array" ref="AU418">IFERROR(IF($AU$11="Yes",INDEX($AP$13:$AP$2950,SMALL(IF((County=$AQ$13:$AQ$2950),MATCH(ROW($AQ$13:$AQ$2950),ROW($AQ$13:$AQ$2950)),""),ROWS($A$13:$A418))),""),"")</f>
        <v/>
      </c>
      <c r="AZ418" s="345">
        <v>108</v>
      </c>
      <c r="BA418" s="345" t="s">
        <v>323</v>
      </c>
      <c r="BF418" s="347">
        <v>23.02</v>
      </c>
      <c r="BG418" s="347" t="s">
        <v>350</v>
      </c>
      <c r="BH418" s="1790"/>
      <c r="BI418" s="1793"/>
      <c r="BJ418" s="1329"/>
      <c r="BN418" s="345">
        <v>418.02</v>
      </c>
      <c r="BO418" s="345" t="s">
        <v>310</v>
      </c>
      <c r="BT418" s="347">
        <v>4503.1000000000004</v>
      </c>
      <c r="BU418" s="347" t="s">
        <v>316</v>
      </c>
      <c r="BW418" s="348" t="str">
        <f t="array" ref="BW418">IFERROR(IF($BW$11="Metro",INDEX($BN$13:$BN$4972,SMALL(IF((County=$BO$13:$BO$4972),MATCH(ROW($BO$13:$BO$4972),ROW($BO$13:$BO$4972)),""),ROWS($A$13:$A418))),INDEX($BQ$13:$BQ$212,SMALL(IF((County=$BR$13:$BR$212),MATCH(ROW($BR$13:$BR$212),ROW($BR$13:$BR$212)),""),ROWS($A$13:$A418)))),"")</f>
        <v/>
      </c>
      <c r="BY418" s="348" t="str">
        <f t="array" ref="BY418">IFERROR(IF($BY$11="Yes",INDEX($BT$13:$BT$2950,SMALL(IF((County=$BU$13:$BU$2950),MATCH(ROW($BU$13:$BU$2950),ROW($BU$13:$BU$2950)),""),ROWS($A$13:$A418))),""),"")</f>
        <v/>
      </c>
      <c r="CD418" s="237">
        <v>11.04</v>
      </c>
      <c r="CE418" s="237" t="s">
        <v>344</v>
      </c>
      <c r="CJ418" s="347">
        <v>23.02</v>
      </c>
      <c r="CK418" s="347" t="s">
        <v>350</v>
      </c>
      <c r="CL418" s="1789"/>
      <c r="CM418" s="2299"/>
      <c r="CN418" s="345"/>
      <c r="CR418" s="345"/>
      <c r="CS418" s="345"/>
      <c r="CX418" s="347"/>
      <c r="CY418" s="347"/>
      <c r="DA418" s="348"/>
      <c r="DC418" s="348"/>
      <c r="DE418" s="1792"/>
      <c r="DF418" s="345"/>
      <c r="DH418" s="237"/>
      <c r="DI418" s="237"/>
      <c r="DN418" s="347"/>
      <c r="DO418" s="347"/>
      <c r="DP418" s="2505"/>
      <c r="DT418" s="663"/>
      <c r="DU418" s="663"/>
      <c r="DV418" s="663"/>
      <c r="DW418" s="663"/>
      <c r="DX418" s="663"/>
      <c r="DY418" s="663"/>
      <c r="DZ418" s="663"/>
      <c r="EA418" s="663"/>
      <c r="EB418" s="663"/>
      <c r="EC418" s="663"/>
      <c r="ED418" s="663"/>
    </row>
    <row r="419" spans="6:134">
      <c r="F419" s="345">
        <v>34</v>
      </c>
      <c r="G419" s="345" t="s">
        <v>352</v>
      </c>
      <c r="L419" s="347">
        <v>101.01</v>
      </c>
      <c r="M419" s="347" t="s">
        <v>321</v>
      </c>
      <c r="V419" s="345">
        <v>117.02</v>
      </c>
      <c r="W419" s="345" t="s">
        <v>359</v>
      </c>
      <c r="AB419" s="347">
        <v>36.03</v>
      </c>
      <c r="AC419" s="347" t="s">
        <v>325</v>
      </c>
      <c r="AD419" s="1138"/>
      <c r="AJ419" s="345">
        <v>14.02</v>
      </c>
      <c r="AK419" s="345" t="s">
        <v>352</v>
      </c>
      <c r="AP419" s="347">
        <v>4504.0200000000004</v>
      </c>
      <c r="AQ419" s="347" t="s">
        <v>316</v>
      </c>
      <c r="AU419" s="348" t="str">
        <f t="array" ref="AU419">IFERROR(IF($AU$11="Yes",INDEX($AP$13:$AP$2950,SMALL(IF((County=$AQ$13:$AQ$2950),MATCH(ROW($AQ$13:$AQ$2950),ROW($AQ$13:$AQ$2950)),""),ROWS($A$13:$A419))),""),"")</f>
        <v/>
      </c>
      <c r="AZ419" s="345">
        <v>108.02</v>
      </c>
      <c r="BA419" s="345" t="s">
        <v>344</v>
      </c>
      <c r="BF419" s="347">
        <v>23.03</v>
      </c>
      <c r="BG419" s="347" t="s">
        <v>345</v>
      </c>
      <c r="BH419" s="1790"/>
      <c r="BI419" s="1793"/>
      <c r="BJ419" s="1329"/>
      <c r="BN419" s="345">
        <v>419</v>
      </c>
      <c r="BO419" s="345" t="s">
        <v>310</v>
      </c>
      <c r="BT419" s="347">
        <v>4504.0200000000004</v>
      </c>
      <c r="BU419" s="347" t="s">
        <v>316</v>
      </c>
      <c r="BW419" s="348" t="str">
        <f t="array" ref="BW419">IFERROR(IF($BW$11="Metro",INDEX($BN$13:$BN$4972,SMALL(IF((County=$BO$13:$BO$4972),MATCH(ROW($BO$13:$BO$4972),ROW($BO$13:$BO$4972)),""),ROWS($A$13:$A419))),INDEX($BQ$13:$BQ$212,SMALL(IF((County=$BR$13:$BR$212),MATCH(ROW($BR$13:$BR$212),ROW($BR$13:$BR$212)),""),ROWS($A$13:$A419)))),"")</f>
        <v/>
      </c>
      <c r="BY419" s="348" t="str">
        <f t="array" ref="BY419">IFERROR(IF($BY$11="Yes",INDEX($BT$13:$BT$2950,SMALL(IF((County=$BU$13:$BU$2950),MATCH(ROW($BU$13:$BU$2950),ROW($BU$13:$BU$2950)),""),ROWS($A$13:$A419))),""),"")</f>
        <v/>
      </c>
      <c r="CD419" s="237">
        <v>11.04</v>
      </c>
      <c r="CE419" s="237" t="s">
        <v>349</v>
      </c>
      <c r="CJ419" s="347">
        <v>23.03</v>
      </c>
      <c r="CK419" s="347" t="s">
        <v>345</v>
      </c>
      <c r="CL419" s="1789"/>
      <c r="CM419" s="2299"/>
      <c r="CN419" s="345"/>
      <c r="CR419" s="345"/>
      <c r="CS419" s="345"/>
      <c r="CX419" s="347"/>
      <c r="CY419" s="347"/>
      <c r="DA419" s="348"/>
      <c r="DC419" s="348"/>
      <c r="DE419" s="1792"/>
      <c r="DF419" s="345"/>
      <c r="DH419" s="237"/>
      <c r="DI419" s="237"/>
      <c r="DN419" s="347"/>
      <c r="DO419" s="347"/>
      <c r="DP419" s="2505"/>
      <c r="DT419" s="663"/>
      <c r="DU419" s="663"/>
      <c r="DV419" s="663"/>
      <c r="DW419" s="663"/>
      <c r="DX419" s="663"/>
      <c r="DY419" s="663"/>
      <c r="DZ419" s="663"/>
      <c r="EA419" s="663"/>
      <c r="EB419" s="663"/>
      <c r="EC419" s="663"/>
      <c r="ED419" s="663"/>
    </row>
    <row r="420" spans="6:134">
      <c r="F420" s="345">
        <v>36.01</v>
      </c>
      <c r="G420" s="345" t="s">
        <v>352</v>
      </c>
      <c r="L420" s="347">
        <v>101.02</v>
      </c>
      <c r="M420" s="347" t="s">
        <v>321</v>
      </c>
      <c r="V420" s="345">
        <v>117.04</v>
      </c>
      <c r="W420" s="345" t="s">
        <v>365</v>
      </c>
      <c r="AB420" s="347">
        <v>36.08</v>
      </c>
      <c r="AC420" s="347" t="s">
        <v>325</v>
      </c>
      <c r="AD420" s="1138"/>
      <c r="AJ420" s="345">
        <v>15.01</v>
      </c>
      <c r="AK420" s="345" t="s">
        <v>352</v>
      </c>
      <c r="AP420" s="347">
        <v>4505.01</v>
      </c>
      <c r="AQ420" s="347" t="s">
        <v>316</v>
      </c>
      <c r="AU420" s="348" t="str">
        <f t="array" ref="AU420">IFERROR(IF($AU$11="Yes",INDEX($AP$13:$AP$2950,SMALL(IF((County=$AQ$13:$AQ$2950),MATCH(ROW($AQ$13:$AQ$2950),ROW($AQ$13:$AQ$2950)),""),ROWS($A$13:$A420))),""),"")</f>
        <v/>
      </c>
      <c r="AZ420" s="345">
        <v>108.03</v>
      </c>
      <c r="BA420" s="345" t="s">
        <v>352</v>
      </c>
      <c r="BF420" s="347">
        <v>23.04</v>
      </c>
      <c r="BG420" s="347" t="s">
        <v>350</v>
      </c>
      <c r="BH420" s="1790"/>
      <c r="BI420" s="1793"/>
      <c r="BJ420" s="1329"/>
      <c r="BN420" s="345">
        <v>420</v>
      </c>
      <c r="BO420" s="345" t="s">
        <v>310</v>
      </c>
      <c r="BT420" s="347">
        <v>4505.01</v>
      </c>
      <c r="BU420" s="347" t="s">
        <v>316</v>
      </c>
      <c r="BW420" s="348" t="str">
        <f t="array" ref="BW420">IFERROR(IF($BW$11="Metro",INDEX($BN$13:$BN$4972,SMALL(IF((County=$BO$13:$BO$4972),MATCH(ROW($BO$13:$BO$4972),ROW($BO$13:$BO$4972)),""),ROWS($A$13:$A420))),INDEX($BQ$13:$BQ$212,SMALL(IF((County=$BR$13:$BR$212),MATCH(ROW($BR$13:$BR$212),ROW($BR$13:$BR$212)),""),ROWS($A$13:$A420)))),"")</f>
        <v/>
      </c>
      <c r="BY420" s="348" t="str">
        <f t="array" ref="BY420">IFERROR(IF($BY$11="Yes",INDEX($BT$13:$BT$2950,SMALL(IF((County=$BU$13:$BU$2950),MATCH(ROW($BU$13:$BU$2950),ROW($BU$13:$BU$2950)),""),ROWS($A$13:$A420))),""),"")</f>
        <v/>
      </c>
      <c r="CD420" s="237">
        <v>11.04</v>
      </c>
      <c r="CE420" s="237" t="s">
        <v>352</v>
      </c>
      <c r="CJ420" s="347">
        <v>23.04</v>
      </c>
      <c r="CK420" s="347" t="s">
        <v>350</v>
      </c>
      <c r="CL420" s="1789"/>
      <c r="CM420" s="2299"/>
      <c r="CN420" s="345"/>
      <c r="CR420" s="345"/>
      <c r="CS420" s="345"/>
      <c r="CX420" s="347"/>
      <c r="CY420" s="347"/>
      <c r="DA420" s="348"/>
      <c r="DC420" s="348"/>
      <c r="DE420" s="1792"/>
      <c r="DF420" s="345"/>
      <c r="DH420" s="237"/>
      <c r="DI420" s="237"/>
      <c r="DN420" s="347"/>
      <c r="DO420" s="347"/>
      <c r="DP420" s="2505"/>
      <c r="DT420" s="663"/>
      <c r="DU420" s="663"/>
      <c r="DV420" s="663"/>
      <c r="DW420" s="663"/>
      <c r="DX420" s="663"/>
      <c r="DY420" s="663"/>
      <c r="DZ420" s="663"/>
      <c r="EA420" s="663"/>
      <c r="EB420" s="663"/>
      <c r="EC420" s="663"/>
      <c r="ED420" s="663"/>
    </row>
    <row r="421" spans="6:134">
      <c r="F421" s="345">
        <v>36.020000000000003</v>
      </c>
      <c r="G421" s="345" t="s">
        <v>352</v>
      </c>
      <c r="L421" s="347">
        <v>102</v>
      </c>
      <c r="M421" s="347" t="s">
        <v>321</v>
      </c>
      <c r="V421" s="345">
        <v>117.31</v>
      </c>
      <c r="W421" s="345" t="s">
        <v>365</v>
      </c>
      <c r="AB421" s="347">
        <v>36.090000000000003</v>
      </c>
      <c r="AC421" s="347" t="s">
        <v>325</v>
      </c>
      <c r="AD421" s="1138"/>
      <c r="AJ421" s="345">
        <v>15.02</v>
      </c>
      <c r="AK421" s="345" t="s">
        <v>352</v>
      </c>
      <c r="AP421" s="347">
        <v>4505.0200000000004</v>
      </c>
      <c r="AQ421" s="347" t="s">
        <v>316</v>
      </c>
      <c r="AU421" s="348" t="str">
        <f t="array" ref="AU421">IFERROR(IF($AU$11="Yes",INDEX($AP$13:$AP$2950,SMALL(IF((County=$AQ$13:$AQ$2950),MATCH(ROW($AQ$13:$AQ$2950),ROW($AQ$13:$AQ$2950)),""),ROWS($A$13:$A421))),""),"")</f>
        <v/>
      </c>
      <c r="AZ421" s="345">
        <v>108.04</v>
      </c>
      <c r="BA421" s="345" t="s">
        <v>352</v>
      </c>
      <c r="BF421" s="347">
        <v>23.04</v>
      </c>
      <c r="BG421" s="347" t="s">
        <v>368</v>
      </c>
      <c r="BH421" s="1790"/>
      <c r="BI421" s="1793"/>
      <c r="BJ421" s="1329"/>
      <c r="BN421" s="345">
        <v>421</v>
      </c>
      <c r="BO421" s="345" t="s">
        <v>310</v>
      </c>
      <c r="BT421" s="347">
        <v>4505.0200000000004</v>
      </c>
      <c r="BU421" s="347" t="s">
        <v>316</v>
      </c>
      <c r="BW421" s="348" t="str">
        <f t="array" ref="BW421">IFERROR(IF($BW$11="Metro",INDEX($BN$13:$BN$4972,SMALL(IF((County=$BO$13:$BO$4972),MATCH(ROW($BO$13:$BO$4972),ROW($BO$13:$BO$4972)),""),ROWS($A$13:$A421))),INDEX($BQ$13:$BQ$212,SMALL(IF((County=$BR$13:$BR$212),MATCH(ROW($BR$13:$BR$212),ROW($BR$13:$BR$212)),""),ROWS($A$13:$A421)))),"")</f>
        <v/>
      </c>
      <c r="BY421" s="348" t="str">
        <f t="array" ref="BY421">IFERROR(IF($BY$11="Yes",INDEX($BT$13:$BT$2950,SMALL(IF((County=$BU$13:$BU$2950),MATCH(ROW($BU$13:$BU$2950),ROW($BU$13:$BU$2950)),""),ROWS($A$13:$A421))),""),"")</f>
        <v/>
      </c>
      <c r="CD421" s="237">
        <v>11.05</v>
      </c>
      <c r="CE421" s="237" t="s">
        <v>349</v>
      </c>
      <c r="CJ421" s="347">
        <v>23.06</v>
      </c>
      <c r="CK421" s="347" t="s">
        <v>368</v>
      </c>
      <c r="CL421" s="1789"/>
      <c r="CM421" s="2299"/>
      <c r="CN421" s="345"/>
      <c r="CR421" s="345"/>
      <c r="CS421" s="345"/>
      <c r="CX421" s="347"/>
      <c r="CY421" s="347"/>
      <c r="DA421" s="348"/>
      <c r="DC421" s="348"/>
      <c r="DE421" s="1792"/>
      <c r="DF421" s="345"/>
      <c r="DH421" s="237"/>
      <c r="DI421" s="237"/>
      <c r="DN421" s="347"/>
      <c r="DO421" s="347"/>
      <c r="DP421" s="2505"/>
      <c r="DT421" s="663"/>
      <c r="DU421" s="663"/>
      <c r="DV421" s="663"/>
      <c r="DW421" s="663"/>
      <c r="DX421" s="663"/>
      <c r="DY421" s="663"/>
      <c r="DZ421" s="663"/>
      <c r="EA421" s="663"/>
      <c r="EB421" s="663"/>
      <c r="EC421" s="663"/>
      <c r="ED421" s="663"/>
    </row>
    <row r="422" spans="6:134">
      <c r="F422" s="345">
        <v>39.11</v>
      </c>
      <c r="G422" s="345" t="s">
        <v>352</v>
      </c>
      <c r="L422" s="347">
        <v>104.03</v>
      </c>
      <c r="M422" s="347" t="s">
        <v>321</v>
      </c>
      <c r="V422" s="345">
        <v>117.32</v>
      </c>
      <c r="W422" s="345" t="s">
        <v>365</v>
      </c>
      <c r="AB422" s="347">
        <v>36.1</v>
      </c>
      <c r="AC422" s="347" t="s">
        <v>325</v>
      </c>
      <c r="AD422" s="1138"/>
      <c r="AJ422" s="345">
        <v>16.05</v>
      </c>
      <c r="AK422" s="345" t="s">
        <v>352</v>
      </c>
      <c r="AP422" s="347">
        <v>4506.0200000000004</v>
      </c>
      <c r="AQ422" s="347" t="s">
        <v>316</v>
      </c>
      <c r="AU422" s="348" t="str">
        <f t="array" ref="AU422">IFERROR(IF($AU$11="Yes",INDEX($AP$13:$AP$2950,SMALL(IF((County=$AQ$13:$AQ$2950),MATCH(ROW($AQ$13:$AQ$2950),ROW($AQ$13:$AQ$2950)),""),ROWS($A$13:$A422))),""),"")</f>
        <v/>
      </c>
      <c r="AZ422" s="345">
        <v>108.05</v>
      </c>
      <c r="BA422" s="345" t="s">
        <v>337</v>
      </c>
      <c r="BF422" s="347">
        <v>23.05</v>
      </c>
      <c r="BG422" s="347" t="s">
        <v>368</v>
      </c>
      <c r="BH422" s="1790"/>
      <c r="BI422" s="1793"/>
      <c r="BJ422" s="1329"/>
      <c r="BN422" s="345">
        <v>422</v>
      </c>
      <c r="BO422" s="345" t="s">
        <v>310</v>
      </c>
      <c r="BT422" s="347">
        <v>4507.03</v>
      </c>
      <c r="BU422" s="347" t="s">
        <v>316</v>
      </c>
      <c r="BW422" s="348" t="str">
        <f t="array" ref="BW422">IFERROR(IF($BW$11="Metro",INDEX($BN$13:$BN$4972,SMALL(IF((County=$BO$13:$BO$4972),MATCH(ROW($BO$13:$BO$4972),ROW($BO$13:$BO$4972)),""),ROWS($A$13:$A422))),INDEX($BQ$13:$BQ$212,SMALL(IF((County=$BR$13:$BR$212),MATCH(ROW($BR$13:$BR$212),ROW($BR$13:$BR$212)),""),ROWS($A$13:$A422)))),"")</f>
        <v/>
      </c>
      <c r="BY422" s="348" t="str">
        <f t="array" ref="BY422">IFERROR(IF($BY$11="Yes",INDEX($BT$13:$BT$2950,SMALL(IF((County=$BU$13:$BU$2950),MATCH(ROW($BU$13:$BU$2950),ROW($BU$13:$BU$2950)),""),ROWS($A$13:$A422))),""),"")</f>
        <v/>
      </c>
      <c r="CD422" s="237">
        <v>11.05</v>
      </c>
      <c r="CE422" s="237" t="s">
        <v>350</v>
      </c>
      <c r="CJ422" s="347">
        <v>24</v>
      </c>
      <c r="CK422" s="347" t="s">
        <v>323</v>
      </c>
      <c r="CL422" s="1789"/>
      <c r="CM422" s="2299"/>
      <c r="CN422" s="345"/>
      <c r="CR422" s="345"/>
      <c r="CS422" s="345"/>
      <c r="CX422" s="347"/>
      <c r="CY422" s="347"/>
      <c r="DA422" s="348"/>
      <c r="DC422" s="348"/>
      <c r="DE422" s="1792"/>
      <c r="DF422" s="345"/>
      <c r="DH422" s="237"/>
      <c r="DI422" s="237"/>
      <c r="DN422" s="347"/>
      <c r="DO422" s="347"/>
      <c r="DP422" s="2505"/>
      <c r="DT422" s="663"/>
      <c r="DU422" s="663"/>
      <c r="DV422" s="663"/>
      <c r="DW422" s="663"/>
      <c r="DX422" s="663"/>
      <c r="DY422" s="663"/>
      <c r="DZ422" s="663"/>
      <c r="EA422" s="663"/>
      <c r="EB422" s="663"/>
      <c r="EC422" s="663"/>
      <c r="ED422" s="663"/>
    </row>
    <row r="423" spans="6:134">
      <c r="F423" s="345">
        <v>41.03</v>
      </c>
      <c r="G423" s="345" t="s">
        <v>352</v>
      </c>
      <c r="L423" s="347">
        <v>104.04</v>
      </c>
      <c r="M423" s="347" t="s">
        <v>321</v>
      </c>
      <c r="V423" s="345">
        <v>118</v>
      </c>
      <c r="W423" s="345" t="s">
        <v>323</v>
      </c>
      <c r="AB423" s="347">
        <v>36.11</v>
      </c>
      <c r="AC423" s="347" t="s">
        <v>325</v>
      </c>
      <c r="AD423" s="1138"/>
      <c r="AJ423" s="345">
        <v>17.010000000000002</v>
      </c>
      <c r="AK423" s="345" t="s">
        <v>352</v>
      </c>
      <c r="AP423" s="347">
        <v>4507.03</v>
      </c>
      <c r="AQ423" s="347" t="s">
        <v>316</v>
      </c>
      <c r="AU423" s="348" t="str">
        <f t="array" ref="AU423">IFERROR(IF($AU$11="Yes",INDEX($AP$13:$AP$2950,SMALL(IF((County=$AQ$13:$AQ$2950),MATCH(ROW($AQ$13:$AQ$2950),ROW($AQ$13:$AQ$2950)),""),ROWS($A$13:$A423))),""),"")</f>
        <v/>
      </c>
      <c r="AZ423" s="345">
        <v>108.05</v>
      </c>
      <c r="BA423" s="345" t="s">
        <v>352</v>
      </c>
      <c r="BF423" s="347">
        <v>23.06</v>
      </c>
      <c r="BG423" s="347" t="s">
        <v>368</v>
      </c>
      <c r="BH423" s="1790"/>
      <c r="BI423" s="1793"/>
      <c r="BJ423" s="1329"/>
      <c r="BN423" s="345">
        <v>423.01</v>
      </c>
      <c r="BO423" s="345" t="s">
        <v>310</v>
      </c>
      <c r="BT423" s="347">
        <v>4507.05</v>
      </c>
      <c r="BU423" s="347" t="s">
        <v>316</v>
      </c>
      <c r="BW423" s="348" t="str">
        <f t="array" ref="BW423">IFERROR(IF($BW$11="Metro",INDEX($BN$13:$BN$4972,SMALL(IF((County=$BO$13:$BO$4972),MATCH(ROW($BO$13:$BO$4972),ROW($BO$13:$BO$4972)),""),ROWS($A$13:$A423))),INDEX($BQ$13:$BQ$212,SMALL(IF((County=$BR$13:$BR$212),MATCH(ROW($BR$13:$BR$212),ROW($BR$13:$BR$212)),""),ROWS($A$13:$A423)))),"")</f>
        <v/>
      </c>
      <c r="BY423" s="348" t="str">
        <f t="array" ref="BY423">IFERROR(IF($BY$11="Yes",INDEX($BT$13:$BT$2950,SMALL(IF((County=$BU$13:$BU$2950),MATCH(ROW($BU$13:$BU$2950),ROW($BU$13:$BU$2950)),""),ROWS($A$13:$A423))),""),"")</f>
        <v/>
      </c>
      <c r="CD423" s="237">
        <v>11.05</v>
      </c>
      <c r="CE423" s="237" t="s">
        <v>351</v>
      </c>
      <c r="CJ423" s="347">
        <v>24</v>
      </c>
      <c r="CK423" s="347" t="s">
        <v>325</v>
      </c>
      <c r="CL423" s="1789"/>
      <c r="CM423" s="2299"/>
      <c r="CN423" s="345"/>
      <c r="CR423" s="345"/>
      <c r="CS423" s="345"/>
      <c r="CX423" s="347"/>
      <c r="CY423" s="347"/>
      <c r="DA423" s="348"/>
      <c r="DC423" s="348"/>
      <c r="DE423" s="1792"/>
      <c r="DF423" s="345"/>
      <c r="DH423" s="237"/>
      <c r="DI423" s="237"/>
      <c r="DN423" s="347"/>
      <c r="DO423" s="347"/>
      <c r="DP423" s="2505"/>
      <c r="DT423" s="663"/>
      <c r="DU423" s="663"/>
      <c r="DV423" s="663"/>
      <c r="DW423" s="663"/>
      <c r="DX423" s="663"/>
      <c r="DY423" s="663"/>
      <c r="DZ423" s="663"/>
      <c r="EA423" s="663"/>
      <c r="EB423" s="663"/>
      <c r="EC423" s="663"/>
      <c r="ED423" s="663"/>
    </row>
    <row r="424" spans="6:134">
      <c r="F424" s="345">
        <v>44.04</v>
      </c>
      <c r="G424" s="345" t="s">
        <v>352</v>
      </c>
      <c r="L424" s="347">
        <v>104.05</v>
      </c>
      <c r="M424" s="347" t="s">
        <v>321</v>
      </c>
      <c r="V424" s="345">
        <v>119.04</v>
      </c>
      <c r="W424" s="345" t="s">
        <v>337</v>
      </c>
      <c r="AB424" s="347">
        <v>36.119999999999997</v>
      </c>
      <c r="AC424" s="347" t="s">
        <v>325</v>
      </c>
      <c r="AD424" s="1138"/>
      <c r="AJ424" s="345">
        <v>17.02</v>
      </c>
      <c r="AK424" s="345" t="s">
        <v>352</v>
      </c>
      <c r="AP424" s="347">
        <v>4507.04</v>
      </c>
      <c r="AQ424" s="347" t="s">
        <v>316</v>
      </c>
      <c r="AU424" s="348" t="str">
        <f t="array" ref="AU424">IFERROR(IF($AU$11="Yes",INDEX($AP$13:$AP$2950,SMALL(IF((County=$AQ$13:$AQ$2950),MATCH(ROW($AQ$13:$AQ$2950),ROW($AQ$13:$AQ$2950)),""),ROWS($A$13:$A424))),""),"")</f>
        <v/>
      </c>
      <c r="AZ424" s="345">
        <v>108.06</v>
      </c>
      <c r="BA424" s="345" t="s">
        <v>352</v>
      </c>
      <c r="BF424" s="347">
        <v>24</v>
      </c>
      <c r="BG424" s="347" t="s">
        <v>323</v>
      </c>
      <c r="BH424" s="1790"/>
      <c r="BI424" s="1793"/>
      <c r="BJ424" s="1329"/>
      <c r="BN424" s="345">
        <v>423.02</v>
      </c>
      <c r="BO424" s="345" t="s">
        <v>310</v>
      </c>
      <c r="BT424" s="347">
        <v>4507.0600000000004</v>
      </c>
      <c r="BU424" s="347" t="s">
        <v>316</v>
      </c>
      <c r="BW424" s="348" t="str">
        <f t="array" ref="BW424">IFERROR(IF($BW$11="Metro",INDEX($BN$13:$BN$4972,SMALL(IF((County=$BO$13:$BO$4972),MATCH(ROW($BO$13:$BO$4972),ROW($BO$13:$BO$4972)),""),ROWS($A$13:$A424))),INDEX($BQ$13:$BQ$212,SMALL(IF((County=$BR$13:$BR$212),MATCH(ROW($BR$13:$BR$212),ROW($BR$13:$BR$212)),""),ROWS($A$13:$A424)))),"")</f>
        <v/>
      </c>
      <c r="BY424" s="348" t="str">
        <f t="array" ref="BY424">IFERROR(IF($BY$11="Yes",INDEX($BT$13:$BT$2950,SMALL(IF((County=$BU$13:$BU$2950),MATCH(ROW($BU$13:$BU$2950),ROW($BU$13:$BU$2950)),""),ROWS($A$13:$A424))),""),"")</f>
        <v/>
      </c>
      <c r="CD424" s="237">
        <v>11.06</v>
      </c>
      <c r="CE424" s="237" t="s">
        <v>349</v>
      </c>
      <c r="CJ424" s="347">
        <v>24</v>
      </c>
      <c r="CK424" s="347" t="s">
        <v>337</v>
      </c>
      <c r="CL424" s="1789"/>
      <c r="CM424" s="2299"/>
      <c r="CN424" s="345"/>
      <c r="CR424" s="345"/>
      <c r="CS424" s="345"/>
      <c r="CX424" s="347"/>
      <c r="CY424" s="347"/>
      <c r="DA424" s="348"/>
      <c r="DC424" s="348"/>
      <c r="DE424" s="1792"/>
      <c r="DF424" s="345"/>
      <c r="DH424" s="237"/>
      <c r="DI424" s="237"/>
      <c r="DN424" s="347"/>
      <c r="DO424" s="347"/>
      <c r="DP424" s="2505"/>
      <c r="DT424" s="663"/>
      <c r="DU424" s="663"/>
      <c r="DV424" s="663"/>
      <c r="DW424" s="663"/>
      <c r="DX424" s="663"/>
      <c r="DY424" s="663"/>
      <c r="DZ424" s="663"/>
      <c r="EA424" s="663"/>
      <c r="EB424" s="663"/>
      <c r="EC424" s="663"/>
      <c r="ED424" s="663"/>
    </row>
    <row r="425" spans="6:134">
      <c r="F425" s="345">
        <v>49.01</v>
      </c>
      <c r="G425" s="345" t="s">
        <v>352</v>
      </c>
      <c r="L425" s="347">
        <v>104.06</v>
      </c>
      <c r="M425" s="347" t="s">
        <v>321</v>
      </c>
      <c r="V425" s="345">
        <v>119.05</v>
      </c>
      <c r="W425" s="345" t="s">
        <v>337</v>
      </c>
      <c r="AB425" s="347">
        <v>36.130000000000003</v>
      </c>
      <c r="AC425" s="347" t="s">
        <v>325</v>
      </c>
      <c r="AD425" s="1138"/>
      <c r="AJ425" s="345">
        <v>17.04</v>
      </c>
      <c r="AK425" s="345" t="s">
        <v>352</v>
      </c>
      <c r="AP425" s="347">
        <v>4509.01</v>
      </c>
      <c r="AQ425" s="347" t="s">
        <v>316</v>
      </c>
      <c r="AU425" s="348" t="str">
        <f t="array" ref="AU425">IFERROR(IF($AU$11="Yes",INDEX($AP$13:$AP$2950,SMALL(IF((County=$AQ$13:$AQ$2950),MATCH(ROW($AQ$13:$AQ$2950),ROW($AQ$13:$AQ$2950)),""),ROWS($A$13:$A425))),""),"")</f>
        <v/>
      </c>
      <c r="AZ425" s="345">
        <v>108.08</v>
      </c>
      <c r="BA425" s="345" t="s">
        <v>337</v>
      </c>
      <c r="BF425" s="347">
        <v>24</v>
      </c>
      <c r="BG425" s="347" t="s">
        <v>325</v>
      </c>
      <c r="BH425" s="1790"/>
      <c r="BI425" s="1793"/>
      <c r="BJ425" s="1329"/>
      <c r="BN425" s="345">
        <v>424</v>
      </c>
      <c r="BO425" s="345" t="s">
        <v>310</v>
      </c>
      <c r="BT425" s="347">
        <v>4509.01</v>
      </c>
      <c r="BU425" s="347" t="s">
        <v>316</v>
      </c>
      <c r="BW425" s="348" t="str">
        <f t="array" ref="BW425">IFERROR(IF($BW$11="Metro",INDEX($BN$13:$BN$4972,SMALL(IF((County=$BO$13:$BO$4972),MATCH(ROW($BO$13:$BO$4972),ROW($BO$13:$BO$4972)),""),ROWS($A$13:$A425))),INDEX($BQ$13:$BQ$212,SMALL(IF((County=$BR$13:$BR$212),MATCH(ROW($BR$13:$BR$212),ROW($BR$13:$BR$212)),""),ROWS($A$13:$A425)))),"")</f>
        <v/>
      </c>
      <c r="BY425" s="348" t="str">
        <f t="array" ref="BY425">IFERROR(IF($BY$11="Yes",INDEX($BT$13:$BT$2950,SMALL(IF((County=$BU$13:$BU$2950),MATCH(ROW($BU$13:$BU$2950),ROW($BU$13:$BU$2950)),""),ROWS($A$13:$A425))),""),"")</f>
        <v/>
      </c>
      <c r="CD425" s="237">
        <v>11.06</v>
      </c>
      <c r="CE425" s="237" t="s">
        <v>350</v>
      </c>
      <c r="CJ425" s="347">
        <v>24.01</v>
      </c>
      <c r="CK425" s="347" t="s">
        <v>350</v>
      </c>
      <c r="CL425" s="1789"/>
      <c r="CM425" s="2299"/>
      <c r="CN425" s="345"/>
      <c r="CR425" s="345"/>
      <c r="CS425" s="345"/>
      <c r="CX425" s="347"/>
      <c r="CY425" s="347"/>
      <c r="DA425" s="348"/>
      <c r="DC425" s="348"/>
      <c r="DE425" s="1792"/>
      <c r="DF425" s="345"/>
      <c r="DH425" s="237"/>
      <c r="DI425" s="237"/>
      <c r="DN425" s="347"/>
      <c r="DO425" s="347"/>
      <c r="DP425" s="2505"/>
      <c r="DT425" s="663"/>
      <c r="DU425" s="663"/>
      <c r="DV425" s="663"/>
      <c r="DW425" s="663"/>
      <c r="DX425" s="663"/>
      <c r="DY425" s="663"/>
      <c r="DZ425" s="663"/>
      <c r="EA425" s="663"/>
      <c r="EB425" s="663"/>
      <c r="EC425" s="663"/>
      <c r="ED425" s="663"/>
    </row>
    <row r="426" spans="6:134">
      <c r="F426" s="345">
        <v>49.02</v>
      </c>
      <c r="G426" s="345" t="s">
        <v>352</v>
      </c>
      <c r="L426" s="347">
        <v>9701.02</v>
      </c>
      <c r="M426" s="347" t="s">
        <v>322</v>
      </c>
      <c r="V426" s="345">
        <v>120</v>
      </c>
      <c r="W426" s="345" t="s">
        <v>352</v>
      </c>
      <c r="AB426" s="347">
        <v>36.14</v>
      </c>
      <c r="AC426" s="347" t="s">
        <v>325</v>
      </c>
      <c r="AD426" s="1138"/>
      <c r="AJ426" s="345">
        <v>17.05</v>
      </c>
      <c r="AK426" s="345" t="s">
        <v>352</v>
      </c>
      <c r="AP426" s="347">
        <v>4509.0200000000004</v>
      </c>
      <c r="AQ426" s="347" t="s">
        <v>316</v>
      </c>
      <c r="AU426" s="348" t="str">
        <f t="array" ref="AU426">IFERROR(IF($AU$11="Yes",INDEX($AP$13:$AP$2950,SMALL(IF((County=$AQ$13:$AQ$2950),MATCH(ROW($AQ$13:$AQ$2950),ROW($AQ$13:$AQ$2950)),""),ROWS($A$13:$A426))),""),"")</f>
        <v/>
      </c>
      <c r="AZ426" s="345">
        <v>108.09</v>
      </c>
      <c r="BA426" s="345" t="s">
        <v>337</v>
      </c>
      <c r="BF426" s="347">
        <v>24</v>
      </c>
      <c r="BG426" s="347" t="s">
        <v>337</v>
      </c>
      <c r="BH426" s="1790"/>
      <c r="BI426" s="1793"/>
      <c r="BJ426" s="1329"/>
      <c r="BN426" s="345">
        <v>425.01</v>
      </c>
      <c r="BO426" s="345" t="s">
        <v>310</v>
      </c>
      <c r="BT426" s="347">
        <v>4509.0200000000004</v>
      </c>
      <c r="BU426" s="347" t="s">
        <v>316</v>
      </c>
      <c r="BW426" s="348" t="str">
        <f t="array" ref="BW426">IFERROR(IF($BW$11="Metro",INDEX($BN$13:$BN$4972,SMALL(IF((County=$BO$13:$BO$4972),MATCH(ROW($BO$13:$BO$4972),ROW($BO$13:$BO$4972)),""),ROWS($A$13:$A426))),INDEX($BQ$13:$BQ$212,SMALL(IF((County=$BR$13:$BR$212),MATCH(ROW($BR$13:$BR$212),ROW($BR$13:$BR$212)),""),ROWS($A$13:$A426)))),"")</f>
        <v/>
      </c>
      <c r="BY426" s="348" t="str">
        <f t="array" ref="BY426">IFERROR(IF($BY$11="Yes",INDEX($BT$13:$BT$2950,SMALL(IF((County=$BU$13:$BU$2950),MATCH(ROW($BU$13:$BU$2950),ROW($BU$13:$BU$2950)),""),ROWS($A$13:$A426))),""),"")</f>
        <v/>
      </c>
      <c r="CD426" s="237">
        <v>11.06</v>
      </c>
      <c r="CE426" s="237" t="s">
        <v>351</v>
      </c>
      <c r="CJ426" s="347">
        <v>24.01</v>
      </c>
      <c r="CK426" s="347" t="s">
        <v>368</v>
      </c>
      <c r="CL426" s="1789"/>
      <c r="CM426" s="2299"/>
      <c r="CN426" s="345"/>
      <c r="CR426" s="345"/>
      <c r="CS426" s="345"/>
      <c r="CX426" s="347"/>
      <c r="CY426" s="347"/>
      <c r="DA426" s="348"/>
      <c r="DC426" s="348"/>
      <c r="DE426" s="1792"/>
      <c r="DF426" s="345"/>
      <c r="DH426" s="237"/>
      <c r="DI426" s="237"/>
      <c r="DN426" s="347"/>
      <c r="DO426" s="347"/>
      <c r="DP426" s="2505"/>
      <c r="DT426" s="663"/>
      <c r="DU426" s="663"/>
      <c r="DV426" s="663"/>
      <c r="DW426" s="663"/>
      <c r="DX426" s="663"/>
      <c r="DY426" s="663"/>
      <c r="DZ426" s="663"/>
      <c r="EA426" s="663"/>
      <c r="EB426" s="663"/>
      <c r="EC426" s="663"/>
      <c r="ED426" s="663"/>
    </row>
    <row r="427" spans="6:134">
      <c r="F427" s="345">
        <v>50.02</v>
      </c>
      <c r="G427" s="345" t="s">
        <v>352</v>
      </c>
      <c r="L427" s="347">
        <v>9702</v>
      </c>
      <c r="M427" s="347" t="s">
        <v>322</v>
      </c>
      <c r="V427" s="345">
        <v>120</v>
      </c>
      <c r="W427" s="345" t="s">
        <v>359</v>
      </c>
      <c r="AB427" s="347">
        <v>37</v>
      </c>
      <c r="AC427" s="347" t="s">
        <v>325</v>
      </c>
      <c r="AD427" s="1138"/>
      <c r="AJ427" s="345">
        <v>18.010000000000002</v>
      </c>
      <c r="AK427" s="345" t="s">
        <v>352</v>
      </c>
      <c r="AP427" s="347">
        <v>4510.01</v>
      </c>
      <c r="AQ427" s="347" t="s">
        <v>316</v>
      </c>
      <c r="AU427" s="348" t="str">
        <f t="array" ref="AU427">IFERROR(IF($AU$11="Yes",INDEX($AP$13:$AP$2950,SMALL(IF((County=$AQ$13:$AQ$2950),MATCH(ROW($AQ$13:$AQ$2950),ROW($AQ$13:$AQ$2950)),""),ROWS($A$13:$A427))),""),"")</f>
        <v/>
      </c>
      <c r="AZ427" s="345">
        <v>108.11</v>
      </c>
      <c r="BA427" s="345" t="s">
        <v>337</v>
      </c>
      <c r="BF427" s="347">
        <v>24.01</v>
      </c>
      <c r="BG427" s="347" t="s">
        <v>350</v>
      </c>
      <c r="BH427" s="1790"/>
      <c r="BI427" s="1793"/>
      <c r="BJ427" s="1329"/>
      <c r="BN427" s="345">
        <v>425.02</v>
      </c>
      <c r="BO427" s="345" t="s">
        <v>310</v>
      </c>
      <c r="BT427" s="347">
        <v>4510.01</v>
      </c>
      <c r="BU427" s="347" t="s">
        <v>316</v>
      </c>
      <c r="BW427" s="348" t="str">
        <f t="array" ref="BW427">IFERROR(IF($BW$11="Metro",INDEX($BN$13:$BN$4972,SMALL(IF((County=$BO$13:$BO$4972),MATCH(ROW($BO$13:$BO$4972),ROW($BO$13:$BO$4972)),""),ROWS($A$13:$A427))),INDEX($BQ$13:$BQ$212,SMALL(IF((County=$BR$13:$BR$212),MATCH(ROW($BR$13:$BR$212),ROW($BR$13:$BR$212)),""),ROWS($A$13:$A427)))),"")</f>
        <v/>
      </c>
      <c r="BY427" s="348" t="str">
        <f t="array" ref="BY427">IFERROR(IF($BY$11="Yes",INDEX($BT$13:$BT$2950,SMALL(IF((County=$BU$13:$BU$2950),MATCH(ROW($BU$13:$BU$2950),ROW($BU$13:$BU$2950)),""),ROWS($A$13:$A427))),""),"")</f>
        <v/>
      </c>
      <c r="CD427" s="237">
        <v>11.07</v>
      </c>
      <c r="CE427" s="237" t="s">
        <v>349</v>
      </c>
      <c r="CJ427" s="347">
        <v>24.02</v>
      </c>
      <c r="CK427" s="347" t="s">
        <v>350</v>
      </c>
      <c r="CL427" s="1789"/>
      <c r="CM427" s="2299"/>
      <c r="CN427" s="345"/>
      <c r="CR427" s="345"/>
      <c r="CS427" s="345"/>
      <c r="CX427" s="347"/>
      <c r="CY427" s="347"/>
      <c r="DA427" s="348"/>
      <c r="DC427" s="348"/>
      <c r="DE427" s="1792"/>
      <c r="DF427" s="345"/>
      <c r="DH427" s="237"/>
      <c r="DI427" s="237"/>
      <c r="DN427" s="347"/>
      <c r="DO427" s="347"/>
      <c r="DP427" s="2505"/>
      <c r="DT427" s="663"/>
      <c r="DU427" s="663"/>
      <c r="DV427" s="663"/>
      <c r="DW427" s="663"/>
      <c r="DX427" s="663"/>
      <c r="DY427" s="663"/>
      <c r="DZ427" s="663"/>
      <c r="EA427" s="663"/>
      <c r="EB427" s="663"/>
      <c r="EC427" s="663"/>
      <c r="ED427" s="663"/>
    </row>
    <row r="428" spans="6:134">
      <c r="F428" s="345">
        <v>51.02</v>
      </c>
      <c r="G428" s="345" t="s">
        <v>352</v>
      </c>
      <c r="L428" s="347">
        <v>7</v>
      </c>
      <c r="M428" s="347" t="s">
        <v>323</v>
      </c>
      <c r="V428" s="345">
        <v>120.02</v>
      </c>
      <c r="W428" s="345" t="s">
        <v>337</v>
      </c>
      <c r="AB428" s="347">
        <v>37.020000000000003</v>
      </c>
      <c r="AC428" s="347" t="s">
        <v>352</v>
      </c>
      <c r="AD428" s="1138"/>
      <c r="AJ428" s="345">
        <v>18.02</v>
      </c>
      <c r="AK428" s="345" t="s">
        <v>352</v>
      </c>
      <c r="AP428" s="347">
        <v>4511.01</v>
      </c>
      <c r="AQ428" s="347" t="s">
        <v>316</v>
      </c>
      <c r="AU428" s="348" t="str">
        <f t="array" ref="AU428">IFERROR(IF($AU$11="Yes",INDEX($AP$13:$AP$2950,SMALL(IF((County=$AQ$13:$AQ$2950),MATCH(ROW($AQ$13:$AQ$2950),ROW($AQ$13:$AQ$2950)),""),ROWS($A$13:$A428))),""),"")</f>
        <v/>
      </c>
      <c r="AZ428" s="345">
        <v>108.14</v>
      </c>
      <c r="BA428" s="345" t="s">
        <v>337</v>
      </c>
      <c r="BF428" s="347">
        <v>24.01</v>
      </c>
      <c r="BG428" s="347" t="s">
        <v>368</v>
      </c>
      <c r="BH428" s="1790"/>
      <c r="BI428" s="1793"/>
      <c r="BJ428" s="1329"/>
      <c r="BN428" s="345">
        <v>426.01</v>
      </c>
      <c r="BO428" s="345" t="s">
        <v>310</v>
      </c>
      <c r="BT428" s="347">
        <v>4511.01</v>
      </c>
      <c r="BU428" s="347" t="s">
        <v>316</v>
      </c>
      <c r="BW428" s="348" t="str">
        <f t="array" ref="BW428">IFERROR(IF($BW$11="Metro",INDEX($BN$13:$BN$4972,SMALL(IF((County=$BO$13:$BO$4972),MATCH(ROW($BO$13:$BO$4972),ROW($BO$13:$BO$4972)),""),ROWS($A$13:$A428))),INDEX($BQ$13:$BQ$212,SMALL(IF((County=$BR$13:$BR$212),MATCH(ROW($BR$13:$BR$212),ROW($BR$13:$BR$212)),""),ROWS($A$13:$A428)))),"")</f>
        <v/>
      </c>
      <c r="BY428" s="348" t="str">
        <f t="array" ref="BY428">IFERROR(IF($BY$11="Yes",INDEX($BT$13:$BT$2950,SMALL(IF((County=$BU$13:$BU$2950),MATCH(ROW($BU$13:$BU$2950),ROW($BU$13:$BU$2950)),""),ROWS($A$13:$A428))),""),"")</f>
        <v/>
      </c>
      <c r="CD428" s="237">
        <v>11.07</v>
      </c>
      <c r="CE428" s="237" t="s">
        <v>351</v>
      </c>
      <c r="CJ428" s="347">
        <v>24.03</v>
      </c>
      <c r="CK428" s="347" t="s">
        <v>345</v>
      </c>
      <c r="CL428" s="1789"/>
      <c r="CM428" s="2299"/>
      <c r="CN428" s="345"/>
      <c r="CR428" s="345"/>
      <c r="CS428" s="345"/>
      <c r="CX428" s="347"/>
      <c r="CY428" s="347"/>
      <c r="DA428" s="348"/>
      <c r="DC428" s="348"/>
      <c r="DE428" s="1792"/>
      <c r="DF428" s="345"/>
      <c r="DH428" s="237"/>
      <c r="DI428" s="237"/>
      <c r="DN428" s="347"/>
      <c r="DO428" s="347"/>
      <c r="DP428" s="2505"/>
      <c r="DT428" s="663"/>
      <c r="DU428" s="663"/>
      <c r="DV428" s="663"/>
      <c r="DW428" s="663"/>
      <c r="DX428" s="663"/>
      <c r="DY428" s="663"/>
      <c r="DZ428" s="663"/>
      <c r="EA428" s="663"/>
      <c r="EB428" s="663"/>
      <c r="EC428" s="663"/>
      <c r="ED428" s="663"/>
    </row>
    <row r="429" spans="6:134">
      <c r="F429" s="345">
        <v>51.03</v>
      </c>
      <c r="G429" s="345" t="s">
        <v>352</v>
      </c>
      <c r="L429" s="347">
        <v>8</v>
      </c>
      <c r="M429" s="347" t="s">
        <v>323</v>
      </c>
      <c r="V429" s="345">
        <v>121</v>
      </c>
      <c r="W429" s="345" t="s">
        <v>323</v>
      </c>
      <c r="AB429" s="347">
        <v>37.03</v>
      </c>
      <c r="AC429" s="347" t="s">
        <v>352</v>
      </c>
      <c r="AD429" s="1138"/>
      <c r="AJ429" s="345">
        <v>18.03</v>
      </c>
      <c r="AK429" s="345" t="s">
        <v>352</v>
      </c>
      <c r="AP429" s="347">
        <v>4511.04</v>
      </c>
      <c r="AQ429" s="347" t="s">
        <v>316</v>
      </c>
      <c r="AU429" s="348" t="str">
        <f t="array" ref="AU429">IFERROR(IF($AU$11="Yes",INDEX($AP$13:$AP$2950,SMALL(IF((County=$AQ$13:$AQ$2950),MATCH(ROW($AQ$13:$AQ$2950),ROW($AQ$13:$AQ$2950)),""),ROWS($A$13:$A429))),""),"")</f>
        <v/>
      </c>
      <c r="AZ429" s="345">
        <v>108.15</v>
      </c>
      <c r="BA429" s="345" t="s">
        <v>337</v>
      </c>
      <c r="BF429" s="347">
        <v>24.02</v>
      </c>
      <c r="BG429" s="347" t="s">
        <v>350</v>
      </c>
      <c r="BH429" s="1790"/>
      <c r="BI429" s="1793"/>
      <c r="BJ429" s="1329"/>
      <c r="BN429" s="345">
        <v>426.02</v>
      </c>
      <c r="BO429" s="345" t="s">
        <v>310</v>
      </c>
      <c r="BT429" s="347">
        <v>4511.04</v>
      </c>
      <c r="BU429" s="347" t="s">
        <v>316</v>
      </c>
      <c r="BW429" s="348" t="str">
        <f t="array" ref="BW429">IFERROR(IF($BW$11="Metro",INDEX($BN$13:$BN$4972,SMALL(IF((County=$BO$13:$BO$4972),MATCH(ROW($BO$13:$BO$4972),ROW($BO$13:$BO$4972)),""),ROWS($A$13:$A429))),INDEX($BQ$13:$BQ$212,SMALL(IF((County=$BR$13:$BR$212),MATCH(ROW($BR$13:$BR$212),ROW($BR$13:$BR$212)),""),ROWS($A$13:$A429)))),"")</f>
        <v/>
      </c>
      <c r="BY429" s="348" t="str">
        <f t="array" ref="BY429">IFERROR(IF($BY$11="Yes",INDEX($BT$13:$BT$2950,SMALL(IF((County=$BU$13:$BU$2950),MATCH(ROW($BU$13:$BU$2950),ROW($BU$13:$BU$2950)),""),ROWS($A$13:$A429))),""),"")</f>
        <v/>
      </c>
      <c r="CD429" s="237">
        <v>11.08</v>
      </c>
      <c r="CE429" s="237" t="s">
        <v>349</v>
      </c>
      <c r="CJ429" s="347">
        <v>24.1</v>
      </c>
      <c r="CK429" s="347" t="s">
        <v>345</v>
      </c>
      <c r="CL429" s="1789"/>
      <c r="CM429" s="2299"/>
      <c r="CN429" s="345"/>
      <c r="CR429" s="345"/>
      <c r="CS429" s="345"/>
      <c r="CX429" s="347"/>
      <c r="CY429" s="347"/>
      <c r="DA429" s="348"/>
      <c r="DC429" s="348"/>
      <c r="DE429" s="1792"/>
      <c r="DF429" s="345"/>
      <c r="DH429" s="237"/>
      <c r="DI429" s="237"/>
      <c r="DN429" s="347"/>
      <c r="DO429" s="347"/>
      <c r="DP429" s="2505"/>
      <c r="DT429" s="663"/>
      <c r="DU429" s="663"/>
      <c r="DV429" s="663"/>
      <c r="DW429" s="663"/>
      <c r="DX429" s="663"/>
      <c r="DY429" s="663"/>
      <c r="DZ429" s="663"/>
      <c r="EA429" s="663"/>
      <c r="EB429" s="663"/>
      <c r="EC429" s="663"/>
      <c r="ED429" s="663"/>
    </row>
    <row r="430" spans="6:134">
      <c r="F430" s="345">
        <v>51.04</v>
      </c>
      <c r="G430" s="345" t="s">
        <v>352</v>
      </c>
      <c r="L430" s="347">
        <v>21.01</v>
      </c>
      <c r="M430" s="347" t="s">
        <v>323</v>
      </c>
      <c r="V430" s="345">
        <v>121</v>
      </c>
      <c r="W430" s="345" t="s">
        <v>359</v>
      </c>
      <c r="AB430" s="347">
        <v>37.04</v>
      </c>
      <c r="AC430" s="347" t="s">
        <v>352</v>
      </c>
      <c r="AD430" s="1138"/>
      <c r="AJ430" s="345">
        <v>19.010000000000002</v>
      </c>
      <c r="AK430" s="345" t="s">
        <v>352</v>
      </c>
      <c r="AP430" s="347">
        <v>4513</v>
      </c>
      <c r="AQ430" s="347" t="s">
        <v>316</v>
      </c>
      <c r="AU430" s="348" t="str">
        <f t="array" ref="AU430">IFERROR(IF($AU$11="Yes",INDEX($AP$13:$AP$2950,SMALL(IF((County=$AQ$13:$AQ$2950),MATCH(ROW($AQ$13:$AQ$2950),ROW($AQ$13:$AQ$2950)),""),ROWS($A$13:$A430))),""),"")</f>
        <v/>
      </c>
      <c r="AZ430" s="345">
        <v>108.16</v>
      </c>
      <c r="BA430" s="345" t="s">
        <v>337</v>
      </c>
      <c r="BF430" s="347">
        <v>24.03</v>
      </c>
      <c r="BG430" s="347" t="s">
        <v>345</v>
      </c>
      <c r="BH430" s="1790"/>
      <c r="BI430" s="1793"/>
      <c r="BJ430" s="1329"/>
      <c r="BN430" s="345">
        <v>427</v>
      </c>
      <c r="BO430" s="345" t="s">
        <v>310</v>
      </c>
      <c r="BT430" s="347">
        <v>4513</v>
      </c>
      <c r="BU430" s="347" t="s">
        <v>316</v>
      </c>
      <c r="BW430" s="348" t="str">
        <f t="array" ref="BW430">IFERROR(IF($BW$11="Metro",INDEX($BN$13:$BN$4972,SMALL(IF((County=$BO$13:$BO$4972),MATCH(ROW($BO$13:$BO$4972),ROW($BO$13:$BO$4972)),""),ROWS($A$13:$A430))),INDEX($BQ$13:$BQ$212,SMALL(IF((County=$BR$13:$BR$212),MATCH(ROW($BR$13:$BR$212),ROW($BR$13:$BR$212)),""),ROWS($A$13:$A430)))),"")</f>
        <v/>
      </c>
      <c r="BY430" s="348" t="str">
        <f t="array" ref="BY430">IFERROR(IF($BY$11="Yes",INDEX($BT$13:$BT$2950,SMALL(IF((County=$BU$13:$BU$2950),MATCH(ROW($BU$13:$BU$2950),ROW($BU$13:$BU$2950)),""),ROWS($A$13:$A430))),""),"")</f>
        <v/>
      </c>
      <c r="CD430" s="237">
        <v>11.08</v>
      </c>
      <c r="CE430" s="237" t="s">
        <v>351</v>
      </c>
      <c r="CJ430" s="347">
        <v>24.11</v>
      </c>
      <c r="CK430" s="347" t="s">
        <v>345</v>
      </c>
      <c r="CL430" s="1789"/>
      <c r="CM430" s="2299"/>
      <c r="CN430" s="345"/>
      <c r="CR430" s="345"/>
      <c r="CS430" s="345"/>
      <c r="CX430" s="347"/>
      <c r="CY430" s="347"/>
      <c r="DA430" s="348"/>
      <c r="DC430" s="348"/>
      <c r="DE430" s="1792"/>
      <c r="DF430" s="345"/>
      <c r="DH430" s="237"/>
      <c r="DI430" s="237"/>
      <c r="DN430" s="347"/>
      <c r="DO430" s="347"/>
      <c r="DP430" s="2505"/>
      <c r="DT430" s="663"/>
      <c r="DU430" s="663"/>
      <c r="DV430" s="663"/>
      <c r="DW430" s="663"/>
      <c r="DX430" s="663"/>
      <c r="DY430" s="663"/>
      <c r="DZ430" s="663"/>
      <c r="EA430" s="663"/>
      <c r="EB430" s="663"/>
      <c r="EC430" s="663"/>
      <c r="ED430" s="663"/>
    </row>
    <row r="431" spans="6:134">
      <c r="F431" s="345">
        <v>52.01</v>
      </c>
      <c r="G431" s="345" t="s">
        <v>352</v>
      </c>
      <c r="L431" s="347">
        <v>21.02</v>
      </c>
      <c r="M431" s="347" t="s">
        <v>323</v>
      </c>
      <c r="V431" s="345">
        <v>121.03</v>
      </c>
      <c r="W431" s="345" t="s">
        <v>337</v>
      </c>
      <c r="AB431" s="347">
        <v>37.049999999999997</v>
      </c>
      <c r="AC431" s="347" t="s">
        <v>352</v>
      </c>
      <c r="AD431" s="1138"/>
      <c r="AJ431" s="345">
        <v>19.03</v>
      </c>
      <c r="AK431" s="345" t="s">
        <v>352</v>
      </c>
      <c r="AP431" s="347">
        <v>4516.03</v>
      </c>
      <c r="AQ431" s="347" t="s">
        <v>316</v>
      </c>
      <c r="AU431" s="348" t="str">
        <f t="array" ref="AU431">IFERROR(IF($AU$11="Yes",INDEX($AP$13:$AP$2950,SMALL(IF((County=$AQ$13:$AQ$2950),MATCH(ROW($AQ$13:$AQ$2950),ROW($AQ$13:$AQ$2950)),""),ROWS($A$13:$A431))),""),"")</f>
        <v/>
      </c>
      <c r="AZ431" s="345">
        <v>108.17</v>
      </c>
      <c r="BA431" s="345" t="s">
        <v>337</v>
      </c>
      <c r="BF431" s="347">
        <v>24.1</v>
      </c>
      <c r="BG431" s="347" t="s">
        <v>345</v>
      </c>
      <c r="BH431" s="1790"/>
      <c r="BI431" s="1793"/>
      <c r="BJ431" s="1329"/>
      <c r="BN431" s="345">
        <v>428.01</v>
      </c>
      <c r="BO431" s="345" t="s">
        <v>310</v>
      </c>
      <c r="BT431" s="347">
        <v>4516.03</v>
      </c>
      <c r="BU431" s="347" t="s">
        <v>316</v>
      </c>
      <c r="BW431" s="348" t="str">
        <f t="array" ref="BW431">IFERROR(IF($BW$11="Metro",INDEX($BN$13:$BN$4972,SMALL(IF((County=$BO$13:$BO$4972),MATCH(ROW($BO$13:$BO$4972),ROW($BO$13:$BO$4972)),""),ROWS($A$13:$A431))),INDEX($BQ$13:$BQ$212,SMALL(IF((County=$BR$13:$BR$212),MATCH(ROW($BR$13:$BR$212),ROW($BR$13:$BR$212)),""),ROWS($A$13:$A431)))),"")</f>
        <v/>
      </c>
      <c r="BY431" s="348" t="str">
        <f t="array" ref="BY431">IFERROR(IF($BY$11="Yes",INDEX($BT$13:$BT$2950,SMALL(IF((County=$BU$13:$BU$2950),MATCH(ROW($BU$13:$BU$2950),ROW($BU$13:$BU$2950)),""),ROWS($A$13:$A431))),""),"")</f>
        <v/>
      </c>
      <c r="CD431" s="345">
        <v>12</v>
      </c>
      <c r="CE431" s="345" t="s">
        <v>306</v>
      </c>
      <c r="CJ431" s="347">
        <v>24.13</v>
      </c>
      <c r="CK431" s="347" t="s">
        <v>345</v>
      </c>
      <c r="CL431" s="1789"/>
      <c r="CM431" s="2299"/>
      <c r="CN431" s="345"/>
      <c r="CR431" s="345"/>
      <c r="CS431" s="345"/>
      <c r="CX431" s="347"/>
      <c r="CY431" s="347"/>
      <c r="DA431" s="348"/>
      <c r="DC431" s="348"/>
      <c r="DE431" s="1792"/>
      <c r="DF431" s="345"/>
      <c r="DH431" s="237"/>
      <c r="DI431" s="237"/>
      <c r="DN431" s="347"/>
      <c r="DO431" s="347"/>
      <c r="DP431" s="2505"/>
      <c r="DT431" s="663"/>
      <c r="DU431" s="663"/>
      <c r="DV431" s="663"/>
      <c r="DW431" s="663"/>
      <c r="DX431" s="663"/>
      <c r="DY431" s="663"/>
      <c r="DZ431" s="663"/>
      <c r="EA431" s="663"/>
      <c r="EB431" s="663"/>
      <c r="EC431" s="663"/>
      <c r="ED431" s="663"/>
    </row>
    <row r="432" spans="6:134">
      <c r="F432" s="345">
        <v>52.02</v>
      </c>
      <c r="G432" s="345" t="s">
        <v>352</v>
      </c>
      <c r="L432" s="347">
        <v>22</v>
      </c>
      <c r="M432" s="347" t="s">
        <v>323</v>
      </c>
      <c r="V432" s="345">
        <v>121.04</v>
      </c>
      <c r="W432" s="345" t="s">
        <v>337</v>
      </c>
      <c r="AB432" s="347">
        <v>37.07</v>
      </c>
      <c r="AC432" s="347" t="s">
        <v>352</v>
      </c>
      <c r="AD432" s="1138"/>
      <c r="AJ432" s="345">
        <v>19.04</v>
      </c>
      <c r="AK432" s="345" t="s">
        <v>352</v>
      </c>
      <c r="AP432" s="347">
        <v>4516.04</v>
      </c>
      <c r="AQ432" s="347" t="s">
        <v>316</v>
      </c>
      <c r="AU432" s="348" t="str">
        <f t="array" ref="AU432">IFERROR(IF($AU$11="Yes",INDEX($AP$13:$AP$2950,SMALL(IF((County=$AQ$13:$AQ$2950),MATCH(ROW($AQ$13:$AQ$2950),ROW($AQ$13:$AQ$2950)),""),ROWS($A$13:$A432))),""),"")</f>
        <v/>
      </c>
      <c r="AZ432" s="345">
        <v>108.19</v>
      </c>
      <c r="BA432" s="345" t="s">
        <v>337</v>
      </c>
      <c r="BF432" s="347">
        <v>24.13</v>
      </c>
      <c r="BG432" s="347" t="s">
        <v>345</v>
      </c>
      <c r="BH432" s="1790"/>
      <c r="BI432" s="1793"/>
      <c r="BJ432" s="1329"/>
      <c r="BN432" s="345">
        <v>428.02</v>
      </c>
      <c r="BO432" s="345" t="s">
        <v>310</v>
      </c>
      <c r="BT432" s="347">
        <v>4516.04</v>
      </c>
      <c r="BU432" s="347" t="s">
        <v>316</v>
      </c>
      <c r="BW432" s="348" t="str">
        <f t="array" ref="BW432">IFERROR(IF($BW$11="Metro",INDEX($BN$13:$BN$4972,SMALL(IF((County=$BO$13:$BO$4972),MATCH(ROW($BO$13:$BO$4972),ROW($BO$13:$BO$4972)),""),ROWS($A$13:$A432))),INDEX($BQ$13:$BQ$212,SMALL(IF((County=$BR$13:$BR$212),MATCH(ROW($BR$13:$BR$212),ROW($BR$13:$BR$212)),""),ROWS($A$13:$A432)))),"")</f>
        <v/>
      </c>
      <c r="BY432" s="348" t="str">
        <f t="array" ref="BY432">IFERROR(IF($BY$11="Yes",INDEX($BT$13:$BT$2950,SMALL(IF((County=$BU$13:$BU$2950),MATCH(ROW($BU$13:$BU$2950),ROW($BU$13:$BU$2950)),""),ROWS($A$13:$A432))),""),"")</f>
        <v/>
      </c>
      <c r="CD432" s="237">
        <v>12</v>
      </c>
      <c r="CE432" s="237" t="s">
        <v>323</v>
      </c>
      <c r="CJ432" s="347">
        <v>24.14</v>
      </c>
      <c r="CK432" s="347" t="s">
        <v>345</v>
      </c>
      <c r="CL432" s="1789"/>
      <c r="CM432" s="2299"/>
      <c r="CN432" s="345"/>
      <c r="CR432" s="345"/>
      <c r="CS432" s="345"/>
      <c r="CX432" s="347"/>
      <c r="CY432" s="347"/>
      <c r="DA432" s="348"/>
      <c r="DC432" s="348"/>
      <c r="DE432" s="1792"/>
      <c r="DF432" s="345"/>
      <c r="DH432" s="237"/>
      <c r="DI432" s="237"/>
      <c r="DN432" s="347"/>
      <c r="DO432" s="347"/>
      <c r="DP432" s="2505"/>
      <c r="DT432" s="663"/>
      <c r="DU432" s="663"/>
      <c r="DV432" s="663"/>
      <c r="DW432" s="663"/>
      <c r="DX432" s="663"/>
      <c r="DY432" s="663"/>
      <c r="DZ432" s="663"/>
      <c r="EA432" s="663"/>
      <c r="EB432" s="663"/>
      <c r="EC432" s="663"/>
      <c r="ED432" s="663"/>
    </row>
    <row r="433" spans="6:134">
      <c r="F433" s="345">
        <v>53.02</v>
      </c>
      <c r="G433" s="345" t="s">
        <v>352</v>
      </c>
      <c r="L433" s="347">
        <v>23</v>
      </c>
      <c r="M433" s="347" t="s">
        <v>323</v>
      </c>
      <c r="V433" s="345">
        <v>122</v>
      </c>
      <c r="W433" s="345" t="s">
        <v>323</v>
      </c>
      <c r="AB433" s="347">
        <v>38</v>
      </c>
      <c r="AC433" s="347" t="s">
        <v>361</v>
      </c>
      <c r="AD433" s="1138"/>
      <c r="AJ433" s="345">
        <v>20.010000000000002</v>
      </c>
      <c r="AK433" s="345" t="s">
        <v>352</v>
      </c>
      <c r="AP433" s="347">
        <v>4516.0600000000004</v>
      </c>
      <c r="AQ433" s="347" t="s">
        <v>316</v>
      </c>
      <c r="AU433" s="348" t="str">
        <f t="array" ref="AU433">IFERROR(IF($AU$11="Yes",INDEX($AP$13:$AP$2950,SMALL(IF((County=$AQ$13:$AQ$2950),MATCH(ROW($AQ$13:$AQ$2950),ROW($AQ$13:$AQ$2950)),""),ROWS($A$13:$A433))),""),"")</f>
        <v/>
      </c>
      <c r="AZ433" s="345">
        <v>108.2</v>
      </c>
      <c r="BA433" s="345" t="s">
        <v>337</v>
      </c>
      <c r="BF433" s="347">
        <v>24.14</v>
      </c>
      <c r="BG433" s="347" t="s">
        <v>345</v>
      </c>
      <c r="BH433" s="1790"/>
      <c r="BI433" s="1793"/>
      <c r="BJ433" s="1329"/>
      <c r="BN433" s="345">
        <v>429</v>
      </c>
      <c r="BO433" s="345" t="s">
        <v>310</v>
      </c>
      <c r="BT433" s="347">
        <v>4516.0600000000004</v>
      </c>
      <c r="BU433" s="347" t="s">
        <v>316</v>
      </c>
      <c r="BW433" s="348" t="str">
        <f t="array" ref="BW433">IFERROR(IF($BW$11="Metro",INDEX($BN$13:$BN$4972,SMALL(IF((County=$BO$13:$BO$4972),MATCH(ROW($BO$13:$BO$4972),ROW($BO$13:$BO$4972)),""),ROWS($A$13:$A433))),INDEX($BQ$13:$BQ$212,SMALL(IF((County=$BR$13:$BR$212),MATCH(ROW($BR$13:$BR$212),ROW($BR$13:$BR$212)),""),ROWS($A$13:$A433)))),"")</f>
        <v/>
      </c>
      <c r="BY433" s="348" t="str">
        <f t="array" ref="BY433">IFERROR(IF($BY$11="Yes",INDEX($BT$13:$BT$2950,SMALL(IF((County=$BU$13:$BU$2950),MATCH(ROW($BU$13:$BU$2950),ROW($BU$13:$BU$2950)),""),ROWS($A$13:$A433))),""),"")</f>
        <v/>
      </c>
      <c r="CD433" s="237">
        <v>12</v>
      </c>
      <c r="CE433" s="237" t="s">
        <v>337</v>
      </c>
      <c r="CJ433" s="347">
        <v>24.15</v>
      </c>
      <c r="CK433" s="347" t="s">
        <v>345</v>
      </c>
      <c r="CL433" s="1789"/>
      <c r="CM433" s="2299"/>
      <c r="CN433" s="345"/>
      <c r="CR433" s="345"/>
      <c r="CS433" s="345"/>
      <c r="CX433" s="347"/>
      <c r="CY433" s="347"/>
      <c r="DA433" s="348"/>
      <c r="DC433" s="348"/>
      <c r="DE433" s="1792"/>
      <c r="DF433" s="345"/>
      <c r="DH433" s="237"/>
      <c r="DI433" s="237"/>
      <c r="DN433" s="347"/>
      <c r="DO433" s="347"/>
      <c r="DP433" s="2505"/>
      <c r="DT433" s="663"/>
      <c r="DU433" s="663"/>
      <c r="DV433" s="663"/>
      <c r="DW433" s="663"/>
      <c r="DX433" s="663"/>
      <c r="DY433" s="663"/>
      <c r="DZ433" s="663"/>
      <c r="EA433" s="663"/>
      <c r="EB433" s="663"/>
      <c r="EC433" s="663"/>
      <c r="ED433" s="663"/>
    </row>
    <row r="434" spans="6:134">
      <c r="F434" s="345">
        <v>53.03</v>
      </c>
      <c r="G434" s="345" t="s">
        <v>352</v>
      </c>
      <c r="L434" s="347">
        <v>24</v>
      </c>
      <c r="M434" s="347" t="s">
        <v>323</v>
      </c>
      <c r="V434" s="345">
        <v>122.01</v>
      </c>
      <c r="W434" s="345" t="s">
        <v>359</v>
      </c>
      <c r="AB434" s="347">
        <v>38.01</v>
      </c>
      <c r="AC434" s="347" t="s">
        <v>352</v>
      </c>
      <c r="AD434" s="1138"/>
      <c r="AJ434" s="345">
        <v>20.03</v>
      </c>
      <c r="AK434" s="345" t="s">
        <v>352</v>
      </c>
      <c r="AP434" s="347">
        <v>4517.01</v>
      </c>
      <c r="AQ434" s="347" t="s">
        <v>316</v>
      </c>
      <c r="AU434" s="348" t="str">
        <f t="array" ref="AU434">IFERROR(IF($AU$11="Yes",INDEX($AP$13:$AP$2950,SMALL(IF((County=$AQ$13:$AQ$2950),MATCH(ROW($AQ$13:$AQ$2950),ROW($AQ$13:$AQ$2950)),""),ROWS($A$13:$A434))),""),"")</f>
        <v/>
      </c>
      <c r="AZ434" s="345">
        <v>108.21</v>
      </c>
      <c r="BA434" s="345" t="s">
        <v>337</v>
      </c>
      <c r="BF434" s="347">
        <v>24.15</v>
      </c>
      <c r="BG434" s="347" t="s">
        <v>345</v>
      </c>
      <c r="BH434" s="1790"/>
      <c r="BI434" s="1793"/>
      <c r="BJ434" s="1329"/>
      <c r="BN434" s="345">
        <v>430.01</v>
      </c>
      <c r="BO434" s="345" t="s">
        <v>310</v>
      </c>
      <c r="BT434" s="347">
        <v>4517.01</v>
      </c>
      <c r="BU434" s="347" t="s">
        <v>316</v>
      </c>
      <c r="BW434" s="348" t="str">
        <f t="array" ref="BW434">IFERROR(IF($BW$11="Metro",INDEX($BN$13:$BN$4972,SMALL(IF((County=$BO$13:$BO$4972),MATCH(ROW($BO$13:$BO$4972),ROW($BO$13:$BO$4972)),""),ROWS($A$13:$A434))),INDEX($BQ$13:$BQ$212,SMALL(IF((County=$BR$13:$BR$212),MATCH(ROW($BR$13:$BR$212),ROW($BR$13:$BR$212)),""),ROWS($A$13:$A434)))),"")</f>
        <v/>
      </c>
      <c r="BY434" s="348" t="str">
        <f t="array" ref="BY434">IFERROR(IF($BY$11="Yes",INDEX($BT$13:$BT$2950,SMALL(IF((County=$BU$13:$BU$2950),MATCH(ROW($BU$13:$BU$2950),ROW($BU$13:$BU$2950)),""),ROWS($A$13:$A434))),""),"")</f>
        <v/>
      </c>
      <c r="CD434" s="237">
        <v>12</v>
      </c>
      <c r="CE434" s="237" t="s">
        <v>345</v>
      </c>
      <c r="CJ434" s="347">
        <v>24.16</v>
      </c>
      <c r="CK434" s="347" t="s">
        <v>345</v>
      </c>
      <c r="CL434" s="1789"/>
      <c r="CM434" s="2299"/>
      <c r="CN434" s="345"/>
      <c r="CR434" s="345"/>
      <c r="CS434" s="345"/>
      <c r="CX434" s="347"/>
      <c r="CY434" s="347"/>
      <c r="DA434" s="348"/>
      <c r="DC434" s="348"/>
      <c r="DE434" s="1792"/>
      <c r="DF434" s="345"/>
      <c r="DH434" s="237"/>
      <c r="DI434" s="237"/>
      <c r="DN434" s="347"/>
      <c r="DO434" s="347"/>
      <c r="DP434" s="2505"/>
      <c r="DT434" s="663"/>
      <c r="DU434" s="663"/>
      <c r="DV434" s="663"/>
      <c r="DW434" s="663"/>
      <c r="DX434" s="663"/>
      <c r="DY434" s="663"/>
      <c r="DZ434" s="663"/>
      <c r="EA434" s="663"/>
      <c r="EB434" s="663"/>
      <c r="EC434" s="663"/>
      <c r="ED434" s="663"/>
    </row>
    <row r="435" spans="6:134">
      <c r="F435" s="345">
        <v>53.04</v>
      </c>
      <c r="G435" s="345" t="s">
        <v>352</v>
      </c>
      <c r="L435" s="347">
        <v>25.02</v>
      </c>
      <c r="M435" s="347" t="s">
        <v>323</v>
      </c>
      <c r="V435" s="345">
        <v>122.02</v>
      </c>
      <c r="W435" s="345" t="s">
        <v>359</v>
      </c>
      <c r="AB435" s="347">
        <v>38.03</v>
      </c>
      <c r="AC435" s="347" t="s">
        <v>352</v>
      </c>
      <c r="AD435" s="1138"/>
      <c r="AJ435" s="345">
        <v>20.04</v>
      </c>
      <c r="AK435" s="345" t="s">
        <v>352</v>
      </c>
      <c r="AP435" s="347">
        <v>302.04000000000002</v>
      </c>
      <c r="AQ435" s="347" t="s">
        <v>317</v>
      </c>
      <c r="AU435" s="348" t="str">
        <f t="array" ref="AU435">IFERROR(IF($AU$11="Yes",INDEX($AP$13:$AP$2950,SMALL(IF((County=$AQ$13:$AQ$2950),MATCH(ROW($AQ$13:$AQ$2950),ROW($AQ$13:$AQ$2950)),""),ROWS($A$13:$A435))),""),"")</f>
        <v/>
      </c>
      <c r="AZ435" s="345">
        <v>108.22</v>
      </c>
      <c r="BA435" s="345" t="s">
        <v>337</v>
      </c>
      <c r="BF435" s="347">
        <v>24.16</v>
      </c>
      <c r="BG435" s="347" t="s">
        <v>345</v>
      </c>
      <c r="BH435" s="1790"/>
      <c r="BI435" s="1793"/>
      <c r="BJ435" s="1329"/>
      <c r="BN435" s="345">
        <v>430.02</v>
      </c>
      <c r="BO435" s="345" t="s">
        <v>310</v>
      </c>
      <c r="BT435" s="347">
        <v>301.04000000000002</v>
      </c>
      <c r="BU435" s="347" t="s">
        <v>317</v>
      </c>
      <c r="BW435" s="348" t="str">
        <f t="array" ref="BW435">IFERROR(IF($BW$11="Metro",INDEX($BN$13:$BN$4972,SMALL(IF((County=$BO$13:$BO$4972),MATCH(ROW($BO$13:$BO$4972),ROW($BO$13:$BO$4972)),""),ROWS($A$13:$A435))),INDEX($BQ$13:$BQ$212,SMALL(IF((County=$BR$13:$BR$212),MATCH(ROW($BR$13:$BR$212),ROW($BR$13:$BR$212)),""),ROWS($A$13:$A435)))),"")</f>
        <v/>
      </c>
      <c r="BY435" s="348" t="str">
        <f t="array" ref="BY435">IFERROR(IF($BY$11="Yes",INDEX($BT$13:$BT$2950,SMALL(IF((County=$BU$13:$BU$2950),MATCH(ROW($BU$13:$BU$2950),ROW($BU$13:$BU$2950)),""),ROWS($A$13:$A435))),""),"")</f>
        <v/>
      </c>
      <c r="CD435" s="237">
        <v>12</v>
      </c>
      <c r="CE435" s="237" t="s">
        <v>351</v>
      </c>
      <c r="CJ435" s="347">
        <v>24.18</v>
      </c>
      <c r="CK435" s="347" t="s">
        <v>345</v>
      </c>
      <c r="CL435" s="1789"/>
      <c r="CM435" s="2299"/>
      <c r="CN435" s="345"/>
      <c r="CR435" s="345"/>
      <c r="CS435" s="345"/>
      <c r="CX435" s="347"/>
      <c r="CY435" s="347"/>
      <c r="DA435" s="348"/>
      <c r="DC435" s="348"/>
      <c r="DE435" s="1792"/>
      <c r="DF435" s="345"/>
      <c r="DH435" s="237"/>
      <c r="DI435" s="237"/>
      <c r="DN435" s="347"/>
      <c r="DO435" s="347"/>
      <c r="DP435" s="2505"/>
      <c r="DT435" s="663"/>
      <c r="DU435" s="663"/>
      <c r="DV435" s="663"/>
      <c r="DW435" s="663"/>
      <c r="DX435" s="663"/>
      <c r="DY435" s="663"/>
      <c r="DZ435" s="663"/>
      <c r="EA435" s="663"/>
      <c r="EB435" s="663"/>
      <c r="EC435" s="663"/>
      <c r="ED435" s="663"/>
    </row>
    <row r="436" spans="6:134">
      <c r="F436" s="345">
        <v>54.03</v>
      </c>
      <c r="G436" s="345" t="s">
        <v>352</v>
      </c>
      <c r="L436" s="347">
        <v>101.02</v>
      </c>
      <c r="M436" s="347" t="s">
        <v>323</v>
      </c>
      <c r="V436" s="345">
        <v>122.11</v>
      </c>
      <c r="W436" s="345" t="s">
        <v>337</v>
      </c>
      <c r="AB436" s="347">
        <v>38.04</v>
      </c>
      <c r="AC436" s="347" t="s">
        <v>352</v>
      </c>
      <c r="AD436" s="1138"/>
      <c r="AJ436" s="345">
        <v>22.02</v>
      </c>
      <c r="AK436" s="345" t="s">
        <v>352</v>
      </c>
      <c r="AP436" s="347">
        <v>302.05</v>
      </c>
      <c r="AQ436" s="347" t="s">
        <v>317</v>
      </c>
      <c r="AU436" s="348" t="str">
        <f t="array" ref="AU436">IFERROR(IF($AU$11="Yes",INDEX($AP$13:$AP$2950,SMALL(IF((County=$AQ$13:$AQ$2950),MATCH(ROW($AQ$13:$AQ$2950),ROW($AQ$13:$AQ$2950)),""),ROWS($A$13:$A436))),""),"")</f>
        <v/>
      </c>
      <c r="AZ436" s="345">
        <v>108.23</v>
      </c>
      <c r="BA436" s="345" t="s">
        <v>337</v>
      </c>
      <c r="BF436" s="347">
        <v>24.18</v>
      </c>
      <c r="BG436" s="347" t="s">
        <v>345</v>
      </c>
      <c r="BH436" s="1790"/>
      <c r="BI436" s="1793"/>
      <c r="BJ436" s="1329"/>
      <c r="BN436" s="345">
        <v>431</v>
      </c>
      <c r="BO436" s="345" t="s">
        <v>310</v>
      </c>
      <c r="BT436" s="347">
        <v>302.04000000000002</v>
      </c>
      <c r="BU436" s="347" t="s">
        <v>317</v>
      </c>
      <c r="BW436" s="348" t="str">
        <f t="array" ref="BW436">IFERROR(IF($BW$11="Metro",INDEX($BN$13:$BN$4972,SMALL(IF((County=$BO$13:$BO$4972),MATCH(ROW($BO$13:$BO$4972),ROW($BO$13:$BO$4972)),""),ROWS($A$13:$A436))),INDEX($BQ$13:$BQ$212,SMALL(IF((County=$BR$13:$BR$212),MATCH(ROW($BR$13:$BR$212),ROW($BR$13:$BR$212)),""),ROWS($A$13:$A436)))),"")</f>
        <v/>
      </c>
      <c r="BY436" s="348" t="str">
        <f t="array" ref="BY436">IFERROR(IF($BY$11="Yes",INDEX($BT$13:$BT$2950,SMALL(IF((County=$BU$13:$BU$2950),MATCH(ROW($BU$13:$BU$2950),ROW($BU$13:$BU$2950)),""),ROWS($A$13:$A436))),""),"")</f>
        <v/>
      </c>
      <c r="CD436" s="237">
        <v>12</v>
      </c>
      <c r="CE436" s="237" t="s">
        <v>361</v>
      </c>
      <c r="CJ436" s="347">
        <v>24.19</v>
      </c>
      <c r="CK436" s="347" t="s">
        <v>345</v>
      </c>
      <c r="CL436" s="1789"/>
      <c r="CM436" s="2299"/>
      <c r="CN436" s="345"/>
      <c r="CR436" s="345"/>
      <c r="CS436" s="345"/>
      <c r="CX436" s="347"/>
      <c r="CY436" s="347"/>
      <c r="DA436" s="348"/>
      <c r="DC436" s="348"/>
      <c r="DE436" s="1792"/>
      <c r="DF436" s="345"/>
      <c r="DH436" s="237"/>
      <c r="DI436" s="237"/>
      <c r="DN436" s="347"/>
      <c r="DO436" s="347"/>
      <c r="DP436" s="2505"/>
      <c r="DT436" s="663"/>
      <c r="DU436" s="663"/>
      <c r="DV436" s="663"/>
      <c r="DW436" s="663"/>
      <c r="DX436" s="663"/>
      <c r="DY436" s="663"/>
      <c r="DZ436" s="663"/>
      <c r="EA436" s="663"/>
      <c r="EB436" s="663"/>
      <c r="EC436" s="663"/>
      <c r="ED436" s="663"/>
    </row>
    <row r="437" spans="6:134">
      <c r="F437" s="345">
        <v>54.05</v>
      </c>
      <c r="G437" s="345" t="s">
        <v>352</v>
      </c>
      <c r="L437" s="347">
        <v>101.03</v>
      </c>
      <c r="M437" s="347" t="s">
        <v>323</v>
      </c>
      <c r="V437" s="345">
        <v>122.12</v>
      </c>
      <c r="W437" s="345" t="s">
        <v>337</v>
      </c>
      <c r="AB437" s="347">
        <v>39</v>
      </c>
      <c r="AC437" s="347" t="s">
        <v>325</v>
      </c>
      <c r="AD437" s="1138"/>
      <c r="AJ437" s="345">
        <v>23</v>
      </c>
      <c r="AK437" s="345" t="s">
        <v>352</v>
      </c>
      <c r="AP437" s="347">
        <v>302.06</v>
      </c>
      <c r="AQ437" s="347" t="s">
        <v>317</v>
      </c>
      <c r="AU437" s="348" t="str">
        <f t="array" ref="AU437">IFERROR(IF($AU$11="Yes",INDEX($AP$13:$AP$2950,SMALL(IF((County=$AQ$13:$AQ$2950),MATCH(ROW($AQ$13:$AQ$2950),ROW($AQ$13:$AQ$2950)),""),ROWS($A$13:$A437))),""),"")</f>
        <v/>
      </c>
      <c r="AZ437" s="345">
        <v>108.24</v>
      </c>
      <c r="BA437" s="345" t="s">
        <v>337</v>
      </c>
      <c r="BF437" s="347">
        <v>24.19</v>
      </c>
      <c r="BG437" s="347" t="s">
        <v>345</v>
      </c>
      <c r="BH437" s="1790"/>
      <c r="BI437" s="1793"/>
      <c r="BJ437" s="1329"/>
      <c r="BN437" s="345">
        <v>433.01</v>
      </c>
      <c r="BO437" s="345" t="s">
        <v>310</v>
      </c>
      <c r="BT437" s="347">
        <v>302.05</v>
      </c>
      <c r="BU437" s="347" t="s">
        <v>317</v>
      </c>
      <c r="BW437" s="348" t="str">
        <f t="array" ref="BW437">IFERROR(IF($BW$11="Metro",INDEX($BN$13:$BN$4972,SMALL(IF((County=$BO$13:$BO$4972),MATCH(ROW($BO$13:$BO$4972),ROW($BO$13:$BO$4972)),""),ROWS($A$13:$A437))),INDEX($BQ$13:$BQ$212,SMALL(IF((County=$BR$13:$BR$212),MATCH(ROW($BR$13:$BR$212),ROW($BR$13:$BR$212)),""),ROWS($A$13:$A437)))),"")</f>
        <v/>
      </c>
      <c r="BY437" s="348" t="str">
        <f t="array" ref="BY437">IFERROR(IF($BY$11="Yes",INDEX($BT$13:$BT$2950,SMALL(IF((County=$BU$13:$BU$2950),MATCH(ROW($BU$13:$BU$2950),ROW($BU$13:$BU$2950)),""),ROWS($A$13:$A437))),""),"")</f>
        <v/>
      </c>
      <c r="CD437" s="345">
        <v>12.01</v>
      </c>
      <c r="CE437" s="345" t="s">
        <v>297</v>
      </c>
      <c r="CJ437" s="347">
        <v>24.2</v>
      </c>
      <c r="CK437" s="347" t="s">
        <v>345</v>
      </c>
      <c r="CL437" s="1789"/>
      <c r="CM437" s="2299"/>
      <c r="CN437" s="345"/>
      <c r="CR437" s="345"/>
      <c r="CS437" s="345"/>
      <c r="CX437" s="347"/>
      <c r="CY437" s="347"/>
      <c r="DA437" s="348"/>
      <c r="DC437" s="348"/>
      <c r="DE437" s="1792"/>
      <c r="DF437" s="345"/>
      <c r="DH437" s="237"/>
      <c r="DI437" s="237"/>
      <c r="DN437" s="347"/>
      <c r="DO437" s="347"/>
      <c r="DP437" s="2505"/>
      <c r="DT437" s="663"/>
      <c r="DU437" s="663"/>
      <c r="DV437" s="663"/>
      <c r="DW437" s="663"/>
      <c r="DX437" s="663"/>
      <c r="DY437" s="663"/>
      <c r="DZ437" s="663"/>
      <c r="EA437" s="663"/>
      <c r="EB437" s="663"/>
      <c r="EC437" s="663"/>
      <c r="ED437" s="663"/>
    </row>
    <row r="438" spans="6:134">
      <c r="F438" s="345">
        <v>54.06</v>
      </c>
      <c r="G438" s="345" t="s">
        <v>352</v>
      </c>
      <c r="L438" s="347">
        <v>102.02</v>
      </c>
      <c r="M438" s="347" t="s">
        <v>323</v>
      </c>
      <c r="V438" s="345">
        <v>123.05</v>
      </c>
      <c r="W438" s="345" t="s">
        <v>359</v>
      </c>
      <c r="AB438" s="347">
        <v>39.06</v>
      </c>
      <c r="AC438" s="347" t="s">
        <v>352</v>
      </c>
      <c r="AD438" s="1138"/>
      <c r="AJ438" s="345">
        <v>24.02</v>
      </c>
      <c r="AK438" s="345" t="s">
        <v>352</v>
      </c>
      <c r="AP438" s="347">
        <v>302.07</v>
      </c>
      <c r="AQ438" s="347" t="s">
        <v>317</v>
      </c>
      <c r="AU438" s="348" t="str">
        <f t="array" ref="AU438">IFERROR(IF($AU$11="Yes",INDEX($AP$13:$AP$2950,SMALL(IF((County=$AQ$13:$AQ$2950),MATCH(ROW($AQ$13:$AQ$2950),ROW($AQ$13:$AQ$2950)),""),ROWS($A$13:$A438))),""),"")</f>
        <v/>
      </c>
      <c r="AZ438" s="345">
        <v>109</v>
      </c>
      <c r="BA438" s="345" t="s">
        <v>352</v>
      </c>
      <c r="BF438" s="347">
        <v>24.2</v>
      </c>
      <c r="BG438" s="347" t="s">
        <v>345</v>
      </c>
      <c r="BH438" s="1790"/>
      <c r="BI438" s="1793"/>
      <c r="BJ438" s="1329"/>
      <c r="BN438" s="345">
        <v>433.02</v>
      </c>
      <c r="BO438" s="345" t="s">
        <v>310</v>
      </c>
      <c r="BT438" s="347">
        <v>302.06</v>
      </c>
      <c r="BU438" s="347" t="s">
        <v>317</v>
      </c>
      <c r="BW438" s="348" t="str">
        <f t="array" ref="BW438">IFERROR(IF($BW$11="Metro",INDEX($BN$13:$BN$4972,SMALL(IF((County=$BO$13:$BO$4972),MATCH(ROW($BO$13:$BO$4972),ROW($BO$13:$BO$4972)),""),ROWS($A$13:$A438))),INDEX($BQ$13:$BQ$212,SMALL(IF((County=$BR$13:$BR$212),MATCH(ROW($BR$13:$BR$212),ROW($BR$13:$BR$212)),""),ROWS($A$13:$A438)))),"")</f>
        <v/>
      </c>
      <c r="BY438" s="348" t="str">
        <f t="array" ref="BY438">IFERROR(IF($BY$11="Yes",INDEX($BT$13:$BT$2950,SMALL(IF((County=$BU$13:$BU$2950),MATCH(ROW($BU$13:$BU$2950),ROW($BU$13:$BU$2950)),""),ROWS($A$13:$A438))),""),"")</f>
        <v/>
      </c>
      <c r="CD438" s="237">
        <v>12.01</v>
      </c>
      <c r="CE438" s="237" t="s">
        <v>325</v>
      </c>
      <c r="CJ438" s="347">
        <v>24.21</v>
      </c>
      <c r="CK438" s="347" t="s">
        <v>345</v>
      </c>
      <c r="CL438" s="1789"/>
      <c r="CM438" s="2299"/>
      <c r="CN438" s="345"/>
      <c r="CR438" s="345"/>
      <c r="CS438" s="345"/>
      <c r="CX438" s="347"/>
      <c r="CY438" s="347"/>
      <c r="DA438" s="348"/>
      <c r="DC438" s="348"/>
      <c r="DE438" s="1792"/>
      <c r="DF438" s="345"/>
      <c r="DH438" s="237"/>
      <c r="DI438" s="237"/>
      <c r="DN438" s="347"/>
      <c r="DO438" s="347"/>
      <c r="DP438" s="2505"/>
      <c r="DT438" s="663"/>
      <c r="DU438" s="663"/>
      <c r="DV438" s="663"/>
      <c r="DW438" s="663"/>
      <c r="DX438" s="663"/>
      <c r="DY438" s="663"/>
      <c r="DZ438" s="663"/>
      <c r="EA438" s="663"/>
      <c r="EB438" s="663"/>
      <c r="EC438" s="663"/>
      <c r="ED438" s="663"/>
    </row>
    <row r="439" spans="6:134">
      <c r="F439" s="345">
        <v>54.09</v>
      </c>
      <c r="G439" s="345" t="s">
        <v>352</v>
      </c>
      <c r="L439" s="347">
        <v>103.04</v>
      </c>
      <c r="M439" s="347" t="s">
        <v>323</v>
      </c>
      <c r="V439" s="345">
        <v>123.07</v>
      </c>
      <c r="W439" s="345" t="s">
        <v>359</v>
      </c>
      <c r="AB439" s="347">
        <v>39.119999999999997</v>
      </c>
      <c r="AC439" s="347" t="s">
        <v>352</v>
      </c>
      <c r="AD439" s="1138"/>
      <c r="AJ439" s="345">
        <v>24.03</v>
      </c>
      <c r="AK439" s="345" t="s">
        <v>352</v>
      </c>
      <c r="AP439" s="347">
        <v>302.10000000000002</v>
      </c>
      <c r="AQ439" s="347" t="s">
        <v>317</v>
      </c>
      <c r="AU439" s="348" t="str">
        <f t="array" ref="AU439">IFERROR(IF($AU$11="Yes",INDEX($AP$13:$AP$2950,SMALL(IF((County=$AQ$13:$AQ$2950),MATCH(ROW($AQ$13:$AQ$2950),ROW($AQ$13:$AQ$2950)),""),ROWS($A$13:$A439))),""),"")</f>
        <v/>
      </c>
      <c r="AZ439" s="345">
        <v>109</v>
      </c>
      <c r="BA439" s="345" t="s">
        <v>365</v>
      </c>
      <c r="BF439" s="347">
        <v>24.21</v>
      </c>
      <c r="BG439" s="347" t="s">
        <v>345</v>
      </c>
      <c r="BH439" s="1790"/>
      <c r="BI439" s="1793"/>
      <c r="BJ439" s="1329"/>
      <c r="BN439" s="345">
        <v>501</v>
      </c>
      <c r="BO439" s="345" t="s">
        <v>310</v>
      </c>
      <c r="BT439" s="347">
        <v>302.07</v>
      </c>
      <c r="BU439" s="347" t="s">
        <v>317</v>
      </c>
      <c r="BW439" s="348" t="str">
        <f t="array" ref="BW439">IFERROR(IF($BW$11="Metro",INDEX($BN$13:$BN$4972,SMALL(IF((County=$BO$13:$BO$4972),MATCH(ROW($BO$13:$BO$4972),ROW($BO$13:$BO$4972)),""),ROWS($A$13:$A439))),INDEX($BQ$13:$BQ$212,SMALL(IF((County=$BR$13:$BR$212),MATCH(ROW($BR$13:$BR$212),ROW($BR$13:$BR$212)),""),ROWS($A$13:$A439)))),"")</f>
        <v/>
      </c>
      <c r="BY439" s="348" t="str">
        <f t="array" ref="BY439">IFERROR(IF($BY$11="Yes",INDEX($BT$13:$BT$2950,SMALL(IF((County=$BU$13:$BU$2950),MATCH(ROW($BU$13:$BU$2950),ROW($BU$13:$BU$2950)),""),ROWS($A$13:$A439))),""),"")</f>
        <v/>
      </c>
      <c r="CD439" s="345">
        <v>12.02</v>
      </c>
      <c r="CE439" s="345" t="s">
        <v>297</v>
      </c>
      <c r="CJ439" s="347">
        <v>24.22</v>
      </c>
      <c r="CK439" s="347" t="s">
        <v>345</v>
      </c>
      <c r="CL439" s="1789"/>
      <c r="CM439" s="2299"/>
      <c r="CN439" s="345"/>
      <c r="CR439" s="345"/>
      <c r="CS439" s="345"/>
      <c r="CX439" s="347"/>
      <c r="CY439" s="347"/>
      <c r="DA439" s="348"/>
      <c r="DC439" s="348"/>
      <c r="DE439" s="1792"/>
      <c r="DF439" s="345"/>
      <c r="DH439" s="237"/>
      <c r="DI439" s="237"/>
      <c r="DN439" s="347"/>
      <c r="DO439" s="347"/>
      <c r="DP439" s="2505"/>
      <c r="DT439" s="663"/>
      <c r="DU439" s="663"/>
      <c r="DV439" s="663"/>
      <c r="DW439" s="663"/>
      <c r="DX439" s="663"/>
      <c r="DY439" s="663"/>
      <c r="DZ439" s="663"/>
      <c r="EA439" s="663"/>
      <c r="EB439" s="663"/>
      <c r="EC439" s="663"/>
      <c r="ED439" s="663"/>
    </row>
    <row r="440" spans="6:134">
      <c r="F440" s="345">
        <v>54.1</v>
      </c>
      <c r="G440" s="345" t="s">
        <v>352</v>
      </c>
      <c r="L440" s="347">
        <v>106</v>
      </c>
      <c r="M440" s="347" t="s">
        <v>323</v>
      </c>
      <c r="V440" s="345">
        <v>123.07</v>
      </c>
      <c r="W440" s="345" t="s">
        <v>365</v>
      </c>
      <c r="AB440" s="347">
        <v>39.130000000000003</v>
      </c>
      <c r="AC440" s="347" t="s">
        <v>352</v>
      </c>
      <c r="AD440" s="1138"/>
      <c r="AJ440" s="345">
        <v>24.04</v>
      </c>
      <c r="AK440" s="345" t="s">
        <v>352</v>
      </c>
      <c r="AP440" s="347">
        <v>303.06</v>
      </c>
      <c r="AQ440" s="347" t="s">
        <v>317</v>
      </c>
      <c r="AU440" s="348" t="str">
        <f t="array" ref="AU440">IFERROR(IF($AU$11="Yes",INDEX($AP$13:$AP$2950,SMALL(IF((County=$AQ$13:$AQ$2950),MATCH(ROW($AQ$13:$AQ$2950),ROW($AQ$13:$AQ$2950)),""),ROWS($A$13:$A440))),""),"")</f>
        <v/>
      </c>
      <c r="AZ440" s="345">
        <v>110</v>
      </c>
      <c r="BA440" s="345" t="s">
        <v>323</v>
      </c>
      <c r="BF440" s="347">
        <v>24.22</v>
      </c>
      <c r="BG440" s="347" t="s">
        <v>345</v>
      </c>
      <c r="BH440" s="1790"/>
      <c r="BI440" s="1793"/>
      <c r="BJ440" s="1329"/>
      <c r="BN440" s="345">
        <v>502.04</v>
      </c>
      <c r="BO440" s="345" t="s">
        <v>310</v>
      </c>
      <c r="BT440" s="347">
        <v>302.08</v>
      </c>
      <c r="BU440" s="347" t="s">
        <v>317</v>
      </c>
      <c r="BW440" s="348" t="str">
        <f t="array" ref="BW440">IFERROR(IF($BW$11="Metro",INDEX($BN$13:$BN$4972,SMALL(IF((County=$BO$13:$BO$4972),MATCH(ROW($BO$13:$BO$4972),ROW($BO$13:$BO$4972)),""),ROWS($A$13:$A440))),INDEX($BQ$13:$BQ$212,SMALL(IF((County=$BR$13:$BR$212),MATCH(ROW($BR$13:$BR$212),ROW($BR$13:$BR$212)),""),ROWS($A$13:$A440)))),"")</f>
        <v/>
      </c>
      <c r="BY440" s="348" t="str">
        <f t="array" ref="BY440">IFERROR(IF($BY$11="Yes",INDEX($BT$13:$BT$2950,SMALL(IF((County=$BU$13:$BU$2950),MATCH(ROW($BU$13:$BU$2950),ROW($BU$13:$BU$2950)),""),ROWS($A$13:$A440))),""),"")</f>
        <v/>
      </c>
      <c r="CD440" s="237">
        <v>12.02</v>
      </c>
      <c r="CE440" s="237" t="s">
        <v>325</v>
      </c>
      <c r="CJ440" s="347">
        <v>24.23</v>
      </c>
      <c r="CK440" s="347" t="s">
        <v>345</v>
      </c>
      <c r="CL440" s="1789"/>
      <c r="CM440" s="2299"/>
      <c r="CN440" s="345"/>
      <c r="CR440" s="345"/>
      <c r="CS440" s="345"/>
      <c r="CX440" s="347"/>
      <c r="CY440" s="347"/>
      <c r="DA440" s="348"/>
      <c r="DC440" s="348"/>
      <c r="DE440" s="1792"/>
      <c r="DF440" s="345"/>
      <c r="DH440" s="237"/>
      <c r="DI440" s="237"/>
      <c r="DN440" s="347"/>
      <c r="DO440" s="347"/>
      <c r="DP440" s="2505"/>
      <c r="DT440" s="663"/>
      <c r="DU440" s="663"/>
      <c r="DV440" s="663"/>
      <c r="DW440" s="663"/>
      <c r="DX440" s="663"/>
      <c r="DY440" s="663"/>
      <c r="DZ440" s="663"/>
      <c r="EA440" s="663"/>
      <c r="EB440" s="663"/>
      <c r="EC440" s="663"/>
      <c r="ED440" s="663"/>
    </row>
    <row r="441" spans="6:134">
      <c r="F441" s="345">
        <v>55.02</v>
      </c>
      <c r="G441" s="345" t="s">
        <v>352</v>
      </c>
      <c r="L441" s="347">
        <v>119.03</v>
      </c>
      <c r="M441" s="347" t="s">
        <v>323</v>
      </c>
      <c r="V441" s="345">
        <v>124.01</v>
      </c>
      <c r="W441" s="345" t="s">
        <v>337</v>
      </c>
      <c r="AB441" s="347">
        <v>39.14</v>
      </c>
      <c r="AC441" s="347" t="s">
        <v>352</v>
      </c>
      <c r="AD441" s="1138"/>
      <c r="AJ441" s="345">
        <v>25.01</v>
      </c>
      <c r="AK441" s="345" t="s">
        <v>352</v>
      </c>
      <c r="AP441" s="347">
        <v>306</v>
      </c>
      <c r="AQ441" s="347" t="s">
        <v>317</v>
      </c>
      <c r="AU441" s="348" t="str">
        <f t="array" ref="AU441">IFERROR(IF($AU$11="Yes",INDEX($AP$13:$AP$2950,SMALL(IF((County=$AQ$13:$AQ$2950),MATCH(ROW($AQ$13:$AQ$2950),ROW($AQ$13:$AQ$2950)),""),ROWS($A$13:$A441))),""),"")</f>
        <v/>
      </c>
      <c r="AZ441" s="345">
        <v>110</v>
      </c>
      <c r="BA441" s="345" t="s">
        <v>359</v>
      </c>
      <c r="BF441" s="347">
        <v>24.23</v>
      </c>
      <c r="BG441" s="347" t="s">
        <v>345</v>
      </c>
      <c r="BH441" s="1790"/>
      <c r="BI441" s="1793"/>
      <c r="BJ441" s="1329"/>
      <c r="BN441" s="345">
        <v>502.05</v>
      </c>
      <c r="BO441" s="345" t="s">
        <v>310</v>
      </c>
      <c r="BT441" s="347">
        <v>302.08999999999997</v>
      </c>
      <c r="BU441" s="347" t="s">
        <v>317</v>
      </c>
      <c r="BW441" s="348" t="str">
        <f t="array" ref="BW441">IFERROR(IF($BW$11="Metro",INDEX($BN$13:$BN$4972,SMALL(IF((County=$BO$13:$BO$4972),MATCH(ROW($BO$13:$BO$4972),ROW($BO$13:$BO$4972)),""),ROWS($A$13:$A441))),INDEX($BQ$13:$BQ$212,SMALL(IF((County=$BR$13:$BR$212),MATCH(ROW($BR$13:$BR$212),ROW($BR$13:$BR$212)),""),ROWS($A$13:$A441)))),"")</f>
        <v/>
      </c>
      <c r="BY441" s="348" t="str">
        <f t="array" ref="BY441">IFERROR(IF($BY$11="Yes",INDEX($BT$13:$BT$2950,SMALL(IF((County=$BU$13:$BU$2950),MATCH(ROW($BU$13:$BU$2950),ROW($BU$13:$BU$2950)),""),ROWS($A$13:$A441))),""),"")</f>
        <v/>
      </c>
      <c r="CD441" s="237">
        <v>12.02</v>
      </c>
      <c r="CE441" s="237" t="s">
        <v>349</v>
      </c>
      <c r="CJ441" s="347">
        <v>25</v>
      </c>
      <c r="CK441" s="347" t="s">
        <v>306</v>
      </c>
      <c r="CL441" s="1789"/>
      <c r="CM441" s="2299"/>
      <c r="CN441" s="345"/>
      <c r="CR441" s="345"/>
      <c r="CS441" s="345"/>
      <c r="CX441" s="347"/>
      <c r="CY441" s="347"/>
      <c r="DA441" s="348"/>
      <c r="DC441" s="348"/>
      <c r="DE441" s="1792"/>
      <c r="DF441" s="345"/>
      <c r="DH441" s="237"/>
      <c r="DI441" s="237"/>
      <c r="DN441" s="347"/>
      <c r="DO441" s="347"/>
      <c r="DP441" s="2505"/>
      <c r="DT441" s="663"/>
      <c r="DU441" s="663"/>
      <c r="DV441" s="663"/>
      <c r="DW441" s="663"/>
      <c r="DX441" s="663"/>
      <c r="DY441" s="663"/>
      <c r="DZ441" s="663"/>
      <c r="EA441" s="663"/>
      <c r="EB441" s="663"/>
      <c r="EC441" s="663"/>
      <c r="ED441" s="663"/>
    </row>
    <row r="442" spans="6:134">
      <c r="F442" s="345">
        <v>57.01</v>
      </c>
      <c r="G442" s="345" t="s">
        <v>352</v>
      </c>
      <c r="L442" s="347">
        <v>125</v>
      </c>
      <c r="M442" s="347" t="s">
        <v>323</v>
      </c>
      <c r="V442" s="345">
        <v>124.02</v>
      </c>
      <c r="W442" s="345" t="s">
        <v>337</v>
      </c>
      <c r="AB442" s="347">
        <v>39.15</v>
      </c>
      <c r="AC442" s="347" t="s">
        <v>352</v>
      </c>
      <c r="AD442" s="1138"/>
      <c r="AJ442" s="345">
        <v>25.02</v>
      </c>
      <c r="AK442" s="345" t="s">
        <v>352</v>
      </c>
      <c r="AP442" s="347">
        <v>307.01</v>
      </c>
      <c r="AQ442" s="347" t="s">
        <v>317</v>
      </c>
      <c r="AU442" s="348" t="str">
        <f t="array" ref="AU442">IFERROR(IF($AU$11="Yes",INDEX($AP$13:$AP$2950,SMALL(IF((County=$AQ$13:$AQ$2950),MATCH(ROW($AQ$13:$AQ$2950),ROW($AQ$13:$AQ$2950)),""),ROWS($A$13:$A442))),""),"")</f>
        <v/>
      </c>
      <c r="AZ442" s="345">
        <v>110</v>
      </c>
      <c r="BA442" s="345" t="s">
        <v>365</v>
      </c>
      <c r="BF442" s="347">
        <v>25</v>
      </c>
      <c r="BG442" s="347" t="s">
        <v>306</v>
      </c>
      <c r="BH442" s="1790"/>
      <c r="BI442" s="1793"/>
      <c r="BJ442" s="1329"/>
      <c r="BN442" s="345">
        <v>502.06</v>
      </c>
      <c r="BO442" s="345" t="s">
        <v>310</v>
      </c>
      <c r="BT442" s="347">
        <v>302.10000000000002</v>
      </c>
      <c r="BU442" s="347" t="s">
        <v>317</v>
      </c>
      <c r="BW442" s="348" t="str">
        <f t="array" ref="BW442">IFERROR(IF($BW$11="Metro",INDEX($BN$13:$BN$4972,SMALL(IF((County=$BO$13:$BO$4972),MATCH(ROW($BO$13:$BO$4972),ROW($BO$13:$BO$4972)),""),ROWS($A$13:$A442))),INDEX($BQ$13:$BQ$212,SMALL(IF((County=$BR$13:$BR$212),MATCH(ROW($BR$13:$BR$212),ROW($BR$13:$BR$212)),""),ROWS($A$13:$A442)))),"")</f>
        <v/>
      </c>
      <c r="BY442" s="348" t="str">
        <f t="array" ref="BY442">IFERROR(IF($BY$11="Yes",INDEX($BT$13:$BT$2950,SMALL(IF((County=$BU$13:$BU$2950),MATCH(ROW($BU$13:$BU$2950),ROW($BU$13:$BU$2950)),""),ROWS($A$13:$A442))),""),"")</f>
        <v/>
      </c>
      <c r="CD442" s="237">
        <v>12.02</v>
      </c>
      <c r="CE442" s="237" t="s">
        <v>368</v>
      </c>
      <c r="CJ442" s="347">
        <v>25</v>
      </c>
      <c r="CK442" s="347" t="s">
        <v>325</v>
      </c>
      <c r="CL442" s="1789"/>
      <c r="CM442" s="2299"/>
      <c r="CN442" s="345"/>
      <c r="CR442" s="345"/>
      <c r="CS442" s="345"/>
      <c r="CX442" s="347"/>
      <c r="CY442" s="347"/>
      <c r="DA442" s="348"/>
      <c r="DC442" s="348"/>
      <c r="DE442" s="1792"/>
      <c r="DF442" s="345"/>
      <c r="DH442" s="237"/>
      <c r="DI442" s="237"/>
      <c r="DN442" s="347"/>
      <c r="DO442" s="347"/>
      <c r="DP442" s="2505"/>
      <c r="DT442" s="663"/>
      <c r="DU442" s="663"/>
      <c r="DV442" s="663"/>
      <c r="DW442" s="663"/>
      <c r="DX442" s="663"/>
      <c r="DY442" s="663"/>
      <c r="DZ442" s="663"/>
      <c r="EA442" s="663"/>
      <c r="EB442" s="663"/>
      <c r="EC442" s="663"/>
      <c r="ED442" s="663"/>
    </row>
    <row r="443" spans="6:134">
      <c r="F443" s="345">
        <v>57.03</v>
      </c>
      <c r="G443" s="345" t="s">
        <v>352</v>
      </c>
      <c r="L443" s="347">
        <v>130</v>
      </c>
      <c r="M443" s="347" t="s">
        <v>323</v>
      </c>
      <c r="V443" s="345">
        <v>124.02</v>
      </c>
      <c r="W443" s="345" t="s">
        <v>359</v>
      </c>
      <c r="AB443" s="347">
        <v>39.17</v>
      </c>
      <c r="AC443" s="347" t="s">
        <v>352</v>
      </c>
      <c r="AD443" s="1138"/>
      <c r="AJ443" s="345">
        <v>28</v>
      </c>
      <c r="AK443" s="345" t="s">
        <v>352</v>
      </c>
      <c r="AP443" s="347">
        <v>307.04000000000002</v>
      </c>
      <c r="AQ443" s="347" t="s">
        <v>317</v>
      </c>
      <c r="AU443" s="348" t="str">
        <f t="array" ref="AU443">IFERROR(IF($AU$11="Yes",INDEX($AP$13:$AP$2950,SMALL(IF((County=$AQ$13:$AQ$2950),MATCH(ROW($AQ$13:$AQ$2950),ROW($AQ$13:$AQ$2950)),""),ROWS($A$13:$A443))),""),"")</f>
        <v/>
      </c>
      <c r="AZ443" s="345">
        <v>110.1</v>
      </c>
      <c r="BA443" s="345" t="s">
        <v>337</v>
      </c>
      <c r="BF443" s="347">
        <v>25</v>
      </c>
      <c r="BG443" s="347" t="s">
        <v>325</v>
      </c>
      <c r="BH443" s="1790"/>
      <c r="BI443" s="1793"/>
      <c r="BJ443" s="1329"/>
      <c r="BN443" s="345">
        <v>502.07</v>
      </c>
      <c r="BO443" s="345" t="s">
        <v>310</v>
      </c>
      <c r="BT443" s="347">
        <v>303.06</v>
      </c>
      <c r="BU443" s="347" t="s">
        <v>317</v>
      </c>
      <c r="BW443" s="348" t="str">
        <f t="array" ref="BW443">IFERROR(IF($BW$11="Metro",INDEX($BN$13:$BN$4972,SMALL(IF((County=$BO$13:$BO$4972),MATCH(ROW($BO$13:$BO$4972),ROW($BO$13:$BO$4972)),""),ROWS($A$13:$A443))),INDEX($BQ$13:$BQ$212,SMALL(IF((County=$BR$13:$BR$212),MATCH(ROW($BR$13:$BR$212),ROW($BR$13:$BR$212)),""),ROWS($A$13:$A443)))),"")</f>
        <v/>
      </c>
      <c r="BY443" s="348" t="str">
        <f t="array" ref="BY443">IFERROR(IF($BY$11="Yes",INDEX($BT$13:$BT$2950,SMALL(IF((County=$BU$13:$BU$2950),MATCH(ROW($BU$13:$BU$2950),ROW($BU$13:$BU$2950)),""),ROWS($A$13:$A443))),""),"")</f>
        <v/>
      </c>
      <c r="CD443" s="345">
        <v>12.03</v>
      </c>
      <c r="CE443" s="345" t="s">
        <v>297</v>
      </c>
      <c r="CJ443" s="347">
        <v>25.02</v>
      </c>
      <c r="CK443" s="347" t="s">
        <v>323</v>
      </c>
      <c r="CL443" s="1789"/>
      <c r="CM443" s="2299"/>
      <c r="CN443" s="345"/>
      <c r="CR443" s="345"/>
      <c r="CS443" s="345"/>
      <c r="CX443" s="347"/>
      <c r="CY443" s="347"/>
      <c r="DA443" s="348"/>
      <c r="DC443" s="348"/>
      <c r="DE443" s="1792"/>
      <c r="DF443" s="345"/>
      <c r="DH443" s="237"/>
      <c r="DI443" s="237"/>
      <c r="DN443" s="347"/>
      <c r="DO443" s="347"/>
      <c r="DP443" s="2505"/>
      <c r="DT443" s="663"/>
      <c r="DU443" s="663"/>
      <c r="DV443" s="663"/>
      <c r="DW443" s="663"/>
      <c r="DX443" s="663"/>
      <c r="DY443" s="663"/>
      <c r="DZ443" s="663"/>
      <c r="EA443" s="663"/>
      <c r="EB443" s="663"/>
      <c r="EC443" s="663"/>
      <c r="ED443" s="663"/>
    </row>
    <row r="444" spans="6:134">
      <c r="F444" s="345">
        <v>57.04</v>
      </c>
      <c r="G444" s="345" t="s">
        <v>352</v>
      </c>
      <c r="L444" s="347">
        <v>131</v>
      </c>
      <c r="M444" s="347" t="s">
        <v>323</v>
      </c>
      <c r="V444" s="345">
        <v>124.03</v>
      </c>
      <c r="W444" s="345" t="s">
        <v>337</v>
      </c>
      <c r="AB444" s="347">
        <v>39.18</v>
      </c>
      <c r="AC444" s="347" t="s">
        <v>352</v>
      </c>
      <c r="AD444" s="1138"/>
      <c r="AJ444" s="345">
        <v>29</v>
      </c>
      <c r="AK444" s="345" t="s">
        <v>352</v>
      </c>
      <c r="AP444" s="347">
        <v>307.05</v>
      </c>
      <c r="AQ444" s="347" t="s">
        <v>317</v>
      </c>
      <c r="AU444" s="348" t="str">
        <f t="array" ref="AU444">IFERROR(IF($AU$11="Yes",INDEX($AP$13:$AP$2950,SMALL(IF((County=$AQ$13:$AQ$2950),MATCH(ROW($AQ$13:$AQ$2950),ROW($AQ$13:$AQ$2950)),""),ROWS($A$13:$A444))),""),"")</f>
        <v/>
      </c>
      <c r="AZ444" s="345">
        <v>110.1</v>
      </c>
      <c r="BA444" s="345" t="s">
        <v>352</v>
      </c>
      <c r="BF444" s="347">
        <v>25.02</v>
      </c>
      <c r="BG444" s="347" t="s">
        <v>323</v>
      </c>
      <c r="BH444" s="1790"/>
      <c r="BI444" s="1793"/>
      <c r="BJ444" s="1329"/>
      <c r="BN444" s="345">
        <v>502.08</v>
      </c>
      <c r="BO444" s="345" t="s">
        <v>310</v>
      </c>
      <c r="BT444" s="347">
        <v>305</v>
      </c>
      <c r="BU444" s="347" t="s">
        <v>317</v>
      </c>
      <c r="BW444" s="348" t="str">
        <f t="array" ref="BW444">IFERROR(IF($BW$11="Metro",INDEX($BN$13:$BN$4972,SMALL(IF((County=$BO$13:$BO$4972),MATCH(ROW($BO$13:$BO$4972),ROW($BO$13:$BO$4972)),""),ROWS($A$13:$A444))),INDEX($BQ$13:$BQ$212,SMALL(IF((County=$BR$13:$BR$212),MATCH(ROW($BR$13:$BR$212),ROW($BR$13:$BR$212)),""),ROWS($A$13:$A444)))),"")</f>
        <v/>
      </c>
      <c r="BY444" s="348" t="str">
        <f t="array" ref="BY444">IFERROR(IF($BY$11="Yes",INDEX($BT$13:$BT$2950,SMALL(IF((County=$BU$13:$BU$2950),MATCH(ROW($BU$13:$BU$2950),ROW($BU$13:$BU$2950)),""),ROWS($A$13:$A444))),""),"")</f>
        <v/>
      </c>
      <c r="CD444" s="237">
        <v>12.03</v>
      </c>
      <c r="CE444" s="237" t="s">
        <v>344</v>
      </c>
      <c r="CJ444" s="347">
        <v>25.03</v>
      </c>
      <c r="CK444" s="347" t="s">
        <v>350</v>
      </c>
      <c r="CL444" s="1789"/>
      <c r="CM444" s="2299"/>
      <c r="CN444" s="345"/>
      <c r="CR444" s="345"/>
      <c r="CS444" s="345"/>
      <c r="CX444" s="347"/>
      <c r="CY444" s="347"/>
      <c r="DA444" s="348"/>
      <c r="DC444" s="348"/>
      <c r="DE444" s="1792"/>
      <c r="DF444" s="345"/>
      <c r="DH444" s="237"/>
      <c r="DI444" s="237"/>
      <c r="DN444" s="347"/>
      <c r="DO444" s="347"/>
      <c r="DP444" s="2505"/>
      <c r="DT444" s="663"/>
      <c r="DU444" s="663"/>
      <c r="DV444" s="663"/>
      <c r="DW444" s="663"/>
      <c r="DX444" s="663"/>
      <c r="DY444" s="663"/>
      <c r="DZ444" s="663"/>
      <c r="EA444" s="663"/>
      <c r="EB444" s="663"/>
      <c r="EC444" s="663"/>
      <c r="ED444" s="663"/>
    </row>
    <row r="445" spans="6:134">
      <c r="F445" s="345">
        <v>63.01</v>
      </c>
      <c r="G445" s="345" t="s">
        <v>352</v>
      </c>
      <c r="L445" s="347">
        <v>132</v>
      </c>
      <c r="M445" s="347" t="s">
        <v>323</v>
      </c>
      <c r="V445" s="345">
        <v>124.03</v>
      </c>
      <c r="W445" s="345" t="s">
        <v>359</v>
      </c>
      <c r="AB445" s="347">
        <v>39.19</v>
      </c>
      <c r="AC445" s="347" t="s">
        <v>352</v>
      </c>
      <c r="AD445" s="1138"/>
      <c r="AJ445" s="345">
        <v>30.01</v>
      </c>
      <c r="AK445" s="345" t="s">
        <v>352</v>
      </c>
      <c r="AP445" s="347">
        <v>307.06</v>
      </c>
      <c r="AQ445" s="347" t="s">
        <v>317</v>
      </c>
      <c r="AU445" s="348" t="str">
        <f t="array" ref="AU445">IFERROR(IF($AU$11="Yes",INDEX($AP$13:$AP$2950,SMALL(IF((County=$AQ$13:$AQ$2950),MATCH(ROW($AQ$13:$AQ$2950),ROW($AQ$13:$AQ$2950)),""),ROWS($A$13:$A445))),""),"")</f>
        <v/>
      </c>
      <c r="AZ445" s="345">
        <v>110.11</v>
      </c>
      <c r="BA445" s="345" t="s">
        <v>352</v>
      </c>
      <c r="BF445" s="347">
        <v>25.03</v>
      </c>
      <c r="BG445" s="347" t="s">
        <v>350</v>
      </c>
      <c r="BH445" s="1790"/>
      <c r="BI445" s="1793"/>
      <c r="BJ445" s="1329"/>
      <c r="BN445" s="345">
        <v>503.01</v>
      </c>
      <c r="BO445" s="345" t="s">
        <v>310</v>
      </c>
      <c r="BT445" s="347">
        <v>307.01</v>
      </c>
      <c r="BU445" s="347" t="s">
        <v>317</v>
      </c>
      <c r="BW445" s="348" t="str">
        <f t="array" ref="BW445">IFERROR(IF($BW$11="Metro",INDEX($BN$13:$BN$4972,SMALL(IF((County=$BO$13:$BO$4972),MATCH(ROW($BO$13:$BO$4972),ROW($BO$13:$BO$4972)),""),ROWS($A$13:$A445))),INDEX($BQ$13:$BQ$212,SMALL(IF((County=$BR$13:$BR$212),MATCH(ROW($BR$13:$BR$212),ROW($BR$13:$BR$212)),""),ROWS($A$13:$A445)))),"")</f>
        <v/>
      </c>
      <c r="BY445" s="348" t="str">
        <f t="array" ref="BY445">IFERROR(IF($BY$11="Yes",INDEX($BT$13:$BT$2950,SMALL(IF((County=$BU$13:$BU$2950),MATCH(ROW($BU$13:$BU$2950),ROW($BU$13:$BU$2950)),""),ROWS($A$13:$A445))),""),"")</f>
        <v/>
      </c>
      <c r="CD445" s="237">
        <v>12.03</v>
      </c>
      <c r="CE445" s="237" t="s">
        <v>349</v>
      </c>
      <c r="CJ445" s="347">
        <v>25.04</v>
      </c>
      <c r="CK445" s="347" t="s">
        <v>350</v>
      </c>
      <c r="CL445" s="1789"/>
      <c r="CM445" s="2299"/>
      <c r="CN445" s="345"/>
      <c r="CR445" s="345"/>
      <c r="CS445" s="345"/>
      <c r="CX445" s="347"/>
      <c r="CY445" s="347"/>
      <c r="DA445" s="348"/>
      <c r="DC445" s="348"/>
      <c r="DE445" s="1792"/>
      <c r="DF445" s="345"/>
      <c r="DH445" s="237"/>
      <c r="DI445" s="237"/>
      <c r="DN445" s="347"/>
      <c r="DO445" s="347"/>
      <c r="DP445" s="2505"/>
      <c r="DT445" s="663"/>
      <c r="DU445" s="663"/>
      <c r="DV445" s="663"/>
      <c r="DW445" s="663"/>
      <c r="DX445" s="663"/>
      <c r="DY445" s="663"/>
      <c r="DZ445" s="663"/>
      <c r="EA445" s="663"/>
      <c r="EB445" s="663"/>
      <c r="EC445" s="663"/>
      <c r="ED445" s="663"/>
    </row>
    <row r="446" spans="6:134">
      <c r="F446" s="345">
        <v>64.03</v>
      </c>
      <c r="G446" s="345" t="s">
        <v>352</v>
      </c>
      <c r="L446" s="347">
        <v>133</v>
      </c>
      <c r="M446" s="347" t="s">
        <v>323</v>
      </c>
      <c r="V446" s="345">
        <v>125</v>
      </c>
      <c r="W446" s="345" t="s">
        <v>323</v>
      </c>
      <c r="AB446" s="347">
        <v>39.21</v>
      </c>
      <c r="AC446" s="347" t="s">
        <v>352</v>
      </c>
      <c r="AD446" s="1138"/>
      <c r="AJ446" s="345">
        <v>30.04</v>
      </c>
      <c r="AK446" s="345" t="s">
        <v>352</v>
      </c>
      <c r="AP446" s="347">
        <v>307.07</v>
      </c>
      <c r="AQ446" s="347" t="s">
        <v>317</v>
      </c>
      <c r="AU446" s="348" t="str">
        <f t="array" ref="AU446">IFERROR(IF($AU$11="Yes",INDEX($AP$13:$AP$2950,SMALL(IF((County=$AQ$13:$AQ$2950),MATCH(ROW($AQ$13:$AQ$2950),ROW($AQ$13:$AQ$2950)),""),ROWS($A$13:$A446))),""),"")</f>
        <v/>
      </c>
      <c r="AZ446" s="345">
        <v>111</v>
      </c>
      <c r="BA446" s="345" t="s">
        <v>323</v>
      </c>
      <c r="BF446" s="347">
        <v>25.04</v>
      </c>
      <c r="BG446" s="347" t="s">
        <v>350</v>
      </c>
      <c r="BH446" s="1790"/>
      <c r="BI446" s="1794"/>
      <c r="BJ446" s="1345"/>
      <c r="BN446" s="345">
        <v>503.06</v>
      </c>
      <c r="BO446" s="345" t="s">
        <v>310</v>
      </c>
      <c r="BT446" s="347">
        <v>307.04000000000002</v>
      </c>
      <c r="BU446" s="347" t="s">
        <v>317</v>
      </c>
      <c r="BW446" s="348" t="str">
        <f t="array" ref="BW446">IFERROR(IF($BW$11="Metro",INDEX($BN$13:$BN$4972,SMALL(IF((County=$BO$13:$BO$4972),MATCH(ROW($BO$13:$BO$4972),ROW($BO$13:$BO$4972)),""),ROWS($A$13:$A446))),INDEX($BQ$13:$BQ$212,SMALL(IF((County=$BR$13:$BR$212),MATCH(ROW($BR$13:$BR$212),ROW($BR$13:$BR$212)),""),ROWS($A$13:$A446)))),"")</f>
        <v/>
      </c>
      <c r="BY446" s="348" t="str">
        <f t="array" ref="BY446">IFERROR(IF($BY$11="Yes",INDEX($BT$13:$BT$2950,SMALL(IF((County=$BU$13:$BU$2950),MATCH(ROW($BU$13:$BU$2950),ROW($BU$13:$BU$2950)),""),ROWS($A$13:$A446))),""),"")</f>
        <v/>
      </c>
      <c r="CD446" s="237">
        <v>12.03</v>
      </c>
      <c r="CE446" s="237" t="s">
        <v>368</v>
      </c>
      <c r="CJ446" s="347">
        <v>25.05</v>
      </c>
      <c r="CK446" s="347" t="s">
        <v>350</v>
      </c>
      <c r="CL446" s="1789"/>
      <c r="CM446" s="2299"/>
      <c r="CN446" s="345"/>
      <c r="CR446" s="345"/>
      <c r="CS446" s="345"/>
      <c r="CX446" s="347"/>
      <c r="CY446" s="347"/>
      <c r="DA446" s="348"/>
      <c r="DC446" s="348"/>
      <c r="DE446" s="1792"/>
      <c r="DF446" s="345"/>
      <c r="DH446" s="237"/>
      <c r="DI446" s="237"/>
      <c r="DN446" s="347"/>
      <c r="DO446" s="347"/>
      <c r="DP446" s="2505"/>
      <c r="DT446" s="663"/>
      <c r="DU446" s="663"/>
      <c r="DV446" s="663"/>
      <c r="DW446" s="663"/>
      <c r="DX446" s="663"/>
      <c r="DY446" s="663"/>
      <c r="DZ446" s="663"/>
      <c r="EA446" s="663"/>
      <c r="EB446" s="663"/>
      <c r="EC446" s="663"/>
      <c r="ED446" s="663"/>
    </row>
    <row r="447" spans="6:134">
      <c r="F447" s="345">
        <v>70.02</v>
      </c>
      <c r="G447" s="345" t="s">
        <v>352</v>
      </c>
      <c r="L447" s="347">
        <v>135.22</v>
      </c>
      <c r="M447" s="347" t="s">
        <v>323</v>
      </c>
      <c r="V447" s="345">
        <v>126.01</v>
      </c>
      <c r="W447" s="345" t="s">
        <v>323</v>
      </c>
      <c r="AB447" s="347">
        <v>39.22</v>
      </c>
      <c r="AC447" s="347" t="s">
        <v>352</v>
      </c>
      <c r="AD447" s="1138"/>
      <c r="AJ447" s="345">
        <v>30.05</v>
      </c>
      <c r="AK447" s="345" t="s">
        <v>352</v>
      </c>
      <c r="AP447" s="347">
        <v>307.08</v>
      </c>
      <c r="AQ447" s="347" t="s">
        <v>317</v>
      </c>
      <c r="AU447" s="348" t="str">
        <f t="array" ref="AU447">IFERROR(IF($AU$11="Yes",INDEX($AP$13:$AP$2950,SMALL(IF((County=$AQ$13:$AQ$2950),MATCH(ROW($AQ$13:$AQ$2950),ROW($AQ$13:$AQ$2950)),""),ROWS($A$13:$A447))),""),"")</f>
        <v/>
      </c>
      <c r="AZ447" s="345">
        <v>111</v>
      </c>
      <c r="BA447" s="345" t="s">
        <v>365</v>
      </c>
      <c r="BF447" s="347">
        <v>25.04</v>
      </c>
      <c r="BG447" s="347" t="s">
        <v>368</v>
      </c>
      <c r="BH447" s="1790"/>
      <c r="BI447" s="1794"/>
      <c r="BJ447" s="1345"/>
      <c r="BN447" s="345">
        <v>503.08</v>
      </c>
      <c r="BO447" s="345" t="s">
        <v>310</v>
      </c>
      <c r="BT447" s="347">
        <v>307.05</v>
      </c>
      <c r="BU447" s="347" t="s">
        <v>317</v>
      </c>
      <c r="BW447" s="348" t="str">
        <f t="array" ref="BW447">IFERROR(IF($BW$11="Metro",INDEX($BN$13:$BN$4972,SMALL(IF((County=$BO$13:$BO$4972),MATCH(ROW($BO$13:$BO$4972),ROW($BO$13:$BO$4972)),""),ROWS($A$13:$A447))),INDEX($BQ$13:$BQ$212,SMALL(IF((County=$BR$13:$BR$212),MATCH(ROW($BR$13:$BR$212),ROW($BR$13:$BR$212)),""),ROWS($A$13:$A447)))),"")</f>
        <v/>
      </c>
      <c r="BY447" s="348" t="str">
        <f t="array" ref="BY447">IFERROR(IF($BY$11="Yes",INDEX($BT$13:$BT$2950,SMALL(IF((County=$BU$13:$BU$2950),MATCH(ROW($BU$13:$BU$2950),ROW($BU$13:$BU$2950)),""),ROWS($A$13:$A447))),""),"")</f>
        <v/>
      </c>
      <c r="CD447" s="237">
        <v>12.04</v>
      </c>
      <c r="CE447" s="237" t="s">
        <v>344</v>
      </c>
      <c r="CJ447" s="347">
        <v>25.05</v>
      </c>
      <c r="CK447" s="347" t="s">
        <v>368</v>
      </c>
      <c r="CL447" s="1789"/>
      <c r="CM447" s="2299"/>
      <c r="CN447" s="345"/>
      <c r="CR447" s="345"/>
      <c r="CS447" s="345"/>
      <c r="CX447" s="347"/>
      <c r="CY447" s="347"/>
      <c r="DA447" s="348"/>
      <c r="DC447" s="348"/>
      <c r="DE447" s="1792"/>
      <c r="DF447" s="345"/>
      <c r="DH447" s="237"/>
      <c r="DI447" s="237"/>
      <c r="DN447" s="347"/>
      <c r="DO447" s="347"/>
      <c r="DP447" s="2505"/>
      <c r="DT447" s="663"/>
      <c r="DU447" s="663"/>
      <c r="DV447" s="663"/>
      <c r="DW447" s="663"/>
      <c r="DX447" s="663"/>
      <c r="DY447" s="663"/>
      <c r="DZ447" s="663"/>
      <c r="EA447" s="663"/>
      <c r="EB447" s="663"/>
      <c r="EC447" s="663"/>
      <c r="ED447" s="663"/>
    </row>
    <row r="448" spans="6:134">
      <c r="F448" s="345">
        <v>72</v>
      </c>
      <c r="G448" s="345" t="s">
        <v>352</v>
      </c>
      <c r="L448" s="347">
        <v>137.21</v>
      </c>
      <c r="M448" s="347" t="s">
        <v>323</v>
      </c>
      <c r="V448" s="345">
        <v>126.01</v>
      </c>
      <c r="W448" s="345" t="s">
        <v>365</v>
      </c>
      <c r="AB448" s="347">
        <v>40</v>
      </c>
      <c r="AC448" s="347" t="s">
        <v>352</v>
      </c>
      <c r="AD448" s="1138"/>
      <c r="AJ448" s="345">
        <v>30.06</v>
      </c>
      <c r="AK448" s="345" t="s">
        <v>352</v>
      </c>
      <c r="AP448" s="347">
        <v>308.01</v>
      </c>
      <c r="AQ448" s="347" t="s">
        <v>317</v>
      </c>
      <c r="AU448" s="348" t="str">
        <f t="array" ref="AU448">IFERROR(IF($AU$11="Yes",INDEX($AP$13:$AP$2950,SMALL(IF((County=$AQ$13:$AQ$2950),MATCH(ROW($AQ$13:$AQ$2950),ROW($AQ$13:$AQ$2950)),""),ROWS($A$13:$A448))),""),"")</f>
        <v/>
      </c>
      <c r="AZ448" s="345">
        <v>111.03</v>
      </c>
      <c r="BA448" s="345" t="s">
        <v>318</v>
      </c>
      <c r="BF448" s="347">
        <v>25.05</v>
      </c>
      <c r="BG448" s="347" t="s">
        <v>345</v>
      </c>
      <c r="BH448" s="1790"/>
      <c r="BI448" s="1794"/>
      <c r="BJ448" s="1345"/>
      <c r="BN448" s="345">
        <v>503.09</v>
      </c>
      <c r="BO448" s="345" t="s">
        <v>310</v>
      </c>
      <c r="BT448" s="347">
        <v>307.06</v>
      </c>
      <c r="BU448" s="347" t="s">
        <v>317</v>
      </c>
      <c r="BW448" s="348" t="str">
        <f t="array" ref="BW448">IFERROR(IF($BW$11="Metro",INDEX($BN$13:$BN$4972,SMALL(IF((County=$BO$13:$BO$4972),MATCH(ROW($BO$13:$BO$4972),ROW($BO$13:$BO$4972)),""),ROWS($A$13:$A448))),INDEX($BQ$13:$BQ$212,SMALL(IF((County=$BR$13:$BR$212),MATCH(ROW($BR$13:$BR$212),ROW($BR$13:$BR$212)),""),ROWS($A$13:$A448)))),"")</f>
        <v/>
      </c>
      <c r="BY448" s="348" t="str">
        <f t="array" ref="BY448">IFERROR(IF($BY$11="Yes",INDEX($BT$13:$BT$2950,SMALL(IF((County=$BU$13:$BU$2950),MATCH(ROW($BU$13:$BU$2950),ROW($BU$13:$BU$2950)),""),ROWS($A$13:$A448))),""),"")</f>
        <v/>
      </c>
      <c r="CD448" s="237">
        <v>12.04</v>
      </c>
      <c r="CE448" s="237" t="s">
        <v>349</v>
      </c>
      <c r="CJ448" s="347">
        <v>25.07</v>
      </c>
      <c r="CK448" s="347" t="s">
        <v>345</v>
      </c>
      <c r="CL448" s="1789"/>
      <c r="CM448" s="2299"/>
      <c r="CN448" s="345"/>
      <c r="CR448" s="345"/>
      <c r="CS448" s="345"/>
      <c r="CX448" s="347"/>
      <c r="CY448" s="347"/>
      <c r="DA448" s="348"/>
      <c r="DC448" s="348"/>
      <c r="DE448" s="1792"/>
      <c r="DF448" s="345"/>
      <c r="DH448" s="237"/>
      <c r="DI448" s="237"/>
      <c r="DN448" s="347"/>
      <c r="DO448" s="347"/>
      <c r="DP448" s="2505"/>
      <c r="DT448" s="663"/>
      <c r="DU448" s="663"/>
      <c r="DV448" s="663"/>
      <c r="DW448" s="663"/>
      <c r="DX448" s="663"/>
      <c r="DY448" s="663"/>
      <c r="DZ448" s="663"/>
      <c r="EA448" s="663"/>
      <c r="EB448" s="663"/>
      <c r="EC448" s="663"/>
      <c r="ED448" s="663"/>
    </row>
    <row r="449" spans="6:134">
      <c r="F449" s="345">
        <v>76.03</v>
      </c>
      <c r="G449" s="345" t="s">
        <v>352</v>
      </c>
      <c r="L449" s="347">
        <v>137.22999999999999</v>
      </c>
      <c r="M449" s="347" t="s">
        <v>323</v>
      </c>
      <c r="V449" s="345">
        <v>126.02</v>
      </c>
      <c r="W449" s="345" t="s">
        <v>365</v>
      </c>
      <c r="AB449" s="347">
        <v>41.02</v>
      </c>
      <c r="AC449" s="347" t="s">
        <v>352</v>
      </c>
      <c r="AD449" s="1138"/>
      <c r="AJ449" s="345">
        <v>31</v>
      </c>
      <c r="AK449" s="345" t="s">
        <v>352</v>
      </c>
      <c r="AP449" s="347">
        <v>308.02</v>
      </c>
      <c r="AQ449" s="347" t="s">
        <v>317</v>
      </c>
      <c r="AU449" s="348" t="str">
        <f t="array" ref="AU449">IFERROR(IF($AU$11="Yes",INDEX($AP$13:$AP$2950,SMALL(IF((County=$AQ$13:$AQ$2950),MATCH(ROW($AQ$13:$AQ$2950),ROW($AQ$13:$AQ$2950)),""),ROWS($A$13:$A449))),""),"")</f>
        <v/>
      </c>
      <c r="AZ449" s="345">
        <v>111.03</v>
      </c>
      <c r="BA449" s="345" t="s">
        <v>352</v>
      </c>
      <c r="BF449" s="347">
        <v>25.05</v>
      </c>
      <c r="BG449" s="347" t="s">
        <v>350</v>
      </c>
      <c r="BH449" s="1790"/>
      <c r="BI449" s="1794"/>
      <c r="BJ449" s="1345"/>
      <c r="BN449" s="345">
        <v>503.11</v>
      </c>
      <c r="BO449" s="345" t="s">
        <v>310</v>
      </c>
      <c r="BT449" s="347">
        <v>307.07</v>
      </c>
      <c r="BU449" s="347" t="s">
        <v>317</v>
      </c>
      <c r="BW449" s="348" t="str">
        <f t="array" ref="BW449">IFERROR(IF($BW$11="Metro",INDEX($BN$13:$BN$4972,SMALL(IF((County=$BO$13:$BO$4972),MATCH(ROW($BO$13:$BO$4972),ROW($BO$13:$BO$4972)),""),ROWS($A$13:$A449))),INDEX($BQ$13:$BQ$212,SMALL(IF((County=$BR$13:$BR$212),MATCH(ROW($BR$13:$BR$212),ROW($BR$13:$BR$212)),""),ROWS($A$13:$A449)))),"")</f>
        <v/>
      </c>
      <c r="BY449" s="348" t="str">
        <f t="array" ref="BY449">IFERROR(IF($BY$11="Yes",INDEX($BT$13:$BT$2950,SMALL(IF((County=$BU$13:$BU$2950),MATCH(ROW($BU$13:$BU$2950),ROW($BU$13:$BU$2950)),""),ROWS($A$13:$A449))),""),"")</f>
        <v/>
      </c>
      <c r="CD449" s="237">
        <v>12.04</v>
      </c>
      <c r="CE449" s="237" t="s">
        <v>350</v>
      </c>
      <c r="CJ449" s="347">
        <v>25.07</v>
      </c>
      <c r="CK449" s="347" t="s">
        <v>350</v>
      </c>
      <c r="CL449" s="1789"/>
      <c r="CM449" s="2299"/>
      <c r="CN449" s="345"/>
      <c r="CR449" s="345"/>
      <c r="CS449" s="345"/>
      <c r="CX449" s="347"/>
      <c r="CY449" s="347"/>
      <c r="DA449" s="348"/>
      <c r="DC449" s="348"/>
      <c r="DE449" s="1792"/>
      <c r="DF449" s="345"/>
      <c r="DH449" s="237"/>
      <c r="DI449" s="237"/>
      <c r="DN449" s="347"/>
      <c r="DO449" s="347"/>
      <c r="DP449" s="2505"/>
      <c r="DT449" s="663"/>
      <c r="DU449" s="663"/>
      <c r="DV449" s="663"/>
      <c r="DW449" s="663"/>
      <c r="DX449" s="663"/>
      <c r="DY449" s="663"/>
      <c r="DZ449" s="663"/>
      <c r="EA449" s="663"/>
      <c r="EB449" s="663"/>
      <c r="EC449" s="663"/>
      <c r="ED449" s="663"/>
    </row>
    <row r="450" spans="6:134">
      <c r="F450" s="345">
        <v>83.09</v>
      </c>
      <c r="G450" s="345" t="s">
        <v>352</v>
      </c>
      <c r="L450" s="347">
        <v>137.26</v>
      </c>
      <c r="M450" s="347" t="s">
        <v>323</v>
      </c>
      <c r="V450" s="345">
        <v>129</v>
      </c>
      <c r="W450" s="345" t="s">
        <v>337</v>
      </c>
      <c r="AB450" s="347">
        <v>41.03</v>
      </c>
      <c r="AC450" s="347" t="s">
        <v>352</v>
      </c>
      <c r="AD450" s="1138"/>
      <c r="AJ450" s="345">
        <v>34</v>
      </c>
      <c r="AK450" s="345" t="s">
        <v>352</v>
      </c>
      <c r="AP450" s="347">
        <v>309.04000000000002</v>
      </c>
      <c r="AQ450" s="347" t="s">
        <v>317</v>
      </c>
      <c r="AU450" s="348" t="str">
        <f t="array" ref="AU450">IFERROR(IF($AU$11="Yes",INDEX($AP$13:$AP$2950,SMALL(IF((County=$AQ$13:$AQ$2950),MATCH(ROW($AQ$13:$AQ$2950),ROW($AQ$13:$AQ$2950)),""),ROWS($A$13:$A450))),""),"")</f>
        <v/>
      </c>
      <c r="AZ450" s="345">
        <v>111.04</v>
      </c>
      <c r="BA450" s="345" t="s">
        <v>352</v>
      </c>
      <c r="BF450" s="347">
        <v>25.05</v>
      </c>
      <c r="BG450" s="347" t="s">
        <v>368</v>
      </c>
      <c r="BH450" s="1790"/>
      <c r="BI450" s="1794"/>
      <c r="BJ450" s="1345"/>
      <c r="BN450" s="345">
        <v>503.12</v>
      </c>
      <c r="BO450" s="345" t="s">
        <v>310</v>
      </c>
      <c r="BT450" s="347">
        <v>307.08</v>
      </c>
      <c r="BU450" s="347" t="s">
        <v>317</v>
      </c>
      <c r="BW450" s="348" t="str">
        <f t="array" ref="BW450">IFERROR(IF($BW$11="Metro",INDEX($BN$13:$BN$4972,SMALL(IF((County=$BO$13:$BO$4972),MATCH(ROW($BO$13:$BO$4972),ROW($BO$13:$BO$4972)),""),ROWS($A$13:$A450))),INDEX($BQ$13:$BQ$212,SMALL(IF((County=$BR$13:$BR$212),MATCH(ROW($BR$13:$BR$212),ROW($BR$13:$BR$212)),""),ROWS($A$13:$A450)))),"")</f>
        <v/>
      </c>
      <c r="BY450" s="348" t="str">
        <f t="array" ref="BY450">IFERROR(IF($BY$11="Yes",INDEX($BT$13:$BT$2950,SMALL(IF((County=$BU$13:$BU$2950),MATCH(ROW($BU$13:$BU$2950),ROW($BU$13:$BU$2950)),""),ROWS($A$13:$A450))),""),"")</f>
        <v/>
      </c>
      <c r="CD450" s="237">
        <v>12.04</v>
      </c>
      <c r="CE450" s="237" t="s">
        <v>352</v>
      </c>
      <c r="CJ450" s="347">
        <v>25.1</v>
      </c>
      <c r="CK450" s="347" t="s">
        <v>368</v>
      </c>
      <c r="CL450" s="1789"/>
      <c r="CM450" s="2299"/>
      <c r="CN450" s="345"/>
      <c r="CR450" s="345"/>
      <c r="CS450" s="345"/>
      <c r="CX450" s="347"/>
      <c r="CY450" s="347"/>
      <c r="DA450" s="348"/>
      <c r="DC450" s="348"/>
      <c r="DE450" s="1792"/>
      <c r="DF450" s="345"/>
      <c r="DH450" s="237"/>
      <c r="DI450" s="237"/>
      <c r="DN450" s="347"/>
      <c r="DO450" s="347"/>
      <c r="DP450" s="2505"/>
      <c r="DT450" s="663"/>
      <c r="DU450" s="663"/>
      <c r="DV450" s="663"/>
      <c r="DW450" s="663"/>
      <c r="DX450" s="663"/>
      <c r="DY450" s="663"/>
      <c r="DZ450" s="663"/>
      <c r="EA450" s="663"/>
      <c r="EB450" s="663"/>
      <c r="EC450" s="663"/>
      <c r="ED450" s="663"/>
    </row>
    <row r="451" spans="6:134">
      <c r="F451" s="345">
        <v>88.05</v>
      </c>
      <c r="G451" s="345" t="s">
        <v>352</v>
      </c>
      <c r="L451" s="347">
        <v>137.27000000000001</v>
      </c>
      <c r="M451" s="347" t="s">
        <v>323</v>
      </c>
      <c r="V451" s="345">
        <v>130.02000000000001</v>
      </c>
      <c r="W451" s="345" t="s">
        <v>365</v>
      </c>
      <c r="AB451" s="347">
        <v>41.05</v>
      </c>
      <c r="AC451" s="347" t="s">
        <v>352</v>
      </c>
      <c r="AD451" s="1138"/>
      <c r="AJ451" s="345">
        <v>36.03</v>
      </c>
      <c r="AK451" s="345" t="s">
        <v>352</v>
      </c>
      <c r="AP451" s="347">
        <v>309.05</v>
      </c>
      <c r="AQ451" s="347" t="s">
        <v>317</v>
      </c>
      <c r="AU451" s="348" t="str">
        <f t="array" ref="AU451">IFERROR(IF($AU$11="Yes",INDEX($AP$13:$AP$2950,SMALL(IF((County=$AQ$13:$AQ$2950),MATCH(ROW($AQ$13:$AQ$2950),ROW($AQ$13:$AQ$2950)),""),ROWS($A$13:$A451))),""),"")</f>
        <v/>
      </c>
      <c r="AZ451" s="345">
        <v>112</v>
      </c>
      <c r="BA451" s="345" t="s">
        <v>323</v>
      </c>
      <c r="BF451" s="347">
        <v>25.07</v>
      </c>
      <c r="BG451" s="347" t="s">
        <v>345</v>
      </c>
      <c r="BH451" s="1790"/>
      <c r="BI451" s="1793"/>
      <c r="BJ451" s="1329"/>
      <c r="BN451" s="345">
        <v>503.13</v>
      </c>
      <c r="BO451" s="345" t="s">
        <v>310</v>
      </c>
      <c r="BT451" s="347">
        <v>308.01</v>
      </c>
      <c r="BU451" s="347" t="s">
        <v>317</v>
      </c>
      <c r="BW451" s="348" t="str">
        <f t="array" ref="BW451">IFERROR(IF($BW$11="Metro",INDEX($BN$13:$BN$4972,SMALL(IF((County=$BO$13:$BO$4972),MATCH(ROW($BO$13:$BO$4972),ROW($BO$13:$BO$4972)),""),ROWS($A$13:$A451))),INDEX($BQ$13:$BQ$212,SMALL(IF((County=$BR$13:$BR$212),MATCH(ROW($BR$13:$BR$212),ROW($BR$13:$BR$212)),""),ROWS($A$13:$A451)))),"")</f>
        <v/>
      </c>
      <c r="BY451" s="348" t="str">
        <f t="array" ref="BY451">IFERROR(IF($BY$11="Yes",INDEX($BT$13:$BT$2950,SMALL(IF((County=$BU$13:$BU$2950),MATCH(ROW($BU$13:$BU$2950),ROW($BU$13:$BU$2950)),""),ROWS($A$13:$A451))),""),"")</f>
        <v/>
      </c>
      <c r="CD451" s="237">
        <v>12.04</v>
      </c>
      <c r="CE451" s="237" t="s">
        <v>368</v>
      </c>
      <c r="CJ451" s="347">
        <v>25.11</v>
      </c>
      <c r="CK451" s="347" t="s">
        <v>345</v>
      </c>
      <c r="CL451" s="1789"/>
      <c r="CM451" s="2831" t="s">
        <v>2310</v>
      </c>
      <c r="CN451" s="2832"/>
      <c r="CR451" s="345"/>
      <c r="CS451" s="345"/>
      <c r="CX451" s="347"/>
      <c r="CY451" s="347"/>
      <c r="DA451" s="348"/>
      <c r="DC451" s="348"/>
      <c r="DE451" s="2831" t="s">
        <v>2310</v>
      </c>
      <c r="DF451" s="2832"/>
      <c r="DH451" s="237"/>
      <c r="DI451" s="237"/>
      <c r="DN451" s="347"/>
      <c r="DO451" s="347"/>
      <c r="DP451" s="2505"/>
      <c r="DT451" s="663"/>
      <c r="DU451" s="663"/>
      <c r="DV451" s="663"/>
      <c r="DW451" s="663"/>
      <c r="DX451" s="663"/>
      <c r="DY451" s="663"/>
      <c r="DZ451" s="663"/>
      <c r="EA451" s="663"/>
      <c r="EB451" s="663"/>
      <c r="EC451" s="663"/>
      <c r="ED451" s="663"/>
    </row>
    <row r="452" spans="6:134">
      <c r="F452" s="345">
        <v>88.06</v>
      </c>
      <c r="G452" s="345" t="s">
        <v>352</v>
      </c>
      <c r="L452" s="347">
        <v>138</v>
      </c>
      <c r="M452" s="347" t="s">
        <v>323</v>
      </c>
      <c r="V452" s="345">
        <v>131.02000000000001</v>
      </c>
      <c r="W452" s="345" t="s">
        <v>365</v>
      </c>
      <c r="AB452" s="347">
        <v>41.06</v>
      </c>
      <c r="AC452" s="347" t="s">
        <v>352</v>
      </c>
      <c r="AD452" s="1138"/>
      <c r="AJ452" s="345">
        <v>36.04</v>
      </c>
      <c r="AK452" s="345" t="s">
        <v>352</v>
      </c>
      <c r="AP452" s="347">
        <v>311.01</v>
      </c>
      <c r="AQ452" s="347" t="s">
        <v>317</v>
      </c>
      <c r="AU452" s="348" t="str">
        <f t="array" ref="AU452">IFERROR(IF($AU$11="Yes",INDEX($AP$13:$AP$2950,SMALL(IF((County=$AQ$13:$AQ$2950),MATCH(ROW($AQ$13:$AQ$2950),ROW($AQ$13:$AQ$2950)),""),ROWS($A$13:$A452))),""),"")</f>
        <v/>
      </c>
      <c r="AZ452" s="345">
        <v>112.02</v>
      </c>
      <c r="BA452" s="345" t="s">
        <v>365</v>
      </c>
      <c r="BF452" s="347">
        <v>25.07</v>
      </c>
      <c r="BG452" s="347" t="s">
        <v>350</v>
      </c>
      <c r="BH452" s="1790"/>
      <c r="BI452" s="1794"/>
      <c r="BJ452" s="1345"/>
      <c r="BN452" s="345">
        <v>503.14</v>
      </c>
      <c r="BO452" s="345" t="s">
        <v>310</v>
      </c>
      <c r="BT452" s="347">
        <v>308.02</v>
      </c>
      <c r="BU452" s="347" t="s">
        <v>317</v>
      </c>
      <c r="BW452" s="348" t="str">
        <f t="array" ref="BW452">IFERROR(IF($BW$11="Metro",INDEX($BN$13:$BN$4972,SMALL(IF((County=$BO$13:$BO$4972),MATCH(ROW($BO$13:$BO$4972),ROW($BO$13:$BO$4972)),""),ROWS($A$13:$A452))),INDEX($BQ$13:$BQ$212,SMALL(IF((County=$BR$13:$BR$212),MATCH(ROW($BR$13:$BR$212),ROW($BR$13:$BR$212)),""),ROWS($A$13:$A452)))),"")</f>
        <v/>
      </c>
      <c r="BY452" s="348" t="str">
        <f t="array" ref="BY452">IFERROR(IF($BY$11="Yes",INDEX($BT$13:$BT$2950,SMALL(IF((County=$BU$13:$BU$2950),MATCH(ROW($BU$13:$BU$2950),ROW($BU$13:$BU$2950)),""),ROWS($A$13:$A452))),""),"")</f>
        <v/>
      </c>
      <c r="CD452" s="237">
        <v>12.05</v>
      </c>
      <c r="CE452" s="237" t="s">
        <v>344</v>
      </c>
      <c r="CJ452" s="347">
        <v>25.11</v>
      </c>
      <c r="CK452" s="347" t="s">
        <v>368</v>
      </c>
      <c r="CL452" s="1789"/>
      <c r="CR452" s="345"/>
      <c r="CS452" s="345"/>
      <c r="CX452" s="347"/>
      <c r="CY452" s="347"/>
      <c r="DA452" s="348"/>
      <c r="DC452" s="348"/>
      <c r="DH452" s="237"/>
      <c r="DI452" s="237"/>
      <c r="DN452" s="347"/>
      <c r="DO452" s="347"/>
      <c r="DP452" s="2505"/>
      <c r="DT452" s="663"/>
      <c r="DU452" s="663"/>
      <c r="DV452" s="663"/>
      <c r="DW452" s="663"/>
      <c r="DX452" s="663"/>
      <c r="DY452" s="663"/>
      <c r="DZ452" s="663"/>
      <c r="EA452" s="663"/>
      <c r="EB452" s="663"/>
      <c r="EC452" s="663"/>
      <c r="ED452" s="663"/>
    </row>
    <row r="453" spans="6:134">
      <c r="F453" s="345">
        <v>90.2</v>
      </c>
      <c r="G453" s="345" t="s">
        <v>352</v>
      </c>
      <c r="L453" s="347">
        <v>139.01</v>
      </c>
      <c r="M453" s="347" t="s">
        <v>323</v>
      </c>
      <c r="V453" s="345">
        <v>131.03</v>
      </c>
      <c r="W453" s="345" t="s">
        <v>365</v>
      </c>
      <c r="AB453" s="347">
        <v>42.03</v>
      </c>
      <c r="AC453" s="347" t="s">
        <v>352</v>
      </c>
      <c r="AD453" s="1138"/>
      <c r="AJ453" s="345">
        <v>36.049999999999997</v>
      </c>
      <c r="AK453" s="345" t="s">
        <v>352</v>
      </c>
      <c r="AP453" s="347">
        <v>312.02</v>
      </c>
      <c r="AQ453" s="347" t="s">
        <v>317</v>
      </c>
      <c r="AU453" s="348" t="str">
        <f t="array" ref="AU453">IFERROR(IF($AU$11="Yes",INDEX($AP$13:$AP$2950,SMALL(IF((County=$AQ$13:$AQ$2950),MATCH(ROW($AQ$13:$AQ$2950),ROW($AQ$13:$AQ$2950)),""),ROWS($A$13:$A453))),""),"")</f>
        <v/>
      </c>
      <c r="AZ453" s="345">
        <v>112.03</v>
      </c>
      <c r="BA453" s="345" t="s">
        <v>352</v>
      </c>
      <c r="BF453" s="347">
        <v>25.09</v>
      </c>
      <c r="BG453" s="347" t="s">
        <v>345</v>
      </c>
      <c r="BH453" s="1790"/>
      <c r="BI453" s="1794"/>
      <c r="BJ453" s="1345"/>
      <c r="BN453" s="345">
        <v>503.15</v>
      </c>
      <c r="BO453" s="345" t="s">
        <v>310</v>
      </c>
      <c r="BT453" s="347">
        <v>309.04000000000002</v>
      </c>
      <c r="BU453" s="347" t="s">
        <v>317</v>
      </c>
      <c r="BW453" s="348" t="str">
        <f t="array" ref="BW453">IFERROR(IF($BW$11="Metro",INDEX($BN$13:$BN$4972,SMALL(IF((County=$BO$13:$BO$4972),MATCH(ROW($BO$13:$BO$4972),ROW($BO$13:$BO$4972)),""),ROWS($A$13:$A453))),INDEX($BQ$13:$BQ$212,SMALL(IF((County=$BR$13:$BR$212),MATCH(ROW($BR$13:$BR$212),ROW($BR$13:$BR$212)),""),ROWS($A$13:$A453)))),"")</f>
        <v/>
      </c>
      <c r="BY453" s="348" t="str">
        <f t="array" ref="BY453">IFERROR(IF($BY$11="Yes",INDEX($BT$13:$BT$2950,SMALL(IF((County=$BU$13:$BU$2950),MATCH(ROW($BU$13:$BU$2950),ROW($BU$13:$BU$2950)),""),ROWS($A$13:$A453))),""),"")</f>
        <v/>
      </c>
      <c r="CD453" s="237">
        <v>12.05</v>
      </c>
      <c r="CE453" s="237" t="s">
        <v>350</v>
      </c>
      <c r="CJ453" s="347">
        <v>25.12</v>
      </c>
      <c r="CK453" s="347" t="s">
        <v>345</v>
      </c>
      <c r="CL453" s="1789"/>
      <c r="CR453" s="345"/>
      <c r="CS453" s="345"/>
      <c r="CX453" s="347"/>
      <c r="CY453" s="347"/>
      <c r="DA453" s="348"/>
      <c r="DC453" s="348"/>
      <c r="DH453" s="237"/>
      <c r="DI453" s="237"/>
      <c r="DN453" s="347"/>
      <c r="DO453" s="347"/>
      <c r="DP453" s="2505"/>
      <c r="DT453" s="663"/>
      <c r="DU453" s="663"/>
      <c r="DV453" s="663"/>
      <c r="DW453" s="663"/>
      <c r="DX453" s="663"/>
      <c r="DY453" s="663"/>
      <c r="DZ453" s="663"/>
      <c r="EA453" s="663"/>
      <c r="EB453" s="663"/>
      <c r="EC453" s="663"/>
      <c r="ED453" s="663"/>
    </row>
    <row r="454" spans="6:134">
      <c r="F454" s="345">
        <v>90.21</v>
      </c>
      <c r="G454" s="345" t="s">
        <v>352</v>
      </c>
      <c r="L454" s="347">
        <v>139.02000000000001</v>
      </c>
      <c r="M454" s="347" t="s">
        <v>323</v>
      </c>
      <c r="V454" s="345">
        <v>132</v>
      </c>
      <c r="W454" s="345" t="s">
        <v>365</v>
      </c>
      <c r="AB454" s="347">
        <v>42.04</v>
      </c>
      <c r="AC454" s="347" t="s">
        <v>352</v>
      </c>
      <c r="AD454" s="1138"/>
      <c r="AJ454" s="345">
        <v>36.06</v>
      </c>
      <c r="AK454" s="345" t="s">
        <v>352</v>
      </c>
      <c r="AP454" s="347">
        <v>312.02999999999997</v>
      </c>
      <c r="AQ454" s="347" t="s">
        <v>317</v>
      </c>
      <c r="AU454" s="348" t="str">
        <f t="array" ref="AU454">IFERROR(IF($AU$11="Yes",INDEX($AP$13:$AP$2950,SMALL(IF((County=$AQ$13:$AQ$2950),MATCH(ROW($AQ$13:$AQ$2950),ROW($AQ$13:$AQ$2950)),""),ROWS($A$13:$A454))),""),"")</f>
        <v/>
      </c>
      <c r="AZ454" s="345">
        <v>112.03</v>
      </c>
      <c r="BA454" s="345" t="s">
        <v>365</v>
      </c>
      <c r="BF454" s="347">
        <v>25.1</v>
      </c>
      <c r="BG454" s="347" t="s">
        <v>368</v>
      </c>
      <c r="BH454" s="1790"/>
      <c r="BI454" s="1794"/>
      <c r="BJ454" s="1345"/>
      <c r="BN454" s="345">
        <v>503.16</v>
      </c>
      <c r="BO454" s="345" t="s">
        <v>310</v>
      </c>
      <c r="BT454" s="347">
        <v>309.05</v>
      </c>
      <c r="BU454" s="347" t="s">
        <v>317</v>
      </c>
      <c r="BW454" s="348" t="str">
        <f t="array" ref="BW454">IFERROR(IF($BW$11="Metro",INDEX($BN$13:$BN$4972,SMALL(IF((County=$BO$13:$BO$4972),MATCH(ROW($BO$13:$BO$4972),ROW($BO$13:$BO$4972)),""),ROWS($A$13:$A454))),INDEX($BQ$13:$BQ$212,SMALL(IF((County=$BR$13:$BR$212),MATCH(ROW($BR$13:$BR$212),ROW($BR$13:$BR$212)),""),ROWS($A$13:$A454)))),"")</f>
        <v/>
      </c>
      <c r="BY454" s="348" t="str">
        <f t="array" ref="BY454">IFERROR(IF($BY$11="Yes",INDEX($BT$13:$BT$2950,SMALL(IF((County=$BU$13:$BU$2950),MATCH(ROW($BU$13:$BU$2950),ROW($BU$13:$BU$2950)),""),ROWS($A$13:$A454))),""),"")</f>
        <v/>
      </c>
      <c r="CD454" s="237">
        <v>12.05</v>
      </c>
      <c r="CE454" s="237" t="s">
        <v>352</v>
      </c>
      <c r="CJ454" s="347">
        <v>25.13</v>
      </c>
      <c r="CK454" s="347" t="s">
        <v>345</v>
      </c>
      <c r="CL454" s="1789"/>
      <c r="CR454" s="345"/>
      <c r="CS454" s="345"/>
      <c r="CX454" s="347"/>
      <c r="CY454" s="347"/>
      <c r="DA454" s="348"/>
      <c r="DC454" s="348"/>
      <c r="DH454" s="237"/>
      <c r="DI454" s="237"/>
      <c r="DN454" s="347"/>
      <c r="DO454" s="347"/>
      <c r="DP454" s="2505"/>
      <c r="DT454" s="663"/>
      <c r="DU454" s="663"/>
      <c r="DV454" s="663"/>
      <c r="DW454" s="663"/>
      <c r="DX454" s="663"/>
      <c r="DY454" s="663"/>
      <c r="DZ454" s="663"/>
      <c r="EA454" s="663"/>
      <c r="EB454" s="663"/>
      <c r="EC454" s="663"/>
      <c r="ED454" s="663"/>
    </row>
    <row r="455" spans="6:134">
      <c r="F455" s="345">
        <v>90.26</v>
      </c>
      <c r="G455" s="345" t="s">
        <v>352</v>
      </c>
      <c r="L455" s="347">
        <v>139.05000000000001</v>
      </c>
      <c r="M455" s="347" t="s">
        <v>323</v>
      </c>
      <c r="V455" s="345">
        <v>133</v>
      </c>
      <c r="W455" s="345" t="s">
        <v>365</v>
      </c>
      <c r="AB455" s="347">
        <v>42.05</v>
      </c>
      <c r="AC455" s="347" t="s">
        <v>352</v>
      </c>
      <c r="AD455" s="1138"/>
      <c r="AJ455" s="345">
        <v>36.07</v>
      </c>
      <c r="AK455" s="345" t="s">
        <v>352</v>
      </c>
      <c r="AP455" s="347">
        <v>313.02</v>
      </c>
      <c r="AQ455" s="347" t="s">
        <v>317</v>
      </c>
      <c r="AU455" s="348" t="str">
        <f t="array" ref="AU455">IFERROR(IF($AU$11="Yes",INDEX($AP$13:$AP$2950,SMALL(IF((County=$AQ$13:$AQ$2950),MATCH(ROW($AQ$13:$AQ$2950),ROW($AQ$13:$AQ$2950)),""),ROWS($A$13:$A455))),""),"")</f>
        <v/>
      </c>
      <c r="AZ455" s="345">
        <v>112.04</v>
      </c>
      <c r="BA455" s="345" t="s">
        <v>318</v>
      </c>
      <c r="BF455" s="347">
        <v>25.11</v>
      </c>
      <c r="BG455" s="347" t="s">
        <v>345</v>
      </c>
      <c r="BH455" s="1790"/>
      <c r="BI455" s="1794"/>
      <c r="BJ455" s="1345"/>
      <c r="BN455" s="345">
        <v>504.01</v>
      </c>
      <c r="BO455" s="345" t="s">
        <v>310</v>
      </c>
      <c r="BT455" s="347">
        <v>311.01</v>
      </c>
      <c r="BU455" s="347" t="s">
        <v>317</v>
      </c>
      <c r="BW455" s="348" t="str">
        <f t="array" ref="BW455">IFERROR(IF($BW$11="Metro",INDEX($BN$13:$BN$4972,SMALL(IF((County=$BO$13:$BO$4972),MATCH(ROW($BO$13:$BO$4972),ROW($BO$13:$BO$4972)),""),ROWS($A$13:$A455))),INDEX($BQ$13:$BQ$212,SMALL(IF((County=$BR$13:$BR$212),MATCH(ROW($BR$13:$BR$212),ROW($BR$13:$BR$212)),""),ROWS($A$13:$A455)))),"")</f>
        <v/>
      </c>
      <c r="BY455" s="348" t="str">
        <f t="array" ref="BY455">IFERROR(IF($BY$11="Yes",INDEX($BT$13:$BT$2950,SMALL(IF((County=$BU$13:$BU$2950),MATCH(ROW($BU$13:$BU$2950),ROW($BU$13:$BU$2950)),""),ROWS($A$13:$A455))),""),"")</f>
        <v/>
      </c>
      <c r="CD455" s="237">
        <v>12.05</v>
      </c>
      <c r="CE455" s="237" t="s">
        <v>368</v>
      </c>
      <c r="CJ455" s="347">
        <v>25.14</v>
      </c>
      <c r="CK455" s="347" t="s">
        <v>345</v>
      </c>
      <c r="CL455" s="1789"/>
      <c r="CR455" s="345"/>
      <c r="CS455" s="345"/>
      <c r="CX455" s="347"/>
      <c r="CY455" s="347"/>
      <c r="DA455" s="348"/>
      <c r="DC455" s="348"/>
      <c r="DH455" s="237"/>
      <c r="DI455" s="237"/>
      <c r="DN455" s="347"/>
      <c r="DO455" s="347"/>
      <c r="DP455" s="2505"/>
      <c r="DT455" s="663"/>
      <c r="DU455" s="663"/>
      <c r="DV455" s="663"/>
      <c r="DW455" s="663"/>
      <c r="DX455" s="663"/>
      <c r="DY455" s="663"/>
      <c r="DZ455" s="663"/>
      <c r="EA455" s="663"/>
      <c r="EB455" s="663"/>
      <c r="EC455" s="663"/>
      <c r="ED455" s="663"/>
    </row>
    <row r="456" spans="6:134">
      <c r="F456" s="345">
        <v>93.06</v>
      </c>
      <c r="G456" s="345" t="s">
        <v>352</v>
      </c>
      <c r="L456" s="347">
        <v>139.06</v>
      </c>
      <c r="M456" s="347" t="s">
        <v>323</v>
      </c>
      <c r="V456" s="345">
        <v>133.16999999999999</v>
      </c>
      <c r="W456" s="345" t="s">
        <v>337</v>
      </c>
      <c r="AB456" s="347">
        <v>43</v>
      </c>
      <c r="AC456" s="347" t="s">
        <v>361</v>
      </c>
      <c r="AD456" s="1138"/>
      <c r="AJ456" s="345">
        <v>39.090000000000003</v>
      </c>
      <c r="AK456" s="345" t="s">
        <v>352</v>
      </c>
      <c r="AP456" s="347">
        <v>1.01</v>
      </c>
      <c r="AQ456" s="347" t="s">
        <v>318</v>
      </c>
      <c r="AU456" s="348" t="str">
        <f t="array" ref="AU456">IFERROR(IF($AU$11="Yes",INDEX($AP$13:$AP$2950,SMALL(IF((County=$AQ$13:$AQ$2950),MATCH(ROW($AQ$13:$AQ$2950),ROW($AQ$13:$AQ$2950)),""),ROWS($A$13:$A456))),""),"")</f>
        <v/>
      </c>
      <c r="AZ456" s="345">
        <v>112.04</v>
      </c>
      <c r="BA456" s="345" t="s">
        <v>352</v>
      </c>
      <c r="BF456" s="347">
        <v>25.11</v>
      </c>
      <c r="BG456" s="347" t="s">
        <v>368</v>
      </c>
      <c r="BH456" s="1790"/>
      <c r="BI456" s="1794"/>
      <c r="BJ456" s="1345"/>
      <c r="BN456" s="345">
        <v>504.02</v>
      </c>
      <c r="BO456" s="345" t="s">
        <v>310</v>
      </c>
      <c r="BT456" s="347">
        <v>312.02</v>
      </c>
      <c r="BU456" s="347" t="s">
        <v>317</v>
      </c>
      <c r="BW456" s="348" t="str">
        <f t="array" ref="BW456">IFERROR(IF($BW$11="Metro",INDEX($BN$13:$BN$4972,SMALL(IF((County=$BO$13:$BO$4972),MATCH(ROW($BO$13:$BO$4972),ROW($BO$13:$BO$4972)),""),ROWS($A$13:$A456))),INDEX($BQ$13:$BQ$212,SMALL(IF((County=$BR$13:$BR$212),MATCH(ROW($BR$13:$BR$212),ROW($BR$13:$BR$212)),""),ROWS($A$13:$A456)))),"")</f>
        <v/>
      </c>
      <c r="BY456" s="348" t="str">
        <f t="array" ref="BY456">IFERROR(IF($BY$11="Yes",INDEX($BT$13:$BT$2950,SMALL(IF((County=$BU$13:$BU$2950),MATCH(ROW($BU$13:$BU$2950),ROW($BU$13:$BU$2950)),""),ROWS($A$13:$A456))),""),"")</f>
        <v/>
      </c>
      <c r="CD456" s="237">
        <v>12.06</v>
      </c>
      <c r="CE456" s="237" t="s">
        <v>344</v>
      </c>
      <c r="CJ456" s="347">
        <v>25.15</v>
      </c>
      <c r="CK456" s="347" t="s">
        <v>345</v>
      </c>
      <c r="CL456" s="1789"/>
      <c r="CR456" s="345"/>
      <c r="CS456" s="345"/>
      <c r="CX456" s="347"/>
      <c r="CY456" s="347"/>
      <c r="DA456" s="348"/>
      <c r="DC456" s="348"/>
      <c r="DH456" s="237"/>
      <c r="DI456" s="237"/>
      <c r="DN456" s="347"/>
      <c r="DO456" s="347"/>
      <c r="DP456" s="2505"/>
      <c r="DT456" s="663"/>
      <c r="DU456" s="663"/>
      <c r="DV456" s="663"/>
      <c r="DW456" s="663"/>
      <c r="DX456" s="663"/>
      <c r="DY456" s="663"/>
      <c r="DZ456" s="663"/>
      <c r="EA456" s="663"/>
      <c r="EB456" s="663"/>
      <c r="EC456" s="663"/>
      <c r="ED456" s="663"/>
    </row>
    <row r="457" spans="6:134">
      <c r="F457" s="345">
        <v>93.07</v>
      </c>
      <c r="G457" s="345" t="s">
        <v>352</v>
      </c>
      <c r="L457" s="347">
        <v>140.01</v>
      </c>
      <c r="M457" s="347" t="s">
        <v>323</v>
      </c>
      <c r="V457" s="345">
        <v>134</v>
      </c>
      <c r="W457" s="345" t="s">
        <v>365</v>
      </c>
      <c r="AB457" s="347">
        <v>43.01</v>
      </c>
      <c r="AC457" s="347" t="s">
        <v>352</v>
      </c>
      <c r="AD457" s="1138"/>
      <c r="AJ457" s="345">
        <v>39.11</v>
      </c>
      <c r="AK457" s="345" t="s">
        <v>352</v>
      </c>
      <c r="AP457" s="347">
        <v>1.02</v>
      </c>
      <c r="AQ457" s="347" t="s">
        <v>318</v>
      </c>
      <c r="AU457" s="348" t="str">
        <f t="array" ref="AU457">IFERROR(IF($AU$11="Yes",INDEX($AP$13:$AP$2950,SMALL(IF((County=$AQ$13:$AQ$2950),MATCH(ROW($AQ$13:$AQ$2950),ROW($AQ$13:$AQ$2950)),""),ROWS($A$13:$A457))),""),"")</f>
        <v/>
      </c>
      <c r="AZ457" s="345">
        <v>112.04</v>
      </c>
      <c r="BA457" s="345" t="s">
        <v>365</v>
      </c>
      <c r="BF457" s="347">
        <v>25.12</v>
      </c>
      <c r="BG457" s="347" t="s">
        <v>345</v>
      </c>
      <c r="BH457" s="1790"/>
      <c r="BI457" s="1794"/>
      <c r="BJ457" s="1345"/>
      <c r="BN457" s="345">
        <v>505.01</v>
      </c>
      <c r="BO457" s="345" t="s">
        <v>310</v>
      </c>
      <c r="BT457" s="347">
        <v>312.02999999999997</v>
      </c>
      <c r="BU457" s="347" t="s">
        <v>317</v>
      </c>
      <c r="BW457" s="348" t="str">
        <f t="array" ref="BW457">IFERROR(IF($BW$11="Metro",INDEX($BN$13:$BN$4972,SMALL(IF((County=$BO$13:$BO$4972),MATCH(ROW($BO$13:$BO$4972),ROW($BO$13:$BO$4972)),""),ROWS($A$13:$A457))),INDEX($BQ$13:$BQ$212,SMALL(IF((County=$BR$13:$BR$212),MATCH(ROW($BR$13:$BR$212),ROW($BR$13:$BR$212)),""),ROWS($A$13:$A457)))),"")</f>
        <v/>
      </c>
      <c r="BY457" s="348" t="str">
        <f t="array" ref="BY457">IFERROR(IF($BY$11="Yes",INDEX($BT$13:$BT$2950,SMALL(IF((County=$BU$13:$BU$2950),MATCH(ROW($BU$13:$BU$2950),ROW($BU$13:$BU$2950)),""),ROWS($A$13:$A457))),""),"")</f>
        <v/>
      </c>
      <c r="CD457" s="237">
        <v>12.06</v>
      </c>
      <c r="CE457" s="237" t="s">
        <v>350</v>
      </c>
      <c r="CJ457" s="347">
        <v>25.16</v>
      </c>
      <c r="CK457" s="347" t="s">
        <v>345</v>
      </c>
      <c r="CL457" s="1789"/>
      <c r="CR457" s="345"/>
      <c r="CS457" s="345"/>
      <c r="CX457" s="347"/>
      <c r="CY457" s="347"/>
      <c r="DA457" s="348"/>
      <c r="DC457" s="348"/>
      <c r="DH457" s="237"/>
      <c r="DI457" s="237"/>
      <c r="DN457" s="347"/>
      <c r="DO457" s="347"/>
      <c r="DP457" s="2505"/>
      <c r="DT457" s="663"/>
      <c r="DU457" s="663"/>
      <c r="DV457" s="663"/>
      <c r="DW457" s="663"/>
      <c r="DX457" s="663"/>
      <c r="DY457" s="663"/>
      <c r="DZ457" s="663"/>
      <c r="EA457" s="663"/>
      <c r="EB457" s="663"/>
      <c r="EC457" s="663"/>
      <c r="ED457" s="663"/>
    </row>
    <row r="458" spans="6:134">
      <c r="F458" s="345">
        <v>93.08</v>
      </c>
      <c r="G458" s="345" t="s">
        <v>352</v>
      </c>
      <c r="L458" s="347">
        <v>140.02000000000001</v>
      </c>
      <c r="M458" s="347" t="s">
        <v>323</v>
      </c>
      <c r="V458" s="345">
        <v>134.02000000000001</v>
      </c>
      <c r="W458" s="345" t="s">
        <v>323</v>
      </c>
      <c r="AB458" s="347">
        <v>43.03</v>
      </c>
      <c r="AC458" s="347" t="s">
        <v>352</v>
      </c>
      <c r="AD458" s="1138"/>
      <c r="AJ458" s="345">
        <v>41.03</v>
      </c>
      <c r="AK458" s="345" t="s">
        <v>352</v>
      </c>
      <c r="AP458" s="347">
        <v>2</v>
      </c>
      <c r="AQ458" s="347" t="s">
        <v>318</v>
      </c>
      <c r="AU458" s="348" t="str">
        <f t="array" ref="AU458">IFERROR(IF($AU$11="Yes",INDEX($AP$13:$AP$2950,SMALL(IF((County=$AQ$13:$AQ$2950),MATCH(ROW($AQ$13:$AQ$2950),ROW($AQ$13:$AQ$2950)),""),ROWS($A$13:$A458))),""),"")</f>
        <v/>
      </c>
      <c r="AZ458" s="345">
        <v>112.05</v>
      </c>
      <c r="BA458" s="345" t="s">
        <v>318</v>
      </c>
      <c r="BF458" s="347">
        <v>25.13</v>
      </c>
      <c r="BG458" s="347" t="s">
        <v>345</v>
      </c>
      <c r="BH458" s="1790"/>
      <c r="BI458" s="1794"/>
      <c r="BJ458" s="1345"/>
      <c r="BN458" s="345">
        <v>505.02</v>
      </c>
      <c r="BO458" s="345" t="s">
        <v>310</v>
      </c>
      <c r="BT458" s="347">
        <v>313.02</v>
      </c>
      <c r="BU458" s="347" t="s">
        <v>317</v>
      </c>
      <c r="BW458" s="348" t="str">
        <f t="array" ref="BW458">IFERROR(IF($BW$11="Metro",INDEX($BN$13:$BN$4972,SMALL(IF((County=$BO$13:$BO$4972),MATCH(ROW($BO$13:$BO$4972),ROW($BO$13:$BO$4972)),""),ROWS($A$13:$A458))),INDEX($BQ$13:$BQ$212,SMALL(IF((County=$BR$13:$BR$212),MATCH(ROW($BR$13:$BR$212),ROW($BR$13:$BR$212)),""),ROWS($A$13:$A458)))),"")</f>
        <v/>
      </c>
      <c r="BY458" s="348" t="str">
        <f t="array" ref="BY458">IFERROR(IF($BY$11="Yes",INDEX($BT$13:$BT$2950,SMALL(IF((County=$BU$13:$BU$2950),MATCH(ROW($BU$13:$BU$2950),ROW($BU$13:$BU$2950)),""),ROWS($A$13:$A458))),""),"")</f>
        <v/>
      </c>
      <c r="CD458" s="237">
        <v>12.06</v>
      </c>
      <c r="CE458" s="237" t="s">
        <v>352</v>
      </c>
      <c r="CJ458" s="347">
        <v>25.17</v>
      </c>
      <c r="CK458" s="347" t="s">
        <v>345</v>
      </c>
      <c r="CL458" s="1789"/>
      <c r="CR458" s="345"/>
      <c r="CS458" s="345"/>
      <c r="CX458" s="347"/>
      <c r="CY458" s="347"/>
      <c r="DA458" s="348"/>
      <c r="DC458" s="348"/>
      <c r="DH458" s="237"/>
      <c r="DI458" s="237"/>
      <c r="DN458" s="347"/>
      <c r="DO458" s="347"/>
      <c r="DP458" s="2505"/>
      <c r="DT458" s="663"/>
      <c r="DU458" s="663"/>
      <c r="DV458" s="663"/>
      <c r="DW458" s="663"/>
      <c r="DX458" s="663"/>
      <c r="DY458" s="663"/>
      <c r="DZ458" s="663"/>
      <c r="EA458" s="663"/>
      <c r="EB458" s="663"/>
      <c r="EC458" s="663"/>
      <c r="ED458" s="663"/>
    </row>
    <row r="459" spans="6:134">
      <c r="F459" s="345">
        <v>93.09</v>
      </c>
      <c r="G459" s="345" t="s">
        <v>352</v>
      </c>
      <c r="L459" s="347">
        <v>141.01</v>
      </c>
      <c r="M459" s="347" t="s">
        <v>323</v>
      </c>
      <c r="V459" s="345">
        <v>134.03</v>
      </c>
      <c r="W459" s="345" t="s">
        <v>359</v>
      </c>
      <c r="AB459" s="347">
        <v>43.04</v>
      </c>
      <c r="AC459" s="347" t="s">
        <v>352</v>
      </c>
      <c r="AD459" s="1138"/>
      <c r="AJ459" s="345">
        <v>44.04</v>
      </c>
      <c r="AK459" s="345" t="s">
        <v>352</v>
      </c>
      <c r="AP459" s="347">
        <v>3.01</v>
      </c>
      <c r="AQ459" s="347" t="s">
        <v>318</v>
      </c>
      <c r="AU459" s="348" t="str">
        <f t="array" ref="AU459">IFERROR(IF($AU$11="Yes",INDEX($AP$13:$AP$2950,SMALL(IF((County=$AQ$13:$AQ$2950),MATCH(ROW($AQ$13:$AQ$2950),ROW($AQ$13:$AQ$2950)),""),ROWS($A$13:$A459))),""),"")</f>
        <v/>
      </c>
      <c r="AZ459" s="345">
        <v>112.05</v>
      </c>
      <c r="BA459" s="345" t="s">
        <v>352</v>
      </c>
      <c r="BF459" s="347">
        <v>25.14</v>
      </c>
      <c r="BG459" s="347" t="s">
        <v>345</v>
      </c>
      <c r="BH459" s="1790"/>
      <c r="BI459" s="1794"/>
      <c r="BJ459" s="1345"/>
      <c r="BN459" s="345">
        <v>506.01</v>
      </c>
      <c r="BO459" s="345" t="s">
        <v>310</v>
      </c>
      <c r="BT459" s="347">
        <v>9800</v>
      </c>
      <c r="BU459" s="347" t="s">
        <v>317</v>
      </c>
      <c r="BW459" s="348" t="str">
        <f t="array" ref="BW459">IFERROR(IF($BW$11="Metro",INDEX($BN$13:$BN$4972,SMALL(IF((County=$BO$13:$BO$4972),MATCH(ROW($BO$13:$BO$4972),ROW($BO$13:$BO$4972)),""),ROWS($A$13:$A459))),INDEX($BQ$13:$BQ$212,SMALL(IF((County=$BR$13:$BR$212),MATCH(ROW($BR$13:$BR$212),ROW($BR$13:$BR$212)),""),ROWS($A$13:$A459)))),"")</f>
        <v/>
      </c>
      <c r="BY459" s="348" t="str">
        <f t="array" ref="BY459">IFERROR(IF($BY$11="Yes",INDEX($BT$13:$BT$2950,SMALL(IF((County=$BU$13:$BU$2950),MATCH(ROW($BU$13:$BU$2950),ROW($BU$13:$BU$2950)),""),ROWS($A$13:$A459))),""),"")</f>
        <v/>
      </c>
      <c r="CD459" s="237">
        <v>12.06</v>
      </c>
      <c r="CE459" s="237" t="s">
        <v>368</v>
      </c>
      <c r="CJ459" s="347">
        <v>26</v>
      </c>
      <c r="CK459" s="347" t="s">
        <v>352</v>
      </c>
      <c r="CL459" s="1789"/>
      <c r="CR459" s="345"/>
      <c r="CS459" s="345"/>
      <c r="CX459" s="347"/>
      <c r="CY459" s="347"/>
      <c r="DA459" s="348"/>
      <c r="DC459" s="348"/>
      <c r="DH459" s="237"/>
      <c r="DI459" s="237"/>
      <c r="DN459" s="347"/>
      <c r="DO459" s="347"/>
      <c r="DP459" s="2505"/>
      <c r="DT459" s="663"/>
      <c r="DU459" s="663"/>
      <c r="DV459" s="663"/>
      <c r="DW459" s="663"/>
      <c r="DX459" s="663"/>
      <c r="DY459" s="663"/>
      <c r="DZ459" s="663"/>
      <c r="EA459" s="663"/>
      <c r="EB459" s="663"/>
      <c r="EC459" s="663"/>
      <c r="ED459" s="663"/>
    </row>
    <row r="460" spans="6:134">
      <c r="F460" s="345">
        <v>93.11</v>
      </c>
      <c r="G460" s="345" t="s">
        <v>352</v>
      </c>
      <c r="L460" s="347">
        <v>141.02000000000001</v>
      </c>
      <c r="M460" s="347" t="s">
        <v>323</v>
      </c>
      <c r="V460" s="345">
        <v>134.05000000000001</v>
      </c>
      <c r="W460" s="345" t="s">
        <v>359</v>
      </c>
      <c r="AB460" s="347">
        <v>44.03</v>
      </c>
      <c r="AC460" s="347" t="s">
        <v>352</v>
      </c>
      <c r="AD460" s="1138"/>
      <c r="AJ460" s="345">
        <v>44.05</v>
      </c>
      <c r="AK460" s="345" t="s">
        <v>352</v>
      </c>
      <c r="AP460" s="347">
        <v>3.02</v>
      </c>
      <c r="AQ460" s="347" t="s">
        <v>318</v>
      </c>
      <c r="AU460" s="348" t="str">
        <f t="array" ref="AU460">IFERROR(IF($AU$11="Yes",INDEX($AP$13:$AP$2950,SMALL(IF((County=$AQ$13:$AQ$2950),MATCH(ROW($AQ$13:$AQ$2950),ROW($AQ$13:$AQ$2950)),""),ROWS($A$13:$A460))),""),"")</f>
        <v/>
      </c>
      <c r="AZ460" s="345">
        <v>112.06</v>
      </c>
      <c r="BA460" s="345" t="s">
        <v>337</v>
      </c>
      <c r="BF460" s="347">
        <v>25.15</v>
      </c>
      <c r="BG460" s="347" t="s">
        <v>345</v>
      </c>
      <c r="BH460" s="1790"/>
      <c r="BI460" s="1794"/>
      <c r="BJ460" s="1345"/>
      <c r="BN460" s="345">
        <v>506.02</v>
      </c>
      <c r="BO460" s="345" t="s">
        <v>310</v>
      </c>
      <c r="BT460" s="347">
        <v>1.01</v>
      </c>
      <c r="BU460" s="347" t="s">
        <v>318</v>
      </c>
      <c r="BW460" s="348" t="str">
        <f t="array" ref="BW460">IFERROR(IF($BW$11="Metro",INDEX($BN$13:$BN$4972,SMALL(IF((County=$BO$13:$BO$4972),MATCH(ROW($BO$13:$BO$4972),ROW($BO$13:$BO$4972)),""),ROWS($A$13:$A460))),INDEX($BQ$13:$BQ$212,SMALL(IF((County=$BR$13:$BR$212),MATCH(ROW($BR$13:$BR$212),ROW($BR$13:$BR$212)),""),ROWS($A$13:$A460)))),"")</f>
        <v/>
      </c>
      <c r="BY460" s="348" t="str">
        <f t="array" ref="BY460">IFERROR(IF($BY$11="Yes",INDEX($BT$13:$BT$2950,SMALL(IF((County=$BU$13:$BU$2950),MATCH(ROW($BU$13:$BU$2950),ROW($BU$13:$BU$2950)),""),ROWS($A$13:$A460))),""),"")</f>
        <v/>
      </c>
      <c r="CD460" s="237">
        <v>12.07</v>
      </c>
      <c r="CE460" s="237" t="s">
        <v>344</v>
      </c>
      <c r="CJ460" s="347">
        <v>26</v>
      </c>
      <c r="CK460" s="347" t="s">
        <v>361</v>
      </c>
      <c r="CL460" s="1789"/>
      <c r="CR460" s="345"/>
      <c r="CS460" s="345"/>
      <c r="CX460" s="347"/>
      <c r="CY460" s="347"/>
      <c r="DA460" s="348"/>
      <c r="DC460" s="348"/>
      <c r="DH460" s="237"/>
      <c r="DI460" s="237"/>
      <c r="DN460" s="347"/>
      <c r="DO460" s="347"/>
      <c r="DP460" s="2505"/>
      <c r="DT460" s="663"/>
      <c r="DU460" s="663"/>
      <c r="DV460" s="663"/>
      <c r="DW460" s="663"/>
      <c r="DX460" s="663"/>
      <c r="DY460" s="663"/>
      <c r="DZ460" s="663"/>
      <c r="EA460" s="663"/>
      <c r="EB460" s="663"/>
      <c r="EC460" s="663"/>
      <c r="ED460" s="663"/>
    </row>
    <row r="461" spans="6:134">
      <c r="F461" s="345">
        <v>93.14</v>
      </c>
      <c r="G461" s="345" t="s">
        <v>352</v>
      </c>
      <c r="L461" s="347">
        <v>142.02000000000001</v>
      </c>
      <c r="M461" s="347" t="s">
        <v>323</v>
      </c>
      <c r="V461" s="345">
        <v>135</v>
      </c>
      <c r="W461" s="345" t="s">
        <v>352</v>
      </c>
      <c r="AB461" s="347">
        <v>44.04</v>
      </c>
      <c r="AC461" s="347" t="s">
        <v>352</v>
      </c>
      <c r="AD461" s="1138"/>
      <c r="AJ461" s="345">
        <v>49.01</v>
      </c>
      <c r="AK461" s="345" t="s">
        <v>352</v>
      </c>
      <c r="AP461" s="347">
        <v>4.01</v>
      </c>
      <c r="AQ461" s="347" t="s">
        <v>318</v>
      </c>
      <c r="AU461" s="348" t="str">
        <f t="array" ref="AU461">IFERROR(IF($AU$11="Yes",INDEX($AP$13:$AP$2950,SMALL(IF((County=$AQ$13:$AQ$2950),MATCH(ROW($AQ$13:$AQ$2950),ROW($AQ$13:$AQ$2950)),""),ROWS($A$13:$A461))),""),"")</f>
        <v/>
      </c>
      <c r="AZ461" s="345">
        <v>112.06</v>
      </c>
      <c r="BA461" s="345" t="s">
        <v>352</v>
      </c>
      <c r="BF461" s="347">
        <v>25.16</v>
      </c>
      <c r="BG461" s="347" t="s">
        <v>345</v>
      </c>
      <c r="BH461" s="1790"/>
      <c r="BI461" s="1794"/>
      <c r="BJ461" s="1345"/>
      <c r="BN461" s="345">
        <v>507.01</v>
      </c>
      <c r="BO461" s="345" t="s">
        <v>310</v>
      </c>
      <c r="BT461" s="347">
        <v>1.02</v>
      </c>
      <c r="BU461" s="347" t="s">
        <v>318</v>
      </c>
      <c r="BW461" s="348" t="str">
        <f t="array" ref="BW461">IFERROR(IF($BW$11="Metro",INDEX($BN$13:$BN$4972,SMALL(IF((County=$BO$13:$BO$4972),MATCH(ROW($BO$13:$BO$4972),ROW($BO$13:$BO$4972)),""),ROWS($A$13:$A461))),INDEX($BQ$13:$BQ$212,SMALL(IF((County=$BR$13:$BR$212),MATCH(ROW($BR$13:$BR$212),ROW($BR$13:$BR$212)),""),ROWS($A$13:$A461)))),"")</f>
        <v/>
      </c>
      <c r="BY461" s="348" t="str">
        <f t="array" ref="BY461">IFERROR(IF($BY$11="Yes",INDEX($BT$13:$BT$2950,SMALL(IF((County=$BU$13:$BU$2950),MATCH(ROW($BU$13:$BU$2950),ROW($BU$13:$BU$2950)),""),ROWS($A$13:$A461))),""),"")</f>
        <v/>
      </c>
      <c r="CD461" s="237">
        <v>12.07</v>
      </c>
      <c r="CE461" s="237" t="s">
        <v>352</v>
      </c>
      <c r="CJ461" s="347">
        <v>26.01</v>
      </c>
      <c r="CK461" s="347" t="s">
        <v>325</v>
      </c>
      <c r="CL461" s="1789"/>
      <c r="CR461" s="345"/>
      <c r="CS461" s="345"/>
      <c r="CX461" s="347"/>
      <c r="CY461" s="347"/>
      <c r="DA461" s="348"/>
      <c r="DC461" s="348"/>
      <c r="DH461" s="237"/>
      <c r="DI461" s="237"/>
      <c r="DN461" s="347"/>
      <c r="DO461" s="347"/>
      <c r="DP461" s="2505"/>
      <c r="DT461" s="663"/>
      <c r="DU461" s="663"/>
      <c r="DV461" s="663"/>
      <c r="DW461" s="663"/>
      <c r="DX461" s="663"/>
      <c r="DY461" s="663"/>
      <c r="DZ461" s="663"/>
      <c r="EA461" s="663"/>
      <c r="EB461" s="663"/>
      <c r="EC461" s="663"/>
      <c r="ED461" s="663"/>
    </row>
    <row r="462" spans="6:134">
      <c r="F462" s="345">
        <v>93.15</v>
      </c>
      <c r="G462" s="345" t="s">
        <v>352</v>
      </c>
      <c r="L462" s="347">
        <v>142.03</v>
      </c>
      <c r="M462" s="347" t="s">
        <v>323</v>
      </c>
      <c r="V462" s="345">
        <v>135.03</v>
      </c>
      <c r="W462" s="345" t="s">
        <v>359</v>
      </c>
      <c r="AB462" s="347">
        <v>44.05</v>
      </c>
      <c r="AC462" s="347" t="s">
        <v>352</v>
      </c>
      <c r="AD462" s="1138"/>
      <c r="AJ462" s="345">
        <v>49.03</v>
      </c>
      <c r="AK462" s="345" t="s">
        <v>352</v>
      </c>
      <c r="AP462" s="347">
        <v>4.0199999999999996</v>
      </c>
      <c r="AQ462" s="347" t="s">
        <v>318</v>
      </c>
      <c r="AU462" s="348" t="str">
        <f t="array" ref="AU462">IFERROR(IF($AU$11="Yes",INDEX($AP$13:$AP$2950,SMALL(IF((County=$AQ$13:$AQ$2950),MATCH(ROW($AQ$13:$AQ$2950),ROW($AQ$13:$AQ$2950)),""),ROWS($A$13:$A462))),""),"")</f>
        <v/>
      </c>
      <c r="AZ462" s="345">
        <v>113</v>
      </c>
      <c r="BA462" s="345" t="s">
        <v>323</v>
      </c>
      <c r="BF462" s="347">
        <v>25.17</v>
      </c>
      <c r="BG462" s="347" t="s">
        <v>345</v>
      </c>
      <c r="BH462" s="1790"/>
      <c r="BI462" s="1794"/>
      <c r="BJ462" s="1345"/>
      <c r="BN462" s="345">
        <v>507.02</v>
      </c>
      <c r="BO462" s="345" t="s">
        <v>310</v>
      </c>
      <c r="BT462" s="347">
        <v>2</v>
      </c>
      <c r="BU462" s="347" t="s">
        <v>318</v>
      </c>
      <c r="BW462" s="348" t="str">
        <f t="array" ref="BW462">IFERROR(IF($BW$11="Metro",INDEX($BN$13:$BN$4972,SMALL(IF((County=$BO$13:$BO$4972),MATCH(ROW($BO$13:$BO$4972),ROW($BO$13:$BO$4972)),""),ROWS($A$13:$A462))),INDEX($BQ$13:$BQ$212,SMALL(IF((County=$BR$13:$BR$212),MATCH(ROW($BR$13:$BR$212),ROW($BR$13:$BR$212)),""),ROWS($A$13:$A462)))),"")</f>
        <v/>
      </c>
      <c r="BY462" s="348" t="str">
        <f t="array" ref="BY462">IFERROR(IF($BY$11="Yes",INDEX($BT$13:$BT$2950,SMALL(IF((County=$BU$13:$BU$2950),MATCH(ROW($BU$13:$BU$2950),ROW($BU$13:$BU$2950)),""),ROWS($A$13:$A462))),""),"")</f>
        <v/>
      </c>
      <c r="CD462" s="237">
        <v>12.08</v>
      </c>
      <c r="CE462" s="237" t="s">
        <v>344</v>
      </c>
      <c r="CJ462" s="347">
        <v>26.01</v>
      </c>
      <c r="CK462" s="347" t="s">
        <v>368</v>
      </c>
      <c r="CL462" s="1789"/>
      <c r="CR462" s="345"/>
      <c r="CS462" s="345"/>
      <c r="CX462" s="347"/>
      <c r="CY462" s="347"/>
      <c r="DA462" s="348"/>
      <c r="DC462" s="348"/>
      <c r="DH462" s="237"/>
      <c r="DI462" s="237"/>
      <c r="DN462" s="347"/>
      <c r="DO462" s="347"/>
      <c r="DP462" s="2505"/>
      <c r="DT462" s="663"/>
      <c r="DU462" s="663"/>
      <c r="DV462" s="663"/>
      <c r="DW462" s="663"/>
      <c r="DX462" s="663"/>
      <c r="DY462" s="663"/>
      <c r="DZ462" s="663"/>
      <c r="EA462" s="663"/>
      <c r="EB462" s="663"/>
      <c r="EC462" s="663"/>
      <c r="ED462" s="663"/>
    </row>
    <row r="463" spans="6:134">
      <c r="F463" s="345">
        <v>95.01</v>
      </c>
      <c r="G463" s="345" t="s">
        <v>352</v>
      </c>
      <c r="L463" s="347">
        <v>142.04</v>
      </c>
      <c r="M463" s="347" t="s">
        <v>323</v>
      </c>
      <c r="V463" s="345">
        <v>135.04</v>
      </c>
      <c r="W463" s="345" t="s">
        <v>337</v>
      </c>
      <c r="AB463" s="347">
        <v>44.06</v>
      </c>
      <c r="AC463" s="347" t="s">
        <v>352</v>
      </c>
      <c r="AD463" s="1138"/>
      <c r="AJ463" s="345">
        <v>49.04</v>
      </c>
      <c r="AK463" s="345" t="s">
        <v>352</v>
      </c>
      <c r="AP463" s="347">
        <v>5</v>
      </c>
      <c r="AQ463" s="347" t="s">
        <v>318</v>
      </c>
      <c r="AU463" s="348" t="str">
        <f t="array" ref="AU463">IFERROR(IF($AU$11="Yes",INDEX($AP$13:$AP$2950,SMALL(IF((County=$AQ$13:$AQ$2950),MATCH(ROW($AQ$13:$AQ$2950),ROW($AQ$13:$AQ$2950)),""),ROWS($A$13:$A463))),""),"")</f>
        <v/>
      </c>
      <c r="AZ463" s="345">
        <v>113</v>
      </c>
      <c r="BA463" s="345" t="s">
        <v>365</v>
      </c>
      <c r="BF463" s="347">
        <v>26</v>
      </c>
      <c r="BG463" s="347" t="s">
        <v>352</v>
      </c>
      <c r="BH463" s="1790"/>
      <c r="BI463" s="1794"/>
      <c r="BJ463" s="1345"/>
      <c r="BN463" s="345">
        <v>508</v>
      </c>
      <c r="BO463" s="345" t="s">
        <v>310</v>
      </c>
      <c r="BT463" s="347">
        <v>3.01</v>
      </c>
      <c r="BU463" s="347" t="s">
        <v>318</v>
      </c>
      <c r="BW463" s="348" t="str">
        <f t="array" ref="BW463">IFERROR(IF($BW$11="Metro",INDEX($BN$13:$BN$4972,SMALL(IF((County=$BO$13:$BO$4972),MATCH(ROW($BO$13:$BO$4972),ROW($BO$13:$BO$4972)),""),ROWS($A$13:$A463))),INDEX($BQ$13:$BQ$212,SMALL(IF((County=$BR$13:$BR$212),MATCH(ROW($BR$13:$BR$212),ROW($BR$13:$BR$212)),""),ROWS($A$13:$A463)))),"")</f>
        <v/>
      </c>
      <c r="BY463" s="348" t="str">
        <f t="array" ref="BY463">IFERROR(IF($BY$11="Yes",INDEX($BT$13:$BT$2950,SMALL(IF((County=$BU$13:$BU$2950),MATCH(ROW($BU$13:$BU$2950),ROW($BU$13:$BU$2950)),""),ROWS($A$13:$A463))),""),"")</f>
        <v/>
      </c>
      <c r="CD463" s="237">
        <v>12.08</v>
      </c>
      <c r="CE463" s="237" t="s">
        <v>350</v>
      </c>
      <c r="CJ463" s="347">
        <v>26.02</v>
      </c>
      <c r="CK463" s="347" t="s">
        <v>325</v>
      </c>
      <c r="CL463" s="1789"/>
      <c r="CR463" s="345"/>
      <c r="CS463" s="345"/>
      <c r="CX463" s="347"/>
      <c r="CY463" s="347"/>
      <c r="DA463" s="348"/>
      <c r="DC463" s="348"/>
      <c r="DH463" s="237"/>
      <c r="DI463" s="237"/>
      <c r="DN463" s="347"/>
      <c r="DO463" s="347"/>
      <c r="DP463" s="2505"/>
      <c r="DT463" s="663"/>
      <c r="DU463" s="663"/>
      <c r="DV463" s="663"/>
      <c r="DW463" s="663"/>
      <c r="DX463" s="663"/>
      <c r="DY463" s="663"/>
      <c r="DZ463" s="663"/>
      <c r="EA463" s="663"/>
      <c r="EB463" s="663"/>
      <c r="EC463" s="663"/>
      <c r="ED463" s="663"/>
    </row>
    <row r="464" spans="6:134">
      <c r="F464" s="345">
        <v>96</v>
      </c>
      <c r="G464" s="345" t="s">
        <v>352</v>
      </c>
      <c r="L464" s="347">
        <v>143.12</v>
      </c>
      <c r="M464" s="347" t="s">
        <v>323</v>
      </c>
      <c r="V464" s="345">
        <v>135.05000000000001</v>
      </c>
      <c r="W464" s="345" t="s">
        <v>337</v>
      </c>
      <c r="AB464" s="347">
        <v>45</v>
      </c>
      <c r="AC464" s="347" t="s">
        <v>352</v>
      </c>
      <c r="AD464" s="1138"/>
      <c r="AJ464" s="345">
        <v>50.02</v>
      </c>
      <c r="AK464" s="345" t="s">
        <v>352</v>
      </c>
      <c r="AP464" s="347">
        <v>6</v>
      </c>
      <c r="AQ464" s="347" t="s">
        <v>318</v>
      </c>
      <c r="AU464" s="348" t="str">
        <f t="array" ref="AU464">IFERROR(IF($AU$11="Yes",INDEX($AP$13:$AP$2950,SMALL(IF((County=$AQ$13:$AQ$2950),MATCH(ROW($AQ$13:$AQ$2950),ROW($AQ$13:$AQ$2950)),""),ROWS($A$13:$A464))),""),"")</f>
        <v/>
      </c>
      <c r="AZ464" s="345">
        <v>113.01</v>
      </c>
      <c r="BA464" s="345" t="s">
        <v>352</v>
      </c>
      <c r="BF464" s="347">
        <v>26</v>
      </c>
      <c r="BG464" s="347" t="s">
        <v>361</v>
      </c>
      <c r="BH464" s="1790"/>
      <c r="BI464" s="1794"/>
      <c r="BJ464" s="1345"/>
      <c r="BN464" s="345">
        <v>509</v>
      </c>
      <c r="BO464" s="345" t="s">
        <v>310</v>
      </c>
      <c r="BT464" s="347">
        <v>3.02</v>
      </c>
      <c r="BU464" s="347" t="s">
        <v>318</v>
      </c>
      <c r="BW464" s="348" t="str">
        <f t="array" ref="BW464">IFERROR(IF($BW$11="Metro",INDEX($BN$13:$BN$4972,SMALL(IF((County=$BO$13:$BO$4972),MATCH(ROW($BO$13:$BO$4972),ROW($BO$13:$BO$4972)),""),ROWS($A$13:$A464))),INDEX($BQ$13:$BQ$212,SMALL(IF((County=$BR$13:$BR$212),MATCH(ROW($BR$13:$BR$212),ROW($BR$13:$BR$212)),""),ROWS($A$13:$A464)))),"")</f>
        <v/>
      </c>
      <c r="BY464" s="348" t="str">
        <f t="array" ref="BY464">IFERROR(IF($BY$11="Yes",INDEX($BT$13:$BT$2950,SMALL(IF((County=$BU$13:$BU$2950),MATCH(ROW($BU$13:$BU$2950),ROW($BU$13:$BU$2950)),""),ROWS($A$13:$A464))),""),"")</f>
        <v/>
      </c>
      <c r="CD464" s="237">
        <v>12.08</v>
      </c>
      <c r="CE464" s="237" t="s">
        <v>352</v>
      </c>
      <c r="CJ464" s="347">
        <v>26.04</v>
      </c>
      <c r="CK464" s="347" t="s">
        <v>306</v>
      </c>
      <c r="CL464" s="1789"/>
      <c r="CR464" s="345"/>
      <c r="CS464" s="345"/>
      <c r="CX464" s="347"/>
      <c r="CY464" s="347"/>
      <c r="DA464" s="348"/>
      <c r="DC464" s="348"/>
      <c r="DH464" s="237"/>
      <c r="DI464" s="237"/>
      <c r="DN464" s="347"/>
      <c r="DO464" s="347"/>
      <c r="DP464" s="2505"/>
      <c r="DT464" s="663"/>
      <c r="DU464" s="663"/>
      <c r="DV464" s="663"/>
      <c r="DW464" s="663"/>
      <c r="DX464" s="663"/>
      <c r="DY464" s="663"/>
      <c r="DZ464" s="663"/>
      <c r="EA464" s="663"/>
      <c r="EB464" s="663"/>
      <c r="EC464" s="663"/>
      <c r="ED464" s="663"/>
    </row>
    <row r="465" spans="6:134">
      <c r="F465" s="345">
        <v>97.05</v>
      </c>
      <c r="G465" s="345" t="s">
        <v>352</v>
      </c>
      <c r="L465" s="347">
        <v>143.26</v>
      </c>
      <c r="M465" s="347" t="s">
        <v>323</v>
      </c>
      <c r="V465" s="345">
        <v>135.05000000000001</v>
      </c>
      <c r="W465" s="345" t="s">
        <v>359</v>
      </c>
      <c r="AB465" s="347">
        <v>46</v>
      </c>
      <c r="AC465" s="347" t="s">
        <v>337</v>
      </c>
      <c r="AD465" s="1138"/>
      <c r="AJ465" s="345">
        <v>51.02</v>
      </c>
      <c r="AK465" s="345" t="s">
        <v>352</v>
      </c>
      <c r="AP465" s="347">
        <v>101.02</v>
      </c>
      <c r="AQ465" s="347" t="s">
        <v>318</v>
      </c>
      <c r="AU465" s="348" t="str">
        <f t="array" ref="AU465">IFERROR(IF($AU$11="Yes",INDEX($AP$13:$AP$2950,SMALL(IF((County=$AQ$13:$AQ$2950),MATCH(ROW($AQ$13:$AQ$2950),ROW($AQ$13:$AQ$2950)),""),ROWS($A$13:$A465))),""),"")</f>
        <v/>
      </c>
      <c r="AZ465" s="345">
        <v>113.02</v>
      </c>
      <c r="BA465" s="345" t="s">
        <v>352</v>
      </c>
      <c r="BF465" s="347">
        <v>26.01</v>
      </c>
      <c r="BG465" s="347" t="s">
        <v>325</v>
      </c>
      <c r="BH465" s="1790"/>
      <c r="BI465" s="1794"/>
      <c r="BJ465" s="1345"/>
      <c r="BN465" s="345">
        <v>510.01</v>
      </c>
      <c r="BO465" s="345" t="s">
        <v>310</v>
      </c>
      <c r="BT465" s="347">
        <v>4.01</v>
      </c>
      <c r="BU465" s="347" t="s">
        <v>318</v>
      </c>
      <c r="BW465" s="348" t="str">
        <f t="array" ref="BW465">IFERROR(IF($BW$11="Metro",INDEX($BN$13:$BN$4972,SMALL(IF((County=$BO$13:$BO$4972),MATCH(ROW($BO$13:$BO$4972),ROW($BO$13:$BO$4972)),""),ROWS($A$13:$A465))),INDEX($BQ$13:$BQ$212,SMALL(IF((County=$BR$13:$BR$212),MATCH(ROW($BR$13:$BR$212),ROW($BR$13:$BR$212)),""),ROWS($A$13:$A465)))),"")</f>
        <v/>
      </c>
      <c r="BY465" s="348" t="str">
        <f t="array" ref="BY465">IFERROR(IF($BY$11="Yes",INDEX($BT$13:$BT$2950,SMALL(IF((County=$BU$13:$BU$2950),MATCH(ROW($BU$13:$BU$2950),ROW($BU$13:$BU$2950)),""),ROWS($A$13:$A465))),""),"")</f>
        <v/>
      </c>
      <c r="CD465" s="237">
        <v>12.09</v>
      </c>
      <c r="CE465" s="237" t="s">
        <v>344</v>
      </c>
      <c r="CJ465" s="347">
        <v>26.04</v>
      </c>
      <c r="CK465" s="347" t="s">
        <v>325</v>
      </c>
      <c r="CL465" s="1789"/>
      <c r="CR465" s="345"/>
      <c r="CS465" s="345"/>
      <c r="CX465" s="347"/>
      <c r="CY465" s="347"/>
      <c r="DA465" s="348"/>
      <c r="DC465" s="348"/>
      <c r="DH465" s="237"/>
      <c r="DI465" s="237"/>
      <c r="DN465" s="347"/>
      <c r="DO465" s="347"/>
      <c r="DP465" s="2505"/>
      <c r="DT465" s="663"/>
      <c r="DU465" s="663"/>
      <c r="DV465" s="663"/>
      <c r="DW465" s="663"/>
      <c r="DX465" s="663"/>
      <c r="DY465" s="663"/>
      <c r="DZ465" s="663"/>
      <c r="EA465" s="663"/>
      <c r="EB465" s="663"/>
      <c r="EC465" s="663"/>
      <c r="ED465" s="663"/>
    </row>
    <row r="466" spans="6:134">
      <c r="F466" s="345">
        <v>100.01</v>
      </c>
      <c r="G466" s="345" t="s">
        <v>352</v>
      </c>
      <c r="L466" s="347">
        <v>143.28</v>
      </c>
      <c r="M466" s="347" t="s">
        <v>323</v>
      </c>
      <c r="V466" s="345">
        <v>135.08000000000001</v>
      </c>
      <c r="W466" s="345" t="s">
        <v>359</v>
      </c>
      <c r="AB466" s="347">
        <v>46.02</v>
      </c>
      <c r="AC466" s="347" t="s">
        <v>352</v>
      </c>
      <c r="AD466" s="1138"/>
      <c r="AJ466" s="345">
        <v>51.03</v>
      </c>
      <c r="AK466" s="345" t="s">
        <v>352</v>
      </c>
      <c r="AP466" s="347">
        <v>101.08</v>
      </c>
      <c r="AQ466" s="347" t="s">
        <v>318</v>
      </c>
      <c r="AU466" s="348" t="str">
        <f t="array" ref="AU466">IFERROR(IF($AU$11="Yes",INDEX($AP$13:$AP$2950,SMALL(IF((County=$AQ$13:$AQ$2950),MATCH(ROW($AQ$13:$AQ$2950),ROW($AQ$13:$AQ$2950)),""),ROWS($A$13:$A466))),""),"")</f>
        <v/>
      </c>
      <c r="AZ466" s="345">
        <v>113.03</v>
      </c>
      <c r="BA466" s="345" t="s">
        <v>318</v>
      </c>
      <c r="BF466" s="347">
        <v>26.01</v>
      </c>
      <c r="BG466" s="347" t="s">
        <v>368</v>
      </c>
      <c r="BH466" s="1790"/>
      <c r="BI466" s="1794"/>
      <c r="BJ466" s="1345"/>
      <c r="BN466" s="345">
        <v>510.02</v>
      </c>
      <c r="BO466" s="345" t="s">
        <v>310</v>
      </c>
      <c r="BT466" s="347">
        <v>4.0199999999999996</v>
      </c>
      <c r="BU466" s="347" t="s">
        <v>318</v>
      </c>
      <c r="BW466" s="348" t="str">
        <f t="array" ref="BW466">IFERROR(IF($BW$11="Metro",INDEX($BN$13:$BN$4972,SMALL(IF((County=$BO$13:$BO$4972),MATCH(ROW($BO$13:$BO$4972),ROW($BO$13:$BO$4972)),""),ROWS($A$13:$A466))),INDEX($BQ$13:$BQ$212,SMALL(IF((County=$BR$13:$BR$212),MATCH(ROW($BR$13:$BR$212),ROW($BR$13:$BR$212)),""),ROWS($A$13:$A466)))),"")</f>
        <v/>
      </c>
      <c r="BY466" s="348" t="str">
        <f t="array" ref="BY466">IFERROR(IF($BY$11="Yes",INDEX($BT$13:$BT$2950,SMALL(IF((County=$BU$13:$BU$2950),MATCH(ROW($BU$13:$BU$2950),ROW($BU$13:$BU$2950)),""),ROWS($A$13:$A466))),""),"")</f>
        <v/>
      </c>
      <c r="CD466" s="237">
        <v>12.09</v>
      </c>
      <c r="CE466" s="237" t="s">
        <v>350</v>
      </c>
      <c r="CJ466" s="347">
        <v>26.04</v>
      </c>
      <c r="CK466" s="347" t="s">
        <v>368</v>
      </c>
      <c r="CL466" s="1789"/>
      <c r="CR466" s="345"/>
      <c r="CS466" s="345"/>
      <c r="CX466" s="347"/>
      <c r="CY466" s="347"/>
      <c r="DA466" s="348"/>
      <c r="DC466" s="348"/>
      <c r="DH466" s="237"/>
      <c r="DI466" s="237"/>
      <c r="DN466" s="347"/>
      <c r="DO466" s="347"/>
      <c r="DP466" s="2505"/>
      <c r="DT466" s="663"/>
      <c r="DU466" s="663"/>
      <c r="DV466" s="663"/>
      <c r="DW466" s="663"/>
      <c r="DX466" s="663"/>
      <c r="DY466" s="663"/>
      <c r="DZ466" s="663"/>
      <c r="EA466" s="663"/>
      <c r="EB466" s="663"/>
      <c r="EC466" s="663"/>
      <c r="ED466" s="663"/>
    </row>
    <row r="467" spans="6:134">
      <c r="F467" s="345">
        <v>100.1</v>
      </c>
      <c r="G467" s="345" t="s">
        <v>352</v>
      </c>
      <c r="L467" s="347">
        <v>143.29</v>
      </c>
      <c r="M467" s="347" t="s">
        <v>323</v>
      </c>
      <c r="V467" s="345">
        <v>135.1</v>
      </c>
      <c r="W467" s="345" t="s">
        <v>359</v>
      </c>
      <c r="AB467" s="347">
        <v>46.05</v>
      </c>
      <c r="AC467" s="347" t="s">
        <v>352</v>
      </c>
      <c r="AD467" s="1138"/>
      <c r="AJ467" s="345">
        <v>51.04</v>
      </c>
      <c r="AK467" s="345" t="s">
        <v>352</v>
      </c>
      <c r="AP467" s="347">
        <v>101.09</v>
      </c>
      <c r="AQ467" s="347" t="s">
        <v>318</v>
      </c>
      <c r="AU467" s="348" t="str">
        <f t="array" ref="AU467">IFERROR(IF($AU$11="Yes",INDEX($AP$13:$AP$2950,SMALL(IF((County=$AQ$13:$AQ$2950),MATCH(ROW($AQ$13:$AQ$2950),ROW($AQ$13:$AQ$2950)),""),ROWS($A$13:$A467))),""),"")</f>
        <v/>
      </c>
      <c r="AZ467" s="345">
        <v>113.04</v>
      </c>
      <c r="BA467" s="345" t="s">
        <v>318</v>
      </c>
      <c r="BF467" s="347">
        <v>26.02</v>
      </c>
      <c r="BG467" s="347" t="s">
        <v>325</v>
      </c>
      <c r="BH467" s="1790"/>
      <c r="BI467" s="1794"/>
      <c r="BJ467" s="1345"/>
      <c r="BN467" s="345">
        <v>601.04999999999995</v>
      </c>
      <c r="BO467" s="345" t="s">
        <v>310</v>
      </c>
      <c r="BT467" s="347">
        <v>5</v>
      </c>
      <c r="BU467" s="347" t="s">
        <v>318</v>
      </c>
      <c r="BW467" s="348" t="str">
        <f t="array" ref="BW467">IFERROR(IF($BW$11="Metro",INDEX($BN$13:$BN$4972,SMALL(IF((County=$BO$13:$BO$4972),MATCH(ROW($BO$13:$BO$4972),ROW($BO$13:$BO$4972)),""),ROWS($A$13:$A467))),INDEX($BQ$13:$BQ$212,SMALL(IF((County=$BR$13:$BR$212),MATCH(ROW($BR$13:$BR$212),ROW($BR$13:$BR$212)),""),ROWS($A$13:$A467)))),"")</f>
        <v/>
      </c>
      <c r="BY467" s="348" t="str">
        <f t="array" ref="BY467">IFERROR(IF($BY$11="Yes",INDEX($BT$13:$BT$2950,SMALL(IF((County=$BU$13:$BU$2950),MATCH(ROW($BU$13:$BU$2950),ROW($BU$13:$BU$2950)),""),ROWS($A$13:$A467))),""),"")</f>
        <v/>
      </c>
      <c r="CD467" s="237">
        <v>12.09</v>
      </c>
      <c r="CE467" s="237" t="s">
        <v>352</v>
      </c>
      <c r="CJ467" s="347">
        <v>26.05</v>
      </c>
      <c r="CK467" s="347" t="s">
        <v>306</v>
      </c>
      <c r="CL467" s="1789"/>
      <c r="CR467" s="345"/>
      <c r="CS467" s="345"/>
      <c r="CX467" s="347"/>
      <c r="CY467" s="347"/>
      <c r="DA467" s="348"/>
      <c r="DC467" s="348"/>
      <c r="DH467" s="237"/>
      <c r="DI467" s="237"/>
      <c r="DN467" s="347"/>
      <c r="DO467" s="347"/>
      <c r="DP467" s="2505"/>
      <c r="DT467" s="663"/>
      <c r="DU467" s="663"/>
      <c r="DV467" s="663"/>
      <c r="DW467" s="663"/>
      <c r="DX467" s="663"/>
      <c r="DY467" s="663"/>
      <c r="DZ467" s="663"/>
      <c r="EA467" s="663"/>
      <c r="EB467" s="663"/>
      <c r="EC467" s="663"/>
      <c r="ED467" s="663"/>
    </row>
    <row r="468" spans="6:134">
      <c r="F468" s="345">
        <v>100.11</v>
      </c>
      <c r="G468" s="345" t="s">
        <v>352</v>
      </c>
      <c r="L468" s="347">
        <v>143.30000000000001</v>
      </c>
      <c r="M468" s="347" t="s">
        <v>323</v>
      </c>
      <c r="V468" s="345">
        <v>135.11000000000001</v>
      </c>
      <c r="W468" s="345" t="s">
        <v>359</v>
      </c>
      <c r="AB468" s="347">
        <v>46.07</v>
      </c>
      <c r="AC468" s="347" t="s">
        <v>352</v>
      </c>
      <c r="AD468" s="1138"/>
      <c r="AJ468" s="345">
        <v>52.01</v>
      </c>
      <c r="AK468" s="345" t="s">
        <v>352</v>
      </c>
      <c r="AP468" s="347">
        <v>101.1</v>
      </c>
      <c r="AQ468" s="347" t="s">
        <v>318</v>
      </c>
      <c r="AU468" s="348" t="str">
        <f t="array" ref="AU468">IFERROR(IF($AU$11="Yes",INDEX($AP$13:$AP$2950,SMALL(IF((County=$AQ$13:$AQ$2950),MATCH(ROW($AQ$13:$AQ$2950),ROW($AQ$13:$AQ$2950)),""),ROWS($A$13:$A468))),""),"")</f>
        <v/>
      </c>
      <c r="AZ468" s="345">
        <v>113.05</v>
      </c>
      <c r="BA468" s="345" t="s">
        <v>318</v>
      </c>
      <c r="BF468" s="347">
        <v>26.04</v>
      </c>
      <c r="BG468" s="347" t="s">
        <v>325</v>
      </c>
      <c r="BH468" s="1790"/>
      <c r="BI468" s="1794"/>
      <c r="BJ468" s="1345"/>
      <c r="BN468" s="345">
        <v>601.07000000000005</v>
      </c>
      <c r="BO468" s="345" t="s">
        <v>310</v>
      </c>
      <c r="BT468" s="347">
        <v>6</v>
      </c>
      <c r="BU468" s="347" t="s">
        <v>318</v>
      </c>
      <c r="BW468" s="348" t="str">
        <f t="array" ref="BW468">IFERROR(IF($BW$11="Metro",INDEX($BN$13:$BN$4972,SMALL(IF((County=$BO$13:$BO$4972),MATCH(ROW($BO$13:$BO$4972),ROW($BO$13:$BO$4972)),""),ROWS($A$13:$A468))),INDEX($BQ$13:$BQ$212,SMALL(IF((County=$BR$13:$BR$212),MATCH(ROW($BR$13:$BR$212),ROW($BR$13:$BR$212)),""),ROWS($A$13:$A468)))),"")</f>
        <v/>
      </c>
      <c r="BY468" s="348" t="str">
        <f t="array" ref="BY468">IFERROR(IF($BY$11="Yes",INDEX($BT$13:$BT$2950,SMALL(IF((County=$BU$13:$BU$2950),MATCH(ROW($BU$13:$BU$2950),ROW($BU$13:$BU$2950)),""),ROWS($A$13:$A468))),""),"")</f>
        <v/>
      </c>
      <c r="CD468" s="237">
        <v>12.1</v>
      </c>
      <c r="CE468" s="237" t="s">
        <v>350</v>
      </c>
      <c r="CJ468" s="347">
        <v>26.05</v>
      </c>
      <c r="CK468" s="347" t="s">
        <v>325</v>
      </c>
      <c r="CL468" s="1789"/>
      <c r="CR468" s="345"/>
      <c r="CS468" s="345"/>
      <c r="CX468" s="347"/>
      <c r="CY468" s="347"/>
      <c r="DA468" s="348"/>
      <c r="DC468" s="348"/>
      <c r="DH468" s="237"/>
      <c r="DI468" s="237"/>
      <c r="DN468" s="347"/>
      <c r="DO468" s="347"/>
      <c r="DP468" s="2505"/>
      <c r="DT468" s="663"/>
      <c r="DU468" s="663"/>
      <c r="DV468" s="663"/>
      <c r="DW468" s="663"/>
      <c r="DX468" s="663"/>
      <c r="DY468" s="663"/>
      <c r="DZ468" s="663"/>
      <c r="EA468" s="663"/>
      <c r="EB468" s="663"/>
      <c r="EC468" s="663"/>
      <c r="ED468" s="663"/>
    </row>
    <row r="469" spans="6:134">
      <c r="F469" s="345">
        <v>100.15</v>
      </c>
      <c r="G469" s="345" t="s">
        <v>352</v>
      </c>
      <c r="L469" s="347">
        <v>143.31</v>
      </c>
      <c r="M469" s="347" t="s">
        <v>323</v>
      </c>
      <c r="V469" s="345">
        <v>135.12</v>
      </c>
      <c r="W469" s="345" t="s">
        <v>359</v>
      </c>
      <c r="AB469" s="347">
        <v>46.08</v>
      </c>
      <c r="AC469" s="347" t="s">
        <v>352</v>
      </c>
      <c r="AD469" s="1138"/>
      <c r="AJ469" s="345">
        <v>52.02</v>
      </c>
      <c r="AK469" s="345" t="s">
        <v>352</v>
      </c>
      <c r="AP469" s="347">
        <v>101.11</v>
      </c>
      <c r="AQ469" s="347" t="s">
        <v>318</v>
      </c>
      <c r="AU469" s="348" t="str">
        <f t="array" ref="AU469">IFERROR(IF($AU$11="Yes",INDEX($AP$13:$AP$2950,SMALL(IF((County=$AQ$13:$AQ$2950),MATCH(ROW($AQ$13:$AQ$2950),ROW($AQ$13:$AQ$2950)),""),ROWS($A$13:$A469))),""),"")</f>
        <v/>
      </c>
      <c r="AZ469" s="345">
        <v>113.06</v>
      </c>
      <c r="BA469" s="345" t="s">
        <v>318</v>
      </c>
      <c r="BF469" s="347">
        <v>26.05</v>
      </c>
      <c r="BG469" s="347" t="s">
        <v>306</v>
      </c>
      <c r="BH469" s="1790"/>
      <c r="BI469" s="1794"/>
      <c r="BJ469" s="1345"/>
      <c r="BN469" s="345">
        <v>601.09</v>
      </c>
      <c r="BO469" s="345" t="s">
        <v>310</v>
      </c>
      <c r="BT469" s="347">
        <v>101.02</v>
      </c>
      <c r="BU469" s="347" t="s">
        <v>318</v>
      </c>
      <c r="BW469" s="348" t="str">
        <f t="array" ref="BW469">IFERROR(IF($BW$11="Metro",INDEX($BN$13:$BN$4972,SMALL(IF((County=$BO$13:$BO$4972),MATCH(ROW($BO$13:$BO$4972),ROW($BO$13:$BO$4972)),""),ROWS($A$13:$A469))),INDEX($BQ$13:$BQ$212,SMALL(IF((County=$BR$13:$BR$212),MATCH(ROW($BR$13:$BR$212),ROW($BR$13:$BR$212)),""),ROWS($A$13:$A469)))),"")</f>
        <v/>
      </c>
      <c r="BY469" s="348" t="str">
        <f t="array" ref="BY469">IFERROR(IF($BY$11="Yes",INDEX($BT$13:$BT$2950,SMALL(IF((County=$BU$13:$BU$2950),MATCH(ROW($BU$13:$BU$2950),ROW($BU$13:$BU$2950)),""),ROWS($A$13:$A469))),""),"")</f>
        <v/>
      </c>
      <c r="CD469" s="237">
        <v>12.11</v>
      </c>
      <c r="CE469" s="237" t="s">
        <v>350</v>
      </c>
      <c r="CJ469" s="347">
        <v>26.05</v>
      </c>
      <c r="CK469" s="347" t="s">
        <v>345</v>
      </c>
      <c r="CL469" s="1789"/>
      <c r="CR469" s="345"/>
      <c r="CS469" s="345"/>
      <c r="CX469" s="347"/>
      <c r="CY469" s="347"/>
      <c r="DA469" s="348"/>
      <c r="DC469" s="348"/>
      <c r="DH469" s="237"/>
      <c r="DI469" s="237"/>
      <c r="DN469" s="347"/>
      <c r="DO469" s="347"/>
      <c r="DP469" s="2505"/>
      <c r="DT469" s="663"/>
      <c r="DU469" s="663"/>
      <c r="DV469" s="663"/>
      <c r="DW469" s="663"/>
      <c r="DX469" s="663"/>
      <c r="DY469" s="663"/>
      <c r="DZ469" s="663"/>
      <c r="EA469" s="663"/>
      <c r="EB469" s="663"/>
      <c r="EC469" s="663"/>
      <c r="ED469" s="663"/>
    </row>
    <row r="470" spans="6:134">
      <c r="F470" s="345">
        <v>102.07</v>
      </c>
      <c r="G470" s="345" t="s">
        <v>352</v>
      </c>
      <c r="L470" s="347">
        <v>143.32</v>
      </c>
      <c r="M470" s="347" t="s">
        <v>323</v>
      </c>
      <c r="V470" s="345">
        <v>136</v>
      </c>
      <c r="W470" s="345" t="s">
        <v>352</v>
      </c>
      <c r="AB470" s="347">
        <v>47</v>
      </c>
      <c r="AC470" s="347" t="s">
        <v>337</v>
      </c>
      <c r="AD470" s="1138"/>
      <c r="AJ470" s="345">
        <v>53.03</v>
      </c>
      <c r="AK470" s="345" t="s">
        <v>352</v>
      </c>
      <c r="AP470" s="347">
        <v>101.12</v>
      </c>
      <c r="AQ470" s="347" t="s">
        <v>318</v>
      </c>
      <c r="AU470" s="348" t="str">
        <f t="array" ref="AU470">IFERROR(IF($AU$11="Yes",INDEX($AP$13:$AP$2950,SMALL(IF((County=$AQ$13:$AQ$2950),MATCH(ROW($AQ$13:$AQ$2950),ROW($AQ$13:$AQ$2950)),""),ROWS($A$13:$A470))),""),"")</f>
        <v/>
      </c>
      <c r="AZ470" s="345">
        <v>114</v>
      </c>
      <c r="BA470" s="345" t="s">
        <v>318</v>
      </c>
      <c r="BF470" s="347">
        <v>26.05</v>
      </c>
      <c r="BG470" s="347" t="s">
        <v>325</v>
      </c>
      <c r="BH470" s="1790"/>
      <c r="BI470" s="1794"/>
      <c r="BJ470" s="1345"/>
      <c r="BN470" s="345">
        <v>601.11</v>
      </c>
      <c r="BO470" s="345" t="s">
        <v>310</v>
      </c>
      <c r="BT470" s="347">
        <v>101.08</v>
      </c>
      <c r="BU470" s="347" t="s">
        <v>318</v>
      </c>
      <c r="BW470" s="348" t="str">
        <f t="array" ref="BW470">IFERROR(IF($BW$11="Metro",INDEX($BN$13:$BN$4972,SMALL(IF((County=$BO$13:$BO$4972),MATCH(ROW($BO$13:$BO$4972),ROW($BO$13:$BO$4972)),""),ROWS($A$13:$A470))),INDEX($BQ$13:$BQ$212,SMALL(IF((County=$BR$13:$BR$212),MATCH(ROW($BR$13:$BR$212),ROW($BR$13:$BR$212)),""),ROWS($A$13:$A470)))),"")</f>
        <v/>
      </c>
      <c r="BY470" s="348" t="str">
        <f t="array" ref="BY470">IFERROR(IF($BY$11="Yes",INDEX($BT$13:$BT$2950,SMALL(IF((County=$BU$13:$BU$2950),MATCH(ROW($BU$13:$BU$2950),ROW($BU$13:$BU$2950)),""),ROWS($A$13:$A470))),""),"")</f>
        <v/>
      </c>
      <c r="CD470" s="237">
        <v>13</v>
      </c>
      <c r="CE470" s="237" t="s">
        <v>323</v>
      </c>
      <c r="CJ470" s="347">
        <v>26.05</v>
      </c>
      <c r="CK470" s="347" t="s">
        <v>350</v>
      </c>
      <c r="CL470" s="1789"/>
      <c r="CR470" s="345"/>
      <c r="CS470" s="345"/>
      <c r="CX470" s="347"/>
      <c r="CY470" s="347"/>
      <c r="DA470" s="348"/>
      <c r="DC470" s="348"/>
      <c r="DH470" s="237"/>
      <c r="DI470" s="237"/>
      <c r="DN470" s="347"/>
      <c r="DO470" s="347"/>
      <c r="DP470" s="2505"/>
      <c r="DT470" s="663"/>
      <c r="DU470" s="663"/>
      <c r="DV470" s="663"/>
      <c r="DW470" s="663"/>
      <c r="DX470" s="663"/>
      <c r="DY470" s="663"/>
      <c r="DZ470" s="663"/>
      <c r="EA470" s="663"/>
      <c r="EB470" s="663"/>
      <c r="EC470" s="663"/>
      <c r="ED470" s="663"/>
    </row>
    <row r="471" spans="6:134">
      <c r="F471" s="345">
        <v>102.08</v>
      </c>
      <c r="G471" s="345" t="s">
        <v>352</v>
      </c>
      <c r="L471" s="347">
        <v>143.33000000000001</v>
      </c>
      <c r="M471" s="347" t="s">
        <v>323</v>
      </c>
      <c r="V471" s="345">
        <v>136</v>
      </c>
      <c r="W471" s="345" t="s">
        <v>365</v>
      </c>
      <c r="AB471" s="347">
        <v>47.01</v>
      </c>
      <c r="AC471" s="347" t="s">
        <v>352</v>
      </c>
      <c r="AD471" s="1138"/>
      <c r="AJ471" s="345">
        <v>53.04</v>
      </c>
      <c r="AK471" s="345" t="s">
        <v>352</v>
      </c>
      <c r="AP471" s="347">
        <v>101.13</v>
      </c>
      <c r="AQ471" s="347" t="s">
        <v>318</v>
      </c>
      <c r="AU471" s="348" t="str">
        <f t="array" ref="AU471">IFERROR(IF($AU$11="Yes",INDEX($AP$13:$AP$2950,SMALL(IF((County=$AQ$13:$AQ$2950),MATCH(ROW($AQ$13:$AQ$2950),ROW($AQ$13:$AQ$2950)),""),ROWS($A$13:$A471))),""),"")</f>
        <v/>
      </c>
      <c r="AZ471" s="345">
        <v>114</v>
      </c>
      <c r="BA471" s="345" t="s">
        <v>323</v>
      </c>
      <c r="BF471" s="347">
        <v>26.05</v>
      </c>
      <c r="BG471" s="347" t="s">
        <v>345</v>
      </c>
      <c r="BH471" s="1790"/>
      <c r="BI471" s="1794"/>
      <c r="BJ471" s="1345"/>
      <c r="BN471" s="345">
        <v>601.13</v>
      </c>
      <c r="BO471" s="345" t="s">
        <v>310</v>
      </c>
      <c r="BT471" s="347">
        <v>101.09</v>
      </c>
      <c r="BU471" s="347" t="s">
        <v>318</v>
      </c>
      <c r="BW471" s="348" t="str">
        <f t="array" ref="BW471">IFERROR(IF($BW$11="Metro",INDEX($BN$13:$BN$4972,SMALL(IF((County=$BO$13:$BO$4972),MATCH(ROW($BO$13:$BO$4972),ROW($BO$13:$BO$4972)),""),ROWS($A$13:$A471))),INDEX($BQ$13:$BQ$212,SMALL(IF((County=$BR$13:$BR$212),MATCH(ROW($BR$13:$BR$212),ROW($BR$13:$BR$212)),""),ROWS($A$13:$A471)))),"")</f>
        <v/>
      </c>
      <c r="BY471" s="348" t="str">
        <f t="array" ref="BY471">IFERROR(IF($BY$11="Yes",INDEX($BT$13:$BT$2950,SMALL(IF((County=$BU$13:$BU$2950),MATCH(ROW($BU$13:$BU$2950),ROW($BU$13:$BU$2950)),""),ROWS($A$13:$A471))),""),"")</f>
        <v/>
      </c>
      <c r="CD471" s="237">
        <v>13</v>
      </c>
      <c r="CE471" s="237" t="s">
        <v>325</v>
      </c>
      <c r="CJ471" s="347">
        <v>26.06</v>
      </c>
      <c r="CK471" s="347" t="s">
        <v>306</v>
      </c>
      <c r="CL471" s="1789"/>
      <c r="CR471" s="345"/>
      <c r="CS471" s="345"/>
      <c r="CX471" s="347"/>
      <c r="CY471" s="347"/>
      <c r="DA471" s="348"/>
      <c r="DC471" s="348"/>
      <c r="DH471" s="237"/>
      <c r="DI471" s="237"/>
      <c r="DN471" s="347"/>
      <c r="DO471" s="347"/>
      <c r="DP471" s="2505"/>
      <c r="DT471" s="663"/>
      <c r="DU471" s="663"/>
      <c r="DV471" s="663"/>
      <c r="DW471" s="663"/>
      <c r="DX471" s="663"/>
      <c r="DY471" s="663"/>
      <c r="DZ471" s="663"/>
      <c r="EA471" s="663"/>
      <c r="EB471" s="663"/>
      <c r="EC471" s="663"/>
      <c r="ED471" s="663"/>
    </row>
    <row r="472" spans="6:134">
      <c r="F472" s="345">
        <v>106.09</v>
      </c>
      <c r="G472" s="345" t="s">
        <v>352</v>
      </c>
      <c r="L472" s="347">
        <v>143.34</v>
      </c>
      <c r="M472" s="347" t="s">
        <v>323</v>
      </c>
      <c r="V472" s="345">
        <v>136.02000000000001</v>
      </c>
      <c r="W472" s="345" t="s">
        <v>337</v>
      </c>
      <c r="AB472" s="347">
        <v>47.02</v>
      </c>
      <c r="AC472" s="347" t="s">
        <v>352</v>
      </c>
      <c r="AD472" s="1138"/>
      <c r="AJ472" s="345">
        <v>53.05</v>
      </c>
      <c r="AK472" s="345" t="s">
        <v>352</v>
      </c>
      <c r="AP472" s="347">
        <v>101.14</v>
      </c>
      <c r="AQ472" s="347" t="s">
        <v>318</v>
      </c>
      <c r="AU472" s="348" t="str">
        <f t="array" ref="AU472">IFERROR(IF($AU$11="Yes",INDEX($AP$13:$AP$2950,SMALL(IF((County=$AQ$13:$AQ$2950),MATCH(ROW($AQ$13:$AQ$2950),ROW($AQ$13:$AQ$2950)),""),ROWS($A$13:$A472))),""),"")</f>
        <v/>
      </c>
      <c r="AZ472" s="345">
        <v>114</v>
      </c>
      <c r="BA472" s="345" t="s">
        <v>365</v>
      </c>
      <c r="BF472" s="347">
        <v>26.05</v>
      </c>
      <c r="BG472" s="347" t="s">
        <v>350</v>
      </c>
      <c r="BH472" s="1790"/>
      <c r="BI472" s="1794"/>
      <c r="BJ472" s="1345"/>
      <c r="BN472" s="345">
        <v>601.14</v>
      </c>
      <c r="BO472" s="345" t="s">
        <v>310</v>
      </c>
      <c r="BT472" s="347">
        <v>101.11</v>
      </c>
      <c r="BU472" s="347" t="s">
        <v>318</v>
      </c>
      <c r="BW472" s="348" t="str">
        <f t="array" ref="BW472">IFERROR(IF($BW$11="Metro",INDEX($BN$13:$BN$4972,SMALL(IF((County=$BO$13:$BO$4972),MATCH(ROW($BO$13:$BO$4972),ROW($BO$13:$BO$4972)),""),ROWS($A$13:$A472))),INDEX($BQ$13:$BQ$212,SMALL(IF((County=$BR$13:$BR$212),MATCH(ROW($BR$13:$BR$212),ROW($BR$13:$BR$212)),""),ROWS($A$13:$A472)))),"")</f>
        <v/>
      </c>
      <c r="BY472" s="348" t="str">
        <f t="array" ref="BY472">IFERROR(IF($BY$11="Yes",INDEX($BT$13:$BT$2950,SMALL(IF((County=$BU$13:$BU$2950),MATCH(ROW($BU$13:$BU$2950),ROW($BU$13:$BU$2950)),""),ROWS($A$13:$A472))),""),"")</f>
        <v/>
      </c>
      <c r="CD472" s="237">
        <v>13</v>
      </c>
      <c r="CE472" s="237" t="s">
        <v>337</v>
      </c>
      <c r="CJ472" s="347">
        <v>26.06</v>
      </c>
      <c r="CK472" s="347" t="s">
        <v>325</v>
      </c>
      <c r="CL472" s="1789"/>
      <c r="CR472" s="345"/>
      <c r="CS472" s="345"/>
      <c r="CX472" s="347"/>
      <c r="CY472" s="347"/>
      <c r="DA472" s="348"/>
      <c r="DC472" s="348"/>
      <c r="DH472" s="237"/>
      <c r="DI472" s="237"/>
      <c r="DN472" s="347"/>
      <c r="DO472" s="347"/>
      <c r="DP472" s="2505"/>
      <c r="DT472" s="663"/>
      <c r="DU472" s="663"/>
      <c r="DV472" s="663"/>
      <c r="DW472" s="663"/>
      <c r="DX472" s="663"/>
      <c r="DY472" s="663"/>
      <c r="DZ472" s="663"/>
      <c r="EA472" s="663"/>
      <c r="EB472" s="663"/>
      <c r="EC472" s="663"/>
      <c r="ED472" s="663"/>
    </row>
    <row r="473" spans="6:134">
      <c r="F473" s="345">
        <v>108.01</v>
      </c>
      <c r="G473" s="345" t="s">
        <v>352</v>
      </c>
      <c r="L473" s="347">
        <v>143.35</v>
      </c>
      <c r="M473" s="347" t="s">
        <v>323</v>
      </c>
      <c r="V473" s="345">
        <v>136.04</v>
      </c>
      <c r="W473" s="345" t="s">
        <v>337</v>
      </c>
      <c r="AB473" s="347">
        <v>47.03</v>
      </c>
      <c r="AC473" s="347" t="s">
        <v>352</v>
      </c>
      <c r="AD473" s="1138"/>
      <c r="AJ473" s="345">
        <v>53.06</v>
      </c>
      <c r="AK473" s="345" t="s">
        <v>352</v>
      </c>
      <c r="AP473" s="347">
        <v>102.05</v>
      </c>
      <c r="AQ473" s="347" t="s">
        <v>318</v>
      </c>
      <c r="AU473" s="348" t="str">
        <f t="array" ref="AU473">IFERROR(IF($AU$11="Yes",INDEX($AP$13:$AP$2950,SMALL(IF((County=$AQ$13:$AQ$2950),MATCH(ROW($AQ$13:$AQ$2950),ROW($AQ$13:$AQ$2950)),""),ROWS($A$13:$A473))),""),"")</f>
        <v/>
      </c>
      <c r="AZ473" s="345">
        <v>114.05</v>
      </c>
      <c r="BA473" s="345" t="s">
        <v>352</v>
      </c>
      <c r="BF473" s="347">
        <v>26.06</v>
      </c>
      <c r="BG473" s="347" t="s">
        <v>306</v>
      </c>
      <c r="BH473" s="1790"/>
      <c r="BI473" s="1794"/>
      <c r="BJ473" s="1345"/>
      <c r="BN473" s="345">
        <v>601.15</v>
      </c>
      <c r="BO473" s="345" t="s">
        <v>310</v>
      </c>
      <c r="BT473" s="347">
        <v>101.12</v>
      </c>
      <c r="BU473" s="347" t="s">
        <v>318</v>
      </c>
      <c r="BW473" s="348" t="str">
        <f t="array" ref="BW473">IFERROR(IF($BW$11="Metro",INDEX($BN$13:$BN$4972,SMALL(IF((County=$BO$13:$BO$4972),MATCH(ROW($BO$13:$BO$4972),ROW($BO$13:$BO$4972)),""),ROWS($A$13:$A473))),INDEX($BQ$13:$BQ$212,SMALL(IF((County=$BR$13:$BR$212),MATCH(ROW($BR$13:$BR$212),ROW($BR$13:$BR$212)),""),ROWS($A$13:$A473)))),"")</f>
        <v/>
      </c>
      <c r="BY473" s="348" t="str">
        <f t="array" ref="BY473">IFERROR(IF($BY$11="Yes",INDEX($BT$13:$BT$2950,SMALL(IF((County=$BU$13:$BU$2950),MATCH(ROW($BU$13:$BU$2950),ROW($BU$13:$BU$2950)),""),ROWS($A$13:$A473))),""),"")</f>
        <v/>
      </c>
      <c r="CD473" s="237">
        <v>13</v>
      </c>
      <c r="CE473" s="237" t="s">
        <v>344</v>
      </c>
      <c r="CJ473" s="347">
        <v>26.06</v>
      </c>
      <c r="CK473" s="347" t="s">
        <v>345</v>
      </c>
      <c r="CL473" s="1789"/>
      <c r="CR473" s="345"/>
      <c r="CS473" s="345"/>
      <c r="CX473" s="347"/>
      <c r="CY473" s="347"/>
      <c r="DA473" s="348"/>
      <c r="DC473" s="348"/>
      <c r="DH473" s="237"/>
      <c r="DI473" s="237"/>
      <c r="DN473" s="347"/>
      <c r="DO473" s="347"/>
      <c r="DP473" s="2505"/>
      <c r="DT473" s="663"/>
      <c r="DU473" s="663"/>
      <c r="DV473" s="663"/>
      <c r="DW473" s="663"/>
      <c r="DX473" s="663"/>
      <c r="DY473" s="663"/>
      <c r="DZ473" s="663"/>
      <c r="EA473" s="663"/>
      <c r="EB473" s="663"/>
      <c r="EC473" s="663"/>
      <c r="ED473" s="663"/>
    </row>
    <row r="474" spans="6:134">
      <c r="F474" s="345">
        <v>108.02</v>
      </c>
      <c r="G474" s="345" t="s">
        <v>352</v>
      </c>
      <c r="L474" s="347">
        <v>143.36000000000001</v>
      </c>
      <c r="M474" s="347" t="s">
        <v>323</v>
      </c>
      <c r="V474" s="345">
        <v>136.05000000000001</v>
      </c>
      <c r="W474" s="345" t="s">
        <v>359</v>
      </c>
      <c r="AB474" s="347">
        <v>48.09</v>
      </c>
      <c r="AC474" s="347" t="s">
        <v>361</v>
      </c>
      <c r="AD474" s="1138"/>
      <c r="AJ474" s="345">
        <v>54.03</v>
      </c>
      <c r="AK474" s="345" t="s">
        <v>352</v>
      </c>
      <c r="AP474" s="347">
        <v>102.08</v>
      </c>
      <c r="AQ474" s="347" t="s">
        <v>318</v>
      </c>
      <c r="AU474" s="348" t="str">
        <f t="array" ref="AU474">IFERROR(IF($AU$11="Yes",INDEX($AP$13:$AP$2950,SMALL(IF((County=$AQ$13:$AQ$2950),MATCH(ROW($AQ$13:$AQ$2950),ROW($AQ$13:$AQ$2950)),""),ROWS($A$13:$A474))),""),"")</f>
        <v/>
      </c>
      <c r="AZ474" s="345">
        <v>114.06</v>
      </c>
      <c r="BA474" s="345" t="s">
        <v>352</v>
      </c>
      <c r="BF474" s="347">
        <v>26.06</v>
      </c>
      <c r="BG474" s="347" t="s">
        <v>325</v>
      </c>
      <c r="BH474" s="1790"/>
      <c r="BI474" s="1794"/>
      <c r="BJ474" s="1345"/>
      <c r="BN474" s="345">
        <v>601.16</v>
      </c>
      <c r="BO474" s="345" t="s">
        <v>310</v>
      </c>
      <c r="BT474" s="347">
        <v>101.13</v>
      </c>
      <c r="BU474" s="347" t="s">
        <v>318</v>
      </c>
      <c r="BW474" s="348" t="str">
        <f t="array" ref="BW474">IFERROR(IF($BW$11="Metro",INDEX($BN$13:$BN$4972,SMALL(IF((County=$BO$13:$BO$4972),MATCH(ROW($BO$13:$BO$4972),ROW($BO$13:$BO$4972)),""),ROWS($A$13:$A474))),INDEX($BQ$13:$BQ$212,SMALL(IF((County=$BR$13:$BR$212),MATCH(ROW($BR$13:$BR$212),ROW($BR$13:$BR$212)),""),ROWS($A$13:$A474)))),"")</f>
        <v/>
      </c>
      <c r="BY474" s="348" t="str">
        <f t="array" ref="BY474">IFERROR(IF($BY$11="Yes",INDEX($BT$13:$BT$2950,SMALL(IF((County=$BU$13:$BU$2950),MATCH(ROW($BU$13:$BU$2950),ROW($BU$13:$BU$2950)),""),ROWS($A$13:$A474))),""),"")</f>
        <v/>
      </c>
      <c r="CD474" s="237">
        <v>13</v>
      </c>
      <c r="CE474" s="237" t="s">
        <v>345</v>
      </c>
      <c r="CJ474" s="347">
        <v>26.07</v>
      </c>
      <c r="CK474" s="347" t="s">
        <v>306</v>
      </c>
      <c r="CL474" s="1789"/>
      <c r="CR474" s="345"/>
      <c r="CS474" s="345"/>
      <c r="CX474" s="347"/>
      <c r="CY474" s="347"/>
      <c r="DA474" s="348"/>
      <c r="DC474" s="348"/>
      <c r="DH474" s="237"/>
      <c r="DI474" s="237"/>
      <c r="DN474" s="347"/>
      <c r="DO474" s="347"/>
      <c r="DP474" s="2505"/>
      <c r="DT474" s="663"/>
      <c r="DU474" s="663"/>
      <c r="DV474" s="663"/>
      <c r="DW474" s="663"/>
      <c r="DX474" s="663"/>
      <c r="DY474" s="663"/>
      <c r="DZ474" s="663"/>
      <c r="EA474" s="663"/>
      <c r="EB474" s="663"/>
      <c r="EC474" s="663"/>
      <c r="ED474" s="663"/>
    </row>
    <row r="475" spans="6:134">
      <c r="F475" s="345">
        <v>109</v>
      </c>
      <c r="G475" s="345" t="s">
        <v>352</v>
      </c>
      <c r="L475" s="347">
        <v>143.37</v>
      </c>
      <c r="M475" s="347" t="s">
        <v>323</v>
      </c>
      <c r="V475" s="345">
        <v>136.06</v>
      </c>
      <c r="W475" s="345" t="s">
        <v>359</v>
      </c>
      <c r="AB475" s="347">
        <v>48.15</v>
      </c>
      <c r="AC475" s="347" t="s">
        <v>361</v>
      </c>
      <c r="AD475" s="1138"/>
      <c r="AJ475" s="345">
        <v>54.05</v>
      </c>
      <c r="AK475" s="345" t="s">
        <v>352</v>
      </c>
      <c r="AP475" s="347">
        <v>102.09</v>
      </c>
      <c r="AQ475" s="347" t="s">
        <v>318</v>
      </c>
      <c r="AU475" s="348" t="str">
        <f t="array" ref="AU475">IFERROR(IF($AU$11="Yes",INDEX($AP$13:$AP$2950,SMALL(IF((County=$AQ$13:$AQ$2950),MATCH(ROW($AQ$13:$AQ$2950),ROW($AQ$13:$AQ$2950)),""),ROWS($A$13:$A475))),""),"")</f>
        <v/>
      </c>
      <c r="AZ475" s="345">
        <v>114.07</v>
      </c>
      <c r="BA475" s="345" t="s">
        <v>352</v>
      </c>
      <c r="BF475" s="347">
        <v>26.06</v>
      </c>
      <c r="BG475" s="347" t="s">
        <v>345</v>
      </c>
      <c r="BH475" s="1790"/>
      <c r="BI475" s="1794"/>
      <c r="BJ475" s="1345"/>
      <c r="BN475" s="345">
        <v>601.16999999999996</v>
      </c>
      <c r="BO475" s="345" t="s">
        <v>310</v>
      </c>
      <c r="BT475" s="347">
        <v>101.14</v>
      </c>
      <c r="BU475" s="347" t="s">
        <v>318</v>
      </c>
      <c r="BW475" s="348" t="str">
        <f t="array" ref="BW475">IFERROR(IF($BW$11="Metro",INDEX($BN$13:$BN$4972,SMALL(IF((County=$BO$13:$BO$4972),MATCH(ROW($BO$13:$BO$4972),ROW($BO$13:$BO$4972)),""),ROWS($A$13:$A475))),INDEX($BQ$13:$BQ$212,SMALL(IF((County=$BR$13:$BR$212),MATCH(ROW($BR$13:$BR$212),ROW($BR$13:$BR$212)),""),ROWS($A$13:$A475)))),"")</f>
        <v/>
      </c>
      <c r="BY475" s="348" t="str">
        <f t="array" ref="BY475">IFERROR(IF($BY$11="Yes",INDEX($BT$13:$BT$2950,SMALL(IF((County=$BU$13:$BU$2950),MATCH(ROW($BU$13:$BU$2950),ROW($BU$13:$BU$2950)),""),ROWS($A$13:$A475))),""),"")</f>
        <v/>
      </c>
      <c r="CD475" s="237">
        <v>13</v>
      </c>
      <c r="CE475" s="237" t="s">
        <v>349</v>
      </c>
      <c r="CJ475" s="347">
        <v>26.07</v>
      </c>
      <c r="CK475" s="347" t="s">
        <v>325</v>
      </c>
      <c r="CL475" s="1789"/>
      <c r="CR475" s="345"/>
      <c r="CS475" s="345"/>
      <c r="CX475" s="347"/>
      <c r="CY475" s="347"/>
      <c r="DA475" s="348"/>
      <c r="DC475" s="348"/>
      <c r="DH475" s="237"/>
      <c r="DI475" s="237"/>
      <c r="DN475" s="347"/>
      <c r="DO475" s="347"/>
      <c r="DP475" s="2505"/>
      <c r="DT475" s="663"/>
      <c r="DU475" s="663"/>
      <c r="DV475" s="663"/>
      <c r="DW475" s="663"/>
      <c r="DX475" s="663"/>
      <c r="DY475" s="663"/>
      <c r="DZ475" s="663"/>
      <c r="EA475" s="663"/>
      <c r="EB475" s="663"/>
      <c r="EC475" s="663"/>
      <c r="ED475" s="663"/>
    </row>
    <row r="476" spans="6:134">
      <c r="F476" s="345">
        <v>110.01</v>
      </c>
      <c r="G476" s="345" t="s">
        <v>352</v>
      </c>
      <c r="L476" s="347">
        <v>143.38</v>
      </c>
      <c r="M476" s="347" t="s">
        <v>323</v>
      </c>
      <c r="V476" s="345">
        <v>137</v>
      </c>
      <c r="W476" s="345" t="s">
        <v>352</v>
      </c>
      <c r="AB476" s="347">
        <v>49</v>
      </c>
      <c r="AC476" s="347" t="s">
        <v>337</v>
      </c>
      <c r="AD476" s="1138"/>
      <c r="AJ476" s="345">
        <v>54.06</v>
      </c>
      <c r="AK476" s="345" t="s">
        <v>352</v>
      </c>
      <c r="AP476" s="347">
        <v>102.1</v>
      </c>
      <c r="AQ476" s="347" t="s">
        <v>318</v>
      </c>
      <c r="AU476" s="348" t="str">
        <f t="array" ref="AU476">IFERROR(IF($AU$11="Yes",INDEX($AP$13:$AP$2950,SMALL(IF((County=$AQ$13:$AQ$2950),MATCH(ROW($AQ$13:$AQ$2950),ROW($AQ$13:$AQ$2950)),""),ROWS($A$13:$A476))),""),"")</f>
        <v/>
      </c>
      <c r="AZ476" s="345">
        <v>114.08</v>
      </c>
      <c r="BA476" s="345" t="s">
        <v>352</v>
      </c>
      <c r="BF476" s="347">
        <v>26.07</v>
      </c>
      <c r="BG476" s="347" t="s">
        <v>306</v>
      </c>
      <c r="BH476" s="1790"/>
      <c r="BI476" s="1794"/>
      <c r="BJ476" s="1345"/>
      <c r="BN476" s="345">
        <v>601.17999999999995</v>
      </c>
      <c r="BO476" s="345" t="s">
        <v>310</v>
      </c>
      <c r="BT476" s="347">
        <v>102.05</v>
      </c>
      <c r="BU476" s="347" t="s">
        <v>318</v>
      </c>
      <c r="BW476" s="348" t="str">
        <f t="array" ref="BW476">IFERROR(IF($BW$11="Metro",INDEX($BN$13:$BN$4972,SMALL(IF((County=$BO$13:$BO$4972),MATCH(ROW($BO$13:$BO$4972),ROW($BO$13:$BO$4972)),""),ROWS($A$13:$A476))),INDEX($BQ$13:$BQ$212,SMALL(IF((County=$BR$13:$BR$212),MATCH(ROW($BR$13:$BR$212),ROW($BR$13:$BR$212)),""),ROWS($A$13:$A476)))),"")</f>
        <v/>
      </c>
      <c r="BY476" s="348" t="str">
        <f t="array" ref="BY476">IFERROR(IF($BY$11="Yes",INDEX($BT$13:$BT$2950,SMALL(IF((County=$BU$13:$BU$2950),MATCH(ROW($BU$13:$BU$2950),ROW($BU$13:$BU$2950)),""),ROWS($A$13:$A476))),""),"")</f>
        <v/>
      </c>
      <c r="CD476" s="345">
        <v>13.01</v>
      </c>
      <c r="CE476" s="345" t="s">
        <v>306</v>
      </c>
      <c r="CJ476" s="347">
        <v>26.08</v>
      </c>
      <c r="CK476" s="347" t="s">
        <v>306</v>
      </c>
      <c r="CL476" s="1789"/>
      <c r="CR476" s="345"/>
      <c r="CS476" s="345"/>
      <c r="CX476" s="347"/>
      <c r="CY476" s="347"/>
      <c r="DA476" s="348"/>
      <c r="DC476" s="348"/>
      <c r="DH476" s="237"/>
      <c r="DI476" s="237"/>
      <c r="DN476" s="347"/>
      <c r="DO476" s="347"/>
      <c r="DP476" s="2505"/>
      <c r="DT476" s="663"/>
      <c r="DU476" s="663"/>
      <c r="DV476" s="663"/>
      <c r="DW476" s="663"/>
      <c r="DX476" s="663"/>
      <c r="DY476" s="663"/>
      <c r="DZ476" s="663"/>
      <c r="EA476" s="663"/>
      <c r="EB476" s="663"/>
      <c r="EC476" s="663"/>
      <c r="ED476" s="663"/>
    </row>
    <row r="477" spans="6:134">
      <c r="F477" s="345">
        <v>110.03</v>
      </c>
      <c r="G477" s="345" t="s">
        <v>352</v>
      </c>
      <c r="L477" s="347">
        <v>144.01</v>
      </c>
      <c r="M477" s="347" t="s">
        <v>323</v>
      </c>
      <c r="V477" s="345">
        <v>137.01</v>
      </c>
      <c r="W477" s="345" t="s">
        <v>365</v>
      </c>
      <c r="AB477" s="347">
        <v>49.02</v>
      </c>
      <c r="AC477" s="347" t="s">
        <v>361</v>
      </c>
      <c r="AD477" s="1138"/>
      <c r="AJ477" s="345">
        <v>54.09</v>
      </c>
      <c r="AK477" s="345" t="s">
        <v>352</v>
      </c>
      <c r="AP477" s="347">
        <v>102.11</v>
      </c>
      <c r="AQ477" s="347" t="s">
        <v>318</v>
      </c>
      <c r="AU477" s="348" t="str">
        <f t="array" ref="AU477">IFERROR(IF($AU$11="Yes",INDEX($AP$13:$AP$2950,SMALL(IF((County=$AQ$13:$AQ$2950),MATCH(ROW($AQ$13:$AQ$2950),ROW($AQ$13:$AQ$2950)),""),ROWS($A$13:$A477))),""),"")</f>
        <v/>
      </c>
      <c r="AZ477" s="345">
        <v>115</v>
      </c>
      <c r="BA477" s="345" t="s">
        <v>323</v>
      </c>
      <c r="BF477" s="347">
        <v>26.07</v>
      </c>
      <c r="BG477" s="347" t="s">
        <v>325</v>
      </c>
      <c r="BH477" s="1790"/>
      <c r="BI477" s="1794"/>
      <c r="BJ477" s="1345"/>
      <c r="BN477" s="345">
        <v>601.19000000000005</v>
      </c>
      <c r="BO477" s="345" t="s">
        <v>310</v>
      </c>
      <c r="BT477" s="347">
        <v>102.08</v>
      </c>
      <c r="BU477" s="347" t="s">
        <v>318</v>
      </c>
      <c r="BW477" s="348" t="str">
        <f t="array" ref="BW477">IFERROR(IF($BW$11="Metro",INDEX($BN$13:$BN$4972,SMALL(IF((County=$BO$13:$BO$4972),MATCH(ROW($BO$13:$BO$4972),ROW($BO$13:$BO$4972)),""),ROWS($A$13:$A477))),INDEX($BQ$13:$BQ$212,SMALL(IF((County=$BR$13:$BR$212),MATCH(ROW($BR$13:$BR$212),ROW($BR$13:$BR$212)),""),ROWS($A$13:$A477)))),"")</f>
        <v/>
      </c>
      <c r="BY477" s="348" t="str">
        <f t="array" ref="BY477">IFERROR(IF($BY$11="Yes",INDEX($BT$13:$BT$2950,SMALL(IF((County=$BU$13:$BU$2950),MATCH(ROW($BU$13:$BU$2950),ROW($BU$13:$BU$2950)),""),ROWS($A$13:$A477))),""),"")</f>
        <v/>
      </c>
      <c r="CD477" s="237">
        <v>13.01</v>
      </c>
      <c r="CE477" s="237" t="s">
        <v>350</v>
      </c>
      <c r="CJ477" s="347">
        <v>26.08</v>
      </c>
      <c r="CK477" s="347" t="s">
        <v>350</v>
      </c>
      <c r="CL477" s="1789"/>
      <c r="CR477" s="345"/>
      <c r="CS477" s="345"/>
      <c r="CX477" s="347"/>
      <c r="CY477" s="347"/>
      <c r="DA477" s="348"/>
      <c r="DC477" s="348"/>
      <c r="DH477" s="237"/>
      <c r="DI477" s="237"/>
      <c r="DN477" s="347"/>
      <c r="DO477" s="347"/>
      <c r="DP477" s="2505"/>
      <c r="DT477" s="663"/>
      <c r="DU477" s="663"/>
      <c r="DV477" s="663"/>
      <c r="DW477" s="663"/>
      <c r="DX477" s="663"/>
      <c r="DY477" s="663"/>
      <c r="DZ477" s="663"/>
      <c r="EA477" s="663"/>
      <c r="EB477" s="663"/>
      <c r="EC477" s="663"/>
      <c r="ED477" s="663"/>
    </row>
    <row r="478" spans="6:134">
      <c r="F478" s="345">
        <v>111.01</v>
      </c>
      <c r="G478" s="345" t="s">
        <v>352</v>
      </c>
      <c r="L478" s="347">
        <v>144.04</v>
      </c>
      <c r="M478" s="347" t="s">
        <v>323</v>
      </c>
      <c r="V478" s="345">
        <v>138.01</v>
      </c>
      <c r="W478" s="345" t="s">
        <v>337</v>
      </c>
      <c r="AB478" s="347">
        <v>51.01</v>
      </c>
      <c r="AC478" s="347" t="s">
        <v>337</v>
      </c>
      <c r="AD478" s="1138"/>
      <c r="AJ478" s="345">
        <v>54.1</v>
      </c>
      <c r="AK478" s="345" t="s">
        <v>352</v>
      </c>
      <c r="AP478" s="347">
        <v>102.13</v>
      </c>
      <c r="AQ478" s="347" t="s">
        <v>318</v>
      </c>
      <c r="AU478" s="348" t="str">
        <f t="array" ref="AU478">IFERROR(IF($AU$11="Yes",INDEX($AP$13:$AP$2950,SMALL(IF((County=$AQ$13:$AQ$2950),MATCH(ROW($AQ$13:$AQ$2950),ROW($AQ$13:$AQ$2950)),""),ROWS($A$13:$A478))),""),"")</f>
        <v/>
      </c>
      <c r="AZ478" s="345">
        <v>115.01</v>
      </c>
      <c r="BA478" s="345" t="s">
        <v>365</v>
      </c>
      <c r="BF478" s="347">
        <v>26.08</v>
      </c>
      <c r="BG478" s="347" t="s">
        <v>306</v>
      </c>
      <c r="BH478" s="1790"/>
      <c r="BI478" s="1794"/>
      <c r="BJ478" s="1345"/>
      <c r="BN478" s="345">
        <v>601.20000000000005</v>
      </c>
      <c r="BO478" s="345" t="s">
        <v>310</v>
      </c>
      <c r="BT478" s="347">
        <v>102.09</v>
      </c>
      <c r="BU478" s="347" t="s">
        <v>318</v>
      </c>
      <c r="BW478" s="348" t="str">
        <f t="array" ref="BW478">IFERROR(IF($BW$11="Metro",INDEX($BN$13:$BN$4972,SMALL(IF((County=$BO$13:$BO$4972),MATCH(ROW($BO$13:$BO$4972),ROW($BO$13:$BO$4972)),""),ROWS($A$13:$A478))),INDEX($BQ$13:$BQ$212,SMALL(IF((County=$BR$13:$BR$212),MATCH(ROW($BR$13:$BR$212),ROW($BR$13:$BR$212)),""),ROWS($A$13:$A478)))),"")</f>
        <v/>
      </c>
      <c r="BY478" s="348" t="str">
        <f t="array" ref="BY478">IFERROR(IF($BY$11="Yes",INDEX($BT$13:$BT$2950,SMALL(IF((County=$BU$13:$BU$2950),MATCH(ROW($BU$13:$BU$2950),ROW($BU$13:$BU$2950)),""),ROWS($A$13:$A478))),""),"")</f>
        <v/>
      </c>
      <c r="CD478" s="237">
        <v>13.01</v>
      </c>
      <c r="CE478" s="237" t="s">
        <v>351</v>
      </c>
      <c r="CJ478" s="347">
        <v>26.09</v>
      </c>
      <c r="CK478" s="347" t="s">
        <v>306</v>
      </c>
      <c r="CL478" s="1789"/>
      <c r="CR478" s="345"/>
      <c r="CS478" s="345"/>
      <c r="CX478" s="347"/>
      <c r="CY478" s="347"/>
      <c r="DA478" s="348"/>
      <c r="DC478" s="348"/>
      <c r="DH478" s="237"/>
      <c r="DI478" s="237"/>
      <c r="DN478" s="347"/>
      <c r="DO478" s="347"/>
      <c r="DP478" s="2505"/>
      <c r="DT478" s="663"/>
      <c r="DU478" s="663"/>
      <c r="DV478" s="663"/>
      <c r="DW478" s="663"/>
      <c r="DX478" s="663"/>
      <c r="DY478" s="663"/>
      <c r="DZ478" s="663"/>
      <c r="EA478" s="663"/>
      <c r="EB478" s="663"/>
      <c r="EC478" s="663"/>
      <c r="ED478" s="663"/>
    </row>
    <row r="479" spans="6:134">
      <c r="F479" s="345">
        <v>112.01</v>
      </c>
      <c r="G479" s="345" t="s">
        <v>352</v>
      </c>
      <c r="L479" s="347">
        <v>144.06</v>
      </c>
      <c r="M479" s="347" t="s">
        <v>323</v>
      </c>
      <c r="V479" s="345">
        <v>138.03</v>
      </c>
      <c r="W479" s="345" t="s">
        <v>337</v>
      </c>
      <c r="AB479" s="347">
        <v>51.02</v>
      </c>
      <c r="AC479" s="347" t="s">
        <v>337</v>
      </c>
      <c r="AD479" s="1138"/>
      <c r="AJ479" s="345">
        <v>55.03</v>
      </c>
      <c r="AK479" s="345" t="s">
        <v>352</v>
      </c>
      <c r="AP479" s="347">
        <v>102.15</v>
      </c>
      <c r="AQ479" s="347" t="s">
        <v>318</v>
      </c>
      <c r="AU479" s="348" t="str">
        <f t="array" ref="AU479">IFERROR(IF($AU$11="Yes",INDEX($AP$13:$AP$2950,SMALL(IF((County=$AQ$13:$AQ$2950),MATCH(ROW($AQ$13:$AQ$2950),ROW($AQ$13:$AQ$2950)),""),ROWS($A$13:$A479))),""),"")</f>
        <v/>
      </c>
      <c r="AZ479" s="345">
        <v>116</v>
      </c>
      <c r="BA479" s="345" t="s">
        <v>323</v>
      </c>
      <c r="BF479" s="347">
        <v>26.09</v>
      </c>
      <c r="BG479" s="347" t="s">
        <v>306</v>
      </c>
      <c r="BH479" s="1790"/>
      <c r="BI479" s="1794"/>
      <c r="BJ479" s="1345"/>
      <c r="BN479" s="345">
        <v>601.21</v>
      </c>
      <c r="BO479" s="345" t="s">
        <v>310</v>
      </c>
      <c r="BT479" s="347">
        <v>102.1</v>
      </c>
      <c r="BU479" s="347" t="s">
        <v>318</v>
      </c>
      <c r="BW479" s="348" t="str">
        <f t="array" ref="BW479">IFERROR(IF($BW$11="Metro",INDEX($BN$13:$BN$4972,SMALL(IF((County=$BO$13:$BO$4972),MATCH(ROW($BO$13:$BO$4972),ROW($BO$13:$BO$4972)),""),ROWS($A$13:$A479))),INDEX($BQ$13:$BQ$212,SMALL(IF((County=$BR$13:$BR$212),MATCH(ROW($BR$13:$BR$212),ROW($BR$13:$BR$212)),""),ROWS($A$13:$A479)))),"")</f>
        <v/>
      </c>
      <c r="BY479" s="348" t="str">
        <f t="array" ref="BY479">IFERROR(IF($BY$11="Yes",INDEX($BT$13:$BT$2950,SMALL(IF((County=$BU$13:$BU$2950),MATCH(ROW($BU$13:$BU$2950),ROW($BU$13:$BU$2950)),""),ROWS($A$13:$A479))),""),"")</f>
        <v/>
      </c>
      <c r="CD479" s="237">
        <v>13.01</v>
      </c>
      <c r="CE479" s="237" t="s">
        <v>352</v>
      </c>
      <c r="CJ479" s="347">
        <v>26.1</v>
      </c>
      <c r="CK479" s="347" t="s">
        <v>350</v>
      </c>
      <c r="CL479" s="1789"/>
      <c r="CR479" s="345"/>
      <c r="CS479" s="345"/>
      <c r="CX479" s="347"/>
      <c r="CY479" s="347"/>
      <c r="DA479" s="348"/>
      <c r="DC479" s="348"/>
      <c r="DH479" s="237"/>
      <c r="DI479" s="237"/>
      <c r="DN479" s="347"/>
      <c r="DO479" s="347"/>
      <c r="DP479" s="2505"/>
      <c r="DT479" s="663"/>
      <c r="DU479" s="663"/>
      <c r="DV479" s="663"/>
      <c r="DW479" s="663"/>
      <c r="DX479" s="663"/>
      <c r="DY479" s="663"/>
      <c r="DZ479" s="663"/>
      <c r="EA479" s="663"/>
      <c r="EB479" s="663"/>
      <c r="EC479" s="663"/>
      <c r="ED479" s="663"/>
    </row>
    <row r="480" spans="6:134">
      <c r="F480" s="345">
        <v>112.02</v>
      </c>
      <c r="G480" s="345" t="s">
        <v>352</v>
      </c>
      <c r="L480" s="347">
        <v>144.08000000000001</v>
      </c>
      <c r="M480" s="347" t="s">
        <v>323</v>
      </c>
      <c r="V480" s="345">
        <v>140.02000000000001</v>
      </c>
      <c r="W480" s="345" t="s">
        <v>337</v>
      </c>
      <c r="AB480" s="347">
        <v>53</v>
      </c>
      <c r="AC480" s="347" t="s">
        <v>361</v>
      </c>
      <c r="AD480" s="1138"/>
      <c r="AJ480" s="345">
        <v>55.04</v>
      </c>
      <c r="AK480" s="345" t="s">
        <v>352</v>
      </c>
      <c r="AP480" s="347">
        <v>102.16</v>
      </c>
      <c r="AQ480" s="347" t="s">
        <v>318</v>
      </c>
      <c r="AU480" s="348" t="str">
        <f t="array" ref="AU480">IFERROR(IF($AU$11="Yes",INDEX($AP$13:$AP$2950,SMALL(IF((County=$AQ$13:$AQ$2950),MATCH(ROW($AQ$13:$AQ$2950),ROW($AQ$13:$AQ$2950)),""),ROWS($A$13:$A480))),""),"")</f>
        <v/>
      </c>
      <c r="AZ480" s="345">
        <v>116</v>
      </c>
      <c r="BA480" s="345" t="s">
        <v>359</v>
      </c>
      <c r="BF480" s="347">
        <v>27.01</v>
      </c>
      <c r="BG480" s="347" t="s">
        <v>325</v>
      </c>
      <c r="BH480" s="1790"/>
      <c r="BI480" s="1794"/>
      <c r="BJ480" s="1345"/>
      <c r="BN480" s="345">
        <v>601.22</v>
      </c>
      <c r="BO480" s="345" t="s">
        <v>310</v>
      </c>
      <c r="BT480" s="347">
        <v>102.11</v>
      </c>
      <c r="BU480" s="347" t="s">
        <v>318</v>
      </c>
      <c r="BW480" s="348" t="str">
        <f t="array" ref="BW480">IFERROR(IF($BW$11="Metro",INDEX($BN$13:$BN$4972,SMALL(IF((County=$BO$13:$BO$4972),MATCH(ROW($BO$13:$BO$4972),ROW($BO$13:$BO$4972)),""),ROWS($A$13:$A480))),INDEX($BQ$13:$BQ$212,SMALL(IF((County=$BR$13:$BR$212),MATCH(ROW($BR$13:$BR$212),ROW($BR$13:$BR$212)),""),ROWS($A$13:$A480)))),"")</f>
        <v/>
      </c>
      <c r="BY480" s="348" t="str">
        <f t="array" ref="BY480">IFERROR(IF($BY$11="Yes",INDEX($BT$13:$BT$2950,SMALL(IF((County=$BU$13:$BU$2950),MATCH(ROW($BU$13:$BU$2950),ROW($BU$13:$BU$2950)),""),ROWS($A$13:$A480))),""),"")</f>
        <v/>
      </c>
      <c r="CD480" s="237">
        <v>13.01</v>
      </c>
      <c r="CE480" s="237" t="s">
        <v>361</v>
      </c>
      <c r="CJ480" s="347">
        <v>27.02</v>
      </c>
      <c r="CK480" s="347" t="s">
        <v>352</v>
      </c>
      <c r="CL480" s="1789"/>
      <c r="CR480" s="345"/>
      <c r="CS480" s="345"/>
      <c r="CX480" s="347"/>
      <c r="CY480" s="347"/>
      <c r="DA480" s="348"/>
      <c r="DC480" s="348"/>
      <c r="DH480" s="237"/>
      <c r="DI480" s="237"/>
      <c r="DN480" s="347"/>
      <c r="DO480" s="347"/>
      <c r="DP480" s="2505"/>
      <c r="DT480" s="663"/>
      <c r="DU480" s="663"/>
      <c r="DV480" s="663"/>
      <c r="DW480" s="663"/>
      <c r="DX480" s="663"/>
      <c r="DY480" s="663"/>
      <c r="DZ480" s="663"/>
      <c r="EA480" s="663"/>
      <c r="EB480" s="663"/>
      <c r="EC480" s="663"/>
      <c r="ED480" s="663"/>
    </row>
    <row r="481" spans="6:134">
      <c r="F481" s="345">
        <v>113</v>
      </c>
      <c r="G481" s="345" t="s">
        <v>352</v>
      </c>
      <c r="L481" s="347">
        <v>144.09</v>
      </c>
      <c r="M481" s="347" t="s">
        <v>323</v>
      </c>
      <c r="V481" s="345">
        <v>140.13</v>
      </c>
      <c r="W481" s="345" t="s">
        <v>337</v>
      </c>
      <c r="AB481" s="347">
        <v>53.01</v>
      </c>
      <c r="AC481" s="347" t="s">
        <v>337</v>
      </c>
      <c r="AD481" s="1138"/>
      <c r="AJ481" s="345">
        <v>55.05</v>
      </c>
      <c r="AK481" s="345" t="s">
        <v>352</v>
      </c>
      <c r="AP481" s="347">
        <v>102.17</v>
      </c>
      <c r="AQ481" s="347" t="s">
        <v>318</v>
      </c>
      <c r="AU481" s="348" t="str">
        <f t="array" ref="AU481">IFERROR(IF($AU$11="Yes",INDEX($AP$13:$AP$2950,SMALL(IF((County=$AQ$13:$AQ$2950),MATCH(ROW($AQ$13:$AQ$2950),ROW($AQ$13:$AQ$2950)),""),ROWS($A$13:$A481))),""),"")</f>
        <v/>
      </c>
      <c r="AZ481" s="345">
        <v>116.04</v>
      </c>
      <c r="BA481" s="345" t="s">
        <v>365</v>
      </c>
      <c r="BF481" s="347">
        <v>27.02</v>
      </c>
      <c r="BG481" s="347" t="s">
        <v>352</v>
      </c>
      <c r="BH481" s="1790"/>
      <c r="BI481" s="1794"/>
      <c r="BJ481" s="1345"/>
      <c r="BN481" s="345">
        <v>601.23</v>
      </c>
      <c r="BO481" s="345" t="s">
        <v>310</v>
      </c>
      <c r="BT481" s="347">
        <v>102.13</v>
      </c>
      <c r="BU481" s="347" t="s">
        <v>318</v>
      </c>
      <c r="BW481" s="348" t="str">
        <f t="array" ref="BW481">IFERROR(IF($BW$11="Metro",INDEX($BN$13:$BN$4972,SMALL(IF((County=$BO$13:$BO$4972),MATCH(ROW($BO$13:$BO$4972),ROW($BO$13:$BO$4972)),""),ROWS($A$13:$A481))),INDEX($BQ$13:$BQ$212,SMALL(IF((County=$BR$13:$BR$212),MATCH(ROW($BR$13:$BR$212),ROW($BR$13:$BR$212)),""),ROWS($A$13:$A481)))),"")</f>
        <v/>
      </c>
      <c r="BY481" s="348" t="str">
        <f t="array" ref="BY481">IFERROR(IF($BY$11="Yes",INDEX($BT$13:$BT$2950,SMALL(IF((County=$BU$13:$BU$2950),MATCH(ROW($BU$13:$BU$2950),ROW($BU$13:$BU$2950)),""),ROWS($A$13:$A481))),""),"")</f>
        <v/>
      </c>
      <c r="CD481" s="237">
        <v>13.01</v>
      </c>
      <c r="CE481" s="237" t="s">
        <v>368</v>
      </c>
      <c r="CJ481" s="347">
        <v>27.02</v>
      </c>
      <c r="CK481" s="347" t="s">
        <v>361</v>
      </c>
      <c r="CL481" s="1789"/>
      <c r="CR481" s="345"/>
      <c r="CS481" s="345"/>
      <c r="CX481" s="347"/>
      <c r="CY481" s="347"/>
      <c r="DA481" s="348"/>
      <c r="DC481" s="348"/>
      <c r="DH481" s="237"/>
      <c r="DI481" s="237"/>
      <c r="DN481" s="347"/>
      <c r="DO481" s="347"/>
      <c r="DP481" s="2505"/>
      <c r="DT481" s="663"/>
      <c r="DU481" s="663"/>
      <c r="DV481" s="663"/>
      <c r="DW481" s="663"/>
      <c r="DX481" s="663"/>
      <c r="DY481" s="663"/>
      <c r="DZ481" s="663"/>
      <c r="EA481" s="663"/>
      <c r="EB481" s="663"/>
      <c r="EC481" s="663"/>
      <c r="ED481" s="663"/>
    </row>
    <row r="482" spans="6:134">
      <c r="F482" s="345">
        <v>114.03</v>
      </c>
      <c r="G482" s="345" t="s">
        <v>352</v>
      </c>
      <c r="L482" s="347">
        <v>144.1</v>
      </c>
      <c r="M482" s="347" t="s">
        <v>323</v>
      </c>
      <c r="V482" s="345">
        <v>141.08000000000001</v>
      </c>
      <c r="W482" s="345" t="s">
        <v>337</v>
      </c>
      <c r="AB482" s="347">
        <v>54.01</v>
      </c>
      <c r="AC482" s="347" t="s">
        <v>337</v>
      </c>
      <c r="AD482" s="1138"/>
      <c r="AJ482" s="345">
        <v>57.01</v>
      </c>
      <c r="AK482" s="345" t="s">
        <v>352</v>
      </c>
      <c r="AP482" s="347">
        <v>104.01</v>
      </c>
      <c r="AQ482" s="347" t="s">
        <v>318</v>
      </c>
      <c r="AU482" s="348" t="str">
        <f t="array" ref="AU482">IFERROR(IF($AU$11="Yes",INDEX($AP$13:$AP$2950,SMALL(IF((County=$AQ$13:$AQ$2950),MATCH(ROW($AQ$13:$AQ$2950),ROW($AQ$13:$AQ$2950)),""),ROWS($A$13:$A482))),""),"")</f>
        <v/>
      </c>
      <c r="AZ482" s="345">
        <v>116.1</v>
      </c>
      <c r="BA482" s="345" t="s">
        <v>337</v>
      </c>
      <c r="BF482" s="347">
        <v>27.02</v>
      </c>
      <c r="BG482" s="347" t="s">
        <v>361</v>
      </c>
      <c r="BH482" s="1790"/>
      <c r="BI482" s="1794"/>
      <c r="BJ482" s="1345"/>
      <c r="BN482" s="345">
        <v>601.24</v>
      </c>
      <c r="BO482" s="345" t="s">
        <v>310</v>
      </c>
      <c r="BT482" s="347">
        <v>102.15</v>
      </c>
      <c r="BU482" s="347" t="s">
        <v>318</v>
      </c>
      <c r="BW482" s="348" t="str">
        <f t="array" ref="BW482">IFERROR(IF($BW$11="Metro",INDEX($BN$13:$BN$4972,SMALL(IF((County=$BO$13:$BO$4972),MATCH(ROW($BO$13:$BO$4972),ROW($BO$13:$BO$4972)),""),ROWS($A$13:$A482))),INDEX($BQ$13:$BQ$212,SMALL(IF((County=$BR$13:$BR$212),MATCH(ROW($BR$13:$BR$212),ROW($BR$13:$BR$212)),""),ROWS($A$13:$A482)))),"")</f>
        <v/>
      </c>
      <c r="BY482" s="348" t="str">
        <f t="array" ref="BY482">IFERROR(IF($BY$11="Yes",INDEX($BT$13:$BT$2950,SMALL(IF((County=$BU$13:$BU$2950),MATCH(ROW($BU$13:$BU$2950),ROW($BU$13:$BU$2950)),""),ROWS($A$13:$A482))),""),"")</f>
        <v/>
      </c>
      <c r="CD482" s="345">
        <v>13.02</v>
      </c>
      <c r="CE482" s="345" t="s">
        <v>306</v>
      </c>
      <c r="CJ482" s="347">
        <v>27.03</v>
      </c>
      <c r="CK482" s="347" t="s">
        <v>306</v>
      </c>
      <c r="CL482" s="1789"/>
      <c r="CR482" s="345"/>
      <c r="CS482" s="345"/>
      <c r="CX482" s="347"/>
      <c r="CY482" s="347"/>
      <c r="DA482" s="348"/>
      <c r="DC482" s="348"/>
      <c r="DH482" s="237"/>
      <c r="DI482" s="237"/>
      <c r="DN482" s="347"/>
      <c r="DO482" s="347"/>
      <c r="DP482" s="2505"/>
      <c r="DT482" s="663"/>
      <c r="DU482" s="663"/>
      <c r="DV482" s="663"/>
      <c r="DW482" s="663"/>
      <c r="DX482" s="663"/>
      <c r="DY482" s="663"/>
      <c r="DZ482" s="663"/>
      <c r="EA482" s="663"/>
      <c r="EB482" s="663"/>
      <c r="EC482" s="663"/>
      <c r="ED482" s="663"/>
    </row>
    <row r="483" spans="6:134">
      <c r="F483" s="345">
        <v>114.04</v>
      </c>
      <c r="G483" s="345" t="s">
        <v>352</v>
      </c>
      <c r="L483" s="347">
        <v>144.11000000000001</v>
      </c>
      <c r="M483" s="347" t="s">
        <v>323</v>
      </c>
      <c r="V483" s="345">
        <v>141.21</v>
      </c>
      <c r="W483" s="345" t="s">
        <v>365</v>
      </c>
      <c r="AB483" s="347">
        <v>54.05</v>
      </c>
      <c r="AC483" s="347" t="s">
        <v>361</v>
      </c>
      <c r="AD483" s="1138"/>
      <c r="AJ483" s="345">
        <v>57.05</v>
      </c>
      <c r="AK483" s="345" t="s">
        <v>352</v>
      </c>
      <c r="AP483" s="347">
        <v>104.08</v>
      </c>
      <c r="AQ483" s="347" t="s">
        <v>318</v>
      </c>
      <c r="AU483" s="348" t="str">
        <f t="array" ref="AU483">IFERROR(IF($AU$11="Yes",INDEX($AP$13:$AP$2950,SMALL(IF((County=$AQ$13:$AQ$2950),MATCH(ROW($AQ$13:$AQ$2950),ROW($AQ$13:$AQ$2950)),""),ROWS($A$13:$A483))),""),"")</f>
        <v/>
      </c>
      <c r="AZ483" s="345">
        <v>116.14</v>
      </c>
      <c r="BA483" s="345" t="s">
        <v>337</v>
      </c>
      <c r="BF483" s="347">
        <v>27.03</v>
      </c>
      <c r="BG483" s="347" t="s">
        <v>306</v>
      </c>
      <c r="BH483" s="1790"/>
      <c r="BI483" s="1794"/>
      <c r="BJ483" s="1345"/>
      <c r="BN483" s="345">
        <v>601.25</v>
      </c>
      <c r="BO483" s="345" t="s">
        <v>310</v>
      </c>
      <c r="BT483" s="347">
        <v>102.16</v>
      </c>
      <c r="BU483" s="347" t="s">
        <v>318</v>
      </c>
      <c r="BW483" s="348" t="str">
        <f t="array" ref="BW483">IFERROR(IF($BW$11="Metro",INDEX($BN$13:$BN$4972,SMALL(IF((County=$BO$13:$BO$4972),MATCH(ROW($BO$13:$BO$4972),ROW($BO$13:$BO$4972)),""),ROWS($A$13:$A483))),INDEX($BQ$13:$BQ$212,SMALL(IF((County=$BR$13:$BR$212),MATCH(ROW($BR$13:$BR$212),ROW($BR$13:$BR$212)),""),ROWS($A$13:$A483)))),"")</f>
        <v/>
      </c>
      <c r="BY483" s="348" t="str">
        <f t="array" ref="BY483">IFERROR(IF($BY$11="Yes",INDEX($BT$13:$BT$2950,SMALL(IF((County=$BU$13:$BU$2950),MATCH(ROW($BU$13:$BU$2950),ROW($BU$13:$BU$2950)),""),ROWS($A$13:$A483))),""),"")</f>
        <v/>
      </c>
      <c r="CD483" s="237">
        <v>13.02</v>
      </c>
      <c r="CE483" s="237" t="s">
        <v>350</v>
      </c>
      <c r="CJ483" s="347">
        <v>27.03</v>
      </c>
      <c r="CK483" s="347" t="s">
        <v>350</v>
      </c>
      <c r="CL483" s="1789"/>
      <c r="CR483" s="345"/>
      <c r="CS483" s="345"/>
      <c r="CX483" s="347"/>
      <c r="CY483" s="347"/>
      <c r="DA483" s="348"/>
      <c r="DC483" s="348"/>
      <c r="DH483" s="237"/>
      <c r="DI483" s="237"/>
      <c r="DN483" s="347"/>
      <c r="DO483" s="347"/>
      <c r="DP483" s="2505"/>
      <c r="DT483" s="663"/>
      <c r="DU483" s="663"/>
      <c r="DV483" s="663"/>
      <c r="DW483" s="663"/>
      <c r="DX483" s="663"/>
      <c r="DY483" s="663"/>
      <c r="DZ483" s="663"/>
      <c r="EA483" s="663"/>
      <c r="EB483" s="663"/>
      <c r="EC483" s="663"/>
      <c r="ED483" s="663"/>
    </row>
    <row r="484" spans="6:134">
      <c r="F484" s="345">
        <v>117</v>
      </c>
      <c r="G484" s="345" t="s">
        <v>352</v>
      </c>
      <c r="L484" s="347">
        <v>144.12</v>
      </c>
      <c r="M484" s="347" t="s">
        <v>323</v>
      </c>
      <c r="V484" s="345">
        <v>143.01</v>
      </c>
      <c r="W484" s="345" t="s">
        <v>365</v>
      </c>
      <c r="AB484" s="347">
        <v>54.07</v>
      </c>
      <c r="AC484" s="347" t="s">
        <v>361</v>
      </c>
      <c r="AD484" s="1138"/>
      <c r="AJ484" s="345">
        <v>57.06</v>
      </c>
      <c r="AK484" s="345" t="s">
        <v>352</v>
      </c>
      <c r="AP484" s="347">
        <v>104.11</v>
      </c>
      <c r="AQ484" s="347" t="s">
        <v>318</v>
      </c>
      <c r="AU484" s="348" t="str">
        <f t="array" ref="AU484">IFERROR(IF($AU$11="Yes",INDEX($AP$13:$AP$2950,SMALL(IF((County=$AQ$13:$AQ$2950),MATCH(ROW($AQ$13:$AQ$2950),ROW($AQ$13:$AQ$2950)),""),ROWS($A$13:$A484))),""),"")</f>
        <v/>
      </c>
      <c r="AZ484" s="345">
        <v>117.01</v>
      </c>
      <c r="BA484" s="345" t="s">
        <v>352</v>
      </c>
      <c r="BF484" s="347">
        <v>27.03</v>
      </c>
      <c r="BG484" s="347" t="s">
        <v>361</v>
      </c>
      <c r="BH484" s="1790"/>
      <c r="BI484" s="1794"/>
      <c r="BJ484" s="1345"/>
      <c r="BN484" s="345">
        <v>601.26</v>
      </c>
      <c r="BO484" s="345" t="s">
        <v>310</v>
      </c>
      <c r="BT484" s="347">
        <v>103</v>
      </c>
      <c r="BU484" s="347" t="s">
        <v>318</v>
      </c>
      <c r="BW484" s="348" t="str">
        <f t="array" ref="BW484">IFERROR(IF($BW$11="Metro",INDEX($BN$13:$BN$4972,SMALL(IF((County=$BO$13:$BO$4972),MATCH(ROW($BO$13:$BO$4972),ROW($BO$13:$BO$4972)),""),ROWS($A$13:$A484))),INDEX($BQ$13:$BQ$212,SMALL(IF((County=$BR$13:$BR$212),MATCH(ROW($BR$13:$BR$212),ROW($BR$13:$BR$212)),""),ROWS($A$13:$A484)))),"")</f>
        <v/>
      </c>
      <c r="BY484" s="348" t="str">
        <f t="array" ref="BY484">IFERROR(IF($BY$11="Yes",INDEX($BT$13:$BT$2950,SMALL(IF((County=$BU$13:$BU$2950),MATCH(ROW($BU$13:$BU$2950),ROW($BU$13:$BU$2950)),""),ROWS($A$13:$A484))),""),"")</f>
        <v/>
      </c>
      <c r="CD484" s="237">
        <v>13.02</v>
      </c>
      <c r="CE484" s="237" t="s">
        <v>351</v>
      </c>
      <c r="CJ484" s="347">
        <v>27.03</v>
      </c>
      <c r="CK484" s="347" t="s">
        <v>361</v>
      </c>
      <c r="CL484" s="1789"/>
      <c r="CR484" s="345"/>
      <c r="CS484" s="345"/>
      <c r="CX484" s="347"/>
      <c r="CY484" s="347"/>
      <c r="DA484" s="348"/>
      <c r="DC484" s="348"/>
      <c r="DH484" s="237"/>
      <c r="DI484" s="237"/>
      <c r="DN484" s="347"/>
      <c r="DO484" s="347"/>
      <c r="DP484" s="2505"/>
      <c r="DT484" s="663"/>
      <c r="DU484" s="663"/>
      <c r="DV484" s="663"/>
      <c r="DW484" s="663"/>
      <c r="DX484" s="663"/>
      <c r="DY484" s="663"/>
      <c r="DZ484" s="663"/>
      <c r="EA484" s="663"/>
      <c r="EB484" s="663"/>
      <c r="EC484" s="663"/>
      <c r="ED484" s="663"/>
    </row>
    <row r="485" spans="6:134">
      <c r="F485" s="345">
        <v>120</v>
      </c>
      <c r="G485" s="345" t="s">
        <v>352</v>
      </c>
      <c r="L485" s="347">
        <v>144.13</v>
      </c>
      <c r="M485" s="347" t="s">
        <v>323</v>
      </c>
      <c r="V485" s="345">
        <v>143.02000000000001</v>
      </c>
      <c r="W485" s="345" t="s">
        <v>359</v>
      </c>
      <c r="AB485" s="347">
        <v>54.09</v>
      </c>
      <c r="AC485" s="347" t="s">
        <v>361</v>
      </c>
      <c r="AD485" s="1138"/>
      <c r="AJ485" s="345">
        <v>57.07</v>
      </c>
      <c r="AK485" s="345" t="s">
        <v>352</v>
      </c>
      <c r="AP485" s="347">
        <v>104.16</v>
      </c>
      <c r="AQ485" s="347" t="s">
        <v>318</v>
      </c>
      <c r="AU485" s="348" t="str">
        <f t="array" ref="AU485">IFERROR(IF($AU$11="Yes",INDEX($AP$13:$AP$2950,SMALL(IF((County=$AQ$13:$AQ$2950),MATCH(ROW($AQ$13:$AQ$2950),ROW($AQ$13:$AQ$2950)),""),ROWS($A$13:$A485))),""),"")</f>
        <v/>
      </c>
      <c r="AZ485" s="345">
        <v>117.02</v>
      </c>
      <c r="BA485" s="345" t="s">
        <v>352</v>
      </c>
      <c r="BF485" s="347">
        <v>27.04</v>
      </c>
      <c r="BG485" s="347" t="s">
        <v>350</v>
      </c>
      <c r="BH485" s="1790"/>
      <c r="BI485" s="1794"/>
      <c r="BJ485" s="1345"/>
      <c r="BN485" s="345">
        <v>601.27</v>
      </c>
      <c r="BO485" s="345" t="s">
        <v>310</v>
      </c>
      <c r="BT485" s="347">
        <v>104.01</v>
      </c>
      <c r="BU485" s="347" t="s">
        <v>318</v>
      </c>
      <c r="BW485" s="348" t="str">
        <f t="array" ref="BW485">IFERROR(IF($BW$11="Metro",INDEX($BN$13:$BN$4972,SMALL(IF((County=$BO$13:$BO$4972),MATCH(ROW($BO$13:$BO$4972),ROW($BO$13:$BO$4972)),""),ROWS($A$13:$A485))),INDEX($BQ$13:$BQ$212,SMALL(IF((County=$BR$13:$BR$212),MATCH(ROW($BR$13:$BR$212),ROW($BR$13:$BR$212)),""),ROWS($A$13:$A485)))),"")</f>
        <v/>
      </c>
      <c r="BY485" s="348" t="str">
        <f t="array" ref="BY485">IFERROR(IF($BY$11="Yes",INDEX($BT$13:$BT$2950,SMALL(IF((County=$BU$13:$BU$2950),MATCH(ROW($BU$13:$BU$2950),ROW($BU$13:$BU$2950)),""),ROWS($A$13:$A485))),""),"")</f>
        <v/>
      </c>
      <c r="CD485" s="237">
        <v>13.02</v>
      </c>
      <c r="CE485" s="237" t="s">
        <v>352</v>
      </c>
      <c r="CJ485" s="347">
        <v>27.04</v>
      </c>
      <c r="CK485" s="347" t="s">
        <v>350</v>
      </c>
      <c r="CL485" s="1789"/>
      <c r="CR485" s="345"/>
      <c r="CS485" s="345"/>
      <c r="CX485" s="347"/>
      <c r="CY485" s="347"/>
      <c r="DA485" s="348"/>
      <c r="DC485" s="348"/>
      <c r="DH485" s="237"/>
      <c r="DI485" s="237"/>
      <c r="DN485" s="347"/>
      <c r="DO485" s="347"/>
      <c r="DP485" s="2505"/>
      <c r="DT485" s="663"/>
      <c r="DU485" s="663"/>
      <c r="DV485" s="663"/>
      <c r="DW485" s="663"/>
      <c r="DX485" s="663"/>
      <c r="DY485" s="663"/>
      <c r="DZ485" s="663"/>
      <c r="EA485" s="663"/>
      <c r="EB485" s="663"/>
      <c r="EC485" s="663"/>
      <c r="ED485" s="663"/>
    </row>
    <row r="486" spans="6:134">
      <c r="F486" s="345">
        <v>135</v>
      </c>
      <c r="G486" s="345" t="s">
        <v>352</v>
      </c>
      <c r="L486" s="347">
        <v>146.01</v>
      </c>
      <c r="M486" s="347" t="s">
        <v>323</v>
      </c>
      <c r="V486" s="345">
        <v>145.02000000000001</v>
      </c>
      <c r="W486" s="345" t="s">
        <v>359</v>
      </c>
      <c r="AB486" s="347">
        <v>54.11</v>
      </c>
      <c r="AC486" s="347" t="s">
        <v>361</v>
      </c>
      <c r="AD486" s="1138"/>
      <c r="AJ486" s="345">
        <v>57.08</v>
      </c>
      <c r="AK486" s="345" t="s">
        <v>352</v>
      </c>
      <c r="AP486" s="347">
        <v>104.23</v>
      </c>
      <c r="AQ486" s="347" t="s">
        <v>318</v>
      </c>
      <c r="AU486" s="348" t="str">
        <f t="array" ref="AU486">IFERROR(IF($AU$11="Yes",INDEX($AP$13:$AP$2950,SMALL(IF((County=$AQ$13:$AQ$2950),MATCH(ROW($AQ$13:$AQ$2950),ROW($AQ$13:$AQ$2950)),""),ROWS($A$13:$A486))),""),"")</f>
        <v/>
      </c>
      <c r="AZ486" s="345">
        <v>117.02</v>
      </c>
      <c r="BA486" s="345" t="s">
        <v>359</v>
      </c>
      <c r="BF486" s="347">
        <v>27.05</v>
      </c>
      <c r="BG486" s="347" t="s">
        <v>352</v>
      </c>
      <c r="BH486" s="1790"/>
      <c r="BI486" s="1794"/>
      <c r="BJ486" s="1345"/>
      <c r="BN486" s="345">
        <v>601.28</v>
      </c>
      <c r="BO486" s="345" t="s">
        <v>310</v>
      </c>
      <c r="BT486" s="347">
        <v>104.16</v>
      </c>
      <c r="BU486" s="347" t="s">
        <v>318</v>
      </c>
      <c r="BW486" s="348" t="str">
        <f t="array" ref="BW486">IFERROR(IF($BW$11="Metro",INDEX($BN$13:$BN$4972,SMALL(IF((County=$BO$13:$BO$4972),MATCH(ROW($BO$13:$BO$4972),ROW($BO$13:$BO$4972)),""),ROWS($A$13:$A486))),INDEX($BQ$13:$BQ$212,SMALL(IF((County=$BR$13:$BR$212),MATCH(ROW($BR$13:$BR$212),ROW($BR$13:$BR$212)),""),ROWS($A$13:$A486)))),"")</f>
        <v/>
      </c>
      <c r="BY486" s="348" t="str">
        <f t="array" ref="BY486">IFERROR(IF($BY$11="Yes",INDEX($BT$13:$BT$2950,SMALL(IF((County=$BU$13:$BU$2950),MATCH(ROW($BU$13:$BU$2950),ROW($BU$13:$BU$2950)),""),ROWS($A$13:$A486))),""),"")</f>
        <v/>
      </c>
      <c r="CD486" s="237">
        <v>13.02</v>
      </c>
      <c r="CE486" s="237" t="s">
        <v>361</v>
      </c>
      <c r="CJ486" s="347">
        <v>27.05</v>
      </c>
      <c r="CK486" s="347" t="s">
        <v>352</v>
      </c>
      <c r="CL486" s="1789"/>
      <c r="CR486" s="345"/>
      <c r="CS486" s="345"/>
      <c r="CX486" s="347"/>
      <c r="CY486" s="347"/>
      <c r="DA486" s="348"/>
      <c r="DC486" s="348"/>
      <c r="DH486" s="237"/>
      <c r="DI486" s="237"/>
      <c r="DN486" s="347"/>
      <c r="DO486" s="347"/>
      <c r="DP486" s="2505"/>
      <c r="DT486" s="663"/>
      <c r="DU486" s="663"/>
      <c r="DV486" s="663"/>
      <c r="DW486" s="663"/>
      <c r="DX486" s="663"/>
      <c r="DY486" s="663"/>
      <c r="DZ486" s="663"/>
      <c r="EA486" s="663"/>
      <c r="EB486" s="663"/>
      <c r="EC486" s="663"/>
      <c r="ED486" s="663"/>
    </row>
    <row r="487" spans="6:134">
      <c r="F487" s="345">
        <v>136</v>
      </c>
      <c r="G487" s="345" t="s">
        <v>352</v>
      </c>
      <c r="L487" s="347">
        <v>146.03</v>
      </c>
      <c r="M487" s="347" t="s">
        <v>323</v>
      </c>
      <c r="V487" s="345">
        <v>145.02000000000001</v>
      </c>
      <c r="W487" s="345" t="s">
        <v>365</v>
      </c>
      <c r="AB487" s="347">
        <v>55</v>
      </c>
      <c r="AC487" s="347" t="s">
        <v>337</v>
      </c>
      <c r="AD487" s="1138"/>
      <c r="AJ487" s="345">
        <v>63.03</v>
      </c>
      <c r="AK487" s="345" t="s">
        <v>352</v>
      </c>
      <c r="AP487" s="347">
        <v>104.25</v>
      </c>
      <c r="AQ487" s="347" t="s">
        <v>318</v>
      </c>
      <c r="AU487" s="348" t="str">
        <f t="array" ref="AU487">IFERROR(IF($AU$11="Yes",INDEX($AP$13:$AP$2950,SMALL(IF((County=$AQ$13:$AQ$2950),MATCH(ROW($AQ$13:$AQ$2950),ROW($AQ$13:$AQ$2950)),""),ROWS($A$13:$A487))),""),"")</f>
        <v/>
      </c>
      <c r="AZ487" s="345">
        <v>117.04</v>
      </c>
      <c r="BA487" s="345" t="s">
        <v>365</v>
      </c>
      <c r="BF487" s="347">
        <v>27.06</v>
      </c>
      <c r="BG487" s="347" t="s">
        <v>306</v>
      </c>
      <c r="BH487" s="1790"/>
      <c r="BI487" s="1793"/>
      <c r="BJ487" s="1329"/>
      <c r="BN487" s="345">
        <v>601.29</v>
      </c>
      <c r="BO487" s="345" t="s">
        <v>310</v>
      </c>
      <c r="BT487" s="347">
        <v>104.23</v>
      </c>
      <c r="BU487" s="347" t="s">
        <v>318</v>
      </c>
      <c r="BW487" s="348" t="str">
        <f t="array" ref="BW487">IFERROR(IF($BW$11="Metro",INDEX($BN$13:$BN$4972,SMALL(IF((County=$BO$13:$BO$4972),MATCH(ROW($BO$13:$BO$4972),ROW($BO$13:$BO$4972)),""),ROWS($A$13:$A487))),INDEX($BQ$13:$BQ$212,SMALL(IF((County=$BR$13:$BR$212),MATCH(ROW($BR$13:$BR$212),ROW($BR$13:$BR$212)),""),ROWS($A$13:$A487)))),"")</f>
        <v/>
      </c>
      <c r="BY487" s="348" t="str">
        <f t="array" ref="BY487">IFERROR(IF($BY$11="Yes",INDEX($BT$13:$BT$2950,SMALL(IF((County=$BU$13:$BU$2950),MATCH(ROW($BU$13:$BU$2950),ROW($BU$13:$BU$2950)),""),ROWS($A$13:$A487))),""),"")</f>
        <v/>
      </c>
      <c r="CD487" s="237">
        <v>13.02</v>
      </c>
      <c r="CE487" s="237" t="s">
        <v>368</v>
      </c>
      <c r="CJ487" s="347">
        <v>27.06</v>
      </c>
      <c r="CK487" s="347" t="s">
        <v>306</v>
      </c>
      <c r="CL487" s="1789"/>
      <c r="CR487" s="345"/>
      <c r="CS487" s="345"/>
      <c r="CX487" s="347"/>
      <c r="CY487" s="347"/>
      <c r="DA487" s="348"/>
      <c r="DC487" s="348"/>
      <c r="DH487" s="237"/>
      <c r="DI487" s="237"/>
      <c r="DN487" s="347"/>
      <c r="DO487" s="347"/>
      <c r="DP487" s="2505"/>
      <c r="DT487" s="663"/>
      <c r="DU487" s="663"/>
      <c r="DV487" s="663"/>
      <c r="DW487" s="663"/>
      <c r="DX487" s="663"/>
      <c r="DY487" s="663"/>
      <c r="DZ487" s="663"/>
      <c r="EA487" s="663"/>
      <c r="EB487" s="663"/>
      <c r="EC487" s="663"/>
      <c r="ED487" s="663"/>
    </row>
    <row r="488" spans="6:134">
      <c r="F488" s="345">
        <v>137</v>
      </c>
      <c r="G488" s="345" t="s">
        <v>352</v>
      </c>
      <c r="L488" s="347">
        <v>147.01</v>
      </c>
      <c r="M488" s="347" t="s">
        <v>323</v>
      </c>
      <c r="V488" s="345">
        <v>145.03</v>
      </c>
      <c r="W488" s="345" t="s">
        <v>359</v>
      </c>
      <c r="AB488" s="347">
        <v>56</v>
      </c>
      <c r="AC488" s="347" t="s">
        <v>352</v>
      </c>
      <c r="AD488" s="1138"/>
      <c r="AJ488" s="345">
        <v>63.04</v>
      </c>
      <c r="AK488" s="345" t="s">
        <v>352</v>
      </c>
      <c r="AP488" s="347">
        <v>104.26</v>
      </c>
      <c r="AQ488" s="347" t="s">
        <v>318</v>
      </c>
      <c r="AU488" s="348" t="str">
        <f t="array" ref="AU488">IFERROR(IF($AU$11="Yes",INDEX($AP$13:$AP$2950,SMALL(IF((County=$AQ$13:$AQ$2950),MATCH(ROW($AQ$13:$AQ$2950),ROW($AQ$13:$AQ$2950)),""),ROWS($A$13:$A488))),""),"")</f>
        <v/>
      </c>
      <c r="AZ488" s="345">
        <v>117.22</v>
      </c>
      <c r="BA488" s="345" t="s">
        <v>365</v>
      </c>
      <c r="BF488" s="347">
        <v>27.07</v>
      </c>
      <c r="BG488" s="347" t="s">
        <v>306</v>
      </c>
      <c r="BH488" s="1790"/>
      <c r="BI488" s="1794"/>
      <c r="BJ488" s="1345"/>
      <c r="BN488" s="345">
        <v>601.29999999999995</v>
      </c>
      <c r="BO488" s="345" t="s">
        <v>310</v>
      </c>
      <c r="BT488" s="347">
        <v>104.24</v>
      </c>
      <c r="BU488" s="347" t="s">
        <v>318</v>
      </c>
      <c r="BW488" s="348" t="str">
        <f t="array" ref="BW488">IFERROR(IF($BW$11="Metro",INDEX($BN$13:$BN$4972,SMALL(IF((County=$BO$13:$BO$4972),MATCH(ROW($BO$13:$BO$4972),ROW($BO$13:$BO$4972)),""),ROWS($A$13:$A488))),INDEX($BQ$13:$BQ$212,SMALL(IF((County=$BR$13:$BR$212),MATCH(ROW($BR$13:$BR$212),ROW($BR$13:$BR$212)),""),ROWS($A$13:$A488)))),"")</f>
        <v/>
      </c>
      <c r="BY488" s="348" t="str">
        <f t="array" ref="BY488">IFERROR(IF($BY$11="Yes",INDEX($BT$13:$BT$2950,SMALL(IF((County=$BU$13:$BU$2950),MATCH(ROW($BU$13:$BU$2950),ROW($BU$13:$BU$2950)),""),ROWS($A$13:$A488))),""),"")</f>
        <v/>
      </c>
      <c r="CD488" s="237">
        <v>13.03</v>
      </c>
      <c r="CE488" s="237" t="s">
        <v>368</v>
      </c>
      <c r="CJ488" s="347">
        <v>27.06</v>
      </c>
      <c r="CK488" s="347" t="s">
        <v>350</v>
      </c>
      <c r="CL488" s="1789"/>
      <c r="CR488" s="345"/>
      <c r="CS488" s="345"/>
      <c r="CX488" s="347"/>
      <c r="CY488" s="347"/>
      <c r="DA488" s="348"/>
      <c r="DC488" s="348"/>
      <c r="DH488" s="237"/>
      <c r="DI488" s="237"/>
      <c r="DN488" s="347"/>
      <c r="DO488" s="347"/>
      <c r="DP488" s="2505"/>
      <c r="DT488" s="663"/>
      <c r="DU488" s="663"/>
      <c r="DV488" s="663"/>
      <c r="DW488" s="663"/>
      <c r="DX488" s="663"/>
      <c r="DY488" s="663"/>
      <c r="DZ488" s="663"/>
      <c r="EA488" s="663"/>
      <c r="EB488" s="663"/>
      <c r="EC488" s="663"/>
      <c r="ED488" s="663"/>
    </row>
    <row r="489" spans="6:134">
      <c r="F489" s="345">
        <v>9807</v>
      </c>
      <c r="G489" s="345" t="s">
        <v>352</v>
      </c>
      <c r="L489" s="347">
        <v>147.02000000000001</v>
      </c>
      <c r="M489" s="347" t="s">
        <v>323</v>
      </c>
      <c r="V489" s="345">
        <v>146.01</v>
      </c>
      <c r="W489" s="345" t="s">
        <v>359</v>
      </c>
      <c r="AB489" s="347">
        <v>56.02</v>
      </c>
      <c r="AC489" s="347" t="s">
        <v>361</v>
      </c>
      <c r="AD489" s="1138"/>
      <c r="AJ489" s="345">
        <v>64.02</v>
      </c>
      <c r="AK489" s="345" t="s">
        <v>352</v>
      </c>
      <c r="AP489" s="347">
        <v>104.27</v>
      </c>
      <c r="AQ489" s="347" t="s">
        <v>318</v>
      </c>
      <c r="AU489" s="348" t="str">
        <f t="array" ref="AU489">IFERROR(IF($AU$11="Yes",INDEX($AP$13:$AP$2950,SMALL(IF((County=$AQ$13:$AQ$2950),MATCH(ROW($AQ$13:$AQ$2950),ROW($AQ$13:$AQ$2950)),""),ROWS($A$13:$A489))),""),"")</f>
        <v/>
      </c>
      <c r="AZ489" s="345">
        <v>117.31</v>
      </c>
      <c r="BA489" s="345" t="s">
        <v>365</v>
      </c>
      <c r="BF489" s="347">
        <v>27.07</v>
      </c>
      <c r="BG489" s="347" t="s">
        <v>352</v>
      </c>
      <c r="BH489" s="1790"/>
      <c r="BI489" s="1794"/>
      <c r="BJ489" s="1345"/>
      <c r="BN489" s="345">
        <v>602.03</v>
      </c>
      <c r="BO489" s="345" t="s">
        <v>310</v>
      </c>
      <c r="BT489" s="347">
        <v>104.25</v>
      </c>
      <c r="BU489" s="347" t="s">
        <v>318</v>
      </c>
      <c r="BW489" s="348" t="str">
        <f t="array" ref="BW489">IFERROR(IF($BW$11="Metro",INDEX($BN$13:$BN$4972,SMALL(IF((County=$BO$13:$BO$4972),MATCH(ROW($BO$13:$BO$4972),ROW($BO$13:$BO$4972)),""),ROWS($A$13:$A489))),INDEX($BQ$13:$BQ$212,SMALL(IF((County=$BR$13:$BR$212),MATCH(ROW($BR$13:$BR$212),ROW($BR$13:$BR$212)),""),ROWS($A$13:$A489)))),"")</f>
        <v/>
      </c>
      <c r="BY489" s="348" t="str">
        <f t="array" ref="BY489">IFERROR(IF($BY$11="Yes",INDEX($BT$13:$BT$2950,SMALL(IF((County=$BU$13:$BU$2950),MATCH(ROW($BU$13:$BU$2950),ROW($BU$13:$BU$2950)),""),ROWS($A$13:$A489))),""),"")</f>
        <v/>
      </c>
      <c r="CD489" s="237">
        <v>13.04</v>
      </c>
      <c r="CE489" s="237" t="s">
        <v>368</v>
      </c>
      <c r="CJ489" s="347">
        <v>27.07</v>
      </c>
      <c r="CK489" s="347" t="s">
        <v>306</v>
      </c>
      <c r="CL489" s="1789"/>
      <c r="CR489" s="345"/>
      <c r="CS489" s="345"/>
      <c r="CX489" s="347"/>
      <c r="CY489" s="347"/>
      <c r="DA489" s="348"/>
      <c r="DC489" s="348"/>
      <c r="DH489" s="237"/>
      <c r="DI489" s="237"/>
      <c r="DN489" s="347"/>
      <c r="DO489" s="347"/>
      <c r="DP489" s="2505"/>
      <c r="DT489" s="663"/>
      <c r="DU489" s="663"/>
      <c r="DV489" s="663"/>
      <c r="DW489" s="663"/>
      <c r="DX489" s="663"/>
      <c r="DY489" s="663"/>
      <c r="DZ489" s="663"/>
      <c r="EA489" s="663"/>
      <c r="EB489" s="663"/>
      <c r="EC489" s="663"/>
      <c r="ED489" s="663"/>
    </row>
    <row r="490" spans="6:134">
      <c r="F490" s="345">
        <v>226</v>
      </c>
      <c r="G490" s="345" t="s">
        <v>357</v>
      </c>
      <c r="L490" s="347">
        <v>150.02000000000001</v>
      </c>
      <c r="M490" s="347" t="s">
        <v>323</v>
      </c>
      <c r="V490" s="345">
        <v>146.05000000000001</v>
      </c>
      <c r="W490" s="345" t="s">
        <v>359</v>
      </c>
      <c r="AB490" s="347">
        <v>57</v>
      </c>
      <c r="AC490" s="347" t="s">
        <v>337</v>
      </c>
      <c r="AD490" s="1138"/>
      <c r="AJ490" s="345">
        <v>64.03</v>
      </c>
      <c r="AK490" s="345" t="s">
        <v>352</v>
      </c>
      <c r="AP490" s="347">
        <v>104.29</v>
      </c>
      <c r="AQ490" s="347" t="s">
        <v>318</v>
      </c>
      <c r="AU490" s="348" t="str">
        <f t="array" ref="AU490">IFERROR(IF($AU$11="Yes",INDEX($AP$13:$AP$2950,SMALL(IF((County=$AQ$13:$AQ$2950),MATCH(ROW($AQ$13:$AQ$2950),ROW($AQ$13:$AQ$2950)),""),ROWS($A$13:$A490))),""),"")</f>
        <v/>
      </c>
      <c r="AZ490" s="345">
        <v>117.32</v>
      </c>
      <c r="BA490" s="345" t="s">
        <v>365</v>
      </c>
      <c r="BF490" s="347">
        <v>27.08</v>
      </c>
      <c r="BG490" s="347" t="s">
        <v>306</v>
      </c>
      <c r="BH490" s="1790"/>
      <c r="BI490" s="1793"/>
      <c r="BJ490" s="1329"/>
      <c r="BN490" s="345">
        <v>602.05999999999995</v>
      </c>
      <c r="BO490" s="345" t="s">
        <v>310</v>
      </c>
      <c r="BT490" s="347">
        <v>104.27</v>
      </c>
      <c r="BU490" s="347" t="s">
        <v>318</v>
      </c>
      <c r="BW490" s="348" t="str">
        <f t="array" ref="BW490">IFERROR(IF($BW$11="Metro",INDEX($BN$13:$BN$4972,SMALL(IF((County=$BO$13:$BO$4972),MATCH(ROW($BO$13:$BO$4972),ROW($BO$13:$BO$4972)),""),ROWS($A$13:$A490))),INDEX($BQ$13:$BQ$212,SMALL(IF((County=$BR$13:$BR$212),MATCH(ROW($BR$13:$BR$212),ROW($BR$13:$BR$212)),""),ROWS($A$13:$A490)))),"")</f>
        <v/>
      </c>
      <c r="BY490" s="348" t="str">
        <f t="array" ref="BY490">IFERROR(IF($BY$11="Yes",INDEX($BT$13:$BT$2950,SMALL(IF((County=$BU$13:$BU$2950),MATCH(ROW($BU$13:$BU$2950),ROW($BU$13:$BU$2950)),""),ROWS($A$13:$A490))),""),"")</f>
        <v/>
      </c>
      <c r="CD490" s="345">
        <v>14</v>
      </c>
      <c r="CE490" s="345" t="s">
        <v>297</v>
      </c>
      <c r="CJ490" s="347">
        <v>27.07</v>
      </c>
      <c r="CK490" s="347" t="s">
        <v>352</v>
      </c>
      <c r="CL490" s="1789"/>
      <c r="CR490" s="345"/>
      <c r="CS490" s="345"/>
      <c r="CX490" s="347"/>
      <c r="CY490" s="347"/>
      <c r="DA490" s="348"/>
      <c r="DC490" s="348"/>
      <c r="DH490" s="237"/>
      <c r="DI490" s="237"/>
      <c r="DN490" s="347"/>
      <c r="DO490" s="347"/>
      <c r="DP490" s="2505"/>
      <c r="DT490" s="663"/>
      <c r="DU490" s="663"/>
      <c r="DV490" s="663"/>
      <c r="DW490" s="663"/>
      <c r="DX490" s="663"/>
      <c r="DY490" s="663"/>
      <c r="DZ490" s="663"/>
      <c r="EA490" s="663"/>
      <c r="EB490" s="663"/>
      <c r="EC490" s="663"/>
      <c r="ED490" s="663"/>
    </row>
    <row r="491" spans="6:134">
      <c r="F491" s="345">
        <v>228</v>
      </c>
      <c r="G491" s="345" t="s">
        <v>357</v>
      </c>
      <c r="L491" s="347">
        <v>156</v>
      </c>
      <c r="M491" s="347" t="s">
        <v>323</v>
      </c>
      <c r="V491" s="345">
        <v>146.06</v>
      </c>
      <c r="W491" s="345" t="s">
        <v>359</v>
      </c>
      <c r="AB491" s="347">
        <v>58</v>
      </c>
      <c r="AC491" s="347" t="s">
        <v>337</v>
      </c>
      <c r="AD491" s="1138"/>
      <c r="AJ491" s="345">
        <v>70.05</v>
      </c>
      <c r="AK491" s="345" t="s">
        <v>352</v>
      </c>
      <c r="AP491" s="347">
        <v>104.3</v>
      </c>
      <c r="AQ491" s="347" t="s">
        <v>318</v>
      </c>
      <c r="AU491" s="348" t="str">
        <f t="array" ref="AU491">IFERROR(IF($AU$11="Yes",INDEX($AP$13:$AP$2950,SMALL(IF((County=$AQ$13:$AQ$2950),MATCH(ROW($AQ$13:$AQ$2950),ROW($AQ$13:$AQ$2950)),""),ROWS($A$13:$A491))),""),"")</f>
        <v/>
      </c>
      <c r="AZ491" s="345">
        <v>118</v>
      </c>
      <c r="BA491" s="345" t="s">
        <v>323</v>
      </c>
      <c r="BF491" s="347">
        <v>27.08</v>
      </c>
      <c r="BG491" s="347" t="s">
        <v>352</v>
      </c>
      <c r="BH491" s="1790"/>
      <c r="BI491" s="1794"/>
      <c r="BJ491" s="1345"/>
      <c r="BN491" s="345">
        <v>602.07000000000005</v>
      </c>
      <c r="BO491" s="345" t="s">
        <v>310</v>
      </c>
      <c r="BT491" s="347">
        <v>104.3</v>
      </c>
      <c r="BU491" s="347" t="s">
        <v>318</v>
      </c>
      <c r="BW491" s="348" t="str">
        <f t="array" ref="BW491">IFERROR(IF($BW$11="Metro",INDEX($BN$13:$BN$4972,SMALL(IF((County=$BO$13:$BO$4972),MATCH(ROW($BO$13:$BO$4972),ROW($BO$13:$BO$4972)),""),ROWS($A$13:$A491))),INDEX($BQ$13:$BQ$212,SMALL(IF((County=$BR$13:$BR$212),MATCH(ROW($BR$13:$BR$212),ROW($BR$13:$BR$212)),""),ROWS($A$13:$A491)))),"")</f>
        <v/>
      </c>
      <c r="BY491" s="348" t="str">
        <f t="array" ref="BY491">IFERROR(IF($BY$11="Yes",INDEX($BT$13:$BT$2950,SMALL(IF((County=$BU$13:$BU$2950),MATCH(ROW($BU$13:$BU$2950),ROW($BU$13:$BU$2950)),""),ROWS($A$13:$A491))),""),"")</f>
        <v/>
      </c>
      <c r="CD491" s="237">
        <v>14</v>
      </c>
      <c r="CE491" s="237" t="s">
        <v>337</v>
      </c>
      <c r="CJ491" s="347">
        <v>27.08</v>
      </c>
      <c r="CK491" s="347" t="s">
        <v>306</v>
      </c>
      <c r="CL491" s="1789"/>
      <c r="CR491" s="345"/>
      <c r="CS491" s="345"/>
      <c r="CX491" s="347"/>
      <c r="CY491" s="347"/>
      <c r="DA491" s="348"/>
      <c r="DC491" s="348"/>
      <c r="DH491" s="237"/>
      <c r="DI491" s="237"/>
      <c r="DN491" s="347"/>
      <c r="DO491" s="347"/>
      <c r="DP491" s="2505"/>
      <c r="DT491" s="663"/>
      <c r="DU491" s="663"/>
      <c r="DV491" s="663"/>
      <c r="DW491" s="663"/>
      <c r="DX491" s="663"/>
      <c r="DY491" s="663"/>
      <c r="DZ491" s="663"/>
      <c r="EA491" s="663"/>
      <c r="EB491" s="663"/>
      <c r="EC491" s="663"/>
      <c r="ED491" s="663"/>
    </row>
    <row r="492" spans="6:134">
      <c r="F492" s="345">
        <v>104</v>
      </c>
      <c r="G492" s="345" t="s">
        <v>359</v>
      </c>
      <c r="L492" s="347">
        <v>159.22</v>
      </c>
      <c r="M492" s="347" t="s">
        <v>323</v>
      </c>
      <c r="V492" s="345">
        <v>146.08000000000001</v>
      </c>
      <c r="W492" s="345" t="s">
        <v>359</v>
      </c>
      <c r="AB492" s="347">
        <v>58.08</v>
      </c>
      <c r="AC492" s="347" t="s">
        <v>361</v>
      </c>
      <c r="AD492" s="1138"/>
      <c r="AJ492" s="345">
        <v>70.06</v>
      </c>
      <c r="AK492" s="345" t="s">
        <v>352</v>
      </c>
      <c r="AP492" s="347">
        <v>104.31</v>
      </c>
      <c r="AQ492" s="347" t="s">
        <v>318</v>
      </c>
      <c r="AU492" s="348" t="str">
        <f t="array" ref="AU492">IFERROR(IF($AU$11="Yes",INDEX($AP$13:$AP$2950,SMALL(IF((County=$AQ$13:$AQ$2950),MATCH(ROW($AQ$13:$AQ$2950),ROW($AQ$13:$AQ$2950)),""),ROWS($A$13:$A492))),""),"")</f>
        <v/>
      </c>
      <c r="AZ492" s="345">
        <v>119.05</v>
      </c>
      <c r="BA492" s="345" t="s">
        <v>337</v>
      </c>
      <c r="BF492" s="347">
        <v>27.09</v>
      </c>
      <c r="BG492" s="347" t="s">
        <v>306</v>
      </c>
      <c r="BH492" s="1790"/>
      <c r="BI492" s="1793"/>
      <c r="BJ492" s="1329"/>
      <c r="BN492" s="345">
        <v>602.08000000000004</v>
      </c>
      <c r="BO492" s="345" t="s">
        <v>310</v>
      </c>
      <c r="BT492" s="347">
        <v>104.31</v>
      </c>
      <c r="BU492" s="347" t="s">
        <v>318</v>
      </c>
      <c r="BW492" s="348" t="str">
        <f t="array" ref="BW492">IFERROR(IF($BW$11="Metro",INDEX($BN$13:$BN$4972,SMALL(IF((County=$BO$13:$BO$4972),MATCH(ROW($BO$13:$BO$4972),ROW($BO$13:$BO$4972)),""),ROWS($A$13:$A492))),INDEX($BQ$13:$BQ$212,SMALL(IF((County=$BR$13:$BR$212),MATCH(ROW($BR$13:$BR$212),ROW($BR$13:$BR$212)),""),ROWS($A$13:$A492)))),"")</f>
        <v/>
      </c>
      <c r="BY492" s="348" t="str">
        <f t="array" ref="BY492">IFERROR(IF($BY$11="Yes",INDEX($BT$13:$BT$2950,SMALL(IF((County=$BU$13:$BU$2950),MATCH(ROW($BU$13:$BU$2950),ROW($BU$13:$BU$2950)),""),ROWS($A$13:$A492))),""),"")</f>
        <v/>
      </c>
      <c r="CD492" s="237">
        <v>14.01</v>
      </c>
      <c r="CE492" s="237" t="s">
        <v>323</v>
      </c>
      <c r="CJ492" s="347">
        <v>27.08</v>
      </c>
      <c r="CK492" s="347" t="s">
        <v>352</v>
      </c>
      <c r="CL492" s="1789"/>
      <c r="CR492" s="345"/>
      <c r="CS492" s="345"/>
      <c r="CX492" s="347"/>
      <c r="CY492" s="347"/>
      <c r="DA492" s="348"/>
      <c r="DC492" s="348"/>
      <c r="DH492" s="237"/>
      <c r="DI492" s="237"/>
      <c r="DN492" s="347"/>
      <c r="DO492" s="347"/>
      <c r="DP492" s="2505"/>
      <c r="DT492" s="663"/>
      <c r="DU492" s="663"/>
      <c r="DV492" s="663"/>
      <c r="DW492" s="663"/>
      <c r="DX492" s="663"/>
      <c r="DY492" s="663"/>
      <c r="DZ492" s="663"/>
      <c r="EA492" s="663"/>
      <c r="EB492" s="663"/>
      <c r="EC492" s="663"/>
      <c r="ED492" s="663"/>
    </row>
    <row r="493" spans="6:134">
      <c r="F493" s="345">
        <v>105</v>
      </c>
      <c r="G493" s="345" t="s">
        <v>359</v>
      </c>
      <c r="L493" s="347">
        <v>159.22999999999999</v>
      </c>
      <c r="M493" s="347" t="s">
        <v>323</v>
      </c>
      <c r="V493" s="345">
        <v>147.01</v>
      </c>
      <c r="W493" s="345" t="s">
        <v>359</v>
      </c>
      <c r="AB493" s="347">
        <v>58.11</v>
      </c>
      <c r="AC493" s="347" t="s">
        <v>361</v>
      </c>
      <c r="AD493" s="1138"/>
      <c r="AJ493" s="345">
        <v>70.069999999999993</v>
      </c>
      <c r="AK493" s="345" t="s">
        <v>352</v>
      </c>
      <c r="AP493" s="347">
        <v>104.32</v>
      </c>
      <c r="AQ493" s="347" t="s">
        <v>318</v>
      </c>
      <c r="AU493" s="348" t="str">
        <f t="array" ref="AU493">IFERROR(IF($AU$11="Yes",INDEX($AP$13:$AP$2950,SMALL(IF((County=$AQ$13:$AQ$2950),MATCH(ROW($AQ$13:$AQ$2950),ROW($AQ$13:$AQ$2950)),""),ROWS($A$13:$A493))),""),"")</f>
        <v/>
      </c>
      <c r="AZ493" s="345">
        <v>120</v>
      </c>
      <c r="BA493" s="345" t="s">
        <v>359</v>
      </c>
      <c r="BF493" s="347">
        <v>27.09</v>
      </c>
      <c r="BG493" s="347" t="s">
        <v>352</v>
      </c>
      <c r="BH493" s="1790"/>
      <c r="BI493" s="1794"/>
      <c r="BJ493" s="1345"/>
      <c r="BN493" s="345">
        <v>602.09</v>
      </c>
      <c r="BO493" s="345" t="s">
        <v>310</v>
      </c>
      <c r="BT493" s="347">
        <v>104.32</v>
      </c>
      <c r="BU493" s="347" t="s">
        <v>318</v>
      </c>
      <c r="BW493" s="348" t="str">
        <f t="array" ref="BW493">IFERROR(IF($BW$11="Metro",INDEX($BN$13:$BN$4972,SMALL(IF((County=$BO$13:$BO$4972),MATCH(ROW($BO$13:$BO$4972),ROW($BO$13:$BO$4972)),""),ROWS($A$13:$A493))),INDEX($BQ$13:$BQ$212,SMALL(IF((County=$BR$13:$BR$212),MATCH(ROW($BR$13:$BR$212),ROW($BR$13:$BR$212)),""),ROWS($A$13:$A493)))),"")</f>
        <v/>
      </c>
      <c r="BY493" s="348" t="str">
        <f t="array" ref="BY493">IFERROR(IF($BY$11="Yes",INDEX($BT$13:$BT$2950,SMALL(IF((County=$BU$13:$BU$2950),MATCH(ROW($BU$13:$BU$2950),ROW($BU$13:$BU$2950)),""),ROWS($A$13:$A493))),""),"")</f>
        <v/>
      </c>
      <c r="CD493" s="237">
        <v>14.01</v>
      </c>
      <c r="CE493" s="237" t="s">
        <v>325</v>
      </c>
      <c r="CJ493" s="347">
        <v>27.09</v>
      </c>
      <c r="CK493" s="347" t="s">
        <v>306</v>
      </c>
      <c r="CL493" s="1789"/>
      <c r="CR493" s="345"/>
      <c r="CS493" s="345"/>
      <c r="CX493" s="347"/>
      <c r="CY493" s="347"/>
      <c r="DA493" s="348"/>
      <c r="DC493" s="348"/>
      <c r="DH493" s="237"/>
      <c r="DI493" s="237"/>
      <c r="DN493" s="347"/>
      <c r="DO493" s="347"/>
      <c r="DP493" s="2505"/>
      <c r="DT493" s="663"/>
      <c r="DU493" s="663"/>
      <c r="DV493" s="663"/>
      <c r="DW493" s="663"/>
      <c r="DX493" s="663"/>
      <c r="DY493" s="663"/>
      <c r="DZ493" s="663"/>
      <c r="EA493" s="663"/>
      <c r="EB493" s="663"/>
      <c r="EC493" s="663"/>
      <c r="ED493" s="663"/>
    </row>
    <row r="494" spans="6:134">
      <c r="F494" s="345">
        <v>110</v>
      </c>
      <c r="G494" s="345" t="s">
        <v>359</v>
      </c>
      <c r="L494" s="347">
        <v>159.24</v>
      </c>
      <c r="M494" s="347" t="s">
        <v>323</v>
      </c>
      <c r="V494" s="345">
        <v>148</v>
      </c>
      <c r="W494" s="345" t="s">
        <v>323</v>
      </c>
      <c r="AB494" s="347">
        <v>58.13</v>
      </c>
      <c r="AC494" s="347" t="s">
        <v>361</v>
      </c>
      <c r="AD494" s="1138"/>
      <c r="AJ494" s="345">
        <v>72</v>
      </c>
      <c r="AK494" s="345" t="s">
        <v>352</v>
      </c>
      <c r="AP494" s="347">
        <v>104.33</v>
      </c>
      <c r="AQ494" s="347" t="s">
        <v>318</v>
      </c>
      <c r="AU494" s="348" t="str">
        <f t="array" ref="AU494">IFERROR(IF($AU$11="Yes",INDEX($AP$13:$AP$2950,SMALL(IF((County=$AQ$13:$AQ$2950),MATCH(ROW($AQ$13:$AQ$2950),ROW($AQ$13:$AQ$2950)),""),ROWS($A$13:$A494))),""),"")</f>
        <v/>
      </c>
      <c r="AZ494" s="345">
        <v>120.01</v>
      </c>
      <c r="BA494" s="345" t="s">
        <v>352</v>
      </c>
      <c r="BF494" s="347">
        <v>27.1</v>
      </c>
      <c r="BG494" s="347" t="s">
        <v>306</v>
      </c>
      <c r="BH494" s="1790"/>
      <c r="BI494" s="1794"/>
      <c r="BJ494" s="1345"/>
      <c r="BN494" s="345">
        <v>602.1</v>
      </c>
      <c r="BO494" s="345" t="s">
        <v>310</v>
      </c>
      <c r="BT494" s="347">
        <v>104.33</v>
      </c>
      <c r="BU494" s="347" t="s">
        <v>318</v>
      </c>
      <c r="BW494" s="348" t="str">
        <f t="array" ref="BW494">IFERROR(IF($BW$11="Metro",INDEX($BN$13:$BN$4972,SMALL(IF((County=$BO$13:$BO$4972),MATCH(ROW($BO$13:$BO$4972),ROW($BO$13:$BO$4972)),""),ROWS($A$13:$A494))),INDEX($BQ$13:$BQ$212,SMALL(IF((County=$BR$13:$BR$212),MATCH(ROW($BR$13:$BR$212),ROW($BR$13:$BR$212)),""),ROWS($A$13:$A494)))),"")</f>
        <v/>
      </c>
      <c r="BY494" s="348" t="str">
        <f t="array" ref="BY494">IFERROR(IF($BY$11="Yes",INDEX($BT$13:$BT$2950,SMALL(IF((County=$BU$13:$BU$2950),MATCH(ROW($BU$13:$BU$2950),ROW($BU$13:$BU$2950)),""),ROWS($A$13:$A494))),""),"")</f>
        <v/>
      </c>
      <c r="CD494" s="237">
        <v>14.01</v>
      </c>
      <c r="CE494" s="237" t="s">
        <v>344</v>
      </c>
      <c r="CJ494" s="347">
        <v>27.09</v>
      </c>
      <c r="CK494" s="347" t="s">
        <v>352</v>
      </c>
      <c r="CL494" s="1789"/>
      <c r="CR494" s="345"/>
      <c r="CS494" s="345"/>
      <c r="CX494" s="347"/>
      <c r="CY494" s="347"/>
      <c r="DA494" s="348"/>
      <c r="DC494" s="348"/>
      <c r="DH494" s="237"/>
      <c r="DI494" s="237"/>
      <c r="DN494" s="347"/>
      <c r="DO494" s="347"/>
      <c r="DP494" s="2505"/>
      <c r="DT494" s="663"/>
      <c r="DU494" s="663"/>
      <c r="DV494" s="663"/>
      <c r="DW494" s="663"/>
      <c r="DX494" s="663"/>
      <c r="DY494" s="663"/>
      <c r="DZ494" s="663"/>
      <c r="EA494" s="663"/>
      <c r="EB494" s="663"/>
      <c r="EC494" s="663"/>
      <c r="ED494" s="663"/>
    </row>
    <row r="495" spans="6:134">
      <c r="F495" s="345">
        <v>116</v>
      </c>
      <c r="G495" s="345" t="s">
        <v>359</v>
      </c>
      <c r="L495" s="347">
        <v>159.25</v>
      </c>
      <c r="M495" s="347" t="s">
        <v>323</v>
      </c>
      <c r="V495" s="345">
        <v>148.04</v>
      </c>
      <c r="W495" s="345" t="s">
        <v>359</v>
      </c>
      <c r="AB495" s="347">
        <v>58.16</v>
      </c>
      <c r="AC495" s="347" t="s">
        <v>361</v>
      </c>
      <c r="AD495" s="1138"/>
      <c r="AJ495" s="345">
        <v>76.03</v>
      </c>
      <c r="AK495" s="345" t="s">
        <v>352</v>
      </c>
      <c r="AP495" s="347">
        <v>104.34</v>
      </c>
      <c r="AQ495" s="347" t="s">
        <v>318</v>
      </c>
      <c r="AU495" s="348" t="str">
        <f t="array" ref="AU495">IFERROR(IF($AU$11="Yes",INDEX($AP$13:$AP$2950,SMALL(IF((County=$AQ$13:$AQ$2950),MATCH(ROW($AQ$13:$AQ$2950),ROW($AQ$13:$AQ$2950)),""),ROWS($A$13:$A495))),""),"")</f>
        <v/>
      </c>
      <c r="AZ495" s="345">
        <v>120.02</v>
      </c>
      <c r="BA495" s="345" t="s">
        <v>337</v>
      </c>
      <c r="BF495" s="347">
        <v>27.1</v>
      </c>
      <c r="BG495" s="347" t="s">
        <v>352</v>
      </c>
      <c r="BH495" s="1790"/>
      <c r="BI495" s="1794"/>
      <c r="BJ495" s="1345"/>
      <c r="BN495" s="345">
        <v>602.11</v>
      </c>
      <c r="BO495" s="345" t="s">
        <v>310</v>
      </c>
      <c r="BT495" s="347">
        <v>104.34</v>
      </c>
      <c r="BU495" s="347" t="s">
        <v>318</v>
      </c>
      <c r="BW495" s="348" t="str">
        <f t="array" ref="BW495">IFERROR(IF($BW$11="Metro",INDEX($BN$13:$BN$4972,SMALL(IF((County=$BO$13:$BO$4972),MATCH(ROW($BO$13:$BO$4972),ROW($BO$13:$BO$4972)),""),ROWS($A$13:$A495))),INDEX($BQ$13:$BQ$212,SMALL(IF((County=$BR$13:$BR$212),MATCH(ROW($BR$13:$BR$212),ROW($BR$13:$BR$212)),""),ROWS($A$13:$A495)))),"")</f>
        <v/>
      </c>
      <c r="BY495" s="348" t="str">
        <f t="array" ref="BY495">IFERROR(IF($BY$11="Yes",INDEX($BT$13:$BT$2950,SMALL(IF((County=$BU$13:$BU$2950),MATCH(ROW($BU$13:$BU$2950),ROW($BU$13:$BU$2950)),""),ROWS($A$13:$A495))),""),"")</f>
        <v/>
      </c>
      <c r="CD495" s="237">
        <v>14.01</v>
      </c>
      <c r="CE495" s="237" t="s">
        <v>345</v>
      </c>
      <c r="CJ495" s="347">
        <v>27.1</v>
      </c>
      <c r="CK495" s="347" t="s">
        <v>306</v>
      </c>
      <c r="CL495" s="1789"/>
      <c r="CR495" s="345"/>
      <c r="CS495" s="345"/>
      <c r="CX495" s="347"/>
      <c r="CY495" s="347"/>
      <c r="DA495" s="348"/>
      <c r="DC495" s="348"/>
      <c r="DH495" s="237"/>
      <c r="DI495" s="237"/>
      <c r="DN495" s="347"/>
      <c r="DO495" s="347"/>
      <c r="DP495" s="2505"/>
      <c r="DT495" s="663"/>
      <c r="DU495" s="663"/>
      <c r="DV495" s="663"/>
      <c r="DW495" s="663"/>
      <c r="DX495" s="663"/>
      <c r="DY495" s="663"/>
      <c r="DZ495" s="663"/>
      <c r="EA495" s="663"/>
      <c r="EB495" s="663"/>
      <c r="EC495" s="663"/>
      <c r="ED495" s="663"/>
    </row>
    <row r="496" spans="6:134">
      <c r="F496" s="345">
        <v>117.01</v>
      </c>
      <c r="G496" s="345" t="s">
        <v>359</v>
      </c>
      <c r="L496" s="347">
        <v>159.26</v>
      </c>
      <c r="M496" s="347" t="s">
        <v>323</v>
      </c>
      <c r="V496" s="345">
        <v>148.12</v>
      </c>
      <c r="W496" s="345" t="s">
        <v>359</v>
      </c>
      <c r="AB496" s="347">
        <v>59</v>
      </c>
      <c r="AC496" s="347" t="s">
        <v>337</v>
      </c>
      <c r="AD496" s="1138"/>
      <c r="AJ496" s="345">
        <v>83.09</v>
      </c>
      <c r="AK496" s="345" t="s">
        <v>352</v>
      </c>
      <c r="AP496" s="347">
        <v>104.35</v>
      </c>
      <c r="AQ496" s="347" t="s">
        <v>318</v>
      </c>
      <c r="AU496" s="348" t="str">
        <f t="array" ref="AU496">IFERROR(IF($AU$11="Yes",INDEX($AP$13:$AP$2950,SMALL(IF((County=$AQ$13:$AQ$2950),MATCH(ROW($AQ$13:$AQ$2950),ROW($AQ$13:$AQ$2950)),""),ROWS($A$13:$A496))),""),"")</f>
        <v/>
      </c>
      <c r="AZ496" s="345">
        <v>120.02</v>
      </c>
      <c r="BA496" s="345" t="s">
        <v>352</v>
      </c>
      <c r="BF496" s="347">
        <v>27.11</v>
      </c>
      <c r="BG496" s="347" t="s">
        <v>306</v>
      </c>
      <c r="BH496" s="1790"/>
      <c r="BI496" s="1793"/>
      <c r="BJ496" s="1329"/>
      <c r="BN496" s="345">
        <v>602.12</v>
      </c>
      <c r="BO496" s="345" t="s">
        <v>310</v>
      </c>
      <c r="BT496" s="347">
        <v>104.35</v>
      </c>
      <c r="BU496" s="347" t="s">
        <v>318</v>
      </c>
      <c r="BW496" s="348" t="str">
        <f t="array" ref="BW496">IFERROR(IF($BW$11="Metro",INDEX($BN$13:$BN$4972,SMALL(IF((County=$BO$13:$BO$4972),MATCH(ROW($BO$13:$BO$4972),ROW($BO$13:$BO$4972)),""),ROWS($A$13:$A496))),INDEX($BQ$13:$BQ$212,SMALL(IF((County=$BR$13:$BR$212),MATCH(ROW($BR$13:$BR$212),ROW($BR$13:$BR$212)),""),ROWS($A$13:$A496)))),"")</f>
        <v/>
      </c>
      <c r="BY496" s="348" t="str">
        <f t="array" ref="BY496">IFERROR(IF($BY$11="Yes",INDEX($BT$13:$BT$2950,SMALL(IF((County=$BU$13:$BU$2950),MATCH(ROW($BU$13:$BU$2950),ROW($BU$13:$BU$2950)),""),ROWS($A$13:$A496))),""),"")</f>
        <v/>
      </c>
      <c r="CD496" s="237">
        <v>14.01</v>
      </c>
      <c r="CE496" s="237" t="s">
        <v>350</v>
      </c>
      <c r="CJ496" s="347">
        <v>27.1</v>
      </c>
      <c r="CK496" s="347" t="s">
        <v>352</v>
      </c>
      <c r="CL496" s="1789"/>
      <c r="CR496" s="345"/>
      <c r="CS496" s="345"/>
      <c r="CX496" s="347"/>
      <c r="CY496" s="347"/>
      <c r="DA496" s="348"/>
      <c r="DC496" s="348"/>
      <c r="DH496" s="237"/>
      <c r="DI496" s="237"/>
      <c r="DN496" s="347"/>
      <c r="DO496" s="347"/>
      <c r="DP496" s="2505"/>
      <c r="DT496" s="663"/>
      <c r="DU496" s="663"/>
      <c r="DV496" s="663"/>
      <c r="DW496" s="663"/>
      <c r="DX496" s="663"/>
      <c r="DY496" s="663"/>
      <c r="DZ496" s="663"/>
      <c r="EA496" s="663"/>
      <c r="EB496" s="663"/>
      <c r="EC496" s="663"/>
      <c r="ED496" s="663"/>
    </row>
    <row r="497" spans="6:134">
      <c r="F497" s="345">
        <v>117.02</v>
      </c>
      <c r="G497" s="345" t="s">
        <v>359</v>
      </c>
      <c r="L497" s="347">
        <v>164</v>
      </c>
      <c r="M497" s="347" t="s">
        <v>323</v>
      </c>
      <c r="V497" s="345">
        <v>149.02000000000001</v>
      </c>
      <c r="W497" s="345" t="s">
        <v>365</v>
      </c>
      <c r="AB497" s="347">
        <v>59.01</v>
      </c>
      <c r="AC497" s="347" t="s">
        <v>352</v>
      </c>
      <c r="AD497" s="1138"/>
      <c r="AJ497" s="345">
        <v>88.05</v>
      </c>
      <c r="AK497" s="345" t="s">
        <v>352</v>
      </c>
      <c r="AP497" s="347">
        <v>104.36</v>
      </c>
      <c r="AQ497" s="347" t="s">
        <v>318</v>
      </c>
      <c r="AU497" s="348" t="str">
        <f t="array" ref="AU497">IFERROR(IF($AU$11="Yes",INDEX($AP$13:$AP$2950,SMALL(IF((County=$AQ$13:$AQ$2950),MATCH(ROW($AQ$13:$AQ$2950),ROW($AQ$13:$AQ$2950)),""),ROWS($A$13:$A497))),""),"")</f>
        <v/>
      </c>
      <c r="AZ497" s="345">
        <v>121</v>
      </c>
      <c r="BA497" s="345" t="s">
        <v>323</v>
      </c>
      <c r="BF497" s="347">
        <v>27.12</v>
      </c>
      <c r="BG497" s="347" t="s">
        <v>306</v>
      </c>
      <c r="BH497" s="1790"/>
      <c r="BI497" s="1794"/>
      <c r="BJ497" s="1345"/>
      <c r="BN497" s="345">
        <v>602.14</v>
      </c>
      <c r="BO497" s="345" t="s">
        <v>310</v>
      </c>
      <c r="BT497" s="347">
        <v>104.36</v>
      </c>
      <c r="BU497" s="347" t="s">
        <v>318</v>
      </c>
      <c r="BW497" s="348" t="str">
        <f t="array" ref="BW497">IFERROR(IF($BW$11="Metro",INDEX($BN$13:$BN$4972,SMALL(IF((County=$BO$13:$BO$4972),MATCH(ROW($BO$13:$BO$4972),ROW($BO$13:$BO$4972)),""),ROWS($A$13:$A497))),INDEX($BQ$13:$BQ$212,SMALL(IF((County=$BR$13:$BR$212),MATCH(ROW($BR$13:$BR$212),ROW($BR$13:$BR$212)),""),ROWS($A$13:$A497)))),"")</f>
        <v/>
      </c>
      <c r="BY497" s="348" t="str">
        <f t="array" ref="BY497">IFERROR(IF($BY$11="Yes",INDEX($BT$13:$BT$2950,SMALL(IF((County=$BU$13:$BU$2950),MATCH(ROW($BU$13:$BU$2950),ROW($BU$13:$BU$2950)),""),ROWS($A$13:$A497))),""),"")</f>
        <v/>
      </c>
      <c r="CD497" s="237">
        <v>14.01</v>
      </c>
      <c r="CE497" s="237" t="s">
        <v>352</v>
      </c>
      <c r="CJ497" s="347">
        <v>27.11</v>
      </c>
      <c r="CK497" s="347" t="s">
        <v>306</v>
      </c>
      <c r="CL497" s="1789"/>
      <c r="CR497" s="345"/>
      <c r="CS497" s="345"/>
      <c r="CX497" s="347"/>
      <c r="CY497" s="347"/>
      <c r="DA497" s="348"/>
      <c r="DC497" s="348"/>
      <c r="DH497" s="237"/>
      <c r="DI497" s="237"/>
      <c r="DN497" s="347"/>
      <c r="DO497" s="347"/>
      <c r="DP497" s="2505"/>
      <c r="DT497" s="663"/>
      <c r="DU497" s="663"/>
      <c r="DV497" s="663"/>
      <c r="DW497" s="663"/>
      <c r="DX497" s="663"/>
      <c r="DY497" s="663"/>
      <c r="DZ497" s="663"/>
      <c r="EA497" s="663"/>
      <c r="EB497" s="663"/>
      <c r="EC497" s="663"/>
      <c r="ED497" s="663"/>
    </row>
    <row r="498" spans="6:134">
      <c r="F498" s="345">
        <v>120</v>
      </c>
      <c r="G498" s="345" t="s">
        <v>359</v>
      </c>
      <c r="L498" s="347">
        <v>165</v>
      </c>
      <c r="M498" s="347" t="s">
        <v>323</v>
      </c>
      <c r="V498" s="345">
        <v>149.04</v>
      </c>
      <c r="W498" s="345" t="s">
        <v>359</v>
      </c>
      <c r="AB498" s="347">
        <v>59.02</v>
      </c>
      <c r="AC498" s="347" t="s">
        <v>352</v>
      </c>
      <c r="AD498" s="1138"/>
      <c r="AJ498" s="345">
        <v>90.2</v>
      </c>
      <c r="AK498" s="345" t="s">
        <v>352</v>
      </c>
      <c r="AP498" s="347">
        <v>104.38</v>
      </c>
      <c r="AQ498" s="347" t="s">
        <v>318</v>
      </c>
      <c r="AU498" s="348" t="str">
        <f t="array" ref="AU498">IFERROR(IF($AU$11="Yes",INDEX($AP$13:$AP$2950,SMALL(IF((County=$AQ$13:$AQ$2950),MATCH(ROW($AQ$13:$AQ$2950),ROW($AQ$13:$AQ$2950)),""),ROWS($A$13:$A498))),""),"")</f>
        <v/>
      </c>
      <c r="AZ498" s="345">
        <v>121</v>
      </c>
      <c r="BA498" s="345" t="s">
        <v>359</v>
      </c>
      <c r="BF498" s="347">
        <v>27.14</v>
      </c>
      <c r="BG498" s="347" t="s">
        <v>368</v>
      </c>
      <c r="BH498" s="1790"/>
      <c r="BI498" s="1794"/>
      <c r="BJ498" s="1345"/>
      <c r="BN498" s="345">
        <v>602.15</v>
      </c>
      <c r="BO498" s="345" t="s">
        <v>310</v>
      </c>
      <c r="BT498" s="347">
        <v>104.37</v>
      </c>
      <c r="BU498" s="347" t="s">
        <v>318</v>
      </c>
      <c r="BW498" s="348" t="str">
        <f t="array" ref="BW498">IFERROR(IF($BW$11="Metro",INDEX($BN$13:$BN$4972,SMALL(IF((County=$BO$13:$BO$4972),MATCH(ROW($BO$13:$BO$4972),ROW($BO$13:$BO$4972)),""),ROWS($A$13:$A498))),INDEX($BQ$13:$BQ$212,SMALL(IF((County=$BR$13:$BR$212),MATCH(ROW($BR$13:$BR$212),ROW($BR$13:$BR$212)),""),ROWS($A$13:$A498)))),"")</f>
        <v/>
      </c>
      <c r="BY498" s="348" t="str">
        <f t="array" ref="BY498">IFERROR(IF($BY$11="Yes",INDEX($BT$13:$BT$2950,SMALL(IF((County=$BU$13:$BU$2950),MATCH(ROW($BU$13:$BU$2950),ROW($BU$13:$BU$2950)),""),ROWS($A$13:$A498))),""),"")</f>
        <v/>
      </c>
      <c r="CD498" s="345">
        <v>14.02</v>
      </c>
      <c r="CE498" s="345" t="s">
        <v>306</v>
      </c>
      <c r="CJ498" s="347">
        <v>27.12</v>
      </c>
      <c r="CK498" s="347" t="s">
        <v>306</v>
      </c>
      <c r="CL498" s="1789"/>
      <c r="CR498" s="345"/>
      <c r="CS498" s="345"/>
      <c r="CX498" s="347"/>
      <c r="CY498" s="347"/>
      <c r="DA498" s="348"/>
      <c r="DC498" s="348"/>
      <c r="DH498" s="237"/>
      <c r="DI498" s="237"/>
      <c r="DN498" s="347"/>
      <c r="DO498" s="347"/>
      <c r="DP498" s="2505"/>
      <c r="DT498" s="663"/>
      <c r="DU498" s="663"/>
      <c r="DV498" s="663"/>
      <c r="DW498" s="663"/>
      <c r="DX498" s="663"/>
      <c r="DY498" s="663"/>
      <c r="DZ498" s="663"/>
      <c r="EA498" s="663"/>
      <c r="EB498" s="663"/>
      <c r="EC498" s="663"/>
      <c r="ED498" s="663"/>
    </row>
    <row r="499" spans="6:134">
      <c r="F499" s="345">
        <v>121</v>
      </c>
      <c r="G499" s="345" t="s">
        <v>359</v>
      </c>
      <c r="L499" s="347">
        <v>166.03</v>
      </c>
      <c r="M499" s="347" t="s">
        <v>323</v>
      </c>
      <c r="V499" s="345">
        <v>150.01</v>
      </c>
      <c r="W499" s="345" t="s">
        <v>359</v>
      </c>
      <c r="AB499" s="347">
        <v>59.03</v>
      </c>
      <c r="AC499" s="347" t="s">
        <v>361</v>
      </c>
      <c r="AD499" s="1138"/>
      <c r="AJ499" s="345">
        <v>90.21</v>
      </c>
      <c r="AK499" s="345" t="s">
        <v>352</v>
      </c>
      <c r="AP499" s="347">
        <v>105.12</v>
      </c>
      <c r="AQ499" s="347" t="s">
        <v>318</v>
      </c>
      <c r="AU499" s="348" t="str">
        <f t="array" ref="AU499">IFERROR(IF($AU$11="Yes",INDEX($AP$13:$AP$2950,SMALL(IF((County=$AQ$13:$AQ$2950),MATCH(ROW($AQ$13:$AQ$2950),ROW($AQ$13:$AQ$2950)),""),ROWS($A$13:$A499))),""),"")</f>
        <v/>
      </c>
      <c r="AZ499" s="345">
        <v>122.01</v>
      </c>
      <c r="BA499" s="345" t="s">
        <v>323</v>
      </c>
      <c r="BF499" s="347">
        <v>27.16</v>
      </c>
      <c r="BG499" s="347" t="s">
        <v>368</v>
      </c>
      <c r="BH499" s="1790"/>
      <c r="BI499" s="1794"/>
      <c r="BJ499" s="1345"/>
      <c r="BN499" s="345">
        <v>603.02</v>
      </c>
      <c r="BO499" s="345" t="s">
        <v>310</v>
      </c>
      <c r="BT499" s="347">
        <v>104.38</v>
      </c>
      <c r="BU499" s="347" t="s">
        <v>318</v>
      </c>
      <c r="BW499" s="348" t="str">
        <f t="array" ref="BW499">IFERROR(IF($BW$11="Metro",INDEX($BN$13:$BN$4972,SMALL(IF((County=$BO$13:$BO$4972),MATCH(ROW($BO$13:$BO$4972),ROW($BO$13:$BO$4972)),""),ROWS($A$13:$A499))),INDEX($BQ$13:$BQ$212,SMALL(IF((County=$BR$13:$BR$212),MATCH(ROW($BR$13:$BR$212),ROW($BR$13:$BR$212)),""),ROWS($A$13:$A499)))),"")</f>
        <v/>
      </c>
      <c r="BY499" s="348" t="str">
        <f t="array" ref="BY499">IFERROR(IF($BY$11="Yes",INDEX($BT$13:$BT$2950,SMALL(IF((County=$BU$13:$BU$2950),MATCH(ROW($BU$13:$BU$2950),ROW($BU$13:$BU$2950)),""),ROWS($A$13:$A499))),""),"")</f>
        <v/>
      </c>
      <c r="CD499" s="237">
        <v>14.02</v>
      </c>
      <c r="CE499" s="237" t="s">
        <v>323</v>
      </c>
      <c r="CJ499" s="347">
        <v>27.13</v>
      </c>
      <c r="CK499" s="347" t="s">
        <v>306</v>
      </c>
      <c r="CL499" s="1789"/>
      <c r="CR499" s="345"/>
      <c r="CS499" s="345"/>
      <c r="CX499" s="347"/>
      <c r="CY499" s="347"/>
      <c r="DA499" s="348"/>
      <c r="DC499" s="348"/>
      <c r="DH499" s="237"/>
      <c r="DI499" s="237"/>
      <c r="DN499" s="347"/>
      <c r="DO499" s="347"/>
      <c r="DP499" s="2505"/>
      <c r="DT499" s="663"/>
      <c r="DU499" s="663"/>
      <c r="DV499" s="663"/>
      <c r="DW499" s="663"/>
      <c r="DX499" s="663"/>
      <c r="DY499" s="663"/>
      <c r="DZ499" s="663"/>
      <c r="EA499" s="663"/>
      <c r="EB499" s="663"/>
      <c r="EC499" s="663"/>
      <c r="ED499" s="663"/>
    </row>
    <row r="500" spans="6:134">
      <c r="F500" s="345">
        <v>122.01</v>
      </c>
      <c r="G500" s="345" t="s">
        <v>359</v>
      </c>
      <c r="L500" s="347">
        <v>166.04</v>
      </c>
      <c r="M500" s="347" t="s">
        <v>323</v>
      </c>
      <c r="V500" s="345">
        <v>152</v>
      </c>
      <c r="W500" s="345" t="s">
        <v>365</v>
      </c>
      <c r="AB500" s="347">
        <v>59.04</v>
      </c>
      <c r="AC500" s="347" t="s">
        <v>352</v>
      </c>
      <c r="AD500" s="1138"/>
      <c r="AJ500" s="345">
        <v>90.26</v>
      </c>
      <c r="AK500" s="345" t="s">
        <v>352</v>
      </c>
      <c r="AP500" s="347">
        <v>105.16</v>
      </c>
      <c r="AQ500" s="347" t="s">
        <v>318</v>
      </c>
      <c r="AU500" s="348" t="str">
        <f t="array" ref="AU500">IFERROR(IF($AU$11="Yes",INDEX($AP$13:$AP$2950,SMALL(IF((County=$AQ$13:$AQ$2950),MATCH(ROW($AQ$13:$AQ$2950),ROW($AQ$13:$AQ$2950)),""),ROWS($A$13:$A500))),""),"")</f>
        <v/>
      </c>
      <c r="AZ500" s="345">
        <v>122.01</v>
      </c>
      <c r="BA500" s="345" t="s">
        <v>359</v>
      </c>
      <c r="BF500" s="347">
        <v>27.2</v>
      </c>
      <c r="BG500" s="347" t="s">
        <v>368</v>
      </c>
      <c r="BH500" s="1790"/>
      <c r="BI500" s="1794"/>
      <c r="BJ500" s="1345"/>
      <c r="BN500" s="345">
        <v>603.03</v>
      </c>
      <c r="BO500" s="345" t="s">
        <v>310</v>
      </c>
      <c r="BT500" s="347">
        <v>105.13</v>
      </c>
      <c r="BU500" s="347" t="s">
        <v>318</v>
      </c>
      <c r="BW500" s="348" t="str">
        <f t="array" ref="BW500">IFERROR(IF($BW$11="Metro",INDEX($BN$13:$BN$4972,SMALL(IF((County=$BO$13:$BO$4972),MATCH(ROW($BO$13:$BO$4972),ROW($BO$13:$BO$4972)),""),ROWS($A$13:$A500))),INDEX($BQ$13:$BQ$212,SMALL(IF((County=$BR$13:$BR$212),MATCH(ROW($BR$13:$BR$212),ROW($BR$13:$BR$212)),""),ROWS($A$13:$A500)))),"")</f>
        <v/>
      </c>
      <c r="BY500" s="348" t="str">
        <f t="array" ref="BY500">IFERROR(IF($BY$11="Yes",INDEX($BT$13:$BT$2950,SMALL(IF((County=$BU$13:$BU$2950),MATCH(ROW($BU$13:$BU$2950),ROW($BU$13:$BU$2950)),""),ROWS($A$13:$A500))),""),"")</f>
        <v/>
      </c>
      <c r="CD500" s="237">
        <v>14.02</v>
      </c>
      <c r="CE500" s="237" t="s">
        <v>325</v>
      </c>
      <c r="CJ500" s="347">
        <v>27.16</v>
      </c>
      <c r="CK500" s="347" t="s">
        <v>368</v>
      </c>
      <c r="CL500" s="1789"/>
      <c r="CR500" s="345"/>
      <c r="CS500" s="345"/>
      <c r="CX500" s="347"/>
      <c r="CY500" s="347"/>
      <c r="DA500" s="348"/>
      <c r="DC500" s="348"/>
      <c r="DH500" s="237"/>
      <c r="DI500" s="237"/>
      <c r="DN500" s="347"/>
      <c r="DO500" s="347"/>
      <c r="DP500" s="2505"/>
      <c r="DT500" s="663"/>
      <c r="DU500" s="663"/>
      <c r="DV500" s="663"/>
      <c r="DW500" s="663"/>
      <c r="DX500" s="663"/>
      <c r="DY500" s="663"/>
      <c r="DZ500" s="663"/>
      <c r="EA500" s="663"/>
      <c r="EB500" s="663"/>
      <c r="EC500" s="663"/>
      <c r="ED500" s="663"/>
    </row>
    <row r="501" spans="6:134">
      <c r="F501" s="345">
        <v>122.02</v>
      </c>
      <c r="G501" s="345" t="s">
        <v>359</v>
      </c>
      <c r="L501" s="347">
        <v>167.11</v>
      </c>
      <c r="M501" s="347" t="s">
        <v>323</v>
      </c>
      <c r="V501" s="345">
        <v>152.02000000000001</v>
      </c>
      <c r="W501" s="345" t="s">
        <v>359</v>
      </c>
      <c r="AB501" s="347">
        <v>59.16</v>
      </c>
      <c r="AC501" s="347" t="s">
        <v>361</v>
      </c>
      <c r="AD501" s="1138"/>
      <c r="AJ501" s="345">
        <v>91.02</v>
      </c>
      <c r="AK501" s="345" t="s">
        <v>352</v>
      </c>
      <c r="AP501" s="347">
        <v>105.17</v>
      </c>
      <c r="AQ501" s="347" t="s">
        <v>318</v>
      </c>
      <c r="AU501" s="348" t="str">
        <f t="array" ref="AU501">IFERROR(IF($AU$11="Yes",INDEX($AP$13:$AP$2950,SMALL(IF((County=$AQ$13:$AQ$2950),MATCH(ROW($AQ$13:$AQ$2950),ROW($AQ$13:$AQ$2950)),""),ROWS($A$13:$A501))),""),"")</f>
        <v/>
      </c>
      <c r="AZ501" s="345">
        <v>122.02</v>
      </c>
      <c r="BA501" s="345" t="s">
        <v>323</v>
      </c>
      <c r="BF501" s="347">
        <v>27.25</v>
      </c>
      <c r="BG501" s="347" t="s">
        <v>368</v>
      </c>
      <c r="BH501" s="1790"/>
      <c r="BI501" s="1794"/>
      <c r="BJ501" s="1345"/>
      <c r="BN501" s="345">
        <v>603.04</v>
      </c>
      <c r="BO501" s="345" t="s">
        <v>310</v>
      </c>
      <c r="BT501" s="347">
        <v>105.14</v>
      </c>
      <c r="BU501" s="347" t="s">
        <v>318</v>
      </c>
      <c r="BW501" s="348" t="str">
        <f t="array" ref="BW501">IFERROR(IF($BW$11="Metro",INDEX($BN$13:$BN$4972,SMALL(IF((County=$BO$13:$BO$4972),MATCH(ROW($BO$13:$BO$4972),ROW($BO$13:$BO$4972)),""),ROWS($A$13:$A501))),INDEX($BQ$13:$BQ$212,SMALL(IF((County=$BR$13:$BR$212),MATCH(ROW($BR$13:$BR$212),ROW($BR$13:$BR$212)),""),ROWS($A$13:$A501)))),"")</f>
        <v/>
      </c>
      <c r="BY501" s="348" t="str">
        <f t="array" ref="BY501">IFERROR(IF($BY$11="Yes",INDEX($BT$13:$BT$2950,SMALL(IF((County=$BU$13:$BU$2950),MATCH(ROW($BU$13:$BU$2950),ROW($BU$13:$BU$2950)),""),ROWS($A$13:$A501))),""),"")</f>
        <v/>
      </c>
      <c r="CD501" s="237">
        <v>14.02</v>
      </c>
      <c r="CE501" s="237" t="s">
        <v>344</v>
      </c>
      <c r="CJ501" s="347">
        <v>27.2</v>
      </c>
      <c r="CK501" s="347" t="s">
        <v>368</v>
      </c>
      <c r="CL501" s="1789"/>
      <c r="CR501" s="345"/>
      <c r="CS501" s="345"/>
      <c r="CX501" s="347"/>
      <c r="CY501" s="347"/>
      <c r="DA501" s="348"/>
      <c r="DC501" s="348"/>
      <c r="DH501" s="237"/>
      <c r="DI501" s="237"/>
      <c r="DN501" s="347"/>
      <c r="DO501" s="347"/>
      <c r="DP501" s="2505"/>
      <c r="DT501" s="663"/>
      <c r="DU501" s="663"/>
      <c r="DV501" s="663"/>
      <c r="DW501" s="663"/>
      <c r="DX501" s="663"/>
      <c r="DY501" s="663"/>
      <c r="DZ501" s="663"/>
      <c r="EA501" s="663"/>
      <c r="EB501" s="663"/>
      <c r="EC501" s="663"/>
      <c r="ED501" s="663"/>
    </row>
    <row r="502" spans="6:134">
      <c r="F502" s="345">
        <v>123.05</v>
      </c>
      <c r="G502" s="345" t="s">
        <v>359</v>
      </c>
      <c r="L502" s="347">
        <v>167.22</v>
      </c>
      <c r="M502" s="347" t="s">
        <v>323</v>
      </c>
      <c r="V502" s="345">
        <v>154.05000000000001</v>
      </c>
      <c r="W502" s="345" t="s">
        <v>365</v>
      </c>
      <c r="AB502" s="347">
        <v>59.17</v>
      </c>
      <c r="AC502" s="347" t="s">
        <v>361</v>
      </c>
      <c r="AD502" s="1138"/>
      <c r="AJ502" s="345">
        <v>93.14</v>
      </c>
      <c r="AK502" s="345" t="s">
        <v>352</v>
      </c>
      <c r="AP502" s="347">
        <v>105.18</v>
      </c>
      <c r="AQ502" s="347" t="s">
        <v>318</v>
      </c>
      <c r="AU502" s="348" t="str">
        <f t="array" ref="AU502">IFERROR(IF($AU$11="Yes",INDEX($AP$13:$AP$2950,SMALL(IF((County=$AQ$13:$AQ$2950),MATCH(ROW($AQ$13:$AQ$2950),ROW($AQ$13:$AQ$2950)),""),ROWS($A$13:$A502))),""),"")</f>
        <v/>
      </c>
      <c r="AZ502" s="345">
        <v>122.02</v>
      </c>
      <c r="BA502" s="345" t="s">
        <v>359</v>
      </c>
      <c r="BF502" s="347">
        <v>27.26</v>
      </c>
      <c r="BG502" s="347" t="s">
        <v>368</v>
      </c>
      <c r="BH502" s="1790"/>
      <c r="BI502" s="1794"/>
      <c r="BJ502" s="1345"/>
      <c r="BN502" s="345">
        <v>603.04999999999995</v>
      </c>
      <c r="BO502" s="345" t="s">
        <v>310</v>
      </c>
      <c r="BT502" s="347">
        <v>105.18</v>
      </c>
      <c r="BU502" s="347" t="s">
        <v>318</v>
      </c>
      <c r="BW502" s="348" t="str">
        <f t="array" ref="BW502">IFERROR(IF($BW$11="Metro",INDEX($BN$13:$BN$4972,SMALL(IF((County=$BO$13:$BO$4972),MATCH(ROW($BO$13:$BO$4972),ROW($BO$13:$BO$4972)),""),ROWS($A$13:$A502))),INDEX($BQ$13:$BQ$212,SMALL(IF((County=$BR$13:$BR$212),MATCH(ROW($BR$13:$BR$212),ROW($BR$13:$BR$212)),""),ROWS($A$13:$A502)))),"")</f>
        <v/>
      </c>
      <c r="BY502" s="348" t="str">
        <f t="array" ref="BY502">IFERROR(IF($BY$11="Yes",INDEX($BT$13:$BT$2950,SMALL(IF((County=$BU$13:$BU$2950),MATCH(ROW($BU$13:$BU$2950),ROW($BU$13:$BU$2950)),""),ROWS($A$13:$A502))),""),"")</f>
        <v/>
      </c>
      <c r="CD502" s="237">
        <v>14.02</v>
      </c>
      <c r="CE502" s="237" t="s">
        <v>345</v>
      </c>
      <c r="CJ502" s="347">
        <v>27.25</v>
      </c>
      <c r="CK502" s="347" t="s">
        <v>368</v>
      </c>
      <c r="CL502" s="1789"/>
      <c r="CR502" s="345"/>
      <c r="CS502" s="345"/>
      <c r="CX502" s="347"/>
      <c r="CY502" s="347"/>
      <c r="DA502" s="348"/>
      <c r="DC502" s="348"/>
      <c r="DH502" s="237"/>
      <c r="DI502" s="237"/>
      <c r="DN502" s="347"/>
      <c r="DO502" s="347"/>
      <c r="DP502" s="2505"/>
      <c r="DT502" s="663"/>
      <c r="DU502" s="663"/>
      <c r="DV502" s="663"/>
      <c r="DW502" s="663"/>
      <c r="DX502" s="663"/>
      <c r="DY502" s="663"/>
      <c r="DZ502" s="663"/>
      <c r="EA502" s="663"/>
      <c r="EB502" s="663"/>
      <c r="EC502" s="663"/>
      <c r="ED502" s="663"/>
    </row>
    <row r="503" spans="6:134">
      <c r="F503" s="345">
        <v>123.07</v>
      </c>
      <c r="G503" s="345" t="s">
        <v>359</v>
      </c>
      <c r="L503" s="347">
        <v>167.25</v>
      </c>
      <c r="M503" s="347" t="s">
        <v>323</v>
      </c>
      <c r="V503" s="345">
        <v>155</v>
      </c>
      <c r="W503" s="345" t="s">
        <v>365</v>
      </c>
      <c r="AB503" s="347">
        <v>59.18</v>
      </c>
      <c r="AC503" s="347" t="s">
        <v>361</v>
      </c>
      <c r="AD503" s="1138"/>
      <c r="AJ503" s="345">
        <v>93.15</v>
      </c>
      <c r="AK503" s="345" t="s">
        <v>352</v>
      </c>
      <c r="AP503" s="347">
        <v>105.19</v>
      </c>
      <c r="AQ503" s="347" t="s">
        <v>318</v>
      </c>
      <c r="AU503" s="348" t="str">
        <f t="array" ref="AU503">IFERROR(IF($AU$11="Yes",INDEX($AP$13:$AP$2950,SMALL(IF((County=$AQ$13:$AQ$2950),MATCH(ROW($AQ$13:$AQ$2950),ROW($AQ$13:$AQ$2950)),""),ROWS($A$13:$A503))),""),"")</f>
        <v/>
      </c>
      <c r="AZ503" s="345">
        <v>122.11</v>
      </c>
      <c r="BA503" s="345" t="s">
        <v>337</v>
      </c>
      <c r="BF503" s="347">
        <v>27.27</v>
      </c>
      <c r="BG503" s="347" t="s">
        <v>368</v>
      </c>
      <c r="BH503" s="1790"/>
      <c r="BI503" s="1794"/>
      <c r="BJ503" s="1345"/>
      <c r="BN503" s="345">
        <v>603.05999999999995</v>
      </c>
      <c r="BO503" s="345" t="s">
        <v>310</v>
      </c>
      <c r="BT503" s="347">
        <v>105.19</v>
      </c>
      <c r="BU503" s="347" t="s">
        <v>318</v>
      </c>
      <c r="BW503" s="348" t="str">
        <f t="array" ref="BW503">IFERROR(IF($BW$11="Metro",INDEX($BN$13:$BN$4972,SMALL(IF((County=$BO$13:$BO$4972),MATCH(ROW($BO$13:$BO$4972),ROW($BO$13:$BO$4972)),""),ROWS($A$13:$A503))),INDEX($BQ$13:$BQ$212,SMALL(IF((County=$BR$13:$BR$212),MATCH(ROW($BR$13:$BR$212),ROW($BR$13:$BR$212)),""),ROWS($A$13:$A503)))),"")</f>
        <v/>
      </c>
      <c r="BY503" s="348" t="str">
        <f t="array" ref="BY503">IFERROR(IF($BY$11="Yes",INDEX($BT$13:$BT$2950,SMALL(IF((County=$BU$13:$BU$2950),MATCH(ROW($BU$13:$BU$2950),ROW($BU$13:$BU$2950)),""),ROWS($A$13:$A503))),""),"")</f>
        <v/>
      </c>
      <c r="CD503" s="237">
        <v>14.02</v>
      </c>
      <c r="CE503" s="237" t="s">
        <v>349</v>
      </c>
      <c r="CJ503" s="347">
        <v>27.26</v>
      </c>
      <c r="CK503" s="347" t="s">
        <v>368</v>
      </c>
      <c r="CL503" s="1789"/>
      <c r="CR503" s="345"/>
      <c r="CS503" s="345"/>
      <c r="CX503" s="347"/>
      <c r="CY503" s="347"/>
      <c r="DA503" s="348"/>
      <c r="DC503" s="348"/>
      <c r="DH503" s="237"/>
      <c r="DI503" s="237"/>
      <c r="DN503" s="347"/>
      <c r="DO503" s="347"/>
      <c r="DP503" s="2505"/>
      <c r="DT503" s="663"/>
      <c r="DU503" s="663"/>
      <c r="DV503" s="663"/>
      <c r="DW503" s="663"/>
      <c r="DX503" s="663"/>
      <c r="DY503" s="663"/>
      <c r="DZ503" s="663"/>
      <c r="EA503" s="663"/>
      <c r="EB503" s="663"/>
      <c r="EC503" s="663"/>
      <c r="ED503" s="663"/>
    </row>
    <row r="504" spans="6:134">
      <c r="F504" s="345">
        <v>124.02</v>
      </c>
      <c r="G504" s="345" t="s">
        <v>359</v>
      </c>
      <c r="L504" s="347">
        <v>167.26</v>
      </c>
      <c r="M504" s="347" t="s">
        <v>323</v>
      </c>
      <c r="V504" s="345">
        <v>155.01</v>
      </c>
      <c r="W504" s="345" t="s">
        <v>323</v>
      </c>
      <c r="AB504" s="347">
        <v>59.21</v>
      </c>
      <c r="AC504" s="347" t="s">
        <v>361</v>
      </c>
      <c r="AD504" s="1138"/>
      <c r="AJ504" s="345">
        <v>93.16</v>
      </c>
      <c r="AK504" s="345" t="s">
        <v>352</v>
      </c>
      <c r="AP504" s="347">
        <v>105.2</v>
      </c>
      <c r="AQ504" s="347" t="s">
        <v>318</v>
      </c>
      <c r="AU504" s="348" t="str">
        <f t="array" ref="AU504">IFERROR(IF($AU$11="Yes",INDEX($AP$13:$AP$2950,SMALL(IF((County=$AQ$13:$AQ$2950),MATCH(ROW($AQ$13:$AQ$2950),ROW($AQ$13:$AQ$2950)),""),ROWS($A$13:$A504))),""),"")</f>
        <v/>
      </c>
      <c r="AZ504" s="345">
        <v>123.07</v>
      </c>
      <c r="BA504" s="345" t="s">
        <v>359</v>
      </c>
      <c r="BF504" s="347">
        <v>27.28</v>
      </c>
      <c r="BG504" s="347" t="s">
        <v>368</v>
      </c>
      <c r="BH504" s="1790"/>
      <c r="BI504" s="1794"/>
      <c r="BJ504" s="1345"/>
      <c r="BN504" s="345">
        <v>604.01</v>
      </c>
      <c r="BO504" s="345" t="s">
        <v>310</v>
      </c>
      <c r="BT504" s="347">
        <v>108.05</v>
      </c>
      <c r="BU504" s="347" t="s">
        <v>318</v>
      </c>
      <c r="BW504" s="348" t="str">
        <f t="array" ref="BW504">IFERROR(IF($BW$11="Metro",INDEX($BN$13:$BN$4972,SMALL(IF((County=$BO$13:$BO$4972),MATCH(ROW($BO$13:$BO$4972),ROW($BO$13:$BO$4972)),""),ROWS($A$13:$A504))),INDEX($BQ$13:$BQ$212,SMALL(IF((County=$BR$13:$BR$212),MATCH(ROW($BR$13:$BR$212),ROW($BR$13:$BR$212)),""),ROWS($A$13:$A504)))),"")</f>
        <v/>
      </c>
      <c r="BY504" s="348" t="str">
        <f t="array" ref="BY504">IFERROR(IF($BY$11="Yes",INDEX($BT$13:$BT$2950,SMALL(IF((County=$BU$13:$BU$2950),MATCH(ROW($BU$13:$BU$2950),ROW($BU$13:$BU$2950)),""),ROWS($A$13:$A504))),""),"")</f>
        <v/>
      </c>
      <c r="CD504" s="237">
        <v>14.02</v>
      </c>
      <c r="CE504" s="237" t="s">
        <v>352</v>
      </c>
      <c r="CJ504" s="347">
        <v>27.27</v>
      </c>
      <c r="CK504" s="347" t="s">
        <v>368</v>
      </c>
      <c r="CL504" s="1789"/>
      <c r="CR504" s="345"/>
      <c r="CS504" s="345"/>
      <c r="CX504" s="347"/>
      <c r="CY504" s="347"/>
      <c r="DA504" s="348"/>
      <c r="DC504" s="348"/>
      <c r="DH504" s="237"/>
      <c r="DI504" s="237"/>
      <c r="DN504" s="347"/>
      <c r="DO504" s="347"/>
      <c r="DP504" s="2505"/>
      <c r="DT504" s="663"/>
      <c r="DU504" s="663"/>
      <c r="DV504" s="663"/>
      <c r="DW504" s="663"/>
      <c r="DX504" s="663"/>
      <c r="DY504" s="663"/>
      <c r="DZ504" s="663"/>
      <c r="EA504" s="663"/>
      <c r="EB504" s="663"/>
      <c r="EC504" s="663"/>
      <c r="ED504" s="663"/>
    </row>
    <row r="505" spans="6:134">
      <c r="F505" s="345">
        <v>124.03</v>
      </c>
      <c r="G505" s="345" t="s">
        <v>359</v>
      </c>
      <c r="L505" s="347">
        <v>167.28</v>
      </c>
      <c r="M505" s="347" t="s">
        <v>323</v>
      </c>
      <c r="V505" s="345">
        <v>155.02000000000001</v>
      </c>
      <c r="W505" s="345" t="s">
        <v>323</v>
      </c>
      <c r="AB505" s="347">
        <v>59.22</v>
      </c>
      <c r="AC505" s="347" t="s">
        <v>361</v>
      </c>
      <c r="AD505" s="1138"/>
      <c r="AJ505" s="345">
        <v>93.17</v>
      </c>
      <c r="AK505" s="345" t="s">
        <v>352</v>
      </c>
      <c r="AP505" s="347">
        <v>106.04</v>
      </c>
      <c r="AQ505" s="347" t="s">
        <v>318</v>
      </c>
      <c r="AU505" s="348" t="str">
        <f t="array" ref="AU505">IFERROR(IF($AU$11="Yes",INDEX($AP$13:$AP$2950,SMALL(IF((County=$AQ$13:$AQ$2950),MATCH(ROW($AQ$13:$AQ$2950),ROW($AQ$13:$AQ$2950)),""),ROWS($A$13:$A505))),""),"")</f>
        <v/>
      </c>
      <c r="AZ505" s="345">
        <v>123.07</v>
      </c>
      <c r="BA505" s="345" t="s">
        <v>365</v>
      </c>
      <c r="BF505" s="347">
        <v>27.3</v>
      </c>
      <c r="BG505" s="347" t="s">
        <v>368</v>
      </c>
      <c r="BH505" s="1790"/>
      <c r="BI505" s="1794"/>
      <c r="BJ505" s="1345"/>
      <c r="BN505" s="345">
        <v>604.02</v>
      </c>
      <c r="BO505" s="345" t="s">
        <v>310</v>
      </c>
      <c r="BT505" s="347">
        <v>108.06</v>
      </c>
      <c r="BU505" s="347" t="s">
        <v>318</v>
      </c>
      <c r="BW505" s="348" t="str">
        <f t="array" ref="BW505">IFERROR(IF($BW$11="Metro",INDEX($BN$13:$BN$4972,SMALL(IF((County=$BO$13:$BO$4972),MATCH(ROW($BO$13:$BO$4972),ROW($BO$13:$BO$4972)),""),ROWS($A$13:$A505))),INDEX($BQ$13:$BQ$212,SMALL(IF((County=$BR$13:$BR$212),MATCH(ROW($BR$13:$BR$212),ROW($BR$13:$BR$212)),""),ROWS($A$13:$A505)))),"")</f>
        <v/>
      </c>
      <c r="BY505" s="348" t="str">
        <f t="array" ref="BY505">IFERROR(IF($BY$11="Yes",INDEX($BT$13:$BT$2950,SMALL(IF((County=$BU$13:$BU$2950),MATCH(ROW($BU$13:$BU$2950),ROW($BU$13:$BU$2950)),""),ROWS($A$13:$A505))),""),"")</f>
        <v/>
      </c>
      <c r="CD505" s="237">
        <v>14.02</v>
      </c>
      <c r="CE505" s="237" t="s">
        <v>361</v>
      </c>
      <c r="CJ505" s="347">
        <v>27.28</v>
      </c>
      <c r="CK505" s="347" t="s">
        <v>368</v>
      </c>
      <c r="CL505" s="1789"/>
      <c r="CR505" s="345"/>
      <c r="CS505" s="345"/>
      <c r="CX505" s="347"/>
      <c r="CY505" s="347"/>
      <c r="DA505" s="348"/>
      <c r="DC505" s="348"/>
      <c r="DH505" s="237"/>
      <c r="DI505" s="237"/>
      <c r="DN505" s="347"/>
      <c r="DO505" s="347"/>
      <c r="DP505" s="2505"/>
      <c r="DT505" s="663"/>
      <c r="DU505" s="663"/>
      <c r="DV505" s="663"/>
      <c r="DW505" s="663"/>
      <c r="DX505" s="663"/>
      <c r="DY505" s="663"/>
      <c r="DZ505" s="663"/>
      <c r="EA505" s="663"/>
      <c r="EB505" s="663"/>
      <c r="EC505" s="663"/>
      <c r="ED505" s="663"/>
    </row>
    <row r="506" spans="6:134">
      <c r="F506" s="345">
        <v>134.03</v>
      </c>
      <c r="G506" s="345" t="s">
        <v>359</v>
      </c>
      <c r="L506" s="347">
        <v>167.29</v>
      </c>
      <c r="M506" s="347" t="s">
        <v>323</v>
      </c>
      <c r="V506" s="345">
        <v>158.02000000000001</v>
      </c>
      <c r="W506" s="345" t="s">
        <v>365</v>
      </c>
      <c r="AB506" s="347">
        <v>59.23</v>
      </c>
      <c r="AC506" s="347" t="s">
        <v>361</v>
      </c>
      <c r="AD506" s="1138"/>
      <c r="AJ506" s="345">
        <v>93.2</v>
      </c>
      <c r="AK506" s="345" t="s">
        <v>352</v>
      </c>
      <c r="AP506" s="347">
        <v>108.06</v>
      </c>
      <c r="AQ506" s="347" t="s">
        <v>318</v>
      </c>
      <c r="AU506" s="348" t="str">
        <f t="array" ref="AU506">IFERROR(IF($AU$11="Yes",INDEX($AP$13:$AP$2950,SMALL(IF((County=$AQ$13:$AQ$2950),MATCH(ROW($AQ$13:$AQ$2950),ROW($AQ$13:$AQ$2950)),""),ROWS($A$13:$A506))),""),"")</f>
        <v/>
      </c>
      <c r="AZ506" s="345">
        <v>124.01</v>
      </c>
      <c r="BA506" s="345" t="s">
        <v>337</v>
      </c>
      <c r="BF506" s="347">
        <v>27.31</v>
      </c>
      <c r="BG506" s="347" t="s">
        <v>368</v>
      </c>
      <c r="BH506" s="1790"/>
      <c r="BI506" s="1794"/>
      <c r="BJ506" s="1345"/>
      <c r="BN506" s="345">
        <v>604.04</v>
      </c>
      <c r="BO506" s="345" t="s">
        <v>310</v>
      </c>
      <c r="BT506" s="347">
        <v>108.07</v>
      </c>
      <c r="BU506" s="347" t="s">
        <v>318</v>
      </c>
      <c r="BW506" s="348" t="str">
        <f t="array" ref="BW506">IFERROR(IF($BW$11="Metro",INDEX($BN$13:$BN$4972,SMALL(IF((County=$BO$13:$BO$4972),MATCH(ROW($BO$13:$BO$4972),ROW($BO$13:$BO$4972)),""),ROWS($A$13:$A506))),INDEX($BQ$13:$BQ$212,SMALL(IF((County=$BR$13:$BR$212),MATCH(ROW($BR$13:$BR$212),ROW($BR$13:$BR$212)),""),ROWS($A$13:$A506)))),"")</f>
        <v/>
      </c>
      <c r="BY506" s="348" t="str">
        <f t="array" ref="BY506">IFERROR(IF($BY$11="Yes",INDEX($BT$13:$BT$2950,SMALL(IF((County=$BU$13:$BU$2950),MATCH(ROW($BU$13:$BU$2950),ROW($BU$13:$BU$2950)),""),ROWS($A$13:$A506))),""),"")</f>
        <v/>
      </c>
      <c r="CD506" s="237">
        <v>14.02</v>
      </c>
      <c r="CE506" s="237" t="s">
        <v>368</v>
      </c>
      <c r="CJ506" s="347">
        <v>27.3</v>
      </c>
      <c r="CK506" s="347" t="s">
        <v>368</v>
      </c>
      <c r="CL506" s="1789"/>
      <c r="CR506" s="345"/>
      <c r="CS506" s="345"/>
      <c r="CX506" s="347"/>
      <c r="CY506" s="347"/>
      <c r="DA506" s="348"/>
      <c r="DC506" s="348"/>
      <c r="DH506" s="237"/>
      <c r="DI506" s="237"/>
      <c r="DN506" s="347"/>
      <c r="DO506" s="347"/>
      <c r="DP506" s="2505"/>
      <c r="DT506" s="663"/>
      <c r="DU506" s="663"/>
      <c r="DV506" s="663"/>
      <c r="DW506" s="663"/>
      <c r="DX506" s="663"/>
      <c r="DY506" s="663"/>
      <c r="DZ506" s="663"/>
      <c r="EA506" s="663"/>
      <c r="EB506" s="663"/>
      <c r="EC506" s="663"/>
      <c r="ED506" s="663"/>
    </row>
    <row r="507" spans="6:134">
      <c r="F507" s="345">
        <v>134.05000000000001</v>
      </c>
      <c r="G507" s="345" t="s">
        <v>359</v>
      </c>
      <c r="L507" s="347">
        <v>168.01</v>
      </c>
      <c r="M507" s="347" t="s">
        <v>323</v>
      </c>
      <c r="V507" s="345">
        <v>159.25</v>
      </c>
      <c r="W507" s="345" t="s">
        <v>323</v>
      </c>
      <c r="AB507" s="347">
        <v>59.26</v>
      </c>
      <c r="AC507" s="347" t="s">
        <v>361</v>
      </c>
      <c r="AD507" s="1138"/>
      <c r="AJ507" s="345">
        <v>93.21</v>
      </c>
      <c r="AK507" s="345" t="s">
        <v>352</v>
      </c>
      <c r="AP507" s="347">
        <v>108.07</v>
      </c>
      <c r="AQ507" s="347" t="s">
        <v>318</v>
      </c>
      <c r="AU507" s="348" t="str">
        <f t="array" ref="AU507">IFERROR(IF($AU$11="Yes",INDEX($AP$13:$AP$2950,SMALL(IF((County=$AQ$13:$AQ$2950),MATCH(ROW($AQ$13:$AQ$2950),ROW($AQ$13:$AQ$2950)),""),ROWS($A$13:$A507))),""),"")</f>
        <v/>
      </c>
      <c r="AZ507" s="345">
        <v>124.02</v>
      </c>
      <c r="BA507" s="345" t="s">
        <v>359</v>
      </c>
      <c r="BF507" s="347">
        <v>27.32</v>
      </c>
      <c r="BG507" s="347" t="s">
        <v>368</v>
      </c>
      <c r="BH507" s="1790"/>
      <c r="BI507" s="1794"/>
      <c r="BJ507" s="1345"/>
      <c r="BN507" s="345">
        <v>604.04999999999995</v>
      </c>
      <c r="BO507" s="345" t="s">
        <v>310</v>
      </c>
      <c r="BT507" s="347">
        <v>109.02</v>
      </c>
      <c r="BU507" s="347" t="s">
        <v>318</v>
      </c>
      <c r="BW507" s="348" t="str">
        <f t="array" ref="BW507">IFERROR(IF($BW$11="Metro",INDEX($BN$13:$BN$4972,SMALL(IF((County=$BO$13:$BO$4972),MATCH(ROW($BO$13:$BO$4972),ROW($BO$13:$BO$4972)),""),ROWS($A$13:$A507))),INDEX($BQ$13:$BQ$212,SMALL(IF((County=$BR$13:$BR$212),MATCH(ROW($BR$13:$BR$212),ROW($BR$13:$BR$212)),""),ROWS($A$13:$A507)))),"")</f>
        <v/>
      </c>
      <c r="BY507" s="348" t="str">
        <f t="array" ref="BY507">IFERROR(IF($BY$11="Yes",INDEX($BT$13:$BT$2950,SMALL(IF((County=$BU$13:$BU$2950),MATCH(ROW($BU$13:$BU$2950),ROW($BU$13:$BU$2950)),""),ROWS($A$13:$A507))),""),"")</f>
        <v/>
      </c>
      <c r="CD507" s="345">
        <v>14.03</v>
      </c>
      <c r="CE507" s="345" t="s">
        <v>306</v>
      </c>
      <c r="CJ507" s="347">
        <v>27.31</v>
      </c>
      <c r="CK507" s="347" t="s">
        <v>368</v>
      </c>
      <c r="CL507" s="1789"/>
      <c r="CR507" s="345"/>
      <c r="CS507" s="345"/>
      <c r="CX507" s="347"/>
      <c r="CY507" s="347"/>
      <c r="DA507" s="348"/>
      <c r="DC507" s="348"/>
      <c r="DH507" s="237"/>
      <c r="DI507" s="237"/>
      <c r="DN507" s="347"/>
      <c r="DO507" s="347"/>
      <c r="DP507" s="2505"/>
      <c r="DT507" s="663"/>
      <c r="DU507" s="663"/>
      <c r="DV507" s="663"/>
      <c r="DW507" s="663"/>
      <c r="DX507" s="663"/>
      <c r="DY507" s="663"/>
      <c r="DZ507" s="663"/>
      <c r="EA507" s="663"/>
      <c r="EB507" s="663"/>
      <c r="EC507" s="663"/>
      <c r="ED507" s="663"/>
    </row>
    <row r="508" spans="6:134">
      <c r="F508" s="345">
        <v>135.03</v>
      </c>
      <c r="G508" s="345" t="s">
        <v>359</v>
      </c>
      <c r="L508" s="347">
        <v>168.03</v>
      </c>
      <c r="M508" s="347" t="s">
        <v>323</v>
      </c>
      <c r="V508" s="345">
        <v>160</v>
      </c>
      <c r="W508" s="345" t="s">
        <v>323</v>
      </c>
      <c r="AB508" s="347">
        <v>59.31</v>
      </c>
      <c r="AC508" s="347" t="s">
        <v>361</v>
      </c>
      <c r="AD508" s="1138"/>
      <c r="AJ508" s="345">
        <v>93.22</v>
      </c>
      <c r="AK508" s="345" t="s">
        <v>352</v>
      </c>
      <c r="AP508" s="347">
        <v>109.02</v>
      </c>
      <c r="AQ508" s="347" t="s">
        <v>318</v>
      </c>
      <c r="AU508" s="348" t="str">
        <f t="array" ref="AU508">IFERROR(IF($AU$11="Yes",INDEX($AP$13:$AP$2950,SMALL(IF((County=$AQ$13:$AQ$2950),MATCH(ROW($AQ$13:$AQ$2950),ROW($AQ$13:$AQ$2950)),""),ROWS($A$13:$A508))),""),"")</f>
        <v/>
      </c>
      <c r="AZ508" s="345">
        <v>124.03</v>
      </c>
      <c r="BA508" s="345" t="s">
        <v>337</v>
      </c>
      <c r="BF508" s="347">
        <v>27.33</v>
      </c>
      <c r="BG508" s="347" t="s">
        <v>368</v>
      </c>
      <c r="BH508" s="1790"/>
      <c r="BI508" s="1794"/>
      <c r="BJ508" s="1345"/>
      <c r="BN508" s="345">
        <v>605.01</v>
      </c>
      <c r="BO508" s="345" t="s">
        <v>310</v>
      </c>
      <c r="BT508" s="347">
        <v>109.04</v>
      </c>
      <c r="BU508" s="347" t="s">
        <v>318</v>
      </c>
      <c r="BW508" s="348" t="str">
        <f t="array" ref="BW508">IFERROR(IF($BW$11="Metro",INDEX($BN$13:$BN$4972,SMALL(IF((County=$BO$13:$BO$4972),MATCH(ROW($BO$13:$BO$4972),ROW($BO$13:$BO$4972)),""),ROWS($A$13:$A508))),INDEX($BQ$13:$BQ$212,SMALL(IF((County=$BR$13:$BR$212),MATCH(ROW($BR$13:$BR$212),ROW($BR$13:$BR$212)),""),ROWS($A$13:$A508)))),"")</f>
        <v/>
      </c>
      <c r="BY508" s="348" t="str">
        <f t="array" ref="BY508">IFERROR(IF($BY$11="Yes",INDEX($BT$13:$BT$2950,SMALL(IF((County=$BU$13:$BU$2950),MATCH(ROW($BU$13:$BU$2950),ROW($BU$13:$BU$2950)),""),ROWS($A$13:$A508))),""),"")</f>
        <v/>
      </c>
      <c r="CD508" s="237">
        <v>14.03</v>
      </c>
      <c r="CE508" s="237" t="s">
        <v>350</v>
      </c>
      <c r="CJ508" s="347">
        <v>27.32</v>
      </c>
      <c r="CK508" s="347" t="s">
        <v>368</v>
      </c>
      <c r="CL508" s="1789"/>
      <c r="CR508" s="345"/>
      <c r="CS508" s="345"/>
      <c r="CX508" s="347"/>
      <c r="CY508" s="347"/>
      <c r="DA508" s="348"/>
      <c r="DC508" s="348"/>
      <c r="DH508" s="237"/>
      <c r="DI508" s="237"/>
      <c r="DN508" s="347"/>
      <c r="DO508" s="347"/>
      <c r="DP508" s="2505"/>
      <c r="DT508" s="663"/>
      <c r="DU508" s="663"/>
      <c r="DV508" s="663"/>
      <c r="DW508" s="663"/>
      <c r="DX508" s="663"/>
      <c r="DY508" s="663"/>
      <c r="DZ508" s="663"/>
      <c r="EA508" s="663"/>
      <c r="EB508" s="663"/>
      <c r="EC508" s="663"/>
      <c r="ED508" s="663"/>
    </row>
    <row r="509" spans="6:134">
      <c r="F509" s="345">
        <v>135.05000000000001</v>
      </c>
      <c r="G509" s="345" t="s">
        <v>359</v>
      </c>
      <c r="L509" s="347">
        <v>168.04</v>
      </c>
      <c r="M509" s="347" t="s">
        <v>323</v>
      </c>
      <c r="V509" s="345">
        <v>163</v>
      </c>
      <c r="W509" s="345" t="s">
        <v>323</v>
      </c>
      <c r="AB509" s="347">
        <v>59.34</v>
      </c>
      <c r="AC509" s="347" t="s">
        <v>361</v>
      </c>
      <c r="AD509" s="1138"/>
      <c r="AJ509" s="345">
        <v>93.23</v>
      </c>
      <c r="AK509" s="345" t="s">
        <v>352</v>
      </c>
      <c r="AP509" s="347">
        <v>109.04</v>
      </c>
      <c r="AQ509" s="347" t="s">
        <v>318</v>
      </c>
      <c r="AU509" s="348" t="str">
        <f t="array" ref="AU509">IFERROR(IF($AU$11="Yes",INDEX($AP$13:$AP$2950,SMALL(IF((County=$AQ$13:$AQ$2950),MATCH(ROW($AQ$13:$AQ$2950),ROW($AQ$13:$AQ$2950)),""),ROWS($A$13:$A509))),""),"")</f>
        <v/>
      </c>
      <c r="AZ509" s="345">
        <v>124.03</v>
      </c>
      <c r="BA509" s="345" t="s">
        <v>359</v>
      </c>
      <c r="BF509" s="347">
        <v>27.34</v>
      </c>
      <c r="BG509" s="347" t="s">
        <v>368</v>
      </c>
      <c r="BH509" s="1790"/>
      <c r="BI509" s="1794"/>
      <c r="BJ509" s="1345"/>
      <c r="BN509" s="345">
        <v>605.03</v>
      </c>
      <c r="BO509" s="345" t="s">
        <v>310</v>
      </c>
      <c r="BT509" s="347">
        <v>109.05</v>
      </c>
      <c r="BU509" s="347" t="s">
        <v>318</v>
      </c>
      <c r="BW509" s="348" t="str">
        <f t="array" ref="BW509">IFERROR(IF($BW$11="Metro",INDEX($BN$13:$BN$4972,SMALL(IF((County=$BO$13:$BO$4972),MATCH(ROW($BO$13:$BO$4972),ROW($BO$13:$BO$4972)),""),ROWS($A$13:$A509))),INDEX($BQ$13:$BQ$212,SMALL(IF((County=$BR$13:$BR$212),MATCH(ROW($BR$13:$BR$212),ROW($BR$13:$BR$212)),""),ROWS($A$13:$A509)))),"")</f>
        <v/>
      </c>
      <c r="BY509" s="348" t="str">
        <f t="array" ref="BY509">IFERROR(IF($BY$11="Yes",INDEX($BT$13:$BT$2950,SMALL(IF((County=$BU$13:$BU$2950),MATCH(ROW($BU$13:$BU$2950),ROW($BU$13:$BU$2950)),""),ROWS($A$13:$A509))),""),"")</f>
        <v/>
      </c>
      <c r="CD509" s="237">
        <v>14.03</v>
      </c>
      <c r="CE509" s="237" t="s">
        <v>361</v>
      </c>
      <c r="CJ509" s="347">
        <v>27.33</v>
      </c>
      <c r="CK509" s="347" t="s">
        <v>368</v>
      </c>
      <c r="CL509" s="1789"/>
      <c r="CR509" s="345"/>
      <c r="CS509" s="345"/>
      <c r="CX509" s="347"/>
      <c r="CY509" s="347"/>
      <c r="DA509" s="348"/>
      <c r="DC509" s="348"/>
      <c r="DH509" s="237"/>
      <c r="DI509" s="237"/>
      <c r="DN509" s="347"/>
      <c r="DO509" s="347"/>
      <c r="DP509" s="2505"/>
      <c r="DT509" s="663"/>
      <c r="DU509" s="663"/>
      <c r="DV509" s="663"/>
      <c r="DW509" s="663"/>
      <c r="DX509" s="663"/>
      <c r="DY509" s="663"/>
      <c r="DZ509" s="663"/>
      <c r="EA509" s="663"/>
      <c r="EB509" s="663"/>
      <c r="EC509" s="663"/>
      <c r="ED509" s="663"/>
    </row>
    <row r="510" spans="6:134">
      <c r="F510" s="345">
        <v>135.08000000000001</v>
      </c>
      <c r="G510" s="345" t="s">
        <v>359</v>
      </c>
      <c r="L510" s="347">
        <v>168.05</v>
      </c>
      <c r="M510" s="347" t="s">
        <v>323</v>
      </c>
      <c r="V510" s="345">
        <v>163.02000000000001</v>
      </c>
      <c r="W510" s="345" t="s">
        <v>359</v>
      </c>
      <c r="AB510" s="347">
        <v>59.37</v>
      </c>
      <c r="AC510" s="347" t="s">
        <v>361</v>
      </c>
      <c r="AD510" s="1138"/>
      <c r="AJ510" s="345">
        <v>93.24</v>
      </c>
      <c r="AK510" s="345" t="s">
        <v>352</v>
      </c>
      <c r="AP510" s="347">
        <v>109.05</v>
      </c>
      <c r="AQ510" s="347" t="s">
        <v>318</v>
      </c>
      <c r="AU510" s="348" t="str">
        <f t="array" ref="AU510">IFERROR(IF($AU$11="Yes",INDEX($AP$13:$AP$2950,SMALL(IF((County=$AQ$13:$AQ$2950),MATCH(ROW($AQ$13:$AQ$2950),ROW($AQ$13:$AQ$2950)),""),ROWS($A$13:$A510))),""),"")</f>
        <v/>
      </c>
      <c r="AZ510" s="345">
        <v>126.01</v>
      </c>
      <c r="BA510" s="345" t="s">
        <v>323</v>
      </c>
      <c r="BF510" s="347">
        <v>27.35</v>
      </c>
      <c r="BG510" s="347" t="s">
        <v>368</v>
      </c>
      <c r="BH510" s="1790"/>
      <c r="BI510" s="1794"/>
      <c r="BJ510" s="1345"/>
      <c r="BN510" s="345">
        <v>605.04</v>
      </c>
      <c r="BO510" s="345" t="s">
        <v>310</v>
      </c>
      <c r="BT510" s="347">
        <v>109.07</v>
      </c>
      <c r="BU510" s="347" t="s">
        <v>318</v>
      </c>
      <c r="BW510" s="348" t="str">
        <f t="array" ref="BW510">IFERROR(IF($BW$11="Metro",INDEX($BN$13:$BN$4972,SMALL(IF((County=$BO$13:$BO$4972),MATCH(ROW($BO$13:$BO$4972),ROW($BO$13:$BO$4972)),""),ROWS($A$13:$A510))),INDEX($BQ$13:$BQ$212,SMALL(IF((County=$BR$13:$BR$212),MATCH(ROW($BR$13:$BR$212),ROW($BR$13:$BR$212)),""),ROWS($A$13:$A510)))),"")</f>
        <v/>
      </c>
      <c r="BY510" s="348" t="str">
        <f t="array" ref="BY510">IFERROR(IF($BY$11="Yes",INDEX($BT$13:$BT$2950,SMALL(IF((County=$BU$13:$BU$2950),MATCH(ROW($BU$13:$BU$2950),ROW($BU$13:$BU$2950)),""),ROWS($A$13:$A510))),""),"")</f>
        <v/>
      </c>
      <c r="CD510" s="237">
        <v>14.03</v>
      </c>
      <c r="CE510" s="237" t="s">
        <v>368</v>
      </c>
      <c r="CJ510" s="347">
        <v>27.34</v>
      </c>
      <c r="CK510" s="347" t="s">
        <v>368</v>
      </c>
      <c r="CL510" s="1789"/>
      <c r="CR510" s="345"/>
      <c r="CS510" s="345"/>
      <c r="CX510" s="347"/>
      <c r="CY510" s="347"/>
      <c r="DA510" s="348"/>
      <c r="DC510" s="348"/>
      <c r="DH510" s="237"/>
      <c r="DI510" s="237"/>
      <c r="DN510" s="347"/>
      <c r="DO510" s="347"/>
      <c r="DP510" s="2505"/>
      <c r="DT510" s="663"/>
      <c r="DU510" s="663"/>
      <c r="DV510" s="663"/>
      <c r="DW510" s="663"/>
      <c r="DX510" s="663"/>
      <c r="DY510" s="663"/>
      <c r="DZ510" s="663"/>
      <c r="EA510" s="663"/>
      <c r="EB510" s="663"/>
      <c r="EC510" s="663"/>
      <c r="ED510" s="663"/>
    </row>
    <row r="511" spans="6:134">
      <c r="F511" s="345">
        <v>135.1</v>
      </c>
      <c r="G511" s="345" t="s">
        <v>359</v>
      </c>
      <c r="L511" s="347">
        <v>168.06</v>
      </c>
      <c r="M511" s="347" t="s">
        <v>323</v>
      </c>
      <c r="V511" s="345">
        <v>164</v>
      </c>
      <c r="W511" s="345" t="s">
        <v>365</v>
      </c>
      <c r="AB511" s="347">
        <v>59.38</v>
      </c>
      <c r="AC511" s="347" t="s">
        <v>361</v>
      </c>
      <c r="AD511" s="1138"/>
      <c r="AJ511" s="345">
        <v>93.25</v>
      </c>
      <c r="AK511" s="345" t="s">
        <v>352</v>
      </c>
      <c r="AP511" s="347">
        <v>109.07</v>
      </c>
      <c r="AQ511" s="347" t="s">
        <v>318</v>
      </c>
      <c r="AU511" s="348" t="str">
        <f t="array" ref="AU511">IFERROR(IF($AU$11="Yes",INDEX($AP$13:$AP$2950,SMALL(IF((County=$AQ$13:$AQ$2950),MATCH(ROW($AQ$13:$AQ$2950),ROW($AQ$13:$AQ$2950)),""),ROWS($A$13:$A511))),""),"")</f>
        <v/>
      </c>
      <c r="AZ511" s="345">
        <v>126.01</v>
      </c>
      <c r="BA511" s="345" t="s">
        <v>365</v>
      </c>
      <c r="BF511" s="347">
        <v>27.37</v>
      </c>
      <c r="BG511" s="347" t="s">
        <v>368</v>
      </c>
      <c r="BH511" s="1790"/>
      <c r="BI511" s="1794"/>
      <c r="BJ511" s="1345"/>
      <c r="BN511" s="345">
        <v>605.04999999999995</v>
      </c>
      <c r="BO511" s="345" t="s">
        <v>310</v>
      </c>
      <c r="BT511" s="347">
        <v>110.03</v>
      </c>
      <c r="BU511" s="347" t="s">
        <v>318</v>
      </c>
      <c r="BW511" s="348" t="str">
        <f t="array" ref="BW511">IFERROR(IF($BW$11="Metro",INDEX($BN$13:$BN$4972,SMALL(IF((County=$BO$13:$BO$4972),MATCH(ROW($BO$13:$BO$4972),ROW($BO$13:$BO$4972)),""),ROWS($A$13:$A511))),INDEX($BQ$13:$BQ$212,SMALL(IF((County=$BR$13:$BR$212),MATCH(ROW($BR$13:$BR$212),ROW($BR$13:$BR$212)),""),ROWS($A$13:$A511)))),"")</f>
        <v/>
      </c>
      <c r="BY511" s="348" t="str">
        <f t="array" ref="BY511">IFERROR(IF($BY$11="Yes",INDEX($BT$13:$BT$2950,SMALL(IF((County=$BU$13:$BU$2950),MATCH(ROW($BU$13:$BU$2950),ROW($BU$13:$BU$2950)),""),ROWS($A$13:$A511))),""),"")</f>
        <v/>
      </c>
      <c r="CD511" s="345">
        <v>14.04</v>
      </c>
      <c r="CE511" s="345" t="s">
        <v>306</v>
      </c>
      <c r="CJ511" s="347">
        <v>27.35</v>
      </c>
      <c r="CK511" s="347" t="s">
        <v>368</v>
      </c>
      <c r="CL511" s="1789"/>
      <c r="CR511" s="345"/>
      <c r="CS511" s="345"/>
      <c r="CX511" s="347"/>
      <c r="CY511" s="347"/>
      <c r="DA511" s="348"/>
      <c r="DC511" s="348"/>
      <c r="DH511" s="237"/>
      <c r="DI511" s="237"/>
      <c r="DN511" s="347"/>
      <c r="DO511" s="347"/>
      <c r="DP511" s="2505"/>
      <c r="DT511" s="663"/>
      <c r="DU511" s="663"/>
      <c r="DV511" s="663"/>
      <c r="DW511" s="663"/>
      <c r="DX511" s="663"/>
      <c r="DY511" s="663"/>
      <c r="DZ511" s="663"/>
      <c r="EA511" s="663"/>
      <c r="EB511" s="663"/>
      <c r="EC511" s="663"/>
      <c r="ED511" s="663"/>
    </row>
    <row r="512" spans="6:134">
      <c r="F512" s="345">
        <v>135.11000000000001</v>
      </c>
      <c r="G512" s="345" t="s">
        <v>359</v>
      </c>
      <c r="L512" s="347">
        <v>168.07</v>
      </c>
      <c r="M512" s="347" t="s">
        <v>323</v>
      </c>
      <c r="V512" s="345">
        <v>164.07</v>
      </c>
      <c r="W512" s="345" t="s">
        <v>359</v>
      </c>
      <c r="AB512" s="347">
        <v>59.42</v>
      </c>
      <c r="AC512" s="347" t="s">
        <v>361</v>
      </c>
      <c r="AD512" s="1138"/>
      <c r="AJ512" s="345">
        <v>93.26</v>
      </c>
      <c r="AK512" s="345" t="s">
        <v>352</v>
      </c>
      <c r="AP512" s="347">
        <v>110.03</v>
      </c>
      <c r="AQ512" s="347" t="s">
        <v>318</v>
      </c>
      <c r="AU512" s="348" t="str">
        <f t="array" ref="AU512">IFERROR(IF($AU$11="Yes",INDEX($AP$13:$AP$2950,SMALL(IF((County=$AQ$13:$AQ$2950),MATCH(ROW($AQ$13:$AQ$2950),ROW($AQ$13:$AQ$2950)),""),ROWS($A$13:$A512))),""),"")</f>
        <v/>
      </c>
      <c r="AZ512" s="345">
        <v>126.02</v>
      </c>
      <c r="BA512" s="345" t="s">
        <v>365</v>
      </c>
      <c r="BF512" s="347">
        <v>27.38</v>
      </c>
      <c r="BG512" s="347" t="s">
        <v>368</v>
      </c>
      <c r="BH512" s="1790"/>
      <c r="BI512" s="1794"/>
      <c r="BJ512" s="1345"/>
      <c r="BN512" s="345">
        <v>606.03</v>
      </c>
      <c r="BO512" s="345" t="s">
        <v>310</v>
      </c>
      <c r="BT512" s="347">
        <v>111.07</v>
      </c>
      <c r="BU512" s="347" t="s">
        <v>318</v>
      </c>
      <c r="BW512" s="348" t="str">
        <f t="array" ref="BW512">IFERROR(IF($BW$11="Metro",INDEX($BN$13:$BN$4972,SMALL(IF((County=$BO$13:$BO$4972),MATCH(ROW($BO$13:$BO$4972),ROW($BO$13:$BO$4972)),""),ROWS($A$13:$A512))),INDEX($BQ$13:$BQ$212,SMALL(IF((County=$BR$13:$BR$212),MATCH(ROW($BR$13:$BR$212),ROW($BR$13:$BR$212)),""),ROWS($A$13:$A512)))),"")</f>
        <v/>
      </c>
      <c r="BY512" s="348" t="str">
        <f t="array" ref="BY512">IFERROR(IF($BY$11="Yes",INDEX($BT$13:$BT$2950,SMALL(IF((County=$BU$13:$BU$2950),MATCH(ROW($BU$13:$BU$2950),ROW($BU$13:$BU$2950)),""),ROWS($A$13:$A512))),""),"")</f>
        <v/>
      </c>
      <c r="CD512" s="237">
        <v>14.04</v>
      </c>
      <c r="CE512" s="237" t="s">
        <v>349</v>
      </c>
      <c r="CJ512" s="347">
        <v>27.36</v>
      </c>
      <c r="CK512" s="347" t="s">
        <v>368</v>
      </c>
      <c r="CL512" s="1789"/>
      <c r="CR512" s="345"/>
      <c r="CS512" s="345"/>
      <c r="CX512" s="347"/>
      <c r="CY512" s="347"/>
      <c r="DA512" s="348"/>
      <c r="DC512" s="348"/>
      <c r="DH512" s="237"/>
      <c r="DI512" s="237"/>
      <c r="DN512" s="347"/>
      <c r="DO512" s="347"/>
      <c r="DP512" s="2505"/>
      <c r="DT512" s="663"/>
      <c r="DU512" s="663"/>
      <c r="DV512" s="663"/>
      <c r="DW512" s="663"/>
      <c r="DX512" s="663"/>
      <c r="DY512" s="663"/>
      <c r="DZ512" s="663"/>
      <c r="EA512" s="663"/>
      <c r="EB512" s="663"/>
      <c r="EC512" s="663"/>
      <c r="ED512" s="663"/>
    </row>
    <row r="513" spans="6:134">
      <c r="F513" s="345">
        <v>135.12</v>
      </c>
      <c r="G513" s="345" t="s">
        <v>359</v>
      </c>
      <c r="L513" s="347">
        <v>171</v>
      </c>
      <c r="M513" s="347" t="s">
        <v>323</v>
      </c>
      <c r="V513" s="345">
        <v>165.03</v>
      </c>
      <c r="W513" s="345" t="s">
        <v>359</v>
      </c>
      <c r="AB513" s="347">
        <v>59.45</v>
      </c>
      <c r="AC513" s="347" t="s">
        <v>361</v>
      </c>
      <c r="AD513" s="1138"/>
      <c r="AJ513" s="345">
        <v>93.27</v>
      </c>
      <c r="AK513" s="345" t="s">
        <v>352</v>
      </c>
      <c r="AP513" s="347">
        <v>111.07</v>
      </c>
      <c r="AQ513" s="347" t="s">
        <v>318</v>
      </c>
      <c r="AU513" s="348" t="str">
        <f t="array" ref="AU513">IFERROR(IF($AU$11="Yes",INDEX($AP$13:$AP$2950,SMALL(IF((County=$AQ$13:$AQ$2950),MATCH(ROW($AQ$13:$AQ$2950),ROW($AQ$13:$AQ$2950)),""),ROWS($A$13:$A513))),""),"")</f>
        <v/>
      </c>
      <c r="AZ513" s="345">
        <v>129</v>
      </c>
      <c r="BA513" s="345" t="s">
        <v>337</v>
      </c>
      <c r="BF513" s="347">
        <v>27.42</v>
      </c>
      <c r="BG513" s="347" t="s">
        <v>368</v>
      </c>
      <c r="BH513" s="1790"/>
      <c r="BI513" s="1794"/>
      <c r="BJ513" s="1345"/>
      <c r="BN513" s="345">
        <v>606.04999999999995</v>
      </c>
      <c r="BO513" s="345" t="s">
        <v>310</v>
      </c>
      <c r="BT513" s="347">
        <v>111.09</v>
      </c>
      <c r="BU513" s="347" t="s">
        <v>318</v>
      </c>
      <c r="BW513" s="348" t="str">
        <f t="array" ref="BW513">IFERROR(IF($BW$11="Metro",INDEX($BN$13:$BN$4972,SMALL(IF((County=$BO$13:$BO$4972),MATCH(ROW($BO$13:$BO$4972),ROW($BO$13:$BO$4972)),""),ROWS($A$13:$A513))),INDEX($BQ$13:$BQ$212,SMALL(IF((County=$BR$13:$BR$212),MATCH(ROW($BR$13:$BR$212),ROW($BR$13:$BR$212)),""),ROWS($A$13:$A513)))),"")</f>
        <v/>
      </c>
      <c r="BY513" s="348" t="str">
        <f t="array" ref="BY513">IFERROR(IF($BY$11="Yes",INDEX($BT$13:$BT$2950,SMALL(IF((County=$BU$13:$BU$2950),MATCH(ROW($BU$13:$BU$2950),ROW($BU$13:$BU$2950)),""),ROWS($A$13:$A513))),""),"")</f>
        <v/>
      </c>
      <c r="CD513" s="237">
        <v>14.04</v>
      </c>
      <c r="CE513" s="237" t="s">
        <v>350</v>
      </c>
      <c r="CJ513" s="347">
        <v>27.37</v>
      </c>
      <c r="CK513" s="347" t="s">
        <v>368</v>
      </c>
      <c r="CL513" s="1789"/>
      <c r="CR513" s="345"/>
      <c r="CS513" s="345"/>
      <c r="CX513" s="347"/>
      <c r="CY513" s="347"/>
      <c r="DA513" s="348"/>
      <c r="DC513" s="348"/>
      <c r="DH513" s="237"/>
      <c r="DI513" s="237"/>
      <c r="DN513" s="347"/>
      <c r="DO513" s="347"/>
      <c r="DP513" s="2505"/>
      <c r="DT513" s="663"/>
      <c r="DU513" s="663"/>
      <c r="DV513" s="663"/>
      <c r="DW513" s="663"/>
      <c r="DX513" s="663"/>
      <c r="DY513" s="663"/>
      <c r="DZ513" s="663"/>
      <c r="EA513" s="663"/>
      <c r="EB513" s="663"/>
      <c r="EC513" s="663"/>
      <c r="ED513" s="663"/>
    </row>
    <row r="514" spans="6:134">
      <c r="F514" s="345">
        <v>136.05000000000001</v>
      </c>
      <c r="G514" s="345" t="s">
        <v>359</v>
      </c>
      <c r="L514" s="347">
        <v>173</v>
      </c>
      <c r="M514" s="347" t="s">
        <v>323</v>
      </c>
      <c r="V514" s="345">
        <v>165.05</v>
      </c>
      <c r="W514" s="345" t="s">
        <v>359</v>
      </c>
      <c r="AB514" s="347">
        <v>59.46</v>
      </c>
      <c r="AC514" s="347" t="s">
        <v>361</v>
      </c>
      <c r="AD514" s="1138"/>
      <c r="AJ514" s="345">
        <v>95.05</v>
      </c>
      <c r="AK514" s="345" t="s">
        <v>352</v>
      </c>
      <c r="AP514" s="347">
        <v>111.09</v>
      </c>
      <c r="AQ514" s="347" t="s">
        <v>318</v>
      </c>
      <c r="AU514" s="1788" t="s">
        <v>2594</v>
      </c>
      <c r="AZ514" s="345">
        <v>130.02000000000001</v>
      </c>
      <c r="BA514" s="345" t="s">
        <v>365</v>
      </c>
      <c r="BF514" s="347">
        <v>27.45</v>
      </c>
      <c r="BG514" s="347" t="s">
        <v>368</v>
      </c>
      <c r="BH514" s="1790"/>
      <c r="BI514" s="1794"/>
      <c r="BJ514" s="1345"/>
      <c r="BN514" s="345">
        <v>606.05999999999995</v>
      </c>
      <c r="BO514" s="345" t="s">
        <v>310</v>
      </c>
      <c r="BT514" s="347">
        <v>111.11</v>
      </c>
      <c r="BU514" s="347" t="s">
        <v>318</v>
      </c>
      <c r="BW514" s="348" t="str">
        <f t="array" ref="BW514">IFERROR(IF($BW$11="Metro",INDEX($BN$13:$BN$4972,SMALL(IF((County=$BO$13:$BO$4972),MATCH(ROW($BO$13:$BO$4972),ROW($BO$13:$BO$4972)),""),ROWS($A$13:$A514))),INDEX($BQ$13:$BQ$212,SMALL(IF((County=$BR$13:$BR$212),MATCH(ROW($BR$13:$BR$212),ROW($BR$13:$BR$212)),""),ROWS($A$13:$A514)))),"")</f>
        <v/>
      </c>
      <c r="BY514" s="1788" t="s">
        <v>2594</v>
      </c>
      <c r="CD514" s="237">
        <v>14.04</v>
      </c>
      <c r="CE514" s="237" t="s">
        <v>351</v>
      </c>
      <c r="CJ514" s="347">
        <v>27.38</v>
      </c>
      <c r="CK514" s="347" t="s">
        <v>368</v>
      </c>
      <c r="CL514" s="1789"/>
      <c r="CR514" s="345"/>
      <c r="CS514" s="345"/>
      <c r="CX514" s="347"/>
      <c r="CY514" s="347"/>
      <c r="DA514" s="348"/>
      <c r="DC514" s="1788" t="s">
        <v>2594</v>
      </c>
      <c r="DH514" s="237"/>
      <c r="DI514" s="237"/>
      <c r="DN514" s="347"/>
      <c r="DO514" s="347"/>
      <c r="DP514" s="2505"/>
      <c r="DT514" s="663"/>
      <c r="DU514" s="663"/>
      <c r="DV514" s="663"/>
      <c r="DW514" s="663"/>
      <c r="DX514" s="663"/>
      <c r="DY514" s="663"/>
      <c r="DZ514" s="663"/>
      <c r="EA514" s="663"/>
      <c r="EB514" s="663"/>
      <c r="EC514" s="663"/>
      <c r="ED514" s="663"/>
    </row>
    <row r="515" spans="6:134">
      <c r="F515" s="345">
        <v>136.06</v>
      </c>
      <c r="G515" s="345" t="s">
        <v>359</v>
      </c>
      <c r="L515" s="347">
        <v>1</v>
      </c>
      <c r="M515" s="347" t="s">
        <v>325</v>
      </c>
      <c r="V515" s="345">
        <v>165.08</v>
      </c>
      <c r="W515" s="345" t="s">
        <v>359</v>
      </c>
      <c r="AB515" s="347">
        <v>59.47</v>
      </c>
      <c r="AC515" s="347" t="s">
        <v>361</v>
      </c>
      <c r="AD515" s="1138"/>
      <c r="AJ515" s="345">
        <v>95.06</v>
      </c>
      <c r="AK515" s="345" t="s">
        <v>352</v>
      </c>
      <c r="AP515" s="347">
        <v>111.11</v>
      </c>
      <c r="AQ515" s="347" t="s">
        <v>318</v>
      </c>
      <c r="AZ515" s="345">
        <v>131.02000000000001</v>
      </c>
      <c r="BA515" s="345" t="s">
        <v>365</v>
      </c>
      <c r="BF515" s="347">
        <v>27.47</v>
      </c>
      <c r="BG515" s="347" t="s">
        <v>368</v>
      </c>
      <c r="BH515" s="1790"/>
      <c r="BI515" s="1794"/>
      <c r="BJ515" s="1345"/>
      <c r="BN515" s="345">
        <v>606.07000000000005</v>
      </c>
      <c r="BO515" s="345" t="s">
        <v>310</v>
      </c>
      <c r="BT515" s="347">
        <v>111.12</v>
      </c>
      <c r="BU515" s="347" t="s">
        <v>318</v>
      </c>
      <c r="BW515" s="348" t="str">
        <f t="array" ref="BW515">IFERROR(IF($BW$11="Metro",INDEX($BN$13:$BN$4972,SMALL(IF((County=$BO$13:$BO$4972),MATCH(ROW($BO$13:$BO$4972),ROW($BO$13:$BO$4972)),""),ROWS($A$13:$A515))),INDEX($BQ$13:$BQ$212,SMALL(IF((County=$BR$13:$BR$212),MATCH(ROW($BR$13:$BR$212),ROW($BR$13:$BR$212)),""),ROWS($A$13:$A515)))),"")</f>
        <v/>
      </c>
      <c r="CD515" s="237">
        <v>14.04</v>
      </c>
      <c r="CE515" s="237" t="s">
        <v>361</v>
      </c>
      <c r="CJ515" s="347">
        <v>27.42</v>
      </c>
      <c r="CK515" s="347" t="s">
        <v>368</v>
      </c>
      <c r="CL515" s="1789"/>
      <c r="CR515" s="345"/>
      <c r="CS515" s="345"/>
      <c r="CX515" s="347"/>
      <c r="CY515" s="347"/>
      <c r="DA515" s="348"/>
      <c r="DH515" s="237"/>
      <c r="DI515" s="237"/>
      <c r="DN515" s="347"/>
      <c r="DO515" s="347"/>
      <c r="DP515" s="2505"/>
      <c r="DT515" s="663"/>
      <c r="DU515" s="663"/>
      <c r="DV515" s="663"/>
      <c r="DW515" s="663"/>
      <c r="DX515" s="663"/>
      <c r="DY515" s="663"/>
      <c r="DZ515" s="663"/>
      <c r="EA515" s="663"/>
      <c r="EB515" s="663"/>
      <c r="EC515" s="663"/>
      <c r="ED515" s="663"/>
    </row>
    <row r="516" spans="6:134">
      <c r="F516" s="345">
        <v>143.02000000000001</v>
      </c>
      <c r="G516" s="345" t="s">
        <v>359</v>
      </c>
      <c r="L516" s="347">
        <v>5</v>
      </c>
      <c r="M516" s="347" t="s">
        <v>325</v>
      </c>
      <c r="V516" s="345">
        <v>165.1</v>
      </c>
      <c r="W516" s="345" t="s">
        <v>359</v>
      </c>
      <c r="AB516" s="347">
        <v>59.49</v>
      </c>
      <c r="AC516" s="347" t="s">
        <v>361</v>
      </c>
      <c r="AD516" s="1138"/>
      <c r="AJ516" s="345">
        <v>96.01</v>
      </c>
      <c r="AK516" s="345" t="s">
        <v>352</v>
      </c>
      <c r="AP516" s="347">
        <v>111.12</v>
      </c>
      <c r="AQ516" s="347" t="s">
        <v>318</v>
      </c>
      <c r="AZ516" s="345">
        <v>131.03</v>
      </c>
      <c r="BA516" s="345" t="s">
        <v>365</v>
      </c>
      <c r="BF516" s="347">
        <v>28</v>
      </c>
      <c r="BG516" s="347" t="s">
        <v>337</v>
      </c>
      <c r="BH516" s="1790"/>
      <c r="BI516" s="1794"/>
      <c r="BJ516" s="1345"/>
      <c r="BN516" s="345">
        <v>606.08000000000004</v>
      </c>
      <c r="BO516" s="345" t="s">
        <v>310</v>
      </c>
      <c r="BT516" s="347">
        <v>111.13</v>
      </c>
      <c r="BU516" s="347" t="s">
        <v>318</v>
      </c>
      <c r="BW516" s="348" t="str">
        <f t="array" ref="BW516">IFERROR(IF($BW$11="Metro",INDEX($BN$13:$BN$4972,SMALL(IF((County=$BO$13:$BO$4972),MATCH(ROW($BO$13:$BO$4972),ROW($BO$13:$BO$4972)),""),ROWS($A$13:$A516))),INDEX($BQ$13:$BQ$212,SMALL(IF((County=$BR$13:$BR$212),MATCH(ROW($BR$13:$BR$212),ROW($BR$13:$BR$212)),""),ROWS($A$13:$A516)))),"")</f>
        <v/>
      </c>
      <c r="CD516" s="237">
        <v>14.04</v>
      </c>
      <c r="CE516" s="237" t="s">
        <v>368</v>
      </c>
      <c r="CJ516" s="347">
        <v>27.44</v>
      </c>
      <c r="CK516" s="347" t="s">
        <v>368</v>
      </c>
      <c r="CL516" s="1789"/>
      <c r="CR516" s="345"/>
      <c r="CS516" s="345"/>
      <c r="CX516" s="347"/>
      <c r="CY516" s="347"/>
      <c r="DA516" s="348"/>
      <c r="DH516" s="237"/>
      <c r="DI516" s="237"/>
      <c r="DN516" s="347"/>
      <c r="DO516" s="347"/>
      <c r="DP516" s="2505"/>
      <c r="DT516" s="663"/>
      <c r="DU516" s="663"/>
      <c r="DV516" s="663"/>
      <c r="DW516" s="663"/>
      <c r="DX516" s="663"/>
      <c r="DY516" s="663"/>
      <c r="DZ516" s="663"/>
      <c r="EA516" s="663"/>
      <c r="EB516" s="663"/>
      <c r="EC516" s="663"/>
      <c r="ED516" s="663"/>
    </row>
    <row r="517" spans="6:134">
      <c r="F517" s="345">
        <v>145.02000000000001</v>
      </c>
      <c r="G517" s="345" t="s">
        <v>359</v>
      </c>
      <c r="L517" s="347">
        <v>8</v>
      </c>
      <c r="M517" s="347" t="s">
        <v>325</v>
      </c>
      <c r="V517" s="345">
        <v>165.11</v>
      </c>
      <c r="W517" s="345" t="s">
        <v>359</v>
      </c>
      <c r="AB517" s="347">
        <v>59.5</v>
      </c>
      <c r="AC517" s="347" t="s">
        <v>361</v>
      </c>
      <c r="AD517" s="1138"/>
      <c r="AJ517" s="345">
        <v>96.02</v>
      </c>
      <c r="AK517" s="345" t="s">
        <v>352</v>
      </c>
      <c r="AP517" s="347">
        <v>111.13</v>
      </c>
      <c r="AQ517" s="347" t="s">
        <v>318</v>
      </c>
      <c r="AZ517" s="345">
        <v>132</v>
      </c>
      <c r="BA517" s="345" t="s">
        <v>365</v>
      </c>
      <c r="BF517" s="347">
        <v>28.02</v>
      </c>
      <c r="BG517" s="347" t="s">
        <v>325</v>
      </c>
      <c r="BH517" s="1790"/>
      <c r="BI517" s="1794"/>
      <c r="BJ517" s="1345"/>
      <c r="BN517" s="345">
        <v>606.09</v>
      </c>
      <c r="BO517" s="345" t="s">
        <v>310</v>
      </c>
      <c r="BT517" s="347">
        <v>112.06</v>
      </c>
      <c r="BU517" s="347" t="s">
        <v>318</v>
      </c>
      <c r="BW517" s="348" t="str">
        <f t="array" ref="BW517">IFERROR(IF($BW$11="Metro",INDEX($BN$13:$BN$4972,SMALL(IF((County=$BO$13:$BO$4972),MATCH(ROW($BO$13:$BO$4972),ROW($BO$13:$BO$4972)),""),ROWS($A$13:$A517))),INDEX($BQ$13:$BQ$212,SMALL(IF((County=$BR$13:$BR$212),MATCH(ROW($BR$13:$BR$212),ROW($BR$13:$BR$212)),""),ROWS($A$13:$A517)))),"")</f>
        <v/>
      </c>
      <c r="CD517" s="237">
        <v>14.05</v>
      </c>
      <c r="CE517" s="237" t="s">
        <v>349</v>
      </c>
      <c r="CJ517" s="347">
        <v>27.47</v>
      </c>
      <c r="CK517" s="347" t="s">
        <v>368</v>
      </c>
      <c r="CL517" s="1789"/>
      <c r="CR517" s="345"/>
      <c r="CS517" s="345"/>
      <c r="CX517" s="347"/>
      <c r="CY517" s="347"/>
      <c r="DA517" s="348"/>
      <c r="DH517" s="237"/>
      <c r="DI517" s="237"/>
      <c r="DN517" s="347"/>
      <c r="DO517" s="347"/>
      <c r="DP517" s="2505"/>
      <c r="DT517" s="663"/>
      <c r="DU517" s="663"/>
      <c r="DV517" s="663"/>
      <c r="DW517" s="663"/>
      <c r="DX517" s="663"/>
      <c r="DY517" s="663"/>
      <c r="DZ517" s="663"/>
      <c r="EA517" s="663"/>
      <c r="EB517" s="663"/>
      <c r="EC517" s="663"/>
      <c r="ED517" s="663"/>
    </row>
    <row r="518" spans="6:134">
      <c r="F518" s="345">
        <v>145.03</v>
      </c>
      <c r="G518" s="345" t="s">
        <v>359</v>
      </c>
      <c r="L518" s="347">
        <v>9</v>
      </c>
      <c r="M518" s="347" t="s">
        <v>325</v>
      </c>
      <c r="V518" s="345">
        <v>166.01</v>
      </c>
      <c r="W518" s="345" t="s">
        <v>323</v>
      </c>
      <c r="AB518" s="347">
        <v>59.53</v>
      </c>
      <c r="AC518" s="347" t="s">
        <v>361</v>
      </c>
      <c r="AD518" s="1138"/>
      <c r="AJ518" s="345">
        <v>97.05</v>
      </c>
      <c r="AK518" s="345" t="s">
        <v>352</v>
      </c>
      <c r="AP518" s="347">
        <v>112.06</v>
      </c>
      <c r="AQ518" s="347" t="s">
        <v>318</v>
      </c>
      <c r="AZ518" s="345">
        <v>133</v>
      </c>
      <c r="BA518" s="345" t="s">
        <v>365</v>
      </c>
      <c r="BF518" s="347">
        <v>28.04</v>
      </c>
      <c r="BG518" s="347" t="s">
        <v>325</v>
      </c>
      <c r="BH518" s="1790"/>
      <c r="BI518" s="1794"/>
      <c r="BJ518" s="1345"/>
      <c r="BN518" s="345">
        <v>607</v>
      </c>
      <c r="BO518" s="345" t="s">
        <v>310</v>
      </c>
      <c r="BT518" s="347">
        <v>112.07</v>
      </c>
      <c r="BU518" s="347" t="s">
        <v>318</v>
      </c>
      <c r="BW518" s="348" t="str">
        <f t="array" ref="BW518">IFERROR(IF($BW$11="Metro",INDEX($BN$13:$BN$4972,SMALL(IF((County=$BO$13:$BO$4972),MATCH(ROW($BO$13:$BO$4972),ROW($BO$13:$BO$4972)),""),ROWS($A$13:$A518))),INDEX($BQ$13:$BQ$212,SMALL(IF((County=$BR$13:$BR$212),MATCH(ROW($BR$13:$BR$212),ROW($BR$13:$BR$212)),""),ROWS($A$13:$A518)))),"")</f>
        <v/>
      </c>
      <c r="CD518" s="237">
        <v>14.05</v>
      </c>
      <c r="CE518" s="237" t="s">
        <v>368</v>
      </c>
      <c r="CJ518" s="347">
        <v>27.48</v>
      </c>
      <c r="CK518" s="347" t="s">
        <v>368</v>
      </c>
      <c r="CL518" s="1789"/>
      <c r="CR518" s="345"/>
      <c r="CS518" s="345"/>
      <c r="CX518" s="347"/>
      <c r="CY518" s="347"/>
      <c r="DA518" s="348"/>
      <c r="DH518" s="237"/>
      <c r="DI518" s="237"/>
      <c r="DN518" s="347"/>
      <c r="DO518" s="347"/>
      <c r="DP518" s="2505"/>
      <c r="DT518" s="663"/>
      <c r="DU518" s="663"/>
      <c r="DV518" s="663"/>
      <c r="DW518" s="663"/>
      <c r="DX518" s="663"/>
      <c r="DY518" s="663"/>
      <c r="DZ518" s="663"/>
      <c r="EA518" s="663"/>
      <c r="EB518" s="663"/>
      <c r="EC518" s="663"/>
      <c r="ED518" s="663"/>
    </row>
    <row r="519" spans="6:134">
      <c r="F519" s="345">
        <v>146.01</v>
      </c>
      <c r="G519" s="345" t="s">
        <v>359</v>
      </c>
      <c r="L519" s="347">
        <v>10.01</v>
      </c>
      <c r="M519" s="347" t="s">
        <v>325</v>
      </c>
      <c r="V519" s="345">
        <v>167.09</v>
      </c>
      <c r="W519" s="345" t="s">
        <v>359</v>
      </c>
      <c r="AB519" s="347">
        <v>59.54</v>
      </c>
      <c r="AC519" s="347" t="s">
        <v>361</v>
      </c>
      <c r="AD519" s="1138"/>
      <c r="AJ519" s="345">
        <v>100.1</v>
      </c>
      <c r="AK519" s="345" t="s">
        <v>352</v>
      </c>
      <c r="AP519" s="347">
        <v>112.07</v>
      </c>
      <c r="AQ519" s="347" t="s">
        <v>318</v>
      </c>
      <c r="AZ519" s="345">
        <v>133.16999999999999</v>
      </c>
      <c r="BA519" s="345" t="s">
        <v>337</v>
      </c>
      <c r="BF519" s="347">
        <v>33</v>
      </c>
      <c r="BG519" s="347" t="s">
        <v>361</v>
      </c>
      <c r="BH519" s="1790"/>
      <c r="BI519" s="1794"/>
      <c r="BJ519" s="1345"/>
      <c r="BN519" s="345">
        <v>608.01</v>
      </c>
      <c r="BO519" s="345" t="s">
        <v>310</v>
      </c>
      <c r="BT519" s="347">
        <v>112.08</v>
      </c>
      <c r="BU519" s="347" t="s">
        <v>318</v>
      </c>
      <c r="BW519" s="348" t="str">
        <f t="array" ref="BW519">IFERROR(IF($BW$11="Metro",INDEX($BN$13:$BN$4972,SMALL(IF((County=$BO$13:$BO$4972),MATCH(ROW($BO$13:$BO$4972),ROW($BO$13:$BO$4972)),""),ROWS($A$13:$A519))),INDEX($BQ$13:$BQ$212,SMALL(IF((County=$BR$13:$BR$212),MATCH(ROW($BR$13:$BR$212),ROW($BR$13:$BR$212)),""),ROWS($A$13:$A519)))),"")</f>
        <v/>
      </c>
      <c r="CD519" s="237">
        <v>14.06</v>
      </c>
      <c r="CE519" s="237" t="s">
        <v>349</v>
      </c>
      <c r="CJ519" s="347">
        <v>28</v>
      </c>
      <c r="CK519" s="347" t="s">
        <v>337</v>
      </c>
      <c r="CL519" s="1789"/>
      <c r="CR519" s="345"/>
      <c r="CS519" s="345"/>
      <c r="CX519" s="347"/>
      <c r="CY519" s="347"/>
      <c r="DA519" s="348"/>
      <c r="DH519" s="237"/>
      <c r="DI519" s="237"/>
      <c r="DN519" s="347"/>
      <c r="DO519" s="347"/>
      <c r="DP519" s="2505"/>
      <c r="DT519" s="663"/>
      <c r="DU519" s="663"/>
      <c r="DV519" s="663"/>
      <c r="DW519" s="663"/>
      <c r="DX519" s="663"/>
      <c r="DY519" s="663"/>
      <c r="DZ519" s="663"/>
      <c r="EA519" s="663"/>
      <c r="EB519" s="663"/>
      <c r="EC519" s="663"/>
      <c r="ED519" s="663"/>
    </row>
    <row r="520" spans="6:134">
      <c r="F520" s="345">
        <v>146.05000000000001</v>
      </c>
      <c r="G520" s="345" t="s">
        <v>359</v>
      </c>
      <c r="L520" s="347">
        <v>10.02</v>
      </c>
      <c r="M520" s="347" t="s">
        <v>325</v>
      </c>
      <c r="V520" s="345">
        <v>167.12</v>
      </c>
      <c r="W520" s="345" t="s">
        <v>359</v>
      </c>
      <c r="AB520" s="347">
        <v>59.55</v>
      </c>
      <c r="AC520" s="347" t="s">
        <v>361</v>
      </c>
      <c r="AD520" s="1138"/>
      <c r="AJ520" s="345">
        <v>100.15</v>
      </c>
      <c r="AK520" s="345" t="s">
        <v>352</v>
      </c>
      <c r="AP520" s="347">
        <v>112.09</v>
      </c>
      <c r="AQ520" s="347" t="s">
        <v>318</v>
      </c>
      <c r="AZ520" s="345">
        <v>134</v>
      </c>
      <c r="BA520" s="345" t="s">
        <v>352</v>
      </c>
      <c r="BF520" s="347">
        <v>33.01</v>
      </c>
      <c r="BG520" s="347" t="s">
        <v>325</v>
      </c>
      <c r="BH520" s="1790"/>
      <c r="BI520" s="1794"/>
      <c r="BJ520" s="1345"/>
      <c r="BN520" s="345">
        <v>608.02</v>
      </c>
      <c r="BO520" s="345" t="s">
        <v>310</v>
      </c>
      <c r="BT520" s="347">
        <v>112.09</v>
      </c>
      <c r="BU520" s="347" t="s">
        <v>318</v>
      </c>
      <c r="BW520" s="348" t="str">
        <f t="array" ref="BW520">IFERROR(IF($BW$11="Metro",INDEX($BN$13:$BN$4972,SMALL(IF((County=$BO$13:$BO$4972),MATCH(ROW($BO$13:$BO$4972),ROW($BO$13:$BO$4972)),""),ROWS($A$13:$A520))),INDEX($BQ$13:$BQ$212,SMALL(IF((County=$BR$13:$BR$212),MATCH(ROW($BR$13:$BR$212),ROW($BR$13:$BR$212)),""),ROWS($A$13:$A520)))),"")</f>
        <v/>
      </c>
      <c r="CD520" s="237">
        <v>14.06</v>
      </c>
      <c r="CE520" s="237" t="s">
        <v>351</v>
      </c>
      <c r="CJ520" s="347">
        <v>28.04</v>
      </c>
      <c r="CK520" s="347" t="s">
        <v>325</v>
      </c>
      <c r="CL520" s="1789"/>
      <c r="CR520" s="345"/>
      <c r="CS520" s="345"/>
      <c r="CX520" s="347"/>
      <c r="CY520" s="347"/>
      <c r="DA520" s="348"/>
      <c r="DH520" s="237"/>
      <c r="DI520" s="237"/>
      <c r="DN520" s="347"/>
      <c r="DO520" s="347"/>
      <c r="DP520" s="2505"/>
      <c r="DT520" s="663"/>
      <c r="DU520" s="663"/>
      <c r="DV520" s="663"/>
      <c r="DW520" s="663"/>
      <c r="DX520" s="663"/>
      <c r="DY520" s="663"/>
      <c r="DZ520" s="663"/>
      <c r="EA520" s="663"/>
      <c r="EB520" s="663"/>
      <c r="EC520" s="663"/>
      <c r="ED520" s="663"/>
    </row>
    <row r="521" spans="6:134">
      <c r="F521" s="345">
        <v>146.06</v>
      </c>
      <c r="G521" s="345" t="s">
        <v>359</v>
      </c>
      <c r="L521" s="347">
        <v>11.01</v>
      </c>
      <c r="M521" s="347" t="s">
        <v>325</v>
      </c>
      <c r="V521" s="345">
        <v>167.24</v>
      </c>
      <c r="W521" s="345" t="s">
        <v>359</v>
      </c>
      <c r="AB521" s="347">
        <v>60</v>
      </c>
      <c r="AC521" s="347" t="s">
        <v>337</v>
      </c>
      <c r="AD521" s="1138"/>
      <c r="AJ521" s="345">
        <v>100.21</v>
      </c>
      <c r="AK521" s="345" t="s">
        <v>352</v>
      </c>
      <c r="AP521" s="347">
        <v>112.1</v>
      </c>
      <c r="AQ521" s="347" t="s">
        <v>318</v>
      </c>
      <c r="AZ521" s="345">
        <v>134</v>
      </c>
      <c r="BA521" s="345" t="s">
        <v>365</v>
      </c>
      <c r="BF521" s="347">
        <v>33.049999999999997</v>
      </c>
      <c r="BG521" s="347" t="s">
        <v>325</v>
      </c>
      <c r="BH521" s="1790"/>
      <c r="BI521" s="1794"/>
      <c r="BJ521" s="1345"/>
      <c r="BN521" s="345">
        <v>609</v>
      </c>
      <c r="BO521" s="345" t="s">
        <v>310</v>
      </c>
      <c r="BT521" s="347">
        <v>112.1</v>
      </c>
      <c r="BU521" s="347" t="s">
        <v>318</v>
      </c>
      <c r="BW521" s="348" t="str">
        <f t="array" ref="BW521">IFERROR(IF($BW$11="Metro",INDEX($BN$13:$BN$4972,SMALL(IF((County=$BO$13:$BO$4972),MATCH(ROW($BO$13:$BO$4972),ROW($BO$13:$BO$4972)),""),ROWS($A$13:$A521))),INDEX($BQ$13:$BQ$212,SMALL(IF((County=$BR$13:$BR$212),MATCH(ROW($BR$13:$BR$212),ROW($BR$13:$BR$212)),""),ROWS($A$13:$A521)))),"")</f>
        <v/>
      </c>
      <c r="CD521" s="237">
        <v>14.07</v>
      </c>
      <c r="CE521" s="237" t="s">
        <v>351</v>
      </c>
      <c r="CJ521" s="347">
        <v>32.04</v>
      </c>
      <c r="CK521" s="347" t="s">
        <v>325</v>
      </c>
      <c r="CL521" s="1789"/>
      <c r="CR521" s="345"/>
      <c r="CS521" s="345"/>
      <c r="CX521" s="347"/>
      <c r="CY521" s="347"/>
      <c r="DA521" s="348"/>
      <c r="DH521" s="237"/>
      <c r="DI521" s="237"/>
      <c r="DN521" s="347"/>
      <c r="DO521" s="347"/>
      <c r="DP521" s="2505"/>
      <c r="DT521" s="663"/>
      <c r="DU521" s="663"/>
      <c r="DV521" s="663"/>
      <c r="DW521" s="663"/>
      <c r="DX521" s="663"/>
      <c r="DY521" s="663"/>
      <c r="DZ521" s="663"/>
      <c r="EA521" s="663"/>
      <c r="EB521" s="663"/>
      <c r="EC521" s="663"/>
      <c r="ED521" s="663"/>
    </row>
    <row r="522" spans="6:134">
      <c r="F522" s="345">
        <v>146.08000000000001</v>
      </c>
      <c r="G522" s="345" t="s">
        <v>359</v>
      </c>
      <c r="L522" s="347">
        <v>11.03</v>
      </c>
      <c r="M522" s="347" t="s">
        <v>325</v>
      </c>
      <c r="V522" s="345">
        <v>167.27</v>
      </c>
      <c r="W522" s="345" t="s">
        <v>359</v>
      </c>
      <c r="AB522" s="347">
        <v>60.01</v>
      </c>
      <c r="AC522" s="347" t="s">
        <v>352</v>
      </c>
      <c r="AD522" s="1138"/>
      <c r="AJ522" s="345">
        <v>100.22</v>
      </c>
      <c r="AK522" s="345" t="s">
        <v>352</v>
      </c>
      <c r="AP522" s="347">
        <v>112.12</v>
      </c>
      <c r="AQ522" s="347" t="s">
        <v>318</v>
      </c>
      <c r="AZ522" s="345">
        <v>134.02000000000001</v>
      </c>
      <c r="BA522" s="345" t="s">
        <v>323</v>
      </c>
      <c r="BF522" s="347">
        <v>33.1</v>
      </c>
      <c r="BG522" s="347" t="s">
        <v>325</v>
      </c>
      <c r="BH522" s="1790"/>
      <c r="BI522" s="1794"/>
      <c r="BJ522" s="1345"/>
      <c r="BN522" s="345">
        <v>610.01</v>
      </c>
      <c r="BO522" s="345" t="s">
        <v>310</v>
      </c>
      <c r="BT522" s="347">
        <v>112.12</v>
      </c>
      <c r="BU522" s="347" t="s">
        <v>318</v>
      </c>
      <c r="BW522" s="348" t="str">
        <f t="array" ref="BW522">IFERROR(IF($BW$11="Metro",INDEX($BN$13:$BN$4972,SMALL(IF((County=$BO$13:$BO$4972),MATCH(ROW($BO$13:$BO$4972),ROW($BO$13:$BO$4972)),""),ROWS($A$13:$A522))),INDEX($BQ$13:$BQ$212,SMALL(IF((County=$BR$13:$BR$212),MATCH(ROW($BR$13:$BR$212),ROW($BR$13:$BR$212)),""),ROWS($A$13:$A522)))),"")</f>
        <v/>
      </c>
      <c r="CD522" s="237">
        <v>14.08</v>
      </c>
      <c r="CE522" s="237" t="s">
        <v>351</v>
      </c>
      <c r="CJ522" s="347">
        <v>33</v>
      </c>
      <c r="CK522" s="347" t="s">
        <v>361</v>
      </c>
      <c r="CL522" s="1789"/>
      <c r="CR522" s="345"/>
      <c r="CS522" s="345"/>
      <c r="CX522" s="347"/>
      <c r="CY522" s="347"/>
      <c r="DA522" s="348"/>
      <c r="DH522" s="237"/>
      <c r="DI522" s="237"/>
      <c r="DN522" s="347"/>
      <c r="DO522" s="347"/>
      <c r="DP522" s="2505"/>
      <c r="DT522" s="663"/>
      <c r="DU522" s="663"/>
      <c r="DV522" s="663"/>
      <c r="DW522" s="663"/>
      <c r="DX522" s="663"/>
      <c r="DY522" s="663"/>
      <c r="DZ522" s="663"/>
      <c r="EA522" s="663"/>
      <c r="EB522" s="663"/>
      <c r="EC522" s="663"/>
      <c r="ED522" s="663"/>
    </row>
    <row r="523" spans="6:134">
      <c r="F523" s="345">
        <v>147.01</v>
      </c>
      <c r="G523" s="345" t="s">
        <v>359</v>
      </c>
      <c r="L523" s="347">
        <v>11.04</v>
      </c>
      <c r="M523" s="347" t="s">
        <v>325</v>
      </c>
      <c r="V523" s="345">
        <v>169.02</v>
      </c>
      <c r="W523" s="345" t="s">
        <v>359</v>
      </c>
      <c r="AB523" s="347">
        <v>60.02</v>
      </c>
      <c r="AC523" s="347" t="s">
        <v>352</v>
      </c>
      <c r="AD523" s="1138"/>
      <c r="AJ523" s="345">
        <v>100.23</v>
      </c>
      <c r="AK523" s="345" t="s">
        <v>352</v>
      </c>
      <c r="AP523" s="347">
        <v>112.13</v>
      </c>
      <c r="AQ523" s="347" t="s">
        <v>318</v>
      </c>
      <c r="AZ523" s="345">
        <v>134.03</v>
      </c>
      <c r="BA523" s="345" t="s">
        <v>359</v>
      </c>
      <c r="BF523" s="347">
        <v>33.11</v>
      </c>
      <c r="BG523" s="347" t="s">
        <v>325</v>
      </c>
      <c r="BH523" s="1790"/>
      <c r="BI523" s="1794"/>
      <c r="BJ523" s="1345"/>
      <c r="BN523" s="345">
        <v>610.03</v>
      </c>
      <c r="BO523" s="345" t="s">
        <v>310</v>
      </c>
      <c r="BT523" s="347">
        <v>112.13</v>
      </c>
      <c r="BU523" s="347" t="s">
        <v>318</v>
      </c>
      <c r="BW523" s="348" t="str">
        <f t="array" ref="BW523">IFERROR(IF($BW$11="Metro",INDEX($BN$13:$BN$4972,SMALL(IF((County=$BO$13:$BO$4972),MATCH(ROW($BO$13:$BO$4972),ROW($BO$13:$BO$4972)),""),ROWS($A$13:$A523))),INDEX($BQ$13:$BQ$212,SMALL(IF((County=$BR$13:$BR$212),MATCH(ROW($BR$13:$BR$212),ROW($BR$13:$BR$212)),""),ROWS($A$13:$A523)))),"")</f>
        <v/>
      </c>
      <c r="CD523" s="237">
        <v>14.09</v>
      </c>
      <c r="CE523" s="237" t="s">
        <v>351</v>
      </c>
      <c r="CJ523" s="347">
        <v>33.01</v>
      </c>
      <c r="CK523" s="347" t="s">
        <v>325</v>
      </c>
      <c r="CL523" s="1789"/>
      <c r="CR523" s="345"/>
      <c r="CS523" s="345"/>
      <c r="CX523" s="347"/>
      <c r="CY523" s="347"/>
      <c r="DA523" s="348"/>
      <c r="DH523" s="237"/>
      <c r="DI523" s="237"/>
      <c r="DN523" s="347"/>
      <c r="DO523" s="347"/>
      <c r="DP523" s="2505"/>
      <c r="DT523" s="663"/>
      <c r="DU523" s="663"/>
      <c r="DV523" s="663"/>
      <c r="DW523" s="663"/>
      <c r="DX523" s="663"/>
      <c r="DY523" s="663"/>
      <c r="DZ523" s="663"/>
      <c r="EA523" s="663"/>
      <c r="EB523" s="663"/>
      <c r="EC523" s="663"/>
      <c r="ED523" s="663"/>
    </row>
    <row r="524" spans="6:134">
      <c r="F524" s="345">
        <v>148.04</v>
      </c>
      <c r="G524" s="345" t="s">
        <v>359</v>
      </c>
      <c r="L524" s="347">
        <v>14.01</v>
      </c>
      <c r="M524" s="347" t="s">
        <v>325</v>
      </c>
      <c r="V524" s="345">
        <v>169.03</v>
      </c>
      <c r="W524" s="345" t="s">
        <v>359</v>
      </c>
      <c r="AB524" s="347">
        <v>60.05</v>
      </c>
      <c r="AC524" s="347" t="s">
        <v>361</v>
      </c>
      <c r="AD524" s="1138"/>
      <c r="AJ524" s="345">
        <v>100.24</v>
      </c>
      <c r="AK524" s="345" t="s">
        <v>352</v>
      </c>
      <c r="AP524" s="347">
        <v>112.14</v>
      </c>
      <c r="AQ524" s="347" t="s">
        <v>318</v>
      </c>
      <c r="AZ524" s="345">
        <v>134.05000000000001</v>
      </c>
      <c r="BA524" s="345" t="s">
        <v>359</v>
      </c>
      <c r="BF524" s="347">
        <v>34</v>
      </c>
      <c r="BG524" s="347" t="s">
        <v>361</v>
      </c>
      <c r="BH524" s="1790"/>
      <c r="BI524" s="1794"/>
      <c r="BJ524" s="1345"/>
      <c r="BN524" s="345">
        <v>610.04</v>
      </c>
      <c r="BO524" s="345" t="s">
        <v>310</v>
      </c>
      <c r="BT524" s="347">
        <v>113.04</v>
      </c>
      <c r="BU524" s="347" t="s">
        <v>318</v>
      </c>
      <c r="BW524" s="348" t="str">
        <f t="array" ref="BW524">IFERROR(IF($BW$11="Metro",INDEX($BN$13:$BN$4972,SMALL(IF((County=$BO$13:$BO$4972),MATCH(ROW($BO$13:$BO$4972),ROW($BO$13:$BO$4972)),""),ROWS($A$13:$A524))),INDEX($BQ$13:$BQ$212,SMALL(IF((County=$BR$13:$BR$212),MATCH(ROW($BR$13:$BR$212),ROW($BR$13:$BR$212)),""),ROWS($A$13:$A524)))),"")</f>
        <v/>
      </c>
      <c r="CD524" s="237">
        <v>14.1</v>
      </c>
      <c r="CE524" s="237" t="s">
        <v>351</v>
      </c>
      <c r="CJ524" s="347">
        <v>33.049999999999997</v>
      </c>
      <c r="CK524" s="347" t="s">
        <v>325</v>
      </c>
      <c r="CL524" s="1789"/>
      <c r="CR524" s="345"/>
      <c r="CS524" s="345"/>
      <c r="CX524" s="347"/>
      <c r="CY524" s="347"/>
      <c r="DA524" s="348"/>
      <c r="DH524" s="237"/>
      <c r="DI524" s="237"/>
      <c r="DN524" s="347"/>
      <c r="DO524" s="347"/>
      <c r="DP524" s="2505"/>
      <c r="DT524" s="663"/>
      <c r="DU524" s="663"/>
      <c r="DV524" s="663"/>
      <c r="DW524" s="663"/>
      <c r="DX524" s="663"/>
      <c r="DY524" s="663"/>
      <c r="DZ524" s="663"/>
      <c r="EA524" s="663"/>
      <c r="EB524" s="663"/>
      <c r="EC524" s="663"/>
      <c r="ED524" s="663"/>
    </row>
    <row r="525" spans="6:134">
      <c r="F525" s="345">
        <v>148.12</v>
      </c>
      <c r="G525" s="345" t="s">
        <v>359</v>
      </c>
      <c r="L525" s="347">
        <v>25</v>
      </c>
      <c r="M525" s="347" t="s">
        <v>325</v>
      </c>
      <c r="V525" s="345">
        <v>169.04</v>
      </c>
      <c r="W525" s="345" t="s">
        <v>359</v>
      </c>
      <c r="AB525" s="347">
        <v>60.06</v>
      </c>
      <c r="AC525" s="347" t="s">
        <v>361</v>
      </c>
      <c r="AD525" s="1138"/>
      <c r="AJ525" s="345">
        <v>100.25</v>
      </c>
      <c r="AK525" s="345" t="s">
        <v>352</v>
      </c>
      <c r="AP525" s="347">
        <v>113.04</v>
      </c>
      <c r="AQ525" s="347" t="s">
        <v>318</v>
      </c>
      <c r="AZ525" s="345">
        <v>135</v>
      </c>
      <c r="BA525" s="345" t="s">
        <v>352</v>
      </c>
      <c r="BF525" s="347">
        <v>35.06</v>
      </c>
      <c r="BG525" s="347" t="s">
        <v>325</v>
      </c>
      <c r="BH525" s="1790"/>
      <c r="BI525" s="1794"/>
      <c r="BJ525" s="1345"/>
      <c r="BN525" s="345">
        <v>611</v>
      </c>
      <c r="BO525" s="345" t="s">
        <v>310</v>
      </c>
      <c r="BT525" s="347">
        <v>1102.01</v>
      </c>
      <c r="BU525" s="347" t="s">
        <v>319</v>
      </c>
      <c r="BW525" s="348" t="str">
        <f t="array" ref="BW525">IFERROR(IF($BW$11="Metro",INDEX($BN$13:$BN$4972,SMALL(IF((County=$BO$13:$BO$4972),MATCH(ROW($BO$13:$BO$4972),ROW($BO$13:$BO$4972)),""),ROWS($A$13:$A525))),INDEX($BQ$13:$BQ$212,SMALL(IF((County=$BR$13:$BR$212),MATCH(ROW($BR$13:$BR$212),ROW($BR$13:$BR$212)),""),ROWS($A$13:$A525)))),"")</f>
        <v/>
      </c>
      <c r="CD525" s="237">
        <v>15</v>
      </c>
      <c r="CE525" s="237" t="s">
        <v>323</v>
      </c>
      <c r="CJ525" s="347">
        <v>33.1</v>
      </c>
      <c r="CK525" s="347" t="s">
        <v>325</v>
      </c>
      <c r="CL525" s="1789"/>
      <c r="CR525" s="345"/>
      <c r="CS525" s="345"/>
      <c r="CX525" s="347"/>
      <c r="CY525" s="347"/>
      <c r="DA525" s="348"/>
      <c r="DH525" s="237"/>
      <c r="DI525" s="237"/>
      <c r="DN525" s="347"/>
      <c r="DO525" s="347"/>
      <c r="DP525" s="2505"/>
      <c r="DT525" s="663"/>
      <c r="DU525" s="663"/>
      <c r="DV525" s="663"/>
      <c r="DW525" s="663"/>
      <c r="DX525" s="663"/>
      <c r="DY525" s="663"/>
      <c r="DZ525" s="663"/>
      <c r="EA525" s="663"/>
      <c r="EB525" s="663"/>
      <c r="EC525" s="663"/>
      <c r="ED525" s="663"/>
    </row>
    <row r="526" spans="6:134">
      <c r="F526" s="345">
        <v>149.04</v>
      </c>
      <c r="G526" s="345" t="s">
        <v>359</v>
      </c>
      <c r="L526" s="347">
        <v>26.01</v>
      </c>
      <c r="M526" s="347" t="s">
        <v>325</v>
      </c>
      <c r="V526" s="345">
        <v>169.06</v>
      </c>
      <c r="W526" s="345" t="s">
        <v>359</v>
      </c>
      <c r="AB526" s="347">
        <v>60.08</v>
      </c>
      <c r="AC526" s="347" t="s">
        <v>361</v>
      </c>
      <c r="AD526" s="1138"/>
      <c r="AJ526" s="345">
        <v>100.26</v>
      </c>
      <c r="AK526" s="345" t="s">
        <v>352</v>
      </c>
      <c r="AP526" s="347">
        <v>1102.01</v>
      </c>
      <c r="AQ526" s="347" t="s">
        <v>319</v>
      </c>
      <c r="AZ526" s="345">
        <v>135.03</v>
      </c>
      <c r="BA526" s="345" t="s">
        <v>359</v>
      </c>
      <c r="BF526" s="347">
        <v>35.07</v>
      </c>
      <c r="BG526" s="347" t="s">
        <v>325</v>
      </c>
      <c r="BH526" s="1790"/>
      <c r="BI526" s="1794"/>
      <c r="BJ526" s="1345"/>
      <c r="BN526" s="345">
        <v>701.02</v>
      </c>
      <c r="BO526" s="345" t="s">
        <v>310</v>
      </c>
      <c r="BT526" s="347">
        <v>1106.02</v>
      </c>
      <c r="BU526" s="347" t="s">
        <v>319</v>
      </c>
      <c r="BW526" s="348" t="str">
        <f t="array" ref="BW526">IFERROR(IF($BW$11="Metro",INDEX($BN$13:$BN$4972,SMALL(IF((County=$BO$13:$BO$4972),MATCH(ROW($BO$13:$BO$4972),ROW($BO$13:$BO$4972)),""),ROWS($A$13:$A526))),INDEX($BQ$13:$BQ$212,SMALL(IF((County=$BR$13:$BR$212),MATCH(ROW($BR$13:$BR$212),ROW($BR$13:$BR$212)),""),ROWS($A$13:$A526)))),"")</f>
        <v/>
      </c>
      <c r="CD526" s="237">
        <v>15</v>
      </c>
      <c r="CE526" s="237" t="s">
        <v>325</v>
      </c>
      <c r="CJ526" s="347">
        <v>33.11</v>
      </c>
      <c r="CK526" s="347" t="s">
        <v>325</v>
      </c>
      <c r="CL526" s="1789"/>
      <c r="CR526" s="345"/>
      <c r="CS526" s="345"/>
      <c r="CX526" s="347"/>
      <c r="CY526" s="347"/>
      <c r="DA526" s="348"/>
      <c r="DH526" s="237"/>
      <c r="DI526" s="237"/>
      <c r="DN526" s="347"/>
      <c r="DO526" s="347"/>
      <c r="DP526" s="2505"/>
      <c r="DT526" s="663"/>
      <c r="DU526" s="663"/>
      <c r="DV526" s="663"/>
      <c r="DW526" s="663"/>
      <c r="DX526" s="663"/>
      <c r="DY526" s="663"/>
      <c r="DZ526" s="663"/>
      <c r="EA526" s="663"/>
      <c r="EB526" s="663"/>
      <c r="EC526" s="663"/>
      <c r="ED526" s="663"/>
    </row>
    <row r="527" spans="6:134">
      <c r="F527" s="345">
        <v>150.01</v>
      </c>
      <c r="G527" s="345" t="s">
        <v>359</v>
      </c>
      <c r="L527" s="347">
        <v>26.02</v>
      </c>
      <c r="M527" s="347" t="s">
        <v>325</v>
      </c>
      <c r="V527" s="345">
        <v>169.07</v>
      </c>
      <c r="W527" s="345" t="s">
        <v>359</v>
      </c>
      <c r="AB527" s="347">
        <v>61.01</v>
      </c>
      <c r="AC527" s="347" t="s">
        <v>337</v>
      </c>
      <c r="AD527" s="1138"/>
      <c r="AJ527" s="345">
        <v>102.07</v>
      </c>
      <c r="AK527" s="345" t="s">
        <v>352</v>
      </c>
      <c r="AP527" s="347">
        <v>1105</v>
      </c>
      <c r="AQ527" s="347" t="s">
        <v>319</v>
      </c>
      <c r="AZ527" s="345">
        <v>135.04</v>
      </c>
      <c r="BA527" s="345" t="s">
        <v>337</v>
      </c>
      <c r="BF527" s="347">
        <v>35.07</v>
      </c>
      <c r="BG527" s="347" t="s">
        <v>361</v>
      </c>
      <c r="BH527" s="1790"/>
      <c r="BI527" s="1794"/>
      <c r="BJ527" s="1345"/>
      <c r="BN527" s="345">
        <v>701.03</v>
      </c>
      <c r="BO527" s="345" t="s">
        <v>310</v>
      </c>
      <c r="BT527" s="347">
        <v>1106.04</v>
      </c>
      <c r="BU527" s="347" t="s">
        <v>319</v>
      </c>
      <c r="BW527" s="348" t="str">
        <f t="array" ref="BW527">IFERROR(IF($BW$11="Metro",INDEX($BN$13:$BN$4972,SMALL(IF((County=$BO$13:$BO$4972),MATCH(ROW($BO$13:$BO$4972),ROW($BO$13:$BO$4972)),""),ROWS($A$13:$A527))),INDEX($BQ$13:$BQ$212,SMALL(IF((County=$BR$13:$BR$212),MATCH(ROW($BR$13:$BR$212),ROW($BR$13:$BR$212)),""),ROWS($A$13:$A527)))),"")</f>
        <v/>
      </c>
      <c r="CD527" s="237">
        <v>15</v>
      </c>
      <c r="CE527" s="237" t="s">
        <v>337</v>
      </c>
      <c r="CJ527" s="347">
        <v>34</v>
      </c>
      <c r="CK527" s="347" t="s">
        <v>361</v>
      </c>
      <c r="CL527" s="1789"/>
      <c r="CR527" s="345"/>
      <c r="CS527" s="345"/>
      <c r="CX527" s="347"/>
      <c r="CY527" s="347"/>
      <c r="DA527" s="348"/>
      <c r="DH527" s="237"/>
      <c r="DI527" s="237"/>
      <c r="DN527" s="347"/>
      <c r="DO527" s="347"/>
      <c r="DP527" s="2505"/>
      <c r="DT527" s="663"/>
      <c r="DU527" s="663"/>
      <c r="DV527" s="663"/>
      <c r="DW527" s="663"/>
      <c r="DX527" s="663"/>
      <c r="DY527" s="663"/>
      <c r="DZ527" s="663"/>
      <c r="EA527" s="663"/>
      <c r="EB527" s="663"/>
      <c r="EC527" s="663"/>
      <c r="ED527" s="663"/>
    </row>
    <row r="528" spans="6:134">
      <c r="F528" s="345">
        <v>152.02000000000001</v>
      </c>
      <c r="G528" s="345" t="s">
        <v>359</v>
      </c>
      <c r="L528" s="347">
        <v>26.03</v>
      </c>
      <c r="M528" s="347" t="s">
        <v>325</v>
      </c>
      <c r="V528" s="345">
        <v>172</v>
      </c>
      <c r="W528" s="345" t="s">
        <v>323</v>
      </c>
      <c r="AB528" s="347">
        <v>61.01</v>
      </c>
      <c r="AC528" s="347" t="s">
        <v>352</v>
      </c>
      <c r="AD528" s="1138"/>
      <c r="AJ528" s="345">
        <v>102.08</v>
      </c>
      <c r="AK528" s="345" t="s">
        <v>352</v>
      </c>
      <c r="AP528" s="347">
        <v>1106.02</v>
      </c>
      <c r="AQ528" s="347" t="s">
        <v>319</v>
      </c>
      <c r="AZ528" s="345">
        <v>135.11000000000001</v>
      </c>
      <c r="BA528" s="345" t="s">
        <v>359</v>
      </c>
      <c r="BF528" s="347">
        <v>35.090000000000003</v>
      </c>
      <c r="BG528" s="347" t="s">
        <v>325</v>
      </c>
      <c r="BH528" s="1790"/>
      <c r="BI528" s="1794"/>
      <c r="BJ528" s="1345"/>
      <c r="BN528" s="345">
        <v>701.04</v>
      </c>
      <c r="BO528" s="345" t="s">
        <v>310</v>
      </c>
      <c r="BT528" s="347">
        <v>1107</v>
      </c>
      <c r="BU528" s="347" t="s">
        <v>319</v>
      </c>
      <c r="BW528" s="348" t="str">
        <f t="array" ref="BW528">IFERROR(IF($BW$11="Metro",INDEX($BN$13:$BN$4972,SMALL(IF((County=$BO$13:$BO$4972),MATCH(ROW($BO$13:$BO$4972),ROW($BO$13:$BO$4972)),""),ROWS($A$13:$A528))),INDEX($BQ$13:$BQ$212,SMALL(IF((County=$BR$13:$BR$212),MATCH(ROW($BR$13:$BR$212),ROW($BR$13:$BR$212)),""),ROWS($A$13:$A528)))),"")</f>
        <v/>
      </c>
      <c r="CD528" s="237">
        <v>15</v>
      </c>
      <c r="CE528" s="237" t="s">
        <v>345</v>
      </c>
      <c r="CJ528" s="347">
        <v>35.06</v>
      </c>
      <c r="CK528" s="347" t="s">
        <v>325</v>
      </c>
      <c r="CL528" s="1789"/>
      <c r="CR528" s="345"/>
      <c r="CS528" s="345"/>
      <c r="CX528" s="347"/>
      <c r="CY528" s="347"/>
      <c r="DA528" s="348"/>
      <c r="DH528" s="237"/>
      <c r="DI528" s="237"/>
      <c r="DN528" s="347"/>
      <c r="DO528" s="347"/>
      <c r="DP528" s="2505"/>
      <c r="DT528" s="663"/>
      <c r="DU528" s="663"/>
      <c r="DV528" s="663"/>
      <c r="DW528" s="663"/>
      <c r="DX528" s="663"/>
      <c r="DY528" s="663"/>
      <c r="DZ528" s="663"/>
      <c r="EA528" s="663"/>
      <c r="EB528" s="663"/>
      <c r="EC528" s="663"/>
      <c r="ED528" s="663"/>
    </row>
    <row r="529" spans="6:134">
      <c r="F529" s="345">
        <v>163.02000000000001</v>
      </c>
      <c r="G529" s="345" t="s">
        <v>359</v>
      </c>
      <c r="L529" s="347">
        <v>26.04</v>
      </c>
      <c r="M529" s="347" t="s">
        <v>325</v>
      </c>
      <c r="V529" s="345">
        <v>173</v>
      </c>
      <c r="W529" s="345" t="s">
        <v>359</v>
      </c>
      <c r="AB529" s="347">
        <v>61.02</v>
      </c>
      <c r="AC529" s="347" t="s">
        <v>352</v>
      </c>
      <c r="AD529" s="1138"/>
      <c r="AJ529" s="345">
        <v>102.13</v>
      </c>
      <c r="AK529" s="345" t="s">
        <v>352</v>
      </c>
      <c r="AP529" s="347">
        <v>1106.04</v>
      </c>
      <c r="AQ529" s="347" t="s">
        <v>319</v>
      </c>
      <c r="AZ529" s="345">
        <v>135.12</v>
      </c>
      <c r="BA529" s="345" t="s">
        <v>359</v>
      </c>
      <c r="BF529" s="347">
        <v>35.11</v>
      </c>
      <c r="BG529" s="347" t="s">
        <v>325</v>
      </c>
      <c r="BH529" s="1790"/>
      <c r="BI529" s="1794"/>
      <c r="BJ529" s="1345"/>
      <c r="BN529" s="345">
        <v>702.04</v>
      </c>
      <c r="BO529" s="345" t="s">
        <v>310</v>
      </c>
      <c r="BT529" s="347">
        <v>1108</v>
      </c>
      <c r="BU529" s="347" t="s">
        <v>319</v>
      </c>
      <c r="BW529" s="348" t="str">
        <f t="array" ref="BW529">IFERROR(IF($BW$11="Metro",INDEX($BN$13:$BN$4972,SMALL(IF((County=$BO$13:$BO$4972),MATCH(ROW($BO$13:$BO$4972),ROW($BO$13:$BO$4972)),""),ROWS($A$13:$A529))),INDEX($BQ$13:$BQ$212,SMALL(IF((County=$BR$13:$BR$212),MATCH(ROW($BR$13:$BR$212),ROW($BR$13:$BR$212)),""),ROWS($A$13:$A529)))),"")</f>
        <v/>
      </c>
      <c r="CD529" s="237">
        <v>15</v>
      </c>
      <c r="CE529" s="237" t="s">
        <v>350</v>
      </c>
      <c r="CJ529" s="347">
        <v>35.07</v>
      </c>
      <c r="CK529" s="347" t="s">
        <v>325</v>
      </c>
      <c r="CL529" s="1789"/>
      <c r="CR529" s="345"/>
      <c r="CS529" s="345"/>
      <c r="CX529" s="347"/>
      <c r="CY529" s="347"/>
      <c r="DA529" s="348"/>
      <c r="DH529" s="237"/>
      <c r="DI529" s="237"/>
      <c r="DN529" s="347"/>
      <c r="DO529" s="347"/>
      <c r="DP529" s="2505"/>
      <c r="DT529" s="663"/>
      <c r="DU529" s="663"/>
      <c r="DV529" s="663"/>
      <c r="DW529" s="663"/>
      <c r="DX529" s="663"/>
      <c r="DY529" s="663"/>
      <c r="DZ529" s="663"/>
      <c r="EA529" s="663"/>
      <c r="EB529" s="663"/>
      <c r="EC529" s="663"/>
      <c r="ED529" s="663"/>
    </row>
    <row r="530" spans="6:134">
      <c r="F530" s="345">
        <v>164.07</v>
      </c>
      <c r="G530" s="345" t="s">
        <v>359</v>
      </c>
      <c r="L530" s="347">
        <v>26.05</v>
      </c>
      <c r="M530" s="347" t="s">
        <v>325</v>
      </c>
      <c r="V530" s="345">
        <v>174</v>
      </c>
      <c r="W530" s="345" t="s">
        <v>323</v>
      </c>
      <c r="AB530" s="347">
        <v>61.03</v>
      </c>
      <c r="AC530" s="347" t="s">
        <v>337</v>
      </c>
      <c r="AD530" s="1138"/>
      <c r="AJ530" s="345">
        <v>106.09</v>
      </c>
      <c r="AK530" s="345" t="s">
        <v>352</v>
      </c>
      <c r="AP530" s="347">
        <v>1107</v>
      </c>
      <c r="AQ530" s="347" t="s">
        <v>319</v>
      </c>
      <c r="AZ530" s="345">
        <v>136</v>
      </c>
      <c r="BA530" s="345" t="s">
        <v>352</v>
      </c>
      <c r="BF530" s="347">
        <v>35.119999999999997</v>
      </c>
      <c r="BG530" s="347" t="s">
        <v>325</v>
      </c>
      <c r="BH530" s="1790"/>
      <c r="BI530" s="1794"/>
      <c r="BJ530" s="1345"/>
      <c r="BN530" s="345">
        <v>702.05</v>
      </c>
      <c r="BO530" s="345" t="s">
        <v>310</v>
      </c>
      <c r="BT530" s="347">
        <v>1109.03</v>
      </c>
      <c r="BU530" s="347" t="s">
        <v>319</v>
      </c>
      <c r="BW530" s="348" t="str">
        <f t="array" ref="BW530">IFERROR(IF($BW$11="Metro",INDEX($BN$13:$BN$4972,SMALL(IF((County=$BO$13:$BO$4972),MATCH(ROW($BO$13:$BO$4972),ROW($BO$13:$BO$4972)),""),ROWS($A$13:$A530))),INDEX($BQ$13:$BQ$212,SMALL(IF((County=$BR$13:$BR$212),MATCH(ROW($BR$13:$BR$212),ROW($BR$13:$BR$212)),""),ROWS($A$13:$A530)))),"")</f>
        <v/>
      </c>
      <c r="CD530" s="237">
        <v>15</v>
      </c>
      <c r="CE530" s="237" t="s">
        <v>351</v>
      </c>
      <c r="CJ530" s="347">
        <v>35.07</v>
      </c>
      <c r="CK530" s="347" t="s">
        <v>361</v>
      </c>
      <c r="CL530" s="1789"/>
      <c r="CR530" s="345"/>
      <c r="CS530" s="345"/>
      <c r="CX530" s="347"/>
      <c r="CY530" s="347"/>
      <c r="DA530" s="348"/>
      <c r="DH530" s="237"/>
      <c r="DI530" s="237"/>
      <c r="DN530" s="347"/>
      <c r="DO530" s="347"/>
      <c r="DP530" s="2505"/>
      <c r="DT530" s="663"/>
      <c r="DU530" s="663"/>
      <c r="DV530" s="663"/>
      <c r="DW530" s="663"/>
      <c r="DX530" s="663"/>
      <c r="DY530" s="663"/>
      <c r="DZ530" s="663"/>
      <c r="EA530" s="663"/>
      <c r="EB530" s="663"/>
      <c r="EC530" s="663"/>
      <c r="ED530" s="663"/>
    </row>
    <row r="531" spans="6:134">
      <c r="F531" s="345">
        <v>165.03</v>
      </c>
      <c r="G531" s="345" t="s">
        <v>359</v>
      </c>
      <c r="L531" s="347">
        <v>27.01</v>
      </c>
      <c r="M531" s="347" t="s">
        <v>325</v>
      </c>
      <c r="V531" s="345">
        <v>176</v>
      </c>
      <c r="W531" s="345" t="s">
        <v>359</v>
      </c>
      <c r="AB531" s="347">
        <v>62</v>
      </c>
      <c r="AC531" s="347" t="s">
        <v>337</v>
      </c>
      <c r="AD531" s="1138"/>
      <c r="AJ531" s="345">
        <v>107.06</v>
      </c>
      <c r="AK531" s="345" t="s">
        <v>352</v>
      </c>
      <c r="AP531" s="347">
        <v>1109.04</v>
      </c>
      <c r="AQ531" s="347" t="s">
        <v>319</v>
      </c>
      <c r="AZ531" s="345">
        <v>136.01</v>
      </c>
      <c r="BA531" s="345" t="s">
        <v>365</v>
      </c>
      <c r="BF531" s="347">
        <v>35.130000000000003</v>
      </c>
      <c r="BG531" s="347" t="s">
        <v>361</v>
      </c>
      <c r="BH531" s="1790"/>
      <c r="BI531" s="1794"/>
      <c r="BJ531" s="1345"/>
      <c r="BN531" s="345">
        <v>702.08</v>
      </c>
      <c r="BO531" s="345" t="s">
        <v>310</v>
      </c>
      <c r="BT531" s="347">
        <v>1109.04</v>
      </c>
      <c r="BU531" s="347" t="s">
        <v>319</v>
      </c>
      <c r="BW531" s="348" t="str">
        <f t="array" ref="BW531">IFERROR(IF($BW$11="Metro",INDEX($BN$13:$BN$4972,SMALL(IF((County=$BO$13:$BO$4972),MATCH(ROW($BO$13:$BO$4972),ROW($BO$13:$BO$4972)),""),ROWS($A$13:$A531))),INDEX($BQ$13:$BQ$212,SMALL(IF((County=$BR$13:$BR$212),MATCH(ROW($BR$13:$BR$212),ROW($BR$13:$BR$212)),""),ROWS($A$13:$A531)))),"")</f>
        <v/>
      </c>
      <c r="CD531" s="237">
        <v>15</v>
      </c>
      <c r="CE531" s="237" t="s">
        <v>361</v>
      </c>
      <c r="CJ531" s="347">
        <v>35.090000000000003</v>
      </c>
      <c r="CK531" s="347" t="s">
        <v>325</v>
      </c>
      <c r="CL531" s="1789"/>
      <c r="CR531" s="345"/>
      <c r="CS531" s="345"/>
      <c r="CX531" s="347"/>
      <c r="CY531" s="347"/>
      <c r="DA531" s="348"/>
      <c r="DH531" s="237"/>
      <c r="DI531" s="237"/>
      <c r="DN531" s="347"/>
      <c r="DO531" s="347"/>
      <c r="DP531" s="2505"/>
      <c r="DT531" s="663"/>
      <c r="DU531" s="663"/>
      <c r="DV531" s="663"/>
      <c r="DW531" s="663"/>
      <c r="DX531" s="663"/>
      <c r="DY531" s="663"/>
      <c r="DZ531" s="663"/>
      <c r="EA531" s="663"/>
      <c r="EB531" s="663"/>
      <c r="EC531" s="663"/>
      <c r="ED531" s="663"/>
    </row>
    <row r="532" spans="6:134">
      <c r="F532" s="345">
        <v>165.05</v>
      </c>
      <c r="G532" s="345" t="s">
        <v>359</v>
      </c>
      <c r="L532" s="347">
        <v>28.02</v>
      </c>
      <c r="M532" s="347" t="s">
        <v>325</v>
      </c>
      <c r="V532" s="345">
        <v>180</v>
      </c>
      <c r="W532" s="345" t="s">
        <v>359</v>
      </c>
      <c r="AB532" s="347">
        <v>62.01</v>
      </c>
      <c r="AC532" s="347" t="s">
        <v>352</v>
      </c>
      <c r="AD532" s="1138"/>
      <c r="AJ532" s="345">
        <v>108.03</v>
      </c>
      <c r="AK532" s="345" t="s">
        <v>352</v>
      </c>
      <c r="AP532" s="347">
        <v>101.01</v>
      </c>
      <c r="AQ532" s="347" t="s">
        <v>321</v>
      </c>
      <c r="AZ532" s="345">
        <v>136.02000000000001</v>
      </c>
      <c r="BA532" s="345" t="s">
        <v>365</v>
      </c>
      <c r="BF532" s="347">
        <v>35.14</v>
      </c>
      <c r="BG532" s="347" t="s">
        <v>361</v>
      </c>
      <c r="BH532" s="1790"/>
      <c r="BI532" s="1794"/>
      <c r="BJ532" s="1345"/>
      <c r="BN532" s="345">
        <v>702.09</v>
      </c>
      <c r="BO532" s="345" t="s">
        <v>310</v>
      </c>
      <c r="BT532" s="347">
        <v>101.01</v>
      </c>
      <c r="BU532" s="347" t="s">
        <v>321</v>
      </c>
      <c r="BW532" s="348" t="str">
        <f t="array" ref="BW532">IFERROR(IF($BW$11="Metro",INDEX($BN$13:$BN$4972,SMALL(IF((County=$BO$13:$BO$4972),MATCH(ROW($BO$13:$BO$4972),ROW($BO$13:$BO$4972)),""),ROWS($A$13:$A532))),INDEX($BQ$13:$BQ$212,SMALL(IF((County=$BR$13:$BR$212),MATCH(ROW($BR$13:$BR$212),ROW($BR$13:$BR$212)),""),ROWS($A$13:$A532)))),"")</f>
        <v/>
      </c>
      <c r="CD532" s="345">
        <v>15.01</v>
      </c>
      <c r="CE532" s="345" t="s">
        <v>306</v>
      </c>
      <c r="CJ532" s="347">
        <v>35.1</v>
      </c>
      <c r="CK532" s="347" t="s">
        <v>325</v>
      </c>
      <c r="CL532" s="1789"/>
      <c r="CR532" s="345"/>
      <c r="CS532" s="345"/>
      <c r="CX532" s="347"/>
      <c r="CY532" s="347"/>
      <c r="DA532" s="348"/>
      <c r="DH532" s="237"/>
      <c r="DI532" s="237"/>
      <c r="DN532" s="347"/>
      <c r="DO532" s="347"/>
      <c r="DP532" s="2505"/>
      <c r="DT532" s="663"/>
      <c r="DU532" s="663"/>
      <c r="DV532" s="663"/>
      <c r="DW532" s="663"/>
      <c r="DX532" s="663"/>
      <c r="DY532" s="663"/>
      <c r="DZ532" s="663"/>
      <c r="EA532" s="663"/>
      <c r="EB532" s="663"/>
      <c r="EC532" s="663"/>
      <c r="ED532" s="663"/>
    </row>
    <row r="533" spans="6:134">
      <c r="F533" s="345">
        <v>165.08</v>
      </c>
      <c r="G533" s="345" t="s">
        <v>359</v>
      </c>
      <c r="L533" s="347">
        <v>28.04</v>
      </c>
      <c r="M533" s="347" t="s">
        <v>325</v>
      </c>
      <c r="V533" s="345">
        <v>185</v>
      </c>
      <c r="W533" s="345" t="s">
        <v>359</v>
      </c>
      <c r="AB533" s="347">
        <v>62.02</v>
      </c>
      <c r="AC533" s="347" t="s">
        <v>361</v>
      </c>
      <c r="AD533" s="1138"/>
      <c r="AJ533" s="345">
        <v>108.04</v>
      </c>
      <c r="AK533" s="345" t="s">
        <v>352</v>
      </c>
      <c r="AP533" s="347">
        <v>102</v>
      </c>
      <c r="AQ533" s="347" t="s">
        <v>321</v>
      </c>
      <c r="AZ533" s="345">
        <v>136.05000000000001</v>
      </c>
      <c r="BA533" s="345" t="s">
        <v>359</v>
      </c>
      <c r="BF533" s="347">
        <v>36</v>
      </c>
      <c r="BG533" s="347" t="s">
        <v>361</v>
      </c>
      <c r="BH533" s="1790"/>
      <c r="BI533" s="1793"/>
      <c r="BJ533" s="1329"/>
      <c r="BN533" s="345">
        <v>702.1</v>
      </c>
      <c r="BO533" s="345" t="s">
        <v>310</v>
      </c>
      <c r="BT533" s="347">
        <v>103.02</v>
      </c>
      <c r="BU533" s="347" t="s">
        <v>321</v>
      </c>
      <c r="BW533" s="348" t="str">
        <f t="array" ref="BW533">IFERROR(IF($BW$11="Metro",INDEX($BN$13:$BN$4972,SMALL(IF((County=$BO$13:$BO$4972),MATCH(ROW($BO$13:$BO$4972),ROW($BO$13:$BO$4972)),""),ROWS($A$13:$A533))),INDEX($BQ$13:$BQ$212,SMALL(IF((County=$BR$13:$BR$212),MATCH(ROW($BR$13:$BR$212),ROW($BR$13:$BR$212)),""),ROWS($A$13:$A533)))),"")</f>
        <v/>
      </c>
      <c r="CD533" s="237">
        <v>15.01</v>
      </c>
      <c r="CE533" s="237" t="s">
        <v>344</v>
      </c>
      <c r="CJ533" s="347">
        <v>35.11</v>
      </c>
      <c r="CK533" s="347" t="s">
        <v>325</v>
      </c>
      <c r="CL533" s="1789"/>
      <c r="CR533" s="345"/>
      <c r="CS533" s="345"/>
      <c r="CX533" s="347"/>
      <c r="CY533" s="347"/>
      <c r="DA533" s="348"/>
      <c r="DH533" s="237"/>
      <c r="DI533" s="237"/>
      <c r="DN533" s="347"/>
      <c r="DO533" s="347"/>
      <c r="DP533" s="2505"/>
      <c r="DT533" s="663"/>
      <c r="DU533" s="663"/>
      <c r="DV533" s="663"/>
      <c r="DW533" s="663"/>
      <c r="DX533" s="663"/>
      <c r="DY533" s="663"/>
      <c r="DZ533" s="663"/>
      <c r="EA533" s="663"/>
      <c r="EB533" s="663"/>
      <c r="EC533" s="663"/>
      <c r="ED533" s="663"/>
    </row>
    <row r="534" spans="6:134">
      <c r="F534" s="345">
        <v>165.1</v>
      </c>
      <c r="G534" s="345" t="s">
        <v>359</v>
      </c>
      <c r="L534" s="347">
        <v>32.04</v>
      </c>
      <c r="M534" s="347" t="s">
        <v>325</v>
      </c>
      <c r="V534" s="345">
        <v>187</v>
      </c>
      <c r="W534" s="345" t="s">
        <v>359</v>
      </c>
      <c r="AB534" s="347">
        <v>62.03</v>
      </c>
      <c r="AC534" s="347" t="s">
        <v>352</v>
      </c>
      <c r="AD534" s="1138"/>
      <c r="AJ534" s="345">
        <v>108.05</v>
      </c>
      <c r="AK534" s="345" t="s">
        <v>352</v>
      </c>
      <c r="AP534" s="347">
        <v>104.03</v>
      </c>
      <c r="AQ534" s="347" t="s">
        <v>321</v>
      </c>
      <c r="AZ534" s="345">
        <v>136.06</v>
      </c>
      <c r="BA534" s="345" t="s">
        <v>359</v>
      </c>
      <c r="BF534" s="347">
        <v>36.03</v>
      </c>
      <c r="BG534" s="347" t="s">
        <v>325</v>
      </c>
      <c r="BH534" s="1790"/>
      <c r="BI534" s="1793"/>
      <c r="BJ534" s="1329"/>
      <c r="BN534" s="345">
        <v>702.11</v>
      </c>
      <c r="BO534" s="345" t="s">
        <v>310</v>
      </c>
      <c r="BT534" s="347">
        <v>104.03</v>
      </c>
      <c r="BU534" s="347" t="s">
        <v>321</v>
      </c>
      <c r="BW534" s="348" t="str">
        <f t="array" ref="BW534">IFERROR(IF($BW$11="Metro",INDEX($BN$13:$BN$4972,SMALL(IF((County=$BO$13:$BO$4972),MATCH(ROW($BO$13:$BO$4972),ROW($BO$13:$BO$4972)),""),ROWS($A$13:$A534))),INDEX($BQ$13:$BQ$212,SMALL(IF((County=$BR$13:$BR$212),MATCH(ROW($BR$13:$BR$212),ROW($BR$13:$BR$212)),""),ROWS($A$13:$A534)))),"")</f>
        <v/>
      </c>
      <c r="CD534" s="237">
        <v>15.01</v>
      </c>
      <c r="CE534" s="237" t="s">
        <v>349</v>
      </c>
      <c r="CJ534" s="347">
        <v>35.119999999999997</v>
      </c>
      <c r="CK534" s="347" t="s">
        <v>325</v>
      </c>
      <c r="CL534" s="1789"/>
      <c r="CR534" s="345"/>
      <c r="CS534" s="345"/>
      <c r="CX534" s="347"/>
      <c r="CY534" s="347"/>
      <c r="DA534" s="348"/>
      <c r="DH534" s="237"/>
      <c r="DI534" s="237"/>
      <c r="DN534" s="347"/>
      <c r="DO534" s="347"/>
      <c r="DP534" s="2505"/>
      <c r="DT534" s="663"/>
      <c r="DU534" s="663"/>
      <c r="DV534" s="663"/>
      <c r="DW534" s="663"/>
      <c r="DX534" s="663"/>
      <c r="DY534" s="663"/>
      <c r="DZ534" s="663"/>
      <c r="EA534" s="663"/>
      <c r="EB534" s="663"/>
      <c r="EC534" s="663"/>
      <c r="ED534" s="663"/>
    </row>
    <row r="535" spans="6:134">
      <c r="F535" s="345">
        <v>165.11</v>
      </c>
      <c r="G535" s="345" t="s">
        <v>359</v>
      </c>
      <c r="L535" s="347">
        <v>33.01</v>
      </c>
      <c r="M535" s="347" t="s">
        <v>325</v>
      </c>
      <c r="V535" s="345">
        <v>189</v>
      </c>
      <c r="W535" s="345" t="s">
        <v>359</v>
      </c>
      <c r="AB535" s="347">
        <v>62.05</v>
      </c>
      <c r="AC535" s="347" t="s">
        <v>352</v>
      </c>
      <c r="AD535" s="1138"/>
      <c r="AJ535" s="345">
        <v>108.06</v>
      </c>
      <c r="AK535" s="345" t="s">
        <v>352</v>
      </c>
      <c r="AP535" s="347">
        <v>104.05</v>
      </c>
      <c r="AQ535" s="347" t="s">
        <v>321</v>
      </c>
      <c r="AZ535" s="345">
        <v>137.01</v>
      </c>
      <c r="BA535" s="345" t="s">
        <v>365</v>
      </c>
      <c r="BF535" s="347">
        <v>36.04</v>
      </c>
      <c r="BG535" s="347" t="s">
        <v>352</v>
      </c>
      <c r="BH535" s="1790"/>
      <c r="BI535" s="1793"/>
      <c r="BJ535" s="1329"/>
      <c r="BN535" s="345">
        <v>702.12</v>
      </c>
      <c r="BO535" s="345" t="s">
        <v>310</v>
      </c>
      <c r="BT535" s="347">
        <v>104.05</v>
      </c>
      <c r="BU535" s="347" t="s">
        <v>321</v>
      </c>
      <c r="BW535" s="348" t="str">
        <f t="array" ref="BW535">IFERROR(IF($BW$11="Metro",INDEX($BN$13:$BN$4972,SMALL(IF((County=$BO$13:$BO$4972),MATCH(ROW($BO$13:$BO$4972),ROW($BO$13:$BO$4972)),""),ROWS($A$13:$A535))),INDEX($BQ$13:$BQ$212,SMALL(IF((County=$BR$13:$BR$212),MATCH(ROW($BR$13:$BR$212),ROW($BR$13:$BR$212)),""),ROWS($A$13:$A535)))),"")</f>
        <v/>
      </c>
      <c r="CD535" s="237">
        <v>15.01</v>
      </c>
      <c r="CE535" s="237" t="s">
        <v>352</v>
      </c>
      <c r="CJ535" s="347">
        <v>35.119999999999997</v>
      </c>
      <c r="CK535" s="347" t="s">
        <v>361</v>
      </c>
      <c r="CL535" s="1789"/>
      <c r="CR535" s="345"/>
      <c r="CS535" s="345"/>
      <c r="CX535" s="347"/>
      <c r="CY535" s="347"/>
      <c r="DA535" s="348"/>
      <c r="DH535" s="237"/>
      <c r="DI535" s="237"/>
      <c r="DN535" s="347"/>
      <c r="DO535" s="347"/>
      <c r="DP535" s="2505"/>
      <c r="DT535" s="663"/>
      <c r="DU535" s="663"/>
      <c r="DV535" s="663"/>
      <c r="DW535" s="663"/>
      <c r="DX535" s="663"/>
      <c r="DY535" s="663"/>
      <c r="DZ535" s="663"/>
      <c r="EA535" s="663"/>
      <c r="EB535" s="663"/>
      <c r="EC535" s="663"/>
      <c r="ED535" s="663"/>
    </row>
    <row r="536" spans="6:134">
      <c r="F536" s="345">
        <v>167.09</v>
      </c>
      <c r="G536" s="345" t="s">
        <v>359</v>
      </c>
      <c r="L536" s="347">
        <v>33.049999999999997</v>
      </c>
      <c r="M536" s="347" t="s">
        <v>325</v>
      </c>
      <c r="V536" s="345">
        <v>201.01</v>
      </c>
      <c r="W536" s="345" t="s">
        <v>363</v>
      </c>
      <c r="AB536" s="347">
        <v>62.06</v>
      </c>
      <c r="AC536" s="347" t="s">
        <v>352</v>
      </c>
      <c r="AD536" s="1138"/>
      <c r="AJ536" s="345">
        <v>109</v>
      </c>
      <c r="AK536" s="345" t="s">
        <v>352</v>
      </c>
      <c r="AP536" s="347">
        <v>104.06</v>
      </c>
      <c r="AQ536" s="347" t="s">
        <v>321</v>
      </c>
      <c r="AZ536" s="345">
        <v>138.01</v>
      </c>
      <c r="BA536" s="345" t="s">
        <v>337</v>
      </c>
      <c r="BF536" s="347">
        <v>36.08</v>
      </c>
      <c r="BG536" s="347" t="s">
        <v>325</v>
      </c>
      <c r="BH536" s="1790"/>
      <c r="BI536" s="1793"/>
      <c r="BJ536" s="1329"/>
      <c r="BN536" s="345">
        <v>702.13</v>
      </c>
      <c r="BO536" s="345" t="s">
        <v>310</v>
      </c>
      <c r="BT536" s="347">
        <v>104.06</v>
      </c>
      <c r="BU536" s="347" t="s">
        <v>321</v>
      </c>
      <c r="BW536" s="348" t="str">
        <f t="array" ref="BW536">IFERROR(IF($BW$11="Metro",INDEX($BN$13:$BN$4972,SMALL(IF((County=$BO$13:$BO$4972),MATCH(ROW($BO$13:$BO$4972),ROW($BO$13:$BO$4972)),""),ROWS($A$13:$A536))),INDEX($BQ$13:$BQ$212,SMALL(IF((County=$BR$13:$BR$212),MATCH(ROW($BR$13:$BR$212),ROW($BR$13:$BR$212)),""),ROWS($A$13:$A536)))),"")</f>
        <v/>
      </c>
      <c r="CD536" s="345">
        <v>15.02</v>
      </c>
      <c r="CE536" s="345" t="s">
        <v>306</v>
      </c>
      <c r="CJ536" s="347">
        <v>35.14</v>
      </c>
      <c r="CK536" s="347" t="s">
        <v>361</v>
      </c>
      <c r="CL536" s="1789"/>
      <c r="CR536" s="345"/>
      <c r="CS536" s="345"/>
      <c r="CX536" s="347"/>
      <c r="CY536" s="347"/>
      <c r="DA536" s="348"/>
      <c r="DH536" s="237"/>
      <c r="DI536" s="237"/>
      <c r="DN536" s="347"/>
      <c r="DO536" s="347"/>
      <c r="DP536" s="2505"/>
      <c r="DT536" s="663"/>
      <c r="DU536" s="663"/>
      <c r="DV536" s="663"/>
      <c r="DW536" s="663"/>
      <c r="DX536" s="663"/>
      <c r="DY536" s="663"/>
      <c r="DZ536" s="663"/>
      <c r="EA536" s="663"/>
      <c r="EB536" s="663"/>
      <c r="EC536" s="663"/>
      <c r="ED536" s="663"/>
    </row>
    <row r="537" spans="6:134">
      <c r="F537" s="345">
        <v>167.12</v>
      </c>
      <c r="G537" s="345" t="s">
        <v>359</v>
      </c>
      <c r="L537" s="347">
        <v>33.08</v>
      </c>
      <c r="M537" s="347" t="s">
        <v>325</v>
      </c>
      <c r="V537" s="345">
        <v>201.01</v>
      </c>
      <c r="W537" s="345" t="s">
        <v>369</v>
      </c>
      <c r="AB537" s="347">
        <v>63</v>
      </c>
      <c r="AC537" s="347" t="s">
        <v>337</v>
      </c>
      <c r="AD537" s="1138"/>
      <c r="AJ537" s="345">
        <v>110.1</v>
      </c>
      <c r="AK537" s="345" t="s">
        <v>352</v>
      </c>
      <c r="AP537" s="347">
        <v>9701.01</v>
      </c>
      <c r="AQ537" s="347" t="s">
        <v>322</v>
      </c>
      <c r="AZ537" s="345">
        <v>138.01</v>
      </c>
      <c r="BA537" s="345" t="s">
        <v>352</v>
      </c>
      <c r="BF537" s="347">
        <v>36.090000000000003</v>
      </c>
      <c r="BG537" s="347" t="s">
        <v>325</v>
      </c>
      <c r="BH537" s="1790"/>
      <c r="BI537" s="1793"/>
      <c r="BJ537" s="1329"/>
      <c r="BN537" s="345">
        <v>703.04</v>
      </c>
      <c r="BO537" s="345" t="s">
        <v>310</v>
      </c>
      <c r="BT537" s="347">
        <v>9701.01</v>
      </c>
      <c r="BU537" s="347" t="s">
        <v>322</v>
      </c>
      <c r="BW537" s="348" t="str">
        <f t="array" ref="BW537">IFERROR(IF($BW$11="Metro",INDEX($BN$13:$BN$4972,SMALL(IF((County=$BO$13:$BO$4972),MATCH(ROW($BO$13:$BO$4972),ROW($BO$13:$BO$4972)),""),ROWS($A$13:$A537))),INDEX($BQ$13:$BQ$212,SMALL(IF((County=$BR$13:$BR$212),MATCH(ROW($BR$13:$BR$212),ROW($BR$13:$BR$212)),""),ROWS($A$13:$A537)))),"")</f>
        <v/>
      </c>
      <c r="CD537" s="237">
        <v>15.02</v>
      </c>
      <c r="CE537" s="237" t="s">
        <v>344</v>
      </c>
      <c r="CJ537" s="347">
        <v>36</v>
      </c>
      <c r="CK537" s="347" t="s">
        <v>361</v>
      </c>
      <c r="CL537" s="1789"/>
      <c r="CR537" s="345"/>
      <c r="CS537" s="345"/>
      <c r="CX537" s="347"/>
      <c r="CY537" s="347"/>
      <c r="DA537" s="348"/>
      <c r="DH537" s="237"/>
      <c r="DI537" s="237"/>
      <c r="DN537" s="347"/>
      <c r="DO537" s="347"/>
      <c r="DP537" s="2505"/>
      <c r="DT537" s="663"/>
      <c r="DU537" s="663"/>
      <c r="DV537" s="663"/>
      <c r="DW537" s="663"/>
      <c r="DX537" s="663"/>
      <c r="DY537" s="663"/>
      <c r="DZ537" s="663"/>
      <c r="EA537" s="663"/>
      <c r="EB537" s="663"/>
      <c r="EC537" s="663"/>
      <c r="ED537" s="663"/>
    </row>
    <row r="538" spans="6:134">
      <c r="F538" s="345">
        <v>167.24</v>
      </c>
      <c r="G538" s="345" t="s">
        <v>359</v>
      </c>
      <c r="L538" s="347">
        <v>33.090000000000003</v>
      </c>
      <c r="M538" s="347" t="s">
        <v>325</v>
      </c>
      <c r="V538" s="345">
        <v>203</v>
      </c>
      <c r="W538" s="345" t="s">
        <v>344</v>
      </c>
      <c r="AB538" s="347">
        <v>63</v>
      </c>
      <c r="AC538" s="347" t="s">
        <v>361</v>
      </c>
      <c r="AD538" s="1138"/>
      <c r="AJ538" s="345">
        <v>110.11</v>
      </c>
      <c r="AK538" s="345" t="s">
        <v>352</v>
      </c>
      <c r="AP538" s="347">
        <v>9701.0300000000007</v>
      </c>
      <c r="AQ538" s="347" t="s">
        <v>322</v>
      </c>
      <c r="AZ538" s="345">
        <v>138.02000000000001</v>
      </c>
      <c r="BA538" s="345" t="s">
        <v>352</v>
      </c>
      <c r="BF538" s="347">
        <v>36.1</v>
      </c>
      <c r="BG538" s="347" t="s">
        <v>325</v>
      </c>
      <c r="BH538" s="1790"/>
      <c r="BI538" s="1793"/>
      <c r="BJ538" s="1329"/>
      <c r="BN538" s="345">
        <v>703.06</v>
      </c>
      <c r="BO538" s="345" t="s">
        <v>310</v>
      </c>
      <c r="BT538" s="347">
        <v>9702.01</v>
      </c>
      <c r="BU538" s="347" t="s">
        <v>322</v>
      </c>
      <c r="BW538" s="348" t="str">
        <f t="array" ref="BW538">IFERROR(IF($BW$11="Metro",INDEX($BN$13:$BN$4972,SMALL(IF((County=$BO$13:$BO$4972),MATCH(ROW($BO$13:$BO$4972),ROW($BO$13:$BO$4972)),""),ROWS($A$13:$A538))),INDEX($BQ$13:$BQ$212,SMALL(IF((County=$BR$13:$BR$212),MATCH(ROW($BR$13:$BR$212),ROW($BR$13:$BR$212)),""),ROWS($A$13:$A538)))),"")</f>
        <v/>
      </c>
      <c r="CD538" s="237">
        <v>15.02</v>
      </c>
      <c r="CE538" s="237" t="s">
        <v>349</v>
      </c>
      <c r="CJ538" s="347">
        <v>36.03</v>
      </c>
      <c r="CK538" s="347" t="s">
        <v>325</v>
      </c>
      <c r="CL538" s="1789"/>
      <c r="CR538" s="345"/>
      <c r="CS538" s="345"/>
      <c r="CX538" s="347"/>
      <c r="CY538" s="347"/>
      <c r="DA538" s="348"/>
      <c r="DH538" s="237"/>
      <c r="DI538" s="237"/>
      <c r="DN538" s="347"/>
      <c r="DO538" s="347"/>
      <c r="DP538" s="2505"/>
      <c r="DT538" s="663"/>
      <c r="DU538" s="663"/>
      <c r="DV538" s="663"/>
      <c r="DW538" s="663"/>
      <c r="DX538" s="663"/>
      <c r="DY538" s="663"/>
      <c r="DZ538" s="663"/>
      <c r="EA538" s="663"/>
      <c r="EB538" s="663"/>
      <c r="EC538" s="663"/>
      <c r="ED538" s="663"/>
    </row>
    <row r="539" spans="6:134">
      <c r="F539" s="345">
        <v>167.27</v>
      </c>
      <c r="G539" s="345" t="s">
        <v>359</v>
      </c>
      <c r="L539" s="347">
        <v>35.03</v>
      </c>
      <c r="M539" s="347" t="s">
        <v>325</v>
      </c>
      <c r="V539" s="345">
        <v>203</v>
      </c>
      <c r="W539" s="345" t="s">
        <v>370</v>
      </c>
      <c r="AB539" s="347">
        <v>63.02</v>
      </c>
      <c r="AC539" s="347" t="s">
        <v>352</v>
      </c>
      <c r="AD539" s="1138"/>
      <c r="AJ539" s="345">
        <v>111.03</v>
      </c>
      <c r="AK539" s="345" t="s">
        <v>352</v>
      </c>
      <c r="AP539" s="347">
        <v>9701.0400000000009</v>
      </c>
      <c r="AQ539" s="347" t="s">
        <v>322</v>
      </c>
      <c r="AZ539" s="345">
        <v>138.03</v>
      </c>
      <c r="BA539" s="345" t="s">
        <v>337</v>
      </c>
      <c r="BF539" s="347">
        <v>36.11</v>
      </c>
      <c r="BG539" s="347" t="s">
        <v>325</v>
      </c>
      <c r="BH539" s="1790"/>
      <c r="BI539" s="1793"/>
      <c r="BJ539" s="1329"/>
      <c r="BN539" s="345">
        <v>703.1</v>
      </c>
      <c r="BO539" s="345" t="s">
        <v>310</v>
      </c>
      <c r="BT539" s="347">
        <v>9702.02</v>
      </c>
      <c r="BU539" s="347" t="s">
        <v>322</v>
      </c>
      <c r="BW539" s="348" t="str">
        <f t="array" ref="BW539">IFERROR(IF($BW$11="Metro",INDEX($BN$13:$BN$4972,SMALL(IF((County=$BO$13:$BO$4972),MATCH(ROW($BO$13:$BO$4972),ROW($BO$13:$BO$4972)),""),ROWS($A$13:$A539))),INDEX($BQ$13:$BQ$212,SMALL(IF((County=$BR$13:$BR$212),MATCH(ROW($BR$13:$BR$212),ROW($BR$13:$BR$212)),""),ROWS($A$13:$A539)))),"")</f>
        <v/>
      </c>
      <c r="CD539" s="237">
        <v>15.02</v>
      </c>
      <c r="CE539" s="237" t="s">
        <v>352</v>
      </c>
      <c r="CJ539" s="347">
        <v>36.04</v>
      </c>
      <c r="CK539" s="347" t="s">
        <v>352</v>
      </c>
      <c r="CL539" s="1789"/>
      <c r="CR539" s="345"/>
      <c r="CS539" s="345"/>
      <c r="CX539" s="347"/>
      <c r="CY539" s="347"/>
      <c r="DA539" s="348"/>
      <c r="DH539" s="237"/>
      <c r="DI539" s="237"/>
      <c r="DN539" s="347"/>
      <c r="DO539" s="347"/>
      <c r="DP539" s="2505"/>
      <c r="DT539" s="663"/>
      <c r="DU539" s="663"/>
      <c r="DV539" s="663"/>
      <c r="DW539" s="663"/>
      <c r="DX539" s="663"/>
      <c r="DY539" s="663"/>
      <c r="DZ539" s="663"/>
      <c r="EA539" s="663"/>
      <c r="EB539" s="663"/>
      <c r="EC539" s="663"/>
      <c r="ED539" s="663"/>
    </row>
    <row r="540" spans="6:134">
      <c r="F540" s="345">
        <v>169.02</v>
      </c>
      <c r="G540" s="345" t="s">
        <v>359</v>
      </c>
      <c r="L540" s="347">
        <v>35.06</v>
      </c>
      <c r="M540" s="347" t="s">
        <v>325</v>
      </c>
      <c r="V540" s="345">
        <v>204</v>
      </c>
      <c r="W540" s="345" t="s">
        <v>370</v>
      </c>
      <c r="AB540" s="347">
        <v>64</v>
      </c>
      <c r="AC540" s="347" t="s">
        <v>337</v>
      </c>
      <c r="AD540" s="1138"/>
      <c r="AJ540" s="345">
        <v>111.04</v>
      </c>
      <c r="AK540" s="345" t="s">
        <v>352</v>
      </c>
      <c r="AP540" s="347">
        <v>9702.01</v>
      </c>
      <c r="AQ540" s="347" t="s">
        <v>322</v>
      </c>
      <c r="AZ540" s="345">
        <v>140.02000000000001</v>
      </c>
      <c r="BA540" s="345" t="s">
        <v>337</v>
      </c>
      <c r="BF540" s="347">
        <v>36.119999999999997</v>
      </c>
      <c r="BG540" s="347" t="s">
        <v>325</v>
      </c>
      <c r="BH540" s="1790"/>
      <c r="BI540" s="1793"/>
      <c r="BJ540" s="1329"/>
      <c r="BN540" s="345">
        <v>703.11</v>
      </c>
      <c r="BO540" s="345" t="s">
        <v>310</v>
      </c>
      <c r="BT540" s="347">
        <v>7</v>
      </c>
      <c r="BU540" s="347" t="s">
        <v>323</v>
      </c>
      <c r="BW540" s="348" t="str">
        <f t="array" ref="BW540">IFERROR(IF($BW$11="Metro",INDEX($BN$13:$BN$4972,SMALL(IF((County=$BO$13:$BO$4972),MATCH(ROW($BO$13:$BO$4972),ROW($BO$13:$BO$4972)),""),ROWS($A$13:$A540))),INDEX($BQ$13:$BQ$212,SMALL(IF((County=$BR$13:$BR$212),MATCH(ROW($BR$13:$BR$212),ROW($BR$13:$BR$212)),""),ROWS($A$13:$A540)))),"")</f>
        <v/>
      </c>
      <c r="CD540" s="237">
        <v>15.03</v>
      </c>
      <c r="CE540" s="237" t="s">
        <v>368</v>
      </c>
      <c r="CJ540" s="347">
        <v>36.08</v>
      </c>
      <c r="CK540" s="347" t="s">
        <v>325</v>
      </c>
      <c r="CL540" s="1789"/>
      <c r="CR540" s="345"/>
      <c r="CS540" s="345"/>
      <c r="CX540" s="347"/>
      <c r="CY540" s="347"/>
      <c r="DA540" s="348"/>
      <c r="DH540" s="237"/>
      <c r="DI540" s="237"/>
      <c r="DN540" s="347"/>
      <c r="DO540" s="347"/>
      <c r="DP540" s="2505"/>
      <c r="DT540" s="663"/>
      <c r="DU540" s="663"/>
      <c r="DV540" s="663"/>
      <c r="DW540" s="663"/>
      <c r="DX540" s="663"/>
      <c r="DY540" s="663"/>
      <c r="DZ540" s="663"/>
      <c r="EA540" s="663"/>
      <c r="EB540" s="663"/>
      <c r="EC540" s="663"/>
      <c r="ED540" s="663"/>
    </row>
    <row r="541" spans="6:134">
      <c r="F541" s="345">
        <v>169.03</v>
      </c>
      <c r="G541" s="345" t="s">
        <v>359</v>
      </c>
      <c r="L541" s="347">
        <v>36.03</v>
      </c>
      <c r="M541" s="347" t="s">
        <v>325</v>
      </c>
      <c r="V541" s="345">
        <v>204.05</v>
      </c>
      <c r="W541" s="345" t="s">
        <v>310</v>
      </c>
      <c r="AB541" s="347">
        <v>64.010000000000005</v>
      </c>
      <c r="AC541" s="347" t="s">
        <v>361</v>
      </c>
      <c r="AD541" s="1138"/>
      <c r="AJ541" s="345">
        <v>112.03</v>
      </c>
      <c r="AK541" s="345" t="s">
        <v>352</v>
      </c>
      <c r="AP541" s="347">
        <v>9702.02</v>
      </c>
      <c r="AQ541" s="347" t="s">
        <v>322</v>
      </c>
      <c r="AZ541" s="345">
        <v>140.13</v>
      </c>
      <c r="BA541" s="345" t="s">
        <v>337</v>
      </c>
      <c r="BF541" s="347">
        <v>36.130000000000003</v>
      </c>
      <c r="BG541" s="347" t="s">
        <v>325</v>
      </c>
      <c r="BH541" s="1790"/>
      <c r="BI541" s="1793"/>
      <c r="BJ541" s="1329"/>
      <c r="BN541" s="345">
        <v>703.12</v>
      </c>
      <c r="BO541" s="345" t="s">
        <v>310</v>
      </c>
      <c r="BT541" s="347">
        <v>8</v>
      </c>
      <c r="BU541" s="347" t="s">
        <v>323</v>
      </c>
      <c r="BW541" s="348" t="str">
        <f t="array" ref="BW541">IFERROR(IF($BW$11="Metro",INDEX($BN$13:$BN$4972,SMALL(IF((County=$BO$13:$BO$4972),MATCH(ROW($BO$13:$BO$4972),ROW($BO$13:$BO$4972)),""),ROWS($A$13:$A541))),INDEX($BQ$13:$BQ$212,SMALL(IF((County=$BR$13:$BR$212),MATCH(ROW($BR$13:$BR$212),ROW($BR$13:$BR$212)),""),ROWS($A$13:$A541)))),"")</f>
        <v/>
      </c>
      <c r="CD541" s="237">
        <v>15.04</v>
      </c>
      <c r="CE541" s="237" t="s">
        <v>368</v>
      </c>
      <c r="CJ541" s="347">
        <v>36.090000000000003</v>
      </c>
      <c r="CK541" s="347" t="s">
        <v>325</v>
      </c>
      <c r="CL541" s="1789"/>
      <c r="CR541" s="345"/>
      <c r="CS541" s="345"/>
      <c r="CX541" s="347"/>
      <c r="CY541" s="347"/>
      <c r="DA541" s="348"/>
      <c r="DH541" s="237"/>
      <c r="DI541" s="237"/>
      <c r="DN541" s="347"/>
      <c r="DO541" s="347"/>
      <c r="DP541" s="2505"/>
      <c r="DT541" s="663"/>
      <c r="DU541" s="663"/>
      <c r="DV541" s="663"/>
      <c r="DW541" s="663"/>
      <c r="DX541" s="663"/>
      <c r="DY541" s="663"/>
      <c r="DZ541" s="663"/>
      <c r="EA541" s="663"/>
      <c r="EB541" s="663"/>
      <c r="EC541" s="663"/>
      <c r="ED541" s="663"/>
    </row>
    <row r="542" spans="6:134">
      <c r="F542" s="345">
        <v>169.04</v>
      </c>
      <c r="G542" s="345" t="s">
        <v>359</v>
      </c>
      <c r="L542" s="347">
        <v>36.08</v>
      </c>
      <c r="M542" s="347" t="s">
        <v>325</v>
      </c>
      <c r="V542" s="345">
        <v>204.12</v>
      </c>
      <c r="W542" s="345" t="s">
        <v>310</v>
      </c>
      <c r="AB542" s="347">
        <v>64.02</v>
      </c>
      <c r="AC542" s="347" t="s">
        <v>361</v>
      </c>
      <c r="AD542" s="1138"/>
      <c r="AJ542" s="345">
        <v>112.04</v>
      </c>
      <c r="AK542" s="345" t="s">
        <v>352</v>
      </c>
      <c r="AP542" s="347">
        <v>7</v>
      </c>
      <c r="AQ542" s="347" t="s">
        <v>323</v>
      </c>
      <c r="AZ542" s="345">
        <v>141.08000000000001</v>
      </c>
      <c r="BA542" s="345" t="s">
        <v>337</v>
      </c>
      <c r="BF542" s="347">
        <v>36.14</v>
      </c>
      <c r="BG542" s="347" t="s">
        <v>325</v>
      </c>
      <c r="BH542" s="1790"/>
      <c r="BI542" s="1793"/>
      <c r="BJ542" s="1329"/>
      <c r="BN542" s="345">
        <v>703.14</v>
      </c>
      <c r="BO542" s="345" t="s">
        <v>310</v>
      </c>
      <c r="BT542" s="347">
        <v>11</v>
      </c>
      <c r="BU542" s="347" t="s">
        <v>323</v>
      </c>
      <c r="BW542" s="348" t="str">
        <f t="array" ref="BW542">IFERROR(IF($BW$11="Metro",INDEX($BN$13:$BN$4972,SMALL(IF((County=$BO$13:$BO$4972),MATCH(ROW($BO$13:$BO$4972),ROW($BO$13:$BO$4972)),""),ROWS($A$13:$A542))),INDEX($BQ$13:$BQ$212,SMALL(IF((County=$BR$13:$BR$212),MATCH(ROW($BR$13:$BR$212),ROW($BR$13:$BR$212)),""),ROWS($A$13:$A542)))),"")</f>
        <v/>
      </c>
      <c r="CD542" s="237">
        <v>15.05</v>
      </c>
      <c r="CE542" s="237" t="s">
        <v>368</v>
      </c>
      <c r="CJ542" s="347">
        <v>36.1</v>
      </c>
      <c r="CK542" s="347" t="s">
        <v>325</v>
      </c>
      <c r="CL542" s="1789"/>
      <c r="CR542" s="345"/>
      <c r="CS542" s="345"/>
      <c r="CX542" s="347"/>
      <c r="CY542" s="347"/>
      <c r="DA542" s="348"/>
      <c r="DH542" s="237"/>
      <c r="DI542" s="237"/>
      <c r="DN542" s="347"/>
      <c r="DO542" s="347"/>
      <c r="DP542" s="2505"/>
      <c r="DT542" s="663"/>
      <c r="DU542" s="663"/>
      <c r="DV542" s="663"/>
      <c r="DW542" s="663"/>
      <c r="DX542" s="663"/>
      <c r="DY542" s="663"/>
      <c r="DZ542" s="663"/>
      <c r="EA542" s="663"/>
      <c r="EB542" s="663"/>
      <c r="EC542" s="663"/>
      <c r="ED542" s="663"/>
    </row>
    <row r="543" spans="6:134">
      <c r="F543" s="345">
        <v>169.06</v>
      </c>
      <c r="G543" s="345" t="s">
        <v>359</v>
      </c>
      <c r="L543" s="347">
        <v>36.090000000000003</v>
      </c>
      <c r="M543" s="347" t="s">
        <v>325</v>
      </c>
      <c r="V543" s="345">
        <v>205</v>
      </c>
      <c r="W543" s="345" t="s">
        <v>363</v>
      </c>
      <c r="AB543" s="347">
        <v>65.010000000000005</v>
      </c>
      <c r="AC543" s="347" t="s">
        <v>337</v>
      </c>
      <c r="AD543" s="1138"/>
      <c r="AJ543" s="345">
        <v>112.05</v>
      </c>
      <c r="AK543" s="345" t="s">
        <v>352</v>
      </c>
      <c r="AP543" s="347">
        <v>8</v>
      </c>
      <c r="AQ543" s="347" t="s">
        <v>323</v>
      </c>
      <c r="AZ543" s="345">
        <v>141.21</v>
      </c>
      <c r="BA543" s="345" t="s">
        <v>365</v>
      </c>
      <c r="BF543" s="347">
        <v>37</v>
      </c>
      <c r="BG543" s="347" t="s">
        <v>325</v>
      </c>
      <c r="BH543" s="1790"/>
      <c r="BI543" s="1793"/>
      <c r="BJ543" s="1329"/>
      <c r="BN543" s="345">
        <v>703.15</v>
      </c>
      <c r="BO543" s="345" t="s">
        <v>310</v>
      </c>
      <c r="BT543" s="347">
        <v>12</v>
      </c>
      <c r="BU543" s="347" t="s">
        <v>323</v>
      </c>
      <c r="BW543" s="348" t="str">
        <f t="array" ref="BW543">IFERROR(IF($BW$11="Metro",INDEX($BN$13:$BN$4972,SMALL(IF((County=$BO$13:$BO$4972),MATCH(ROW($BO$13:$BO$4972),ROW($BO$13:$BO$4972)),""),ROWS($A$13:$A543))),INDEX($BQ$13:$BQ$212,SMALL(IF((County=$BR$13:$BR$212),MATCH(ROW($BR$13:$BR$212),ROW($BR$13:$BR$212)),""),ROWS($A$13:$A543)))),"")</f>
        <v/>
      </c>
      <c r="CD543" s="237">
        <v>15.08</v>
      </c>
      <c r="CE543" s="237" t="s">
        <v>368</v>
      </c>
      <c r="CJ543" s="347">
        <v>36.11</v>
      </c>
      <c r="CK543" s="347" t="s">
        <v>325</v>
      </c>
      <c r="CL543" s="1789"/>
      <c r="CR543" s="345"/>
      <c r="CS543" s="345"/>
      <c r="CX543" s="347"/>
      <c r="CY543" s="347"/>
      <c r="DA543" s="348"/>
      <c r="DH543" s="237"/>
      <c r="DI543" s="237"/>
      <c r="DN543" s="347"/>
      <c r="DO543" s="347"/>
      <c r="DP543" s="2505"/>
      <c r="DT543" s="663"/>
      <c r="DU543" s="663"/>
      <c r="DV543" s="663"/>
      <c r="DW543" s="663"/>
      <c r="DX543" s="663"/>
      <c r="DY543" s="663"/>
      <c r="DZ543" s="663"/>
      <c r="EA543" s="663"/>
      <c r="EB543" s="663"/>
      <c r="EC543" s="663"/>
      <c r="ED543" s="663"/>
    </row>
    <row r="544" spans="6:134">
      <c r="F544" s="345">
        <v>169.07</v>
      </c>
      <c r="G544" s="345" t="s">
        <v>359</v>
      </c>
      <c r="L544" s="347">
        <v>36.1</v>
      </c>
      <c r="M544" s="347" t="s">
        <v>325</v>
      </c>
      <c r="V544" s="345">
        <v>205</v>
      </c>
      <c r="W544" s="345" t="s">
        <v>369</v>
      </c>
      <c r="AB544" s="347">
        <v>65.010000000000005</v>
      </c>
      <c r="AC544" s="347" t="s">
        <v>352</v>
      </c>
      <c r="AD544" s="1138"/>
      <c r="AJ544" s="345">
        <v>112.06</v>
      </c>
      <c r="AK544" s="345" t="s">
        <v>352</v>
      </c>
      <c r="AP544" s="347">
        <v>11</v>
      </c>
      <c r="AQ544" s="347" t="s">
        <v>323</v>
      </c>
      <c r="AZ544" s="345">
        <v>142</v>
      </c>
      <c r="BA544" s="345" t="s">
        <v>337</v>
      </c>
      <c r="BF544" s="347">
        <v>37.03</v>
      </c>
      <c r="BG544" s="347" t="s">
        <v>352</v>
      </c>
      <c r="BH544" s="1790"/>
      <c r="BI544" s="1793"/>
      <c r="BJ544" s="1329"/>
      <c r="BN544" s="345">
        <v>703.16</v>
      </c>
      <c r="BO544" s="345" t="s">
        <v>310</v>
      </c>
      <c r="BT544" s="347">
        <v>21.01</v>
      </c>
      <c r="BU544" s="347" t="s">
        <v>323</v>
      </c>
      <c r="BW544" s="348" t="str">
        <f t="array" ref="BW544">IFERROR(IF($BW$11="Metro",INDEX($BN$13:$BN$4972,SMALL(IF((County=$BO$13:$BO$4972),MATCH(ROW($BO$13:$BO$4972),ROW($BO$13:$BO$4972)),""),ROWS($A$13:$A544))),INDEX($BQ$13:$BQ$212,SMALL(IF((County=$BR$13:$BR$212),MATCH(ROW($BR$13:$BR$212),ROW($BR$13:$BR$212)),""),ROWS($A$13:$A544)))),"")</f>
        <v/>
      </c>
      <c r="CD544" s="237">
        <v>15.09</v>
      </c>
      <c r="CE544" s="237" t="s">
        <v>368</v>
      </c>
      <c r="CJ544" s="347">
        <v>36.119999999999997</v>
      </c>
      <c r="CK544" s="347" t="s">
        <v>325</v>
      </c>
      <c r="CL544" s="1789"/>
      <c r="CR544" s="345"/>
      <c r="CS544" s="345"/>
      <c r="CX544" s="347"/>
      <c r="CY544" s="347"/>
      <c r="DA544" s="348"/>
      <c r="DH544" s="237"/>
      <c r="DI544" s="237"/>
      <c r="DN544" s="347"/>
      <c r="DO544" s="347"/>
      <c r="DP544" s="2505"/>
      <c r="DT544" s="663"/>
      <c r="DU544" s="663"/>
      <c r="DV544" s="663"/>
      <c r="DW544" s="663"/>
      <c r="DX544" s="663"/>
      <c r="DY544" s="663"/>
      <c r="DZ544" s="663"/>
      <c r="EA544" s="663"/>
      <c r="EB544" s="663"/>
      <c r="EC544" s="663"/>
      <c r="ED544" s="663"/>
    </row>
    <row r="545" spans="6:134">
      <c r="F545" s="345">
        <v>173</v>
      </c>
      <c r="G545" s="345" t="s">
        <v>359</v>
      </c>
      <c r="L545" s="347">
        <v>36.11</v>
      </c>
      <c r="M545" s="347" t="s">
        <v>325</v>
      </c>
      <c r="V545" s="345">
        <v>205.01</v>
      </c>
      <c r="W545" s="345" t="s">
        <v>344</v>
      </c>
      <c r="AB545" s="347">
        <v>65.03</v>
      </c>
      <c r="AC545" s="347" t="s">
        <v>352</v>
      </c>
      <c r="AD545" s="1138"/>
      <c r="AJ545" s="345">
        <v>113.01</v>
      </c>
      <c r="AK545" s="345" t="s">
        <v>352</v>
      </c>
      <c r="AP545" s="347">
        <v>21.01</v>
      </c>
      <c r="AQ545" s="347" t="s">
        <v>323</v>
      </c>
      <c r="AZ545" s="345">
        <v>142.01</v>
      </c>
      <c r="BA545" s="345" t="s">
        <v>365</v>
      </c>
      <c r="BF545" s="347">
        <v>37.04</v>
      </c>
      <c r="BG545" s="347" t="s">
        <v>352</v>
      </c>
      <c r="BH545" s="1790"/>
      <c r="BI545" s="1793"/>
      <c r="BJ545" s="1329"/>
      <c r="BN545" s="345">
        <v>703.18</v>
      </c>
      <c r="BO545" s="345" t="s">
        <v>310</v>
      </c>
      <c r="BT545" s="347">
        <v>21.02</v>
      </c>
      <c r="BU545" s="347" t="s">
        <v>323</v>
      </c>
      <c r="BW545" s="348" t="str">
        <f t="array" ref="BW545">IFERROR(IF($BW$11="Metro",INDEX($BN$13:$BN$4972,SMALL(IF((County=$BO$13:$BO$4972),MATCH(ROW($BO$13:$BO$4972),ROW($BO$13:$BO$4972)),""),ROWS($A$13:$A545))),INDEX($BQ$13:$BQ$212,SMALL(IF((County=$BR$13:$BR$212),MATCH(ROW($BR$13:$BR$212),ROW($BR$13:$BR$212)),""),ROWS($A$13:$A545)))),"")</f>
        <v/>
      </c>
      <c r="CD545" s="237">
        <v>15.1</v>
      </c>
      <c r="CE545" s="237" t="s">
        <v>368</v>
      </c>
      <c r="CJ545" s="347">
        <v>36.130000000000003</v>
      </c>
      <c r="CK545" s="347" t="s">
        <v>325</v>
      </c>
      <c r="CL545" s="1789"/>
      <c r="CR545" s="345"/>
      <c r="CS545" s="345"/>
      <c r="CX545" s="347"/>
      <c r="CY545" s="347"/>
      <c r="DA545" s="348"/>
      <c r="DH545" s="237"/>
      <c r="DI545" s="237"/>
      <c r="DN545" s="347"/>
      <c r="DO545" s="347"/>
      <c r="DP545" s="2505"/>
      <c r="DT545" s="663"/>
      <c r="DU545" s="663"/>
      <c r="DV545" s="663"/>
      <c r="DW545" s="663"/>
      <c r="DX545" s="663"/>
      <c r="DY545" s="663"/>
      <c r="DZ545" s="663"/>
      <c r="EA545" s="663"/>
      <c r="EB545" s="663"/>
      <c r="EC545" s="663"/>
      <c r="ED545" s="663"/>
    </row>
    <row r="546" spans="6:134">
      <c r="F546" s="345">
        <v>176</v>
      </c>
      <c r="G546" s="345" t="s">
        <v>359</v>
      </c>
      <c r="L546" s="347">
        <v>36.119999999999997</v>
      </c>
      <c r="M546" s="347" t="s">
        <v>325</v>
      </c>
      <c r="V546" s="345">
        <v>206</v>
      </c>
      <c r="W546" s="345" t="s">
        <v>363</v>
      </c>
      <c r="AB546" s="347">
        <v>65.040000000000006</v>
      </c>
      <c r="AC546" s="347" t="s">
        <v>352</v>
      </c>
      <c r="AD546" s="1138"/>
      <c r="AJ546" s="345">
        <v>113.02</v>
      </c>
      <c r="AK546" s="345" t="s">
        <v>352</v>
      </c>
      <c r="AP546" s="347">
        <v>21.02</v>
      </c>
      <c r="AQ546" s="347" t="s">
        <v>323</v>
      </c>
      <c r="AZ546" s="345">
        <v>142.03</v>
      </c>
      <c r="BA546" s="345" t="s">
        <v>365</v>
      </c>
      <c r="BF546" s="347">
        <v>37.049999999999997</v>
      </c>
      <c r="BG546" s="347" t="s">
        <v>352</v>
      </c>
      <c r="BH546" s="1790"/>
      <c r="BI546" s="1793"/>
      <c r="BJ546" s="1329"/>
      <c r="BN546" s="345">
        <v>703.19</v>
      </c>
      <c r="BO546" s="345" t="s">
        <v>310</v>
      </c>
      <c r="BT546" s="347">
        <v>22</v>
      </c>
      <c r="BU546" s="347" t="s">
        <v>323</v>
      </c>
      <c r="BW546" s="348" t="str">
        <f t="array" ref="BW546">IFERROR(IF($BW$11="Metro",INDEX($BN$13:$BN$4972,SMALL(IF((County=$BO$13:$BO$4972),MATCH(ROW($BO$13:$BO$4972),ROW($BO$13:$BO$4972)),""),ROWS($A$13:$A546))),INDEX($BQ$13:$BQ$212,SMALL(IF((County=$BR$13:$BR$212),MATCH(ROW($BR$13:$BR$212),ROW($BR$13:$BR$212)),""),ROWS($A$13:$A546)))),"")</f>
        <v/>
      </c>
      <c r="CD546" s="237">
        <v>15.11</v>
      </c>
      <c r="CE546" s="237" t="s">
        <v>368</v>
      </c>
      <c r="CJ546" s="347">
        <v>37</v>
      </c>
      <c r="CK546" s="347" t="s">
        <v>325</v>
      </c>
      <c r="CL546" s="1789"/>
      <c r="CR546" s="345"/>
      <c r="CS546" s="345"/>
      <c r="CX546" s="347"/>
      <c r="CY546" s="347"/>
      <c r="DA546" s="348"/>
      <c r="DH546" s="237"/>
      <c r="DI546" s="237"/>
      <c r="DN546" s="347"/>
      <c r="DO546" s="347"/>
      <c r="DP546" s="2505"/>
      <c r="DT546" s="663"/>
      <c r="DU546" s="663"/>
      <c r="DV546" s="663"/>
      <c r="DW546" s="663"/>
      <c r="DX546" s="663"/>
      <c r="DY546" s="663"/>
      <c r="DZ546" s="663"/>
      <c r="EA546" s="663"/>
      <c r="EB546" s="663"/>
      <c r="EC546" s="663"/>
      <c r="ED546" s="663"/>
    </row>
    <row r="547" spans="6:134">
      <c r="F547" s="345">
        <v>180</v>
      </c>
      <c r="G547" s="345" t="s">
        <v>359</v>
      </c>
      <c r="L547" s="347">
        <v>36.130000000000003</v>
      </c>
      <c r="M547" s="347" t="s">
        <v>325</v>
      </c>
      <c r="V547" s="345">
        <v>207</v>
      </c>
      <c r="W547" s="345" t="s">
        <v>315</v>
      </c>
      <c r="AB547" s="347">
        <v>66</v>
      </c>
      <c r="AC547" s="347" t="s">
        <v>337</v>
      </c>
      <c r="AD547" s="1138"/>
      <c r="AJ547" s="345">
        <v>114.05</v>
      </c>
      <c r="AK547" s="345" t="s">
        <v>352</v>
      </c>
      <c r="AP547" s="347">
        <v>22</v>
      </c>
      <c r="AQ547" s="347" t="s">
        <v>323</v>
      </c>
      <c r="AZ547" s="345">
        <v>143.01</v>
      </c>
      <c r="BA547" s="345" t="s">
        <v>365</v>
      </c>
      <c r="BF547" s="347">
        <v>37.07</v>
      </c>
      <c r="BG547" s="347" t="s">
        <v>352</v>
      </c>
      <c r="BH547" s="1790"/>
      <c r="BI547" s="1794"/>
      <c r="BJ547" s="1345"/>
      <c r="BN547" s="345">
        <v>703.2</v>
      </c>
      <c r="BO547" s="345" t="s">
        <v>310</v>
      </c>
      <c r="BT547" s="347">
        <v>23</v>
      </c>
      <c r="BU547" s="347" t="s">
        <v>323</v>
      </c>
      <c r="BW547" s="348" t="str">
        <f t="array" ref="BW547">IFERROR(IF($BW$11="Metro",INDEX($BN$13:$BN$4972,SMALL(IF((County=$BO$13:$BO$4972),MATCH(ROW($BO$13:$BO$4972),ROW($BO$13:$BO$4972)),""),ROWS($A$13:$A547))),INDEX($BQ$13:$BQ$212,SMALL(IF((County=$BR$13:$BR$212),MATCH(ROW($BR$13:$BR$212),ROW($BR$13:$BR$212)),""),ROWS($A$13:$A547)))),"")</f>
        <v/>
      </c>
      <c r="CD547" s="345">
        <v>15.14</v>
      </c>
      <c r="CE547" s="345" t="s">
        <v>297</v>
      </c>
      <c r="CJ547" s="347">
        <v>37.03</v>
      </c>
      <c r="CK547" s="347" t="s">
        <v>352</v>
      </c>
      <c r="CL547" s="1789"/>
      <c r="CR547" s="345"/>
      <c r="CS547" s="345"/>
      <c r="CX547" s="347"/>
      <c r="CY547" s="347"/>
      <c r="DA547" s="348"/>
      <c r="DH547" s="237"/>
      <c r="DI547" s="237"/>
      <c r="DN547" s="347"/>
      <c r="DO547" s="347"/>
      <c r="DP547" s="2505"/>
      <c r="DT547" s="663"/>
      <c r="DU547" s="663"/>
      <c r="DV547" s="663"/>
      <c r="DW547" s="663"/>
      <c r="DX547" s="663"/>
      <c r="DY547" s="663"/>
      <c r="DZ547" s="663"/>
      <c r="EA547" s="663"/>
      <c r="EB547" s="663"/>
      <c r="EC547" s="663"/>
      <c r="ED547" s="663"/>
    </row>
    <row r="548" spans="6:134">
      <c r="F548" s="345">
        <v>185</v>
      </c>
      <c r="G548" s="345" t="s">
        <v>359</v>
      </c>
      <c r="L548" s="347">
        <v>36.14</v>
      </c>
      <c r="M548" s="347" t="s">
        <v>325</v>
      </c>
      <c r="V548" s="345">
        <v>207</v>
      </c>
      <c r="W548" s="345" t="s">
        <v>363</v>
      </c>
      <c r="AB548" s="347">
        <v>66.010000000000005</v>
      </c>
      <c r="AC548" s="347" t="s">
        <v>352</v>
      </c>
      <c r="AD548" s="1138"/>
      <c r="AJ548" s="345">
        <v>114.06</v>
      </c>
      <c r="AK548" s="345" t="s">
        <v>352</v>
      </c>
      <c r="AP548" s="347">
        <v>23</v>
      </c>
      <c r="AQ548" s="347" t="s">
        <v>323</v>
      </c>
      <c r="AZ548" s="345">
        <v>143.02000000000001</v>
      </c>
      <c r="BA548" s="345" t="s">
        <v>359</v>
      </c>
      <c r="BF548" s="347">
        <v>37.08</v>
      </c>
      <c r="BG548" s="347" t="s">
        <v>352</v>
      </c>
      <c r="BH548" s="1790"/>
      <c r="BI548" s="1793"/>
      <c r="BJ548" s="1329"/>
      <c r="BN548" s="345">
        <v>703.21</v>
      </c>
      <c r="BO548" s="345" t="s">
        <v>310</v>
      </c>
      <c r="BT548" s="347">
        <v>24</v>
      </c>
      <c r="BU548" s="347" t="s">
        <v>323</v>
      </c>
      <c r="BW548" s="348" t="str">
        <f t="array" ref="BW548">IFERROR(IF($BW$11="Metro",INDEX($BN$13:$BN$4972,SMALL(IF((County=$BO$13:$BO$4972),MATCH(ROW($BO$13:$BO$4972),ROW($BO$13:$BO$4972)),""),ROWS($A$13:$A548))),INDEX($BQ$13:$BQ$212,SMALL(IF((County=$BR$13:$BR$212),MATCH(ROW($BR$13:$BR$212),ROW($BR$13:$BR$212)),""),ROWS($A$13:$A548)))),"")</f>
        <v/>
      </c>
      <c r="CD548" s="345">
        <v>15.15</v>
      </c>
      <c r="CE548" s="345" t="s">
        <v>297</v>
      </c>
      <c r="CJ548" s="347">
        <v>37.04</v>
      </c>
      <c r="CK548" s="347" t="s">
        <v>352</v>
      </c>
      <c r="CL548" s="1789"/>
      <c r="CR548" s="345"/>
      <c r="CS548" s="345"/>
      <c r="CX548" s="347"/>
      <c r="CY548" s="347"/>
      <c r="DA548" s="348"/>
      <c r="DH548" s="237"/>
      <c r="DI548" s="237"/>
      <c r="DN548" s="347"/>
      <c r="DO548" s="347"/>
      <c r="DP548" s="2505"/>
      <c r="DT548" s="663"/>
      <c r="DU548" s="663"/>
      <c r="DV548" s="663"/>
      <c r="DW548" s="663"/>
      <c r="DX548" s="663"/>
      <c r="DY548" s="663"/>
      <c r="DZ548" s="663"/>
      <c r="EA548" s="663"/>
      <c r="EB548" s="663"/>
      <c r="EC548" s="663"/>
      <c r="ED548" s="663"/>
    </row>
    <row r="549" spans="6:134">
      <c r="F549" s="345">
        <v>187</v>
      </c>
      <c r="G549" s="345" t="s">
        <v>359</v>
      </c>
      <c r="L549" s="347">
        <v>37</v>
      </c>
      <c r="M549" s="347" t="s">
        <v>325</v>
      </c>
      <c r="V549" s="345">
        <v>207.01</v>
      </c>
      <c r="W549" s="345" t="s">
        <v>328</v>
      </c>
      <c r="AB549" s="347">
        <v>66.02</v>
      </c>
      <c r="AC549" s="347" t="s">
        <v>352</v>
      </c>
      <c r="AD549" s="1138"/>
      <c r="AJ549" s="345">
        <v>114.07</v>
      </c>
      <c r="AK549" s="345" t="s">
        <v>352</v>
      </c>
      <c r="AP549" s="347">
        <v>24</v>
      </c>
      <c r="AQ549" s="347" t="s">
        <v>323</v>
      </c>
      <c r="AZ549" s="345">
        <v>143.11000000000001</v>
      </c>
      <c r="BA549" s="345" t="s">
        <v>323</v>
      </c>
      <c r="BF549" s="347">
        <v>37.090000000000003</v>
      </c>
      <c r="BG549" s="347" t="s">
        <v>352</v>
      </c>
      <c r="BH549" s="1790"/>
      <c r="BI549" s="1793"/>
      <c r="BJ549" s="1329"/>
      <c r="BN549" s="345">
        <v>703.23</v>
      </c>
      <c r="BO549" s="345" t="s">
        <v>310</v>
      </c>
      <c r="BT549" s="347">
        <v>25.02</v>
      </c>
      <c r="BU549" s="347" t="s">
        <v>323</v>
      </c>
      <c r="BW549" s="348" t="str">
        <f t="array" ref="BW549">IFERROR(IF($BW$11="Metro",INDEX($BN$13:$BN$4972,SMALL(IF((County=$BO$13:$BO$4972),MATCH(ROW($BO$13:$BO$4972),ROW($BO$13:$BO$4972)),""),ROWS($A$13:$A549))),INDEX($BQ$13:$BQ$212,SMALL(IF((County=$BR$13:$BR$212),MATCH(ROW($BR$13:$BR$212),ROW($BR$13:$BR$212)),""),ROWS($A$13:$A549)))),"")</f>
        <v/>
      </c>
      <c r="CD549" s="345">
        <v>15.16</v>
      </c>
      <c r="CE549" s="345" t="s">
        <v>297</v>
      </c>
      <c r="CJ549" s="347">
        <v>37.049999999999997</v>
      </c>
      <c r="CK549" s="347" t="s">
        <v>352</v>
      </c>
      <c r="CL549" s="1789"/>
      <c r="CR549" s="345"/>
      <c r="CS549" s="345"/>
      <c r="CX549" s="347"/>
      <c r="CY549" s="347"/>
      <c r="DA549" s="348"/>
      <c r="DH549" s="237"/>
      <c r="DI549" s="237"/>
      <c r="DN549" s="347"/>
      <c r="DO549" s="347"/>
      <c r="DP549" s="2505"/>
      <c r="DT549" s="663"/>
      <c r="DU549" s="663"/>
      <c r="DV549" s="663"/>
      <c r="DW549" s="663"/>
      <c r="DX549" s="663"/>
      <c r="DY549" s="663"/>
      <c r="DZ549" s="663"/>
      <c r="EA549" s="663"/>
      <c r="EB549" s="663"/>
      <c r="EC549" s="663"/>
      <c r="ED549" s="663"/>
    </row>
    <row r="550" spans="6:134">
      <c r="F550" s="345">
        <v>189</v>
      </c>
      <c r="G550" s="345" t="s">
        <v>359</v>
      </c>
      <c r="L550" s="347">
        <v>39</v>
      </c>
      <c r="M550" s="347" t="s">
        <v>325</v>
      </c>
      <c r="V550" s="345">
        <v>207.02</v>
      </c>
      <c r="W550" s="345" t="s">
        <v>328</v>
      </c>
      <c r="AB550" s="347">
        <v>66.02</v>
      </c>
      <c r="AC550" s="347" t="s">
        <v>361</v>
      </c>
      <c r="AD550" s="1138"/>
      <c r="AJ550" s="345">
        <v>114.08</v>
      </c>
      <c r="AK550" s="345" t="s">
        <v>352</v>
      </c>
      <c r="AP550" s="347">
        <v>25.02</v>
      </c>
      <c r="AQ550" s="347" t="s">
        <v>323</v>
      </c>
      <c r="AZ550" s="345">
        <v>145.02000000000001</v>
      </c>
      <c r="BA550" s="345" t="s">
        <v>359</v>
      </c>
      <c r="BF550" s="347">
        <v>37.1</v>
      </c>
      <c r="BG550" s="347" t="s">
        <v>352</v>
      </c>
      <c r="BH550" s="1790"/>
      <c r="BI550" s="1793"/>
      <c r="BJ550" s="1329"/>
      <c r="BN550" s="345">
        <v>703.24</v>
      </c>
      <c r="BO550" s="345" t="s">
        <v>310</v>
      </c>
      <c r="BT550" s="347">
        <v>101.01</v>
      </c>
      <c r="BU550" s="347" t="s">
        <v>323</v>
      </c>
      <c r="BW550" s="348" t="str">
        <f t="array" ref="BW550">IFERROR(IF($BW$11="Metro",INDEX($BN$13:$BN$4972,SMALL(IF((County=$BO$13:$BO$4972),MATCH(ROW($BO$13:$BO$4972),ROW($BO$13:$BO$4972)),""),ROWS($A$13:$A550))),INDEX($BQ$13:$BQ$212,SMALL(IF((County=$BR$13:$BR$212),MATCH(ROW($BR$13:$BR$212),ROW($BR$13:$BR$212)),""),ROWS($A$13:$A550)))),"")</f>
        <v/>
      </c>
      <c r="CD550" s="345">
        <v>15.17</v>
      </c>
      <c r="CE550" s="345" t="s">
        <v>297</v>
      </c>
      <c r="CJ550" s="347">
        <v>37.06</v>
      </c>
      <c r="CK550" s="347" t="s">
        <v>352</v>
      </c>
      <c r="CL550" s="1789"/>
      <c r="CR550" s="345"/>
      <c r="CS550" s="345"/>
      <c r="CX550" s="347"/>
      <c r="CY550" s="347"/>
      <c r="DA550" s="348"/>
      <c r="DH550" s="237"/>
      <c r="DI550" s="237"/>
      <c r="DN550" s="347"/>
      <c r="DO550" s="347"/>
      <c r="DP550" s="2505"/>
      <c r="DT550" s="663"/>
      <c r="DU550" s="663"/>
      <c r="DV550" s="663"/>
      <c r="DW550" s="663"/>
      <c r="DX550" s="663"/>
      <c r="DY550" s="663"/>
      <c r="DZ550" s="663"/>
      <c r="EA550" s="663"/>
      <c r="EB550" s="663"/>
      <c r="EC550" s="663"/>
      <c r="ED550" s="663"/>
    </row>
    <row r="551" spans="6:134">
      <c r="F551" s="345">
        <v>409.02</v>
      </c>
      <c r="G551" s="345" t="s">
        <v>360</v>
      </c>
      <c r="L551" s="347">
        <v>601.03</v>
      </c>
      <c r="M551" s="347" t="s">
        <v>326</v>
      </c>
      <c r="V551" s="345">
        <v>208</v>
      </c>
      <c r="W551" s="345" t="s">
        <v>344</v>
      </c>
      <c r="AB551" s="347">
        <v>66.03</v>
      </c>
      <c r="AC551" s="347" t="s">
        <v>361</v>
      </c>
      <c r="AD551" s="1138"/>
      <c r="AJ551" s="345">
        <v>117.01</v>
      </c>
      <c r="AK551" s="345" t="s">
        <v>352</v>
      </c>
      <c r="AP551" s="347">
        <v>101.01</v>
      </c>
      <c r="AQ551" s="347" t="s">
        <v>323</v>
      </c>
      <c r="AZ551" s="345">
        <v>145.02000000000001</v>
      </c>
      <c r="BA551" s="345" t="s">
        <v>365</v>
      </c>
      <c r="BF551" s="347">
        <v>38</v>
      </c>
      <c r="BG551" s="347" t="s">
        <v>325</v>
      </c>
      <c r="BH551" s="1790"/>
      <c r="BI551" s="1793"/>
      <c r="BJ551" s="1329"/>
      <c r="BN551" s="345">
        <v>703.25</v>
      </c>
      <c r="BO551" s="345" t="s">
        <v>310</v>
      </c>
      <c r="BT551" s="347">
        <v>101.04</v>
      </c>
      <c r="BU551" s="347" t="s">
        <v>323</v>
      </c>
      <c r="BW551" s="348" t="str">
        <f t="array" ref="BW551">IFERROR(IF($BW$11="Metro",INDEX($BN$13:$BN$4972,SMALL(IF((County=$BO$13:$BO$4972),MATCH(ROW($BO$13:$BO$4972),ROW($BO$13:$BO$4972)),""),ROWS($A$13:$A551))),INDEX($BQ$13:$BQ$212,SMALL(IF((County=$BR$13:$BR$212),MATCH(ROW($BR$13:$BR$212),ROW($BR$13:$BR$212)),""),ROWS($A$13:$A551)))),"")</f>
        <v/>
      </c>
      <c r="CD551" s="345">
        <v>15.19</v>
      </c>
      <c r="CE551" s="345" t="s">
        <v>297</v>
      </c>
      <c r="CJ551" s="347">
        <v>37.07</v>
      </c>
      <c r="CK551" s="347" t="s">
        <v>352</v>
      </c>
      <c r="CL551" s="1789"/>
      <c r="CR551" s="345"/>
      <c r="CS551" s="345"/>
      <c r="CX551" s="347"/>
      <c r="CY551" s="347"/>
      <c r="DA551" s="348"/>
      <c r="DH551" s="237"/>
      <c r="DI551" s="237"/>
      <c r="DN551" s="347"/>
      <c r="DO551" s="347"/>
      <c r="DP551" s="2505"/>
      <c r="DT551" s="663"/>
      <c r="DU551" s="663"/>
      <c r="DV551" s="663"/>
      <c r="DW551" s="663"/>
      <c r="DX551" s="663"/>
      <c r="DY551" s="663"/>
      <c r="DZ551" s="663"/>
      <c r="EA551" s="663"/>
      <c r="EB551" s="663"/>
      <c r="EC551" s="663"/>
      <c r="ED551" s="663"/>
    </row>
    <row r="552" spans="6:134">
      <c r="F552" s="345">
        <v>416</v>
      </c>
      <c r="G552" s="345" t="s">
        <v>360</v>
      </c>
      <c r="L552" s="347">
        <v>601.04999999999995</v>
      </c>
      <c r="M552" s="347" t="s">
        <v>326</v>
      </c>
      <c r="V552" s="345">
        <v>208</v>
      </c>
      <c r="W552" s="345" t="s">
        <v>363</v>
      </c>
      <c r="AB552" s="347">
        <v>66.05</v>
      </c>
      <c r="AC552" s="347" t="s">
        <v>361</v>
      </c>
      <c r="AD552" s="1138"/>
      <c r="AJ552" s="345">
        <v>117.02</v>
      </c>
      <c r="AK552" s="345" t="s">
        <v>352</v>
      </c>
      <c r="AP552" s="347">
        <v>101.04</v>
      </c>
      <c r="AQ552" s="347" t="s">
        <v>323</v>
      </c>
      <c r="AZ552" s="345">
        <v>145.03</v>
      </c>
      <c r="BA552" s="345" t="s">
        <v>359</v>
      </c>
      <c r="BF552" s="347">
        <v>38.01</v>
      </c>
      <c r="BG552" s="347" t="s">
        <v>352</v>
      </c>
      <c r="BH552" s="1790"/>
      <c r="BI552" s="1793"/>
      <c r="BJ552" s="1329"/>
      <c r="BN552" s="345">
        <v>703.26</v>
      </c>
      <c r="BO552" s="345" t="s">
        <v>310</v>
      </c>
      <c r="BT552" s="347">
        <v>101.05</v>
      </c>
      <c r="BU552" s="347" t="s">
        <v>323</v>
      </c>
      <c r="BW552" s="348" t="str">
        <f t="array" ref="BW552">IFERROR(IF($BW$11="Metro",INDEX($BN$13:$BN$4972,SMALL(IF((County=$BO$13:$BO$4972),MATCH(ROW($BO$13:$BO$4972),ROW($BO$13:$BO$4972)),""),ROWS($A$13:$A552))),INDEX($BQ$13:$BQ$212,SMALL(IF((County=$BR$13:$BR$212),MATCH(ROW($BR$13:$BR$212),ROW($BR$13:$BR$212)),""),ROWS($A$13:$A552)))),"")</f>
        <v/>
      </c>
      <c r="CD552" s="345">
        <v>15.22</v>
      </c>
      <c r="CE552" s="345" t="s">
        <v>297</v>
      </c>
      <c r="CJ552" s="347">
        <v>37.08</v>
      </c>
      <c r="CK552" s="347" t="s">
        <v>352</v>
      </c>
      <c r="CL552" s="1789"/>
      <c r="CR552" s="345"/>
      <c r="CS552" s="345"/>
      <c r="CX552" s="347"/>
      <c r="CY552" s="347"/>
      <c r="DA552" s="348"/>
      <c r="DH552" s="237"/>
      <c r="DI552" s="237"/>
      <c r="DN552" s="347"/>
      <c r="DO552" s="347"/>
      <c r="DP552" s="2505"/>
      <c r="DT552" s="663"/>
      <c r="DU552" s="663"/>
      <c r="DV552" s="663"/>
      <c r="DW552" s="663"/>
      <c r="DX552" s="663"/>
      <c r="DY552" s="663"/>
      <c r="DZ552" s="663"/>
      <c r="EA552" s="663"/>
      <c r="EB552" s="663"/>
      <c r="EC552" s="663"/>
      <c r="ED552" s="663"/>
    </row>
    <row r="553" spans="6:134">
      <c r="F553" s="345">
        <v>417</v>
      </c>
      <c r="G553" s="345" t="s">
        <v>360</v>
      </c>
      <c r="L553" s="347">
        <v>601.05999999999995</v>
      </c>
      <c r="M553" s="347" t="s">
        <v>326</v>
      </c>
      <c r="V553" s="345">
        <v>210.02</v>
      </c>
      <c r="W553" s="345" t="s">
        <v>370</v>
      </c>
      <c r="AB553" s="347">
        <v>67</v>
      </c>
      <c r="AC553" s="347" t="s">
        <v>337</v>
      </c>
      <c r="AD553" s="1138"/>
      <c r="AJ553" s="345">
        <v>120.01</v>
      </c>
      <c r="AK553" s="345" t="s">
        <v>352</v>
      </c>
      <c r="AP553" s="347">
        <v>101.05</v>
      </c>
      <c r="AQ553" s="347" t="s">
        <v>323</v>
      </c>
      <c r="AZ553" s="345">
        <v>146.01</v>
      </c>
      <c r="BA553" s="345" t="s">
        <v>352</v>
      </c>
      <c r="BF553" s="347">
        <v>38.020000000000003</v>
      </c>
      <c r="BG553" s="347" t="s">
        <v>361</v>
      </c>
      <c r="BH553" s="1790"/>
      <c r="BI553" s="1793"/>
      <c r="BJ553" s="1329"/>
      <c r="BN553" s="345">
        <v>703.27</v>
      </c>
      <c r="BO553" s="345" t="s">
        <v>310</v>
      </c>
      <c r="BT553" s="347">
        <v>101.06</v>
      </c>
      <c r="BU553" s="347" t="s">
        <v>323</v>
      </c>
      <c r="BW553" s="348" t="str">
        <f t="array" ref="BW553">IFERROR(IF($BW$11="Metro",INDEX($BN$13:$BN$4972,SMALL(IF((County=$BO$13:$BO$4972),MATCH(ROW($BO$13:$BO$4972),ROW($BO$13:$BO$4972)),""),ROWS($A$13:$A553))),INDEX($BQ$13:$BQ$212,SMALL(IF((County=$BR$13:$BR$212),MATCH(ROW($BR$13:$BR$212),ROW($BR$13:$BR$212)),""),ROWS($A$13:$A553)))),"")</f>
        <v/>
      </c>
      <c r="CD553" s="345">
        <v>16</v>
      </c>
      <c r="CE553" s="345" t="s">
        <v>306</v>
      </c>
      <c r="CJ553" s="347">
        <v>37.090000000000003</v>
      </c>
      <c r="CK553" s="347" t="s">
        <v>352</v>
      </c>
      <c r="CL553" s="1789"/>
      <c r="CR553" s="345"/>
      <c r="CS553" s="345"/>
      <c r="CX553" s="347"/>
      <c r="CY553" s="347"/>
      <c r="DA553" s="348"/>
      <c r="DH553" s="237"/>
      <c r="DI553" s="237"/>
      <c r="DN553" s="347"/>
      <c r="DO553" s="347"/>
      <c r="DP553" s="2505"/>
      <c r="DT553" s="663"/>
      <c r="DU553" s="663"/>
      <c r="DV553" s="663"/>
      <c r="DW553" s="663"/>
      <c r="DX553" s="663"/>
      <c r="DY553" s="663"/>
      <c r="DZ553" s="663"/>
      <c r="EA553" s="663"/>
      <c r="EB553" s="663"/>
      <c r="EC553" s="663"/>
      <c r="ED553" s="663"/>
    </row>
    <row r="554" spans="6:134">
      <c r="F554" s="345">
        <v>418</v>
      </c>
      <c r="G554" s="345" t="s">
        <v>360</v>
      </c>
      <c r="L554" s="347">
        <v>602.04</v>
      </c>
      <c r="M554" s="347" t="s">
        <v>326</v>
      </c>
      <c r="V554" s="345">
        <v>212</v>
      </c>
      <c r="W554" s="345" t="s">
        <v>363</v>
      </c>
      <c r="AB554" s="347">
        <v>67.02</v>
      </c>
      <c r="AC554" s="347" t="s">
        <v>352</v>
      </c>
      <c r="AD554" s="1138"/>
      <c r="AJ554" s="345">
        <v>120.02</v>
      </c>
      <c r="AK554" s="345" t="s">
        <v>352</v>
      </c>
      <c r="AP554" s="347">
        <v>101.06</v>
      </c>
      <c r="AQ554" s="347" t="s">
        <v>323</v>
      </c>
      <c r="AZ554" s="345">
        <v>146.01</v>
      </c>
      <c r="BA554" s="345" t="s">
        <v>359</v>
      </c>
      <c r="BF554" s="347">
        <v>38.03</v>
      </c>
      <c r="BG554" s="347" t="s">
        <v>352</v>
      </c>
      <c r="BH554" s="1790"/>
      <c r="BI554" s="1793"/>
      <c r="BJ554" s="1329"/>
      <c r="BN554" s="345">
        <v>703.28</v>
      </c>
      <c r="BO554" s="345" t="s">
        <v>310</v>
      </c>
      <c r="BT554" s="347">
        <v>101.07</v>
      </c>
      <c r="BU554" s="347" t="s">
        <v>323</v>
      </c>
      <c r="BW554" s="348" t="str">
        <f t="array" ref="BW554">IFERROR(IF($BW$11="Metro",INDEX($BN$13:$BN$4972,SMALL(IF((County=$BO$13:$BO$4972),MATCH(ROW($BO$13:$BO$4972),ROW($BO$13:$BO$4972)),""),ROWS($A$13:$A554))),INDEX($BQ$13:$BQ$212,SMALL(IF((County=$BR$13:$BR$212),MATCH(ROW($BR$13:$BR$212),ROW($BR$13:$BR$212)),""),ROWS($A$13:$A554)))),"")</f>
        <v/>
      </c>
      <c r="CD554" s="237">
        <v>16</v>
      </c>
      <c r="CE554" s="237" t="s">
        <v>323</v>
      </c>
      <c r="CJ554" s="347">
        <v>37.1</v>
      </c>
      <c r="CK554" s="347" t="s">
        <v>352</v>
      </c>
      <c r="CL554" s="1789"/>
      <c r="CR554" s="345"/>
      <c r="CS554" s="345"/>
      <c r="CX554" s="347"/>
      <c r="CY554" s="347"/>
      <c r="DA554" s="348"/>
      <c r="DH554" s="237"/>
      <c r="DI554" s="237"/>
      <c r="DN554" s="347"/>
      <c r="DO554" s="347"/>
      <c r="DP554" s="2505"/>
      <c r="DT554" s="663"/>
      <c r="DU554" s="663"/>
      <c r="DV554" s="663"/>
      <c r="DW554" s="663"/>
      <c r="DX554" s="663"/>
      <c r="DY554" s="663"/>
      <c r="DZ554" s="663"/>
      <c r="EA554" s="663"/>
      <c r="EB554" s="663"/>
      <c r="EC554" s="663"/>
      <c r="ED554" s="663"/>
    </row>
    <row r="555" spans="6:134">
      <c r="F555" s="345">
        <v>419</v>
      </c>
      <c r="G555" s="345" t="s">
        <v>360</v>
      </c>
      <c r="L555" s="347">
        <v>602.04999999999995</v>
      </c>
      <c r="M555" s="347" t="s">
        <v>326</v>
      </c>
      <c r="V555" s="345">
        <v>216</v>
      </c>
      <c r="W555" s="345" t="s">
        <v>363</v>
      </c>
      <c r="AB555" s="347">
        <v>67.05</v>
      </c>
      <c r="AC555" s="347" t="s">
        <v>352</v>
      </c>
      <c r="AD555" s="1138"/>
      <c r="AJ555" s="345">
        <v>134</v>
      </c>
      <c r="AK555" s="345" t="s">
        <v>352</v>
      </c>
      <c r="AP555" s="347">
        <v>101.07</v>
      </c>
      <c r="AQ555" s="347" t="s">
        <v>323</v>
      </c>
      <c r="AZ555" s="345">
        <v>146.05000000000001</v>
      </c>
      <c r="BA555" s="345" t="s">
        <v>359</v>
      </c>
      <c r="BF555" s="347">
        <v>38.04</v>
      </c>
      <c r="BG555" s="347" t="s">
        <v>352</v>
      </c>
      <c r="BH555" s="1790"/>
      <c r="BI555" s="1793"/>
      <c r="BJ555" s="1329"/>
      <c r="BN555" s="345">
        <v>703.29</v>
      </c>
      <c r="BO555" s="345" t="s">
        <v>310</v>
      </c>
      <c r="BT555" s="347">
        <v>102.04</v>
      </c>
      <c r="BU555" s="347" t="s">
        <v>323</v>
      </c>
      <c r="BW555" s="348" t="str">
        <f t="array" ref="BW555">IFERROR(IF($BW$11="Metro",INDEX($BN$13:$BN$4972,SMALL(IF((County=$BO$13:$BO$4972),MATCH(ROW($BO$13:$BO$4972),ROW($BO$13:$BO$4972)),""),ROWS($A$13:$A555))),INDEX($BQ$13:$BQ$212,SMALL(IF((County=$BR$13:$BR$212),MATCH(ROW($BR$13:$BR$212),ROW($BR$13:$BR$212)),""),ROWS($A$13:$A555)))),"")</f>
        <v/>
      </c>
      <c r="CD555" s="237">
        <v>16</v>
      </c>
      <c r="CE555" s="237" t="s">
        <v>325</v>
      </c>
      <c r="CJ555" s="347">
        <v>38.01</v>
      </c>
      <c r="CK555" s="347" t="s">
        <v>352</v>
      </c>
      <c r="CL555" s="1789"/>
      <c r="CR555" s="345"/>
      <c r="CS555" s="345"/>
      <c r="CX555" s="347"/>
      <c r="CY555" s="347"/>
      <c r="DA555" s="348"/>
      <c r="DH555" s="237"/>
      <c r="DI555" s="237"/>
      <c r="DN555" s="347"/>
      <c r="DO555" s="347"/>
      <c r="DP555" s="2505"/>
      <c r="DT555" s="663"/>
      <c r="DU555" s="663"/>
      <c r="DV555" s="663"/>
      <c r="DW555" s="663"/>
      <c r="DX555" s="663"/>
      <c r="DY555" s="663"/>
      <c r="DZ555" s="663"/>
      <c r="EA555" s="663"/>
      <c r="EB555" s="663"/>
      <c r="EC555" s="663"/>
      <c r="ED555" s="663"/>
    </row>
    <row r="556" spans="6:134">
      <c r="F556" s="345">
        <v>420</v>
      </c>
      <c r="G556" s="345" t="s">
        <v>360</v>
      </c>
      <c r="L556" s="347">
        <v>602.07000000000005</v>
      </c>
      <c r="M556" s="347" t="s">
        <v>326</v>
      </c>
      <c r="V556" s="345">
        <v>220</v>
      </c>
      <c r="W556" s="345" t="s">
        <v>363</v>
      </c>
      <c r="AB556" s="347">
        <v>67.06</v>
      </c>
      <c r="AC556" s="347" t="s">
        <v>352</v>
      </c>
      <c r="AD556" s="1138"/>
      <c r="AJ556" s="345">
        <v>135</v>
      </c>
      <c r="AK556" s="345" t="s">
        <v>352</v>
      </c>
      <c r="AP556" s="347">
        <v>102.02</v>
      </c>
      <c r="AQ556" s="347" t="s">
        <v>323</v>
      </c>
      <c r="AZ556" s="345">
        <v>146.06</v>
      </c>
      <c r="BA556" s="345" t="s">
        <v>359</v>
      </c>
      <c r="BF556" s="347">
        <v>39.06</v>
      </c>
      <c r="BG556" s="347" t="s">
        <v>352</v>
      </c>
      <c r="BH556" s="1790"/>
      <c r="BI556" s="1793"/>
      <c r="BJ556" s="1329"/>
      <c r="BN556" s="345">
        <v>703.3</v>
      </c>
      <c r="BO556" s="345" t="s">
        <v>310</v>
      </c>
      <c r="BT556" s="347">
        <v>103.01</v>
      </c>
      <c r="BU556" s="347" t="s">
        <v>323</v>
      </c>
      <c r="BW556" s="348" t="str">
        <f t="array" ref="BW556">IFERROR(IF($BW$11="Metro",INDEX($BN$13:$BN$4972,SMALL(IF((County=$BO$13:$BO$4972),MATCH(ROW($BO$13:$BO$4972),ROW($BO$13:$BO$4972)),""),ROWS($A$13:$A556))),INDEX($BQ$13:$BQ$212,SMALL(IF((County=$BR$13:$BR$212),MATCH(ROW($BR$13:$BR$212),ROW($BR$13:$BR$212)),""),ROWS($A$13:$A556)))),"")</f>
        <v/>
      </c>
      <c r="CD556" s="237">
        <v>16</v>
      </c>
      <c r="CE556" s="237" t="s">
        <v>337</v>
      </c>
      <c r="CJ556" s="347">
        <v>38.03</v>
      </c>
      <c r="CK556" s="347" t="s">
        <v>352</v>
      </c>
      <c r="CL556" s="1789"/>
      <c r="CR556" s="345"/>
      <c r="CS556" s="345"/>
      <c r="CX556" s="347"/>
      <c r="CY556" s="347"/>
      <c r="DA556" s="348"/>
      <c r="DH556" s="237"/>
      <c r="DI556" s="237"/>
      <c r="DN556" s="347"/>
      <c r="DO556" s="347"/>
      <c r="DP556" s="2505"/>
      <c r="DT556" s="663"/>
      <c r="DU556" s="663"/>
      <c r="DV556" s="663"/>
      <c r="DW556" s="663"/>
      <c r="DX556" s="663"/>
      <c r="DY556" s="663"/>
      <c r="DZ556" s="663"/>
      <c r="EA556" s="663"/>
      <c r="EB556" s="663"/>
      <c r="EC556" s="663"/>
      <c r="ED556" s="663"/>
    </row>
    <row r="557" spans="6:134">
      <c r="F557" s="345">
        <v>421</v>
      </c>
      <c r="G557" s="345" t="s">
        <v>360</v>
      </c>
      <c r="L557" s="347">
        <v>602.08000000000004</v>
      </c>
      <c r="M557" s="347" t="s">
        <v>326</v>
      </c>
      <c r="V557" s="345">
        <v>220.01</v>
      </c>
      <c r="W557" s="345" t="s">
        <v>369</v>
      </c>
      <c r="AB557" s="347">
        <v>67.069999999999993</v>
      </c>
      <c r="AC557" s="347" t="s">
        <v>352</v>
      </c>
      <c r="AD557" s="1138"/>
      <c r="AJ557" s="345">
        <v>136</v>
      </c>
      <c r="AK557" s="345" t="s">
        <v>352</v>
      </c>
      <c r="AP557" s="347">
        <v>103.07</v>
      </c>
      <c r="AQ557" s="347" t="s">
        <v>323</v>
      </c>
      <c r="AZ557" s="345">
        <v>146.08000000000001</v>
      </c>
      <c r="BA557" s="345" t="s">
        <v>359</v>
      </c>
      <c r="BF557" s="347">
        <v>39.090000000000003</v>
      </c>
      <c r="BG557" s="347" t="s">
        <v>352</v>
      </c>
      <c r="BH557" s="1790"/>
      <c r="BI557" s="1793"/>
      <c r="BJ557" s="1329"/>
      <c r="BN557" s="345">
        <v>703.31</v>
      </c>
      <c r="BO557" s="345" t="s">
        <v>310</v>
      </c>
      <c r="BT557" s="347">
        <v>103.08</v>
      </c>
      <c r="BU557" s="347" t="s">
        <v>323</v>
      </c>
      <c r="BW557" s="348" t="str">
        <f t="array" ref="BW557">IFERROR(IF($BW$11="Metro",INDEX($BN$13:$BN$4972,SMALL(IF((County=$BO$13:$BO$4972),MATCH(ROW($BO$13:$BO$4972),ROW($BO$13:$BO$4972)),""),ROWS($A$13:$A557))),INDEX($BQ$13:$BQ$212,SMALL(IF((County=$BR$13:$BR$212),MATCH(ROW($BR$13:$BR$212),ROW($BR$13:$BR$212)),""),ROWS($A$13:$A557)))),"")</f>
        <v/>
      </c>
      <c r="CD557" s="237">
        <v>16</v>
      </c>
      <c r="CE557" s="237" t="s">
        <v>350</v>
      </c>
      <c r="CJ557" s="347">
        <v>38.04</v>
      </c>
      <c r="CK557" s="347" t="s">
        <v>352</v>
      </c>
      <c r="CL557" s="1789"/>
      <c r="CR557" s="345"/>
      <c r="CS557" s="345"/>
      <c r="CX557" s="347"/>
      <c r="CY557" s="347"/>
      <c r="DA557" s="348"/>
      <c r="DH557" s="237"/>
      <c r="DI557" s="237"/>
      <c r="DN557" s="347"/>
      <c r="DO557" s="347"/>
      <c r="DP557" s="2505"/>
      <c r="DT557" s="663"/>
      <c r="DU557" s="663"/>
      <c r="DV557" s="663"/>
      <c r="DW557" s="663"/>
      <c r="DX557" s="663"/>
      <c r="DY557" s="663"/>
      <c r="DZ557" s="663"/>
      <c r="EA557" s="663"/>
      <c r="EB557" s="663"/>
      <c r="EC557" s="663"/>
      <c r="ED557" s="663"/>
    </row>
    <row r="558" spans="6:134">
      <c r="F558" s="345">
        <v>422</v>
      </c>
      <c r="G558" s="345" t="s">
        <v>360</v>
      </c>
      <c r="L558" s="347">
        <v>602.1</v>
      </c>
      <c r="M558" s="347" t="s">
        <v>326</v>
      </c>
      <c r="V558" s="345">
        <v>221.01</v>
      </c>
      <c r="W558" s="345" t="s">
        <v>369</v>
      </c>
      <c r="AB558" s="347">
        <v>67.09</v>
      </c>
      <c r="AC558" s="347" t="s">
        <v>352</v>
      </c>
      <c r="AD558" s="1138"/>
      <c r="AJ558" s="345">
        <v>138.01</v>
      </c>
      <c r="AK558" s="345" t="s">
        <v>352</v>
      </c>
      <c r="AP558" s="347">
        <v>103.08</v>
      </c>
      <c r="AQ558" s="347" t="s">
        <v>323</v>
      </c>
      <c r="AZ558" s="345">
        <v>146.09</v>
      </c>
      <c r="BA558" s="345" t="s">
        <v>359</v>
      </c>
      <c r="BF558" s="347">
        <v>39.119999999999997</v>
      </c>
      <c r="BG558" s="347" t="s">
        <v>352</v>
      </c>
      <c r="BH558" s="1790"/>
      <c r="BI558" s="1794"/>
      <c r="BJ558" s="1345"/>
      <c r="BN558" s="345">
        <v>704.01</v>
      </c>
      <c r="BO558" s="345" t="s">
        <v>310</v>
      </c>
      <c r="BT558" s="347">
        <v>105.01</v>
      </c>
      <c r="BU558" s="347" t="s">
        <v>323</v>
      </c>
      <c r="BW558" s="348" t="str">
        <f t="array" ref="BW558">IFERROR(IF($BW$11="Metro",INDEX($BN$13:$BN$4972,SMALL(IF((County=$BO$13:$BO$4972),MATCH(ROW($BO$13:$BO$4972),ROW($BO$13:$BO$4972)),""),ROWS($A$13:$A558))),INDEX($BQ$13:$BQ$212,SMALL(IF((County=$BR$13:$BR$212),MATCH(ROW($BR$13:$BR$212),ROW($BR$13:$BR$212)),""),ROWS($A$13:$A558)))),"")</f>
        <v/>
      </c>
      <c r="CD558" s="237">
        <v>16</v>
      </c>
      <c r="CE558" s="237" t="s">
        <v>361</v>
      </c>
      <c r="CJ558" s="347">
        <v>39.06</v>
      </c>
      <c r="CK558" s="347" t="s">
        <v>352</v>
      </c>
      <c r="CL558" s="1789"/>
      <c r="CR558" s="345"/>
      <c r="CS558" s="345"/>
      <c r="CX558" s="347"/>
      <c r="CY558" s="347"/>
      <c r="DA558" s="348"/>
      <c r="DH558" s="237"/>
      <c r="DI558" s="237"/>
      <c r="DN558" s="347"/>
      <c r="DO558" s="347"/>
      <c r="DP558" s="2505"/>
      <c r="DT558" s="663"/>
      <c r="DU558" s="663"/>
      <c r="DV558" s="663"/>
      <c r="DW558" s="663"/>
      <c r="DX558" s="663"/>
      <c r="DY558" s="663"/>
      <c r="DZ558" s="663"/>
      <c r="EA558" s="663"/>
      <c r="EB558" s="663"/>
      <c r="EC558" s="663"/>
      <c r="ED558" s="663"/>
    </row>
    <row r="559" spans="6:134">
      <c r="F559" s="345">
        <v>423</v>
      </c>
      <c r="G559" s="345" t="s">
        <v>360</v>
      </c>
      <c r="L559" s="347">
        <v>602.14</v>
      </c>
      <c r="M559" s="347" t="s">
        <v>326</v>
      </c>
      <c r="V559" s="345">
        <v>226</v>
      </c>
      <c r="W559" s="345" t="s">
        <v>357</v>
      </c>
      <c r="AB559" s="347">
        <v>67.11</v>
      </c>
      <c r="AC559" s="347" t="s">
        <v>352</v>
      </c>
      <c r="AD559" s="1138"/>
      <c r="AJ559" s="345">
        <v>138.02000000000001</v>
      </c>
      <c r="AK559" s="345" t="s">
        <v>352</v>
      </c>
      <c r="AP559" s="347">
        <v>105.01</v>
      </c>
      <c r="AQ559" s="347" t="s">
        <v>323</v>
      </c>
      <c r="AZ559" s="345">
        <v>147.01</v>
      </c>
      <c r="BA559" s="345" t="s">
        <v>359</v>
      </c>
      <c r="BF559" s="347">
        <v>39.130000000000003</v>
      </c>
      <c r="BG559" s="347" t="s">
        <v>352</v>
      </c>
      <c r="BH559" s="1790"/>
      <c r="BI559" s="1794"/>
      <c r="BJ559" s="1345"/>
      <c r="BN559" s="345">
        <v>704.02</v>
      </c>
      <c r="BO559" s="345" t="s">
        <v>310</v>
      </c>
      <c r="BT559" s="347">
        <v>106.01</v>
      </c>
      <c r="BU559" s="347" t="s">
        <v>323</v>
      </c>
      <c r="BW559" s="348" t="str">
        <f t="array" ref="BW559">IFERROR(IF($BW$11="Metro",INDEX($BN$13:$BN$4972,SMALL(IF((County=$BO$13:$BO$4972),MATCH(ROW($BO$13:$BO$4972),ROW($BO$13:$BO$4972)),""),ROWS($A$13:$A559))),INDEX($BQ$13:$BQ$212,SMALL(IF((County=$BR$13:$BR$212),MATCH(ROW($BR$13:$BR$212),ROW($BR$13:$BR$212)),""),ROWS($A$13:$A559)))),"")</f>
        <v/>
      </c>
      <c r="CD559" s="237">
        <v>16.010000000000002</v>
      </c>
      <c r="CE559" s="237" t="s">
        <v>344</v>
      </c>
      <c r="CJ559" s="347">
        <v>39.090000000000003</v>
      </c>
      <c r="CK559" s="347" t="s">
        <v>352</v>
      </c>
      <c r="CL559" s="1789"/>
      <c r="CR559" s="345"/>
      <c r="CS559" s="345"/>
      <c r="CX559" s="347"/>
      <c r="CY559" s="347"/>
      <c r="DA559" s="348"/>
      <c r="DH559" s="237"/>
      <c r="DI559" s="237"/>
      <c r="DN559" s="347"/>
      <c r="DO559" s="347"/>
      <c r="DP559" s="2505"/>
      <c r="DT559" s="663"/>
      <c r="DU559" s="663"/>
      <c r="DV559" s="663"/>
      <c r="DW559" s="663"/>
      <c r="DX559" s="663"/>
      <c r="DY559" s="663"/>
      <c r="DZ559" s="663"/>
      <c r="EA559" s="663"/>
      <c r="EB559" s="663"/>
      <c r="EC559" s="663"/>
      <c r="ED559" s="663"/>
    </row>
    <row r="560" spans="6:134">
      <c r="F560" s="345">
        <v>427.01</v>
      </c>
      <c r="G560" s="345" t="s">
        <v>360</v>
      </c>
      <c r="L560" s="347">
        <v>603.01</v>
      </c>
      <c r="M560" s="347" t="s">
        <v>326</v>
      </c>
      <c r="V560" s="345">
        <v>228</v>
      </c>
      <c r="W560" s="345" t="s">
        <v>357</v>
      </c>
      <c r="AB560" s="347">
        <v>67.13</v>
      </c>
      <c r="AC560" s="347" t="s">
        <v>352</v>
      </c>
      <c r="AD560" s="1138"/>
      <c r="AJ560" s="345">
        <v>146.01</v>
      </c>
      <c r="AK560" s="345" t="s">
        <v>352</v>
      </c>
      <c r="AP560" s="347">
        <v>106.01</v>
      </c>
      <c r="AQ560" s="347" t="s">
        <v>323</v>
      </c>
      <c r="AZ560" s="345">
        <v>148</v>
      </c>
      <c r="BA560" s="345" t="s">
        <v>323</v>
      </c>
      <c r="BF560" s="347">
        <v>39.14</v>
      </c>
      <c r="BG560" s="347" t="s">
        <v>352</v>
      </c>
      <c r="BH560" s="1790"/>
      <c r="BI560" s="1794"/>
      <c r="BJ560" s="1345"/>
      <c r="BN560" s="345">
        <v>704.03</v>
      </c>
      <c r="BO560" s="345" t="s">
        <v>310</v>
      </c>
      <c r="BT560" s="347">
        <v>106.02</v>
      </c>
      <c r="BU560" s="347" t="s">
        <v>323</v>
      </c>
      <c r="BW560" s="348" t="str">
        <f t="array" ref="BW560">IFERROR(IF($BW$11="Metro",INDEX($BN$13:$BN$4972,SMALL(IF((County=$BO$13:$BO$4972),MATCH(ROW($BO$13:$BO$4972),ROW($BO$13:$BO$4972)),""),ROWS($A$13:$A560))),INDEX($BQ$13:$BQ$212,SMALL(IF((County=$BR$13:$BR$212),MATCH(ROW($BR$13:$BR$212),ROW($BR$13:$BR$212)),""),ROWS($A$13:$A560)))),"")</f>
        <v/>
      </c>
      <c r="CD560" s="237">
        <v>16.010000000000002</v>
      </c>
      <c r="CE560" s="237" t="s">
        <v>345</v>
      </c>
      <c r="CJ560" s="347">
        <v>39.130000000000003</v>
      </c>
      <c r="CK560" s="347" t="s">
        <v>352</v>
      </c>
      <c r="CL560" s="1789"/>
      <c r="CR560" s="345"/>
      <c r="CS560" s="345"/>
      <c r="CX560" s="347"/>
      <c r="CY560" s="347"/>
      <c r="DA560" s="348"/>
      <c r="DH560" s="237"/>
      <c r="DI560" s="237"/>
      <c r="DN560" s="347"/>
      <c r="DO560" s="347"/>
      <c r="DP560" s="2505"/>
      <c r="DT560" s="663"/>
      <c r="DU560" s="663"/>
      <c r="DV560" s="663"/>
      <c r="DW560" s="663"/>
      <c r="DX560" s="663"/>
      <c r="DY560" s="663"/>
      <c r="DZ560" s="663"/>
      <c r="EA560" s="663"/>
      <c r="EB560" s="663"/>
      <c r="EC560" s="663"/>
      <c r="ED560" s="663"/>
    </row>
    <row r="561" spans="6:134">
      <c r="F561" s="345">
        <v>427.02</v>
      </c>
      <c r="G561" s="345" t="s">
        <v>360</v>
      </c>
      <c r="L561" s="347">
        <v>603.02</v>
      </c>
      <c r="M561" s="347" t="s">
        <v>326</v>
      </c>
      <c r="V561" s="345">
        <v>245.1</v>
      </c>
      <c r="W561" s="345" t="s">
        <v>363</v>
      </c>
      <c r="AB561" s="347">
        <v>67.14</v>
      </c>
      <c r="AC561" s="347" t="s">
        <v>352</v>
      </c>
      <c r="AD561" s="1138"/>
      <c r="AJ561" s="345">
        <v>148</v>
      </c>
      <c r="AK561" s="345" t="s">
        <v>352</v>
      </c>
      <c r="AP561" s="347">
        <v>117</v>
      </c>
      <c r="AQ561" s="347" t="s">
        <v>323</v>
      </c>
      <c r="AZ561" s="345">
        <v>148</v>
      </c>
      <c r="BA561" s="345" t="s">
        <v>352</v>
      </c>
      <c r="BF561" s="347">
        <v>39.15</v>
      </c>
      <c r="BG561" s="347" t="s">
        <v>352</v>
      </c>
      <c r="BH561" s="1790"/>
      <c r="BI561" s="1794"/>
      <c r="BJ561" s="1345"/>
      <c r="BN561" s="345">
        <v>704.04</v>
      </c>
      <c r="BO561" s="345" t="s">
        <v>310</v>
      </c>
      <c r="BT561" s="347">
        <v>117</v>
      </c>
      <c r="BU561" s="347" t="s">
        <v>323</v>
      </c>
      <c r="BW561" s="348" t="str">
        <f t="array" ref="BW561">IFERROR(IF($BW$11="Metro",INDEX($BN$13:$BN$4972,SMALL(IF((County=$BO$13:$BO$4972),MATCH(ROW($BO$13:$BO$4972),ROW($BO$13:$BO$4972)),""),ROWS($A$13:$A561))),INDEX($BQ$13:$BQ$212,SMALL(IF((County=$BR$13:$BR$212),MATCH(ROW($BR$13:$BR$212),ROW($BR$13:$BR$212)),""),ROWS($A$13:$A561)))),"")</f>
        <v/>
      </c>
      <c r="CD561" s="237">
        <v>16.010000000000002</v>
      </c>
      <c r="CE561" s="237" t="s">
        <v>351</v>
      </c>
      <c r="CJ561" s="347">
        <v>39.14</v>
      </c>
      <c r="CK561" s="347" t="s">
        <v>352</v>
      </c>
      <c r="CL561" s="1789"/>
      <c r="CR561" s="345"/>
      <c r="CS561" s="345"/>
      <c r="CX561" s="347"/>
      <c r="CY561" s="347"/>
      <c r="DA561" s="348"/>
      <c r="DH561" s="237"/>
      <c r="DI561" s="237"/>
      <c r="DN561" s="347"/>
      <c r="DO561" s="347"/>
      <c r="DP561" s="2505"/>
      <c r="DT561" s="663"/>
      <c r="DU561" s="663"/>
      <c r="DV561" s="663"/>
      <c r="DW561" s="663"/>
      <c r="DX561" s="663"/>
      <c r="DY561" s="663"/>
      <c r="DZ561" s="663"/>
      <c r="EA561" s="663"/>
      <c r="EB561" s="663"/>
      <c r="EC561" s="663"/>
      <c r="ED561" s="663"/>
    </row>
    <row r="562" spans="6:134">
      <c r="F562" s="345">
        <v>434</v>
      </c>
      <c r="G562" s="345" t="s">
        <v>360</v>
      </c>
      <c r="L562" s="347">
        <v>603.03</v>
      </c>
      <c r="M562" s="347" t="s">
        <v>326</v>
      </c>
      <c r="V562" s="345">
        <v>245.14</v>
      </c>
      <c r="W562" s="345" t="s">
        <v>363</v>
      </c>
      <c r="AB562" s="347">
        <v>68.010000000000005</v>
      </c>
      <c r="AC562" s="347" t="s">
        <v>337</v>
      </c>
      <c r="AD562" s="1138"/>
      <c r="AJ562" s="345">
        <v>175</v>
      </c>
      <c r="AK562" s="345" t="s">
        <v>352</v>
      </c>
      <c r="AP562" s="347">
        <v>119.01</v>
      </c>
      <c r="AQ562" s="347" t="s">
        <v>323</v>
      </c>
      <c r="AZ562" s="345">
        <v>148.12</v>
      </c>
      <c r="BA562" s="345" t="s">
        <v>359</v>
      </c>
      <c r="BF562" s="347">
        <v>39.159999999999997</v>
      </c>
      <c r="BG562" s="347" t="s">
        <v>352</v>
      </c>
      <c r="BH562" s="1790"/>
      <c r="BI562" s="1794"/>
      <c r="BJ562" s="1345"/>
      <c r="BN562" s="345">
        <v>704.05</v>
      </c>
      <c r="BO562" s="345" t="s">
        <v>310</v>
      </c>
      <c r="BT562" s="347">
        <v>119.01</v>
      </c>
      <c r="BU562" s="347" t="s">
        <v>323</v>
      </c>
      <c r="BW562" s="348" t="str">
        <f t="array" ref="BW562">IFERROR(IF($BW$11="Metro",INDEX($BN$13:$BN$4972,SMALL(IF((County=$BO$13:$BO$4972),MATCH(ROW($BO$13:$BO$4972),ROW($BO$13:$BO$4972)),""),ROWS($A$13:$A562))),INDEX($BQ$13:$BQ$212,SMALL(IF((County=$BR$13:$BR$212),MATCH(ROW($BR$13:$BR$212),ROW($BR$13:$BR$212)),""),ROWS($A$13:$A562)))),"")</f>
        <v/>
      </c>
      <c r="CD562" s="237">
        <v>16.010000000000002</v>
      </c>
      <c r="CE562" s="237" t="s">
        <v>368</v>
      </c>
      <c r="CJ562" s="347">
        <v>39.15</v>
      </c>
      <c r="CK562" s="347" t="s">
        <v>352</v>
      </c>
      <c r="CL562" s="1789"/>
      <c r="CR562" s="345"/>
      <c r="CS562" s="345"/>
      <c r="CX562" s="347"/>
      <c r="CY562" s="347"/>
      <c r="DA562" s="348"/>
      <c r="DH562" s="237"/>
      <c r="DI562" s="237"/>
      <c r="DN562" s="347"/>
      <c r="DO562" s="347"/>
      <c r="DP562" s="2505"/>
      <c r="DT562" s="663"/>
      <c r="DU562" s="663"/>
      <c r="DV562" s="663"/>
      <c r="DW562" s="663"/>
      <c r="DX562" s="663"/>
      <c r="DY562" s="663"/>
      <c r="DZ562" s="663"/>
      <c r="EA562" s="663"/>
      <c r="EB562" s="663"/>
      <c r="EC562" s="663"/>
      <c r="ED562" s="663"/>
    </row>
    <row r="563" spans="6:134">
      <c r="F563" s="345">
        <v>13.01</v>
      </c>
      <c r="G563" s="345" t="s">
        <v>361</v>
      </c>
      <c r="L563" s="347">
        <v>603.04</v>
      </c>
      <c r="M563" s="347" t="s">
        <v>326</v>
      </c>
      <c r="V563" s="345">
        <v>246.02</v>
      </c>
      <c r="W563" s="345" t="s">
        <v>363</v>
      </c>
      <c r="AB563" s="347">
        <v>68.010000000000005</v>
      </c>
      <c r="AC563" s="347" t="s">
        <v>352</v>
      </c>
      <c r="AD563" s="1138"/>
      <c r="AJ563" s="345">
        <v>9807</v>
      </c>
      <c r="AK563" s="345" t="s">
        <v>352</v>
      </c>
      <c r="AP563" s="347">
        <v>119.03</v>
      </c>
      <c r="AQ563" s="347" t="s">
        <v>323</v>
      </c>
      <c r="AZ563" s="345">
        <v>149.03</v>
      </c>
      <c r="BA563" s="345" t="s">
        <v>365</v>
      </c>
      <c r="BF563" s="347">
        <v>39.17</v>
      </c>
      <c r="BG563" s="347" t="s">
        <v>352</v>
      </c>
      <c r="BH563" s="1790"/>
      <c r="BI563" s="1794"/>
      <c r="BJ563" s="1345"/>
      <c r="BN563" s="345">
        <v>705.01</v>
      </c>
      <c r="BO563" s="345" t="s">
        <v>310</v>
      </c>
      <c r="BT563" s="347">
        <v>119.03</v>
      </c>
      <c r="BU563" s="347" t="s">
        <v>323</v>
      </c>
      <c r="BW563" s="348" t="str">
        <f t="array" ref="BW563">IFERROR(IF($BW$11="Metro",INDEX($BN$13:$BN$4972,SMALL(IF((County=$BO$13:$BO$4972),MATCH(ROW($BO$13:$BO$4972),ROW($BO$13:$BO$4972)),""),ROWS($A$13:$A563))),INDEX($BQ$13:$BQ$212,SMALL(IF((County=$BR$13:$BR$212),MATCH(ROW($BR$13:$BR$212),ROW($BR$13:$BR$212)),""),ROWS($A$13:$A563)))),"")</f>
        <v/>
      </c>
      <c r="CD563" s="237">
        <v>16.02</v>
      </c>
      <c r="CE563" s="237" t="s">
        <v>344</v>
      </c>
      <c r="CJ563" s="347">
        <v>39.159999999999997</v>
      </c>
      <c r="CK563" s="347" t="s">
        <v>352</v>
      </c>
      <c r="CL563" s="1789"/>
      <c r="CR563" s="345"/>
      <c r="CS563" s="345"/>
      <c r="CX563" s="347"/>
      <c r="CY563" s="347"/>
      <c r="DA563" s="348"/>
      <c r="DH563" s="237"/>
      <c r="DI563" s="237"/>
      <c r="DN563" s="347"/>
      <c r="DO563" s="347"/>
      <c r="DP563" s="2505"/>
      <c r="DT563" s="663"/>
      <c r="DU563" s="663"/>
      <c r="DV563" s="663"/>
      <c r="DW563" s="663"/>
      <c r="DX563" s="663"/>
      <c r="DY563" s="663"/>
      <c r="DZ563" s="663"/>
      <c r="EA563" s="663"/>
      <c r="EB563" s="663"/>
      <c r="EC563" s="663"/>
      <c r="ED563" s="663"/>
    </row>
    <row r="564" spans="6:134">
      <c r="F564" s="345">
        <v>13.02</v>
      </c>
      <c r="G564" s="345" t="s">
        <v>361</v>
      </c>
      <c r="L564" s="347">
        <v>9702</v>
      </c>
      <c r="M564" s="347" t="s">
        <v>327</v>
      </c>
      <c r="V564" s="345">
        <v>247.01</v>
      </c>
      <c r="W564" s="345" t="s">
        <v>363</v>
      </c>
      <c r="AB564" s="347">
        <v>68.02</v>
      </c>
      <c r="AC564" s="347" t="s">
        <v>337</v>
      </c>
      <c r="AD564" s="1138"/>
      <c r="AJ564" s="345">
        <v>226</v>
      </c>
      <c r="AK564" s="345" t="s">
        <v>357</v>
      </c>
      <c r="AP564" s="347">
        <v>119.04</v>
      </c>
      <c r="AQ564" s="347" t="s">
        <v>323</v>
      </c>
      <c r="AZ564" s="345">
        <v>149.04</v>
      </c>
      <c r="BA564" s="345" t="s">
        <v>359</v>
      </c>
      <c r="BF564" s="347">
        <v>39.18</v>
      </c>
      <c r="BG564" s="347" t="s">
        <v>352</v>
      </c>
      <c r="BH564" s="1790"/>
      <c r="BI564" s="1794"/>
      <c r="BJ564" s="1345"/>
      <c r="BN564" s="345">
        <v>705.03</v>
      </c>
      <c r="BO564" s="345" t="s">
        <v>310</v>
      </c>
      <c r="BT564" s="347">
        <v>119.04</v>
      </c>
      <c r="BU564" s="347" t="s">
        <v>323</v>
      </c>
      <c r="BW564" s="348" t="str">
        <f t="array" ref="BW564">IFERROR(IF($BW$11="Metro",INDEX($BN$13:$BN$4972,SMALL(IF((County=$BO$13:$BO$4972),MATCH(ROW($BO$13:$BO$4972),ROW($BO$13:$BO$4972)),""),ROWS($A$13:$A564))),INDEX($BQ$13:$BQ$212,SMALL(IF((County=$BR$13:$BR$212),MATCH(ROW($BR$13:$BR$212),ROW($BR$13:$BR$212)),""),ROWS($A$13:$A564)))),"")</f>
        <v/>
      </c>
      <c r="CD564" s="237">
        <v>16.02</v>
      </c>
      <c r="CE564" s="237" t="s">
        <v>345</v>
      </c>
      <c r="CJ564" s="347">
        <v>39.17</v>
      </c>
      <c r="CK564" s="347" t="s">
        <v>352</v>
      </c>
      <c r="CL564" s="1789"/>
      <c r="CR564" s="345"/>
      <c r="CS564" s="345"/>
      <c r="CX564" s="347"/>
      <c r="CY564" s="347"/>
      <c r="DA564" s="348"/>
      <c r="DH564" s="237"/>
      <c r="DI564" s="237"/>
      <c r="DN564" s="347"/>
      <c r="DO564" s="347"/>
      <c r="DP564" s="2505"/>
      <c r="DT564" s="663"/>
      <c r="DU564" s="663"/>
      <c r="DV564" s="663"/>
      <c r="DW564" s="663"/>
      <c r="DX564" s="663"/>
      <c r="DY564" s="663"/>
      <c r="DZ564" s="663"/>
      <c r="EA564" s="663"/>
      <c r="EB564" s="663"/>
      <c r="EC564" s="663"/>
      <c r="ED564" s="663"/>
    </row>
    <row r="565" spans="6:134">
      <c r="F565" s="345">
        <v>14.02</v>
      </c>
      <c r="G565" s="345" t="s">
        <v>361</v>
      </c>
      <c r="L565" s="347">
        <v>9703.0400000000009</v>
      </c>
      <c r="M565" s="347" t="s">
        <v>327</v>
      </c>
      <c r="V565" s="345">
        <v>247.02</v>
      </c>
      <c r="W565" s="345" t="s">
        <v>363</v>
      </c>
      <c r="AB565" s="347">
        <v>68.02</v>
      </c>
      <c r="AC565" s="347" t="s">
        <v>352</v>
      </c>
      <c r="AD565" s="1138"/>
      <c r="AJ565" s="345">
        <v>228</v>
      </c>
      <c r="AK565" s="345" t="s">
        <v>357</v>
      </c>
      <c r="AP565" s="347">
        <v>127.03</v>
      </c>
      <c r="AQ565" s="347" t="s">
        <v>323</v>
      </c>
      <c r="AZ565" s="345">
        <v>149.04</v>
      </c>
      <c r="BA565" s="345" t="s">
        <v>365</v>
      </c>
      <c r="BF565" s="347">
        <v>39.19</v>
      </c>
      <c r="BG565" s="347" t="s">
        <v>352</v>
      </c>
      <c r="BH565" s="1790"/>
      <c r="BI565" s="1794"/>
      <c r="BJ565" s="1345"/>
      <c r="BN565" s="345">
        <v>705.04</v>
      </c>
      <c r="BO565" s="345" t="s">
        <v>310</v>
      </c>
      <c r="BT565" s="347">
        <v>123</v>
      </c>
      <c r="BU565" s="347" t="s">
        <v>323</v>
      </c>
      <c r="BW565" s="348" t="str">
        <f t="array" ref="BW565">IFERROR(IF($BW$11="Metro",INDEX($BN$13:$BN$4972,SMALL(IF((County=$BO$13:$BO$4972),MATCH(ROW($BO$13:$BO$4972),ROW($BO$13:$BO$4972)),""),ROWS($A$13:$A565))),INDEX($BQ$13:$BQ$212,SMALL(IF((County=$BR$13:$BR$212),MATCH(ROW($BR$13:$BR$212),ROW($BR$13:$BR$212)),""),ROWS($A$13:$A565)))),"")</f>
        <v/>
      </c>
      <c r="CD565" s="237">
        <v>16.02</v>
      </c>
      <c r="CE565" s="237" t="s">
        <v>349</v>
      </c>
      <c r="CJ565" s="347">
        <v>39.18</v>
      </c>
      <c r="CK565" s="347" t="s">
        <v>352</v>
      </c>
      <c r="CL565" s="1789"/>
      <c r="CR565" s="345"/>
      <c r="CS565" s="345"/>
      <c r="CX565" s="347"/>
      <c r="CY565" s="347"/>
      <c r="DA565" s="348"/>
      <c r="DH565" s="237"/>
      <c r="DI565" s="237"/>
      <c r="DN565" s="347"/>
      <c r="DO565" s="347"/>
      <c r="DP565" s="2505"/>
      <c r="DT565" s="663"/>
      <c r="DU565" s="663"/>
      <c r="DV565" s="663"/>
      <c r="DW565" s="663"/>
      <c r="DX565" s="663"/>
      <c r="DY565" s="663"/>
      <c r="DZ565" s="663"/>
      <c r="EA565" s="663"/>
      <c r="EB565" s="663"/>
      <c r="EC565" s="663"/>
      <c r="ED565" s="663"/>
    </row>
    <row r="566" spans="6:134">
      <c r="F566" s="345">
        <v>14.03</v>
      </c>
      <c r="G566" s="345" t="s">
        <v>361</v>
      </c>
      <c r="L566" s="347">
        <v>201.01</v>
      </c>
      <c r="M566" s="347" t="s">
        <v>328</v>
      </c>
      <c r="V566" s="345">
        <v>248.04</v>
      </c>
      <c r="W566" s="345" t="s">
        <v>363</v>
      </c>
      <c r="AB566" s="347">
        <v>69</v>
      </c>
      <c r="AC566" s="347" t="s">
        <v>337</v>
      </c>
      <c r="AD566" s="1138"/>
      <c r="AJ566" s="345">
        <v>104</v>
      </c>
      <c r="AK566" s="345" t="s">
        <v>359</v>
      </c>
      <c r="AP566" s="347">
        <v>130</v>
      </c>
      <c r="AQ566" s="347" t="s">
        <v>323</v>
      </c>
      <c r="AZ566" s="345">
        <v>150.01</v>
      </c>
      <c r="BA566" s="345" t="s">
        <v>359</v>
      </c>
      <c r="BF566" s="347">
        <v>39.21</v>
      </c>
      <c r="BG566" s="347" t="s">
        <v>352</v>
      </c>
      <c r="BH566" s="1790"/>
      <c r="BI566" s="1794"/>
      <c r="BJ566" s="1345"/>
      <c r="BN566" s="345">
        <v>706.01</v>
      </c>
      <c r="BO566" s="345" t="s">
        <v>310</v>
      </c>
      <c r="BT566" s="347">
        <v>124</v>
      </c>
      <c r="BU566" s="347" t="s">
        <v>323</v>
      </c>
      <c r="BW566" s="348" t="str">
        <f t="array" ref="BW566">IFERROR(IF($BW$11="Metro",INDEX($BN$13:$BN$4972,SMALL(IF((County=$BO$13:$BO$4972),MATCH(ROW($BO$13:$BO$4972),ROW($BO$13:$BO$4972)),""),ROWS($A$13:$A566))),INDEX($BQ$13:$BQ$212,SMALL(IF((County=$BR$13:$BR$212),MATCH(ROW($BR$13:$BR$212),ROW($BR$13:$BR$212)),""),ROWS($A$13:$A566)))),"")</f>
        <v/>
      </c>
      <c r="CD566" s="237">
        <v>16.02</v>
      </c>
      <c r="CE566" s="237" t="s">
        <v>351</v>
      </c>
      <c r="CJ566" s="347">
        <v>39.19</v>
      </c>
      <c r="CK566" s="347" t="s">
        <v>352</v>
      </c>
      <c r="CL566" s="1789"/>
      <c r="CR566" s="345"/>
      <c r="CS566" s="345"/>
      <c r="CX566" s="347"/>
      <c r="CY566" s="347"/>
      <c r="DA566" s="348"/>
      <c r="DH566" s="237"/>
      <c r="DI566" s="237"/>
      <c r="DN566" s="347"/>
      <c r="DO566" s="347"/>
      <c r="DP566" s="2505"/>
      <c r="DT566" s="663"/>
      <c r="DU566" s="663"/>
      <c r="DV566" s="663"/>
      <c r="DW566" s="663"/>
      <c r="DX566" s="663"/>
      <c r="DY566" s="663"/>
      <c r="DZ566" s="663"/>
      <c r="EA566" s="663"/>
      <c r="EB566" s="663"/>
      <c r="EC566" s="663"/>
      <c r="ED566" s="663"/>
    </row>
    <row r="567" spans="6:134">
      <c r="F567" s="345">
        <v>14.04</v>
      </c>
      <c r="G567" s="345" t="s">
        <v>361</v>
      </c>
      <c r="L567" s="347">
        <v>201.02</v>
      </c>
      <c r="M567" s="347" t="s">
        <v>328</v>
      </c>
      <c r="V567" s="345">
        <v>250.17</v>
      </c>
      <c r="W567" s="345" t="s">
        <v>363</v>
      </c>
      <c r="AB567" s="347">
        <v>69</v>
      </c>
      <c r="AC567" s="347" t="s">
        <v>352</v>
      </c>
      <c r="AD567" s="1138"/>
      <c r="AJ567" s="345">
        <v>105</v>
      </c>
      <c r="AK567" s="345" t="s">
        <v>359</v>
      </c>
      <c r="AP567" s="347">
        <v>131</v>
      </c>
      <c r="AQ567" s="347" t="s">
        <v>323</v>
      </c>
      <c r="AZ567" s="345">
        <v>152</v>
      </c>
      <c r="BA567" s="345" t="s">
        <v>365</v>
      </c>
      <c r="BF567" s="347">
        <v>39.22</v>
      </c>
      <c r="BG567" s="347" t="s">
        <v>352</v>
      </c>
      <c r="BH567" s="1790"/>
      <c r="BI567" s="1794"/>
      <c r="BJ567" s="1345"/>
      <c r="BN567" s="345">
        <v>706.02</v>
      </c>
      <c r="BO567" s="345" t="s">
        <v>310</v>
      </c>
      <c r="BT567" s="347">
        <v>127.03</v>
      </c>
      <c r="BU567" s="347" t="s">
        <v>323</v>
      </c>
      <c r="BW567" s="348" t="str">
        <f t="array" ref="BW567">IFERROR(IF($BW$11="Metro",INDEX($BN$13:$BN$4972,SMALL(IF((County=$BO$13:$BO$4972),MATCH(ROW($BO$13:$BO$4972),ROW($BO$13:$BO$4972)),""),ROWS($A$13:$A567))),INDEX($BQ$13:$BQ$212,SMALL(IF((County=$BR$13:$BR$212),MATCH(ROW($BR$13:$BR$212),ROW($BR$13:$BR$212)),""),ROWS($A$13:$A567)))),"")</f>
        <v/>
      </c>
      <c r="CD567" s="237">
        <v>16.02</v>
      </c>
      <c r="CE567" s="237" t="s">
        <v>368</v>
      </c>
      <c r="CJ567" s="347">
        <v>39.21</v>
      </c>
      <c r="CK567" s="347" t="s">
        <v>352</v>
      </c>
      <c r="CL567" s="1789"/>
      <c r="CR567" s="345"/>
      <c r="CS567" s="345"/>
      <c r="CX567" s="347"/>
      <c r="CY567" s="347"/>
      <c r="DA567" s="348"/>
      <c r="DH567" s="237"/>
      <c r="DI567" s="237"/>
      <c r="DN567" s="347"/>
      <c r="DO567" s="347"/>
      <c r="DP567" s="2505"/>
      <c r="DT567" s="663"/>
      <c r="DU567" s="663"/>
      <c r="DV567" s="663"/>
      <c r="DW567" s="663"/>
      <c r="DX567" s="663"/>
      <c r="DY567" s="663"/>
      <c r="DZ567" s="663"/>
      <c r="EA567" s="663"/>
      <c r="EB567" s="663"/>
      <c r="EC567" s="663"/>
      <c r="ED567" s="663"/>
    </row>
    <row r="568" spans="6:134">
      <c r="F568" s="345">
        <v>16</v>
      </c>
      <c r="G568" s="345" t="s">
        <v>361</v>
      </c>
      <c r="L568" s="347">
        <v>203</v>
      </c>
      <c r="M568" s="347" t="s">
        <v>328</v>
      </c>
      <c r="V568" s="345">
        <v>251.15</v>
      </c>
      <c r="W568" s="345" t="s">
        <v>363</v>
      </c>
      <c r="AB568" s="347">
        <v>69.06</v>
      </c>
      <c r="AC568" s="347" t="s">
        <v>361</v>
      </c>
      <c r="AD568" s="1138"/>
      <c r="AJ568" s="345">
        <v>110</v>
      </c>
      <c r="AK568" s="345" t="s">
        <v>359</v>
      </c>
      <c r="AP568" s="347">
        <v>132</v>
      </c>
      <c r="AQ568" s="347" t="s">
        <v>323</v>
      </c>
      <c r="AZ568" s="345">
        <v>154</v>
      </c>
      <c r="BA568" s="345" t="s">
        <v>323</v>
      </c>
      <c r="BF568" s="347">
        <v>40</v>
      </c>
      <c r="BG568" s="347" t="s">
        <v>352</v>
      </c>
      <c r="BH568" s="1790"/>
      <c r="BI568" s="1794"/>
      <c r="BJ568" s="1345"/>
      <c r="BN568" s="345">
        <v>801.02</v>
      </c>
      <c r="BO568" s="345" t="s">
        <v>310</v>
      </c>
      <c r="BT568" s="347">
        <v>130</v>
      </c>
      <c r="BU568" s="347" t="s">
        <v>323</v>
      </c>
      <c r="BW568" s="348" t="str">
        <f t="array" ref="BW568">IFERROR(IF($BW$11="Metro",INDEX($BN$13:$BN$4972,SMALL(IF((County=$BO$13:$BO$4972),MATCH(ROW($BO$13:$BO$4972),ROW($BO$13:$BO$4972)),""),ROWS($A$13:$A568))),INDEX($BQ$13:$BQ$212,SMALL(IF((County=$BR$13:$BR$212),MATCH(ROW($BR$13:$BR$212),ROW($BR$13:$BR$212)),""),ROWS($A$13:$A568)))),"")</f>
        <v/>
      </c>
      <c r="CD568" s="237">
        <v>16.03</v>
      </c>
      <c r="CE568" s="237" t="s">
        <v>349</v>
      </c>
      <c r="CJ568" s="347">
        <v>39.22</v>
      </c>
      <c r="CK568" s="347" t="s">
        <v>352</v>
      </c>
      <c r="CL568" s="1789"/>
      <c r="CR568" s="345"/>
      <c r="CS568" s="345"/>
      <c r="CX568" s="347"/>
      <c r="CY568" s="347"/>
      <c r="DA568" s="348"/>
      <c r="DH568" s="237"/>
      <c r="DI568" s="237"/>
      <c r="DN568" s="347"/>
      <c r="DO568" s="347"/>
      <c r="DP568" s="2505"/>
      <c r="DT568" s="663"/>
      <c r="DU568" s="663"/>
      <c r="DV568" s="663"/>
      <c r="DW568" s="663"/>
      <c r="DX568" s="663"/>
      <c r="DY568" s="663"/>
      <c r="DZ568" s="663"/>
      <c r="EA568" s="663"/>
      <c r="EB568" s="663"/>
      <c r="EC568" s="663"/>
      <c r="ED568" s="663"/>
    </row>
    <row r="569" spans="6:134">
      <c r="F569" s="345">
        <v>19.09</v>
      </c>
      <c r="G569" s="345" t="s">
        <v>361</v>
      </c>
      <c r="L569" s="347">
        <v>205</v>
      </c>
      <c r="M569" s="347" t="s">
        <v>328</v>
      </c>
      <c r="V569" s="345">
        <v>253.05</v>
      </c>
      <c r="W569" s="345" t="s">
        <v>363</v>
      </c>
      <c r="AB569" s="347">
        <v>69.11</v>
      </c>
      <c r="AC569" s="347" t="s">
        <v>361</v>
      </c>
      <c r="AD569" s="1138"/>
      <c r="AJ569" s="345">
        <v>116</v>
      </c>
      <c r="AK569" s="345" t="s">
        <v>359</v>
      </c>
      <c r="AP569" s="347">
        <v>133.01</v>
      </c>
      <c r="AQ569" s="347" t="s">
        <v>323</v>
      </c>
      <c r="AZ569" s="345">
        <v>154.05000000000001</v>
      </c>
      <c r="BA569" s="345" t="s">
        <v>365</v>
      </c>
      <c r="BF569" s="347">
        <v>41.02</v>
      </c>
      <c r="BG569" s="347" t="s">
        <v>352</v>
      </c>
      <c r="BH569" s="1790"/>
      <c r="BI569" s="1794"/>
      <c r="BJ569" s="1345"/>
      <c r="BN569" s="345">
        <v>801.03</v>
      </c>
      <c r="BO569" s="345" t="s">
        <v>310</v>
      </c>
      <c r="BT569" s="347">
        <v>131</v>
      </c>
      <c r="BU569" s="347" t="s">
        <v>323</v>
      </c>
      <c r="BW569" s="348" t="str">
        <f t="array" ref="BW569">IFERROR(IF($BW$11="Metro",INDEX($BN$13:$BN$4972,SMALL(IF((County=$BO$13:$BO$4972),MATCH(ROW($BO$13:$BO$4972),ROW($BO$13:$BO$4972)),""),ROWS($A$13:$A569))),INDEX($BQ$13:$BQ$212,SMALL(IF((County=$BR$13:$BR$212),MATCH(ROW($BR$13:$BR$212),ROW($BR$13:$BR$212)),""),ROWS($A$13:$A569)))),"")</f>
        <v/>
      </c>
      <c r="CD569" s="237">
        <v>16.03</v>
      </c>
      <c r="CE569" s="237" t="s">
        <v>352</v>
      </c>
      <c r="CJ569" s="347">
        <v>40</v>
      </c>
      <c r="CK569" s="347" t="s">
        <v>352</v>
      </c>
      <c r="CL569" s="1789"/>
      <c r="CR569" s="345"/>
      <c r="CS569" s="345"/>
      <c r="CX569" s="347"/>
      <c r="CY569" s="347"/>
      <c r="DA569" s="348"/>
      <c r="DH569" s="237"/>
      <c r="DI569" s="237"/>
      <c r="DN569" s="347"/>
      <c r="DO569" s="347"/>
      <c r="DP569" s="2505"/>
      <c r="DT569" s="663"/>
      <c r="DU569" s="663"/>
      <c r="DV569" s="663"/>
      <c r="DW569" s="663"/>
      <c r="DX569" s="663"/>
      <c r="DY569" s="663"/>
      <c r="DZ569" s="663"/>
      <c r="EA569" s="663"/>
      <c r="EB569" s="663"/>
      <c r="EC569" s="663"/>
      <c r="ED569" s="663"/>
    </row>
    <row r="570" spans="6:134">
      <c r="F570" s="345">
        <v>19.100000000000001</v>
      </c>
      <c r="G570" s="345" t="s">
        <v>361</v>
      </c>
      <c r="L570" s="347">
        <v>206</v>
      </c>
      <c r="M570" s="347" t="s">
        <v>328</v>
      </c>
      <c r="V570" s="345">
        <v>255.05</v>
      </c>
      <c r="W570" s="345" t="s">
        <v>363</v>
      </c>
      <c r="AB570" s="347">
        <v>69.12</v>
      </c>
      <c r="AC570" s="347" t="s">
        <v>361</v>
      </c>
      <c r="AD570" s="1138"/>
      <c r="AJ570" s="345">
        <v>117.02</v>
      </c>
      <c r="AK570" s="345" t="s">
        <v>359</v>
      </c>
      <c r="AP570" s="347">
        <v>134.04</v>
      </c>
      <c r="AQ570" s="347" t="s">
        <v>323</v>
      </c>
      <c r="AZ570" s="345">
        <v>155</v>
      </c>
      <c r="BA570" s="345" t="s">
        <v>365</v>
      </c>
      <c r="BF570" s="347">
        <v>41.03</v>
      </c>
      <c r="BG570" s="347" t="s">
        <v>352</v>
      </c>
      <c r="BH570" s="1790"/>
      <c r="BI570" s="1794"/>
      <c r="BJ570" s="1345"/>
      <c r="BN570" s="345">
        <v>801.04</v>
      </c>
      <c r="BO570" s="345" t="s">
        <v>310</v>
      </c>
      <c r="BT570" s="347">
        <v>132</v>
      </c>
      <c r="BU570" s="347" t="s">
        <v>323</v>
      </c>
      <c r="BW570" s="348" t="str">
        <f t="array" ref="BW570">IFERROR(IF($BW$11="Metro",INDEX($BN$13:$BN$4972,SMALL(IF((County=$BO$13:$BO$4972),MATCH(ROW($BO$13:$BO$4972),ROW($BO$13:$BO$4972)),""),ROWS($A$13:$A570))),INDEX($BQ$13:$BQ$212,SMALL(IF((County=$BR$13:$BR$212),MATCH(ROW($BR$13:$BR$212),ROW($BR$13:$BR$212)),""),ROWS($A$13:$A570)))),"")</f>
        <v/>
      </c>
      <c r="CD570" s="237">
        <v>16.04</v>
      </c>
      <c r="CE570" s="237" t="s">
        <v>349</v>
      </c>
      <c r="CJ570" s="347">
        <v>41.02</v>
      </c>
      <c r="CK570" s="347" t="s">
        <v>352</v>
      </c>
      <c r="CL570" s="1789"/>
      <c r="CR570" s="345"/>
      <c r="CS570" s="345"/>
      <c r="CX570" s="347"/>
      <c r="CY570" s="347"/>
      <c r="DA570" s="348"/>
      <c r="DH570" s="237"/>
      <c r="DI570" s="237"/>
      <c r="DN570" s="347"/>
      <c r="DO570" s="347"/>
      <c r="DP570" s="2505"/>
      <c r="DT570" s="663"/>
      <c r="DU570" s="663"/>
      <c r="DV570" s="663"/>
      <c r="DW570" s="663"/>
      <c r="DX570" s="663"/>
      <c r="DY570" s="663"/>
      <c r="DZ570" s="663"/>
      <c r="EA570" s="663"/>
      <c r="EB570" s="663"/>
      <c r="EC570" s="663"/>
      <c r="ED570" s="663"/>
    </row>
    <row r="571" spans="6:134">
      <c r="F571" s="345">
        <v>19.11</v>
      </c>
      <c r="G571" s="345" t="s">
        <v>361</v>
      </c>
      <c r="L571" s="347">
        <v>9502.01</v>
      </c>
      <c r="M571" s="347" t="s">
        <v>329</v>
      </c>
      <c r="V571" s="345">
        <v>256.02</v>
      </c>
      <c r="W571" s="345" t="s">
        <v>363</v>
      </c>
      <c r="AB571" s="347">
        <v>70.010000000000005</v>
      </c>
      <c r="AC571" s="347" t="s">
        <v>352</v>
      </c>
      <c r="AD571" s="1138"/>
      <c r="AJ571" s="345">
        <v>120</v>
      </c>
      <c r="AK571" s="345" t="s">
        <v>359</v>
      </c>
      <c r="AP571" s="347">
        <v>135.22</v>
      </c>
      <c r="AQ571" s="347" t="s">
        <v>323</v>
      </c>
      <c r="AZ571" s="345">
        <v>155.02000000000001</v>
      </c>
      <c r="BA571" s="345" t="s">
        <v>323</v>
      </c>
      <c r="BF571" s="347">
        <v>41.05</v>
      </c>
      <c r="BG571" s="347" t="s">
        <v>352</v>
      </c>
      <c r="BH571" s="1790"/>
      <c r="BI571" s="1794"/>
      <c r="BJ571" s="1345"/>
      <c r="BN571" s="345">
        <v>801.05</v>
      </c>
      <c r="BO571" s="345" t="s">
        <v>310</v>
      </c>
      <c r="BT571" s="347">
        <v>133.01</v>
      </c>
      <c r="BU571" s="347" t="s">
        <v>323</v>
      </c>
      <c r="BW571" s="348" t="str">
        <f t="array" ref="BW571">IFERROR(IF($BW$11="Metro",INDEX($BN$13:$BN$4972,SMALL(IF((County=$BO$13:$BO$4972),MATCH(ROW($BO$13:$BO$4972),ROW($BO$13:$BO$4972)),""),ROWS($A$13:$A571))),INDEX($BQ$13:$BQ$212,SMALL(IF((County=$BR$13:$BR$212),MATCH(ROW($BR$13:$BR$212),ROW($BR$13:$BR$212)),""),ROWS($A$13:$A571)))),"")</f>
        <v/>
      </c>
      <c r="CD571" s="345">
        <v>16.05</v>
      </c>
      <c r="CE571" s="345" t="s">
        <v>297</v>
      </c>
      <c r="CJ571" s="347">
        <v>41.03</v>
      </c>
      <c r="CK571" s="347" t="s">
        <v>352</v>
      </c>
      <c r="CL571" s="1789"/>
      <c r="CR571" s="345"/>
      <c r="CS571" s="345"/>
      <c r="CX571" s="347"/>
      <c r="CY571" s="347"/>
      <c r="DA571" s="348"/>
      <c r="DH571" s="237"/>
      <c r="DI571" s="237"/>
      <c r="DN571" s="347"/>
      <c r="DO571" s="347"/>
      <c r="DP571" s="2505"/>
      <c r="DT571" s="663"/>
      <c r="DU571" s="663"/>
      <c r="DV571" s="663"/>
      <c r="DW571" s="663"/>
      <c r="DX571" s="663"/>
      <c r="DY571" s="663"/>
      <c r="DZ571" s="663"/>
      <c r="EA571" s="663"/>
      <c r="EB571" s="663"/>
      <c r="EC571" s="663"/>
      <c r="ED571" s="663"/>
    </row>
    <row r="572" spans="6:134">
      <c r="F572" s="345">
        <v>21</v>
      </c>
      <c r="G572" s="345" t="s">
        <v>361</v>
      </c>
      <c r="L572" s="347">
        <v>9502.02</v>
      </c>
      <c r="M572" s="347" t="s">
        <v>329</v>
      </c>
      <c r="V572" s="345">
        <v>258</v>
      </c>
      <c r="W572" s="345" t="s">
        <v>363</v>
      </c>
      <c r="AB572" s="347">
        <v>70.02</v>
      </c>
      <c r="AC572" s="347" t="s">
        <v>361</v>
      </c>
      <c r="AD572" s="1138"/>
      <c r="AJ572" s="345">
        <v>121</v>
      </c>
      <c r="AK572" s="345" t="s">
        <v>359</v>
      </c>
      <c r="AP572" s="347">
        <v>135.22999999999999</v>
      </c>
      <c r="AQ572" s="347" t="s">
        <v>323</v>
      </c>
      <c r="AZ572" s="345">
        <v>158.02000000000001</v>
      </c>
      <c r="BA572" s="345" t="s">
        <v>365</v>
      </c>
      <c r="BF572" s="347">
        <v>41.06</v>
      </c>
      <c r="BG572" s="347" t="s">
        <v>352</v>
      </c>
      <c r="BH572" s="1790"/>
      <c r="BI572" s="1794"/>
      <c r="BJ572" s="1345"/>
      <c r="BN572" s="345">
        <v>802</v>
      </c>
      <c r="BO572" s="345" t="s">
        <v>310</v>
      </c>
      <c r="BT572" s="347">
        <v>134.03</v>
      </c>
      <c r="BU572" s="347" t="s">
        <v>323</v>
      </c>
      <c r="BW572" s="348" t="str">
        <f t="array" ref="BW572">IFERROR(IF($BW$11="Metro",INDEX($BN$13:$BN$4972,SMALL(IF((County=$BO$13:$BO$4972),MATCH(ROW($BO$13:$BO$4972),ROW($BO$13:$BO$4972)),""),ROWS($A$13:$A572))),INDEX($BQ$13:$BQ$212,SMALL(IF((County=$BR$13:$BR$212),MATCH(ROW($BR$13:$BR$212),ROW($BR$13:$BR$212)),""),ROWS($A$13:$A572)))),"")</f>
        <v/>
      </c>
      <c r="CD572" s="237">
        <v>16.05</v>
      </c>
      <c r="CE572" s="237" t="s">
        <v>352</v>
      </c>
      <c r="CJ572" s="347">
        <v>41.05</v>
      </c>
      <c r="CK572" s="347" t="s">
        <v>352</v>
      </c>
      <c r="CL572" s="1789"/>
      <c r="CR572" s="345"/>
      <c r="CS572" s="345"/>
      <c r="CX572" s="347"/>
      <c r="CY572" s="347"/>
      <c r="DA572" s="348"/>
      <c r="DH572" s="237"/>
      <c r="DI572" s="237"/>
      <c r="DN572" s="347"/>
      <c r="DO572" s="347"/>
      <c r="DP572" s="2505"/>
      <c r="DT572" s="663"/>
      <c r="DU572" s="663"/>
      <c r="DV572" s="663"/>
      <c r="DW572" s="663"/>
      <c r="DX572" s="663"/>
      <c r="DY572" s="663"/>
      <c r="DZ572" s="663"/>
      <c r="EA572" s="663"/>
      <c r="EB572" s="663"/>
      <c r="EC572" s="663"/>
      <c r="ED572" s="663"/>
    </row>
    <row r="573" spans="6:134">
      <c r="F573" s="345">
        <v>22</v>
      </c>
      <c r="G573" s="345" t="s">
        <v>361</v>
      </c>
      <c r="L573" s="347">
        <v>9502.0300000000007</v>
      </c>
      <c r="M573" s="347" t="s">
        <v>329</v>
      </c>
      <c r="V573" s="345">
        <v>259</v>
      </c>
      <c r="W573" s="345" t="s">
        <v>363</v>
      </c>
      <c r="AB573" s="347">
        <v>70.05</v>
      </c>
      <c r="AC573" s="347" t="s">
        <v>361</v>
      </c>
      <c r="AD573" s="1138"/>
      <c r="AJ573" s="345">
        <v>122.01</v>
      </c>
      <c r="AK573" s="345" t="s">
        <v>359</v>
      </c>
      <c r="AP573" s="347">
        <v>137.22999999999999</v>
      </c>
      <c r="AQ573" s="347" t="s">
        <v>323</v>
      </c>
      <c r="AZ573" s="345">
        <v>160.01</v>
      </c>
      <c r="BA573" s="345" t="s">
        <v>323</v>
      </c>
      <c r="BF573" s="347">
        <v>42.05</v>
      </c>
      <c r="BG573" s="347" t="s">
        <v>352</v>
      </c>
      <c r="BH573" s="1790"/>
      <c r="BI573" s="1794"/>
      <c r="BJ573" s="1345"/>
      <c r="BN573" s="345">
        <v>804.02</v>
      </c>
      <c r="BO573" s="345" t="s">
        <v>310</v>
      </c>
      <c r="BT573" s="347">
        <v>134.04</v>
      </c>
      <c r="BU573" s="347" t="s">
        <v>323</v>
      </c>
      <c r="BW573" s="348" t="str">
        <f t="array" ref="BW573">IFERROR(IF($BW$11="Metro",INDEX($BN$13:$BN$4972,SMALL(IF((County=$BO$13:$BO$4972),MATCH(ROW($BO$13:$BO$4972),ROW($BO$13:$BO$4972)),""),ROWS($A$13:$A573))),INDEX($BQ$13:$BQ$212,SMALL(IF((County=$BR$13:$BR$212),MATCH(ROW($BR$13:$BR$212),ROW($BR$13:$BR$212)),""),ROWS($A$13:$A573)))),"")</f>
        <v/>
      </c>
      <c r="CD573" s="237">
        <v>16.059999999999999</v>
      </c>
      <c r="CE573" s="237" t="s">
        <v>352</v>
      </c>
      <c r="CJ573" s="347">
        <v>41.06</v>
      </c>
      <c r="CK573" s="347" t="s">
        <v>352</v>
      </c>
      <c r="CL573" s="1789"/>
      <c r="CR573" s="345"/>
      <c r="CS573" s="345"/>
      <c r="CX573" s="347"/>
      <c r="CY573" s="347"/>
      <c r="DA573" s="348"/>
      <c r="DH573" s="237"/>
      <c r="DI573" s="237"/>
      <c r="DN573" s="347"/>
      <c r="DO573" s="347"/>
      <c r="DP573" s="2505"/>
      <c r="DT573" s="663"/>
      <c r="DU573" s="663"/>
      <c r="DV573" s="663"/>
      <c r="DW573" s="663"/>
      <c r="DX573" s="663"/>
      <c r="DY573" s="663"/>
      <c r="DZ573" s="663"/>
      <c r="EA573" s="663"/>
      <c r="EB573" s="663"/>
      <c r="EC573" s="663"/>
      <c r="ED573" s="663"/>
    </row>
    <row r="574" spans="6:134">
      <c r="F574" s="345">
        <v>24</v>
      </c>
      <c r="G574" s="345" t="s">
        <v>361</v>
      </c>
      <c r="L574" s="347">
        <v>9502.0400000000009</v>
      </c>
      <c r="M574" s="347" t="s">
        <v>329</v>
      </c>
      <c r="V574" s="345">
        <v>262</v>
      </c>
      <c r="W574" s="345" t="s">
        <v>363</v>
      </c>
      <c r="AB574" s="347">
        <v>70.06</v>
      </c>
      <c r="AC574" s="347" t="s">
        <v>361</v>
      </c>
      <c r="AD574" s="1138"/>
      <c r="AJ574" s="345">
        <v>122.02</v>
      </c>
      <c r="AK574" s="345" t="s">
        <v>359</v>
      </c>
      <c r="AP574" s="347">
        <v>137.28</v>
      </c>
      <c r="AQ574" s="347" t="s">
        <v>323</v>
      </c>
      <c r="AZ574" s="345">
        <v>160.02000000000001</v>
      </c>
      <c r="BA574" s="345" t="s">
        <v>323</v>
      </c>
      <c r="BF574" s="347">
        <v>42.05</v>
      </c>
      <c r="BG574" s="347" t="s">
        <v>361</v>
      </c>
      <c r="BH574" s="1790"/>
      <c r="BI574" s="1794"/>
      <c r="BJ574" s="1345"/>
      <c r="BN574" s="345">
        <v>804.03</v>
      </c>
      <c r="BO574" s="345" t="s">
        <v>310</v>
      </c>
      <c r="BT574" s="347">
        <v>135.22</v>
      </c>
      <c r="BU574" s="347" t="s">
        <v>323</v>
      </c>
      <c r="BW574" s="348" t="str">
        <f t="array" ref="BW574">IFERROR(IF($BW$11="Metro",INDEX($BN$13:$BN$4972,SMALL(IF((County=$BO$13:$BO$4972),MATCH(ROW($BO$13:$BO$4972),ROW($BO$13:$BO$4972)),""),ROWS($A$13:$A574))),INDEX($BQ$13:$BQ$212,SMALL(IF((County=$BR$13:$BR$212),MATCH(ROW($BR$13:$BR$212),ROW($BR$13:$BR$212)),""),ROWS($A$13:$A574)))),"")</f>
        <v/>
      </c>
      <c r="CD574" s="237">
        <v>16.07</v>
      </c>
      <c r="CE574" s="237" t="s">
        <v>352</v>
      </c>
      <c r="CJ574" s="347">
        <v>42.05</v>
      </c>
      <c r="CK574" s="347" t="s">
        <v>352</v>
      </c>
      <c r="CL574" s="1789"/>
      <c r="CR574" s="345"/>
      <c r="CS574" s="345"/>
      <c r="CX574" s="347"/>
      <c r="CY574" s="347"/>
      <c r="DA574" s="348"/>
      <c r="DH574" s="237"/>
      <c r="DI574" s="237"/>
      <c r="DN574" s="347"/>
      <c r="DO574" s="347"/>
      <c r="DP574" s="2505"/>
      <c r="DT574" s="663"/>
      <c r="DU574" s="663"/>
      <c r="DV574" s="663"/>
      <c r="DW574" s="663"/>
      <c r="DX574" s="663"/>
      <c r="DY574" s="663"/>
      <c r="DZ574" s="663"/>
      <c r="EA574" s="663"/>
      <c r="EB574" s="663"/>
      <c r="EC574" s="663"/>
      <c r="ED574" s="663"/>
    </row>
    <row r="575" spans="6:134">
      <c r="F575" s="345">
        <v>29</v>
      </c>
      <c r="G575" s="345" t="s">
        <v>361</v>
      </c>
      <c r="L575" s="347">
        <v>1</v>
      </c>
      <c r="M575" s="347" t="s">
        <v>330</v>
      </c>
      <c r="V575" s="345">
        <v>263</v>
      </c>
      <c r="W575" s="345" t="s">
        <v>363</v>
      </c>
      <c r="AB575" s="347">
        <v>70.069999999999993</v>
      </c>
      <c r="AC575" s="347" t="s">
        <v>361</v>
      </c>
      <c r="AD575" s="1138"/>
      <c r="AJ575" s="345">
        <v>123.07</v>
      </c>
      <c r="AK575" s="345" t="s">
        <v>359</v>
      </c>
      <c r="AP575" s="347">
        <v>137.30000000000001</v>
      </c>
      <c r="AQ575" s="347" t="s">
        <v>323</v>
      </c>
      <c r="AZ575" s="345">
        <v>163</v>
      </c>
      <c r="BA575" s="345" t="s">
        <v>323</v>
      </c>
      <c r="BF575" s="347">
        <v>42.07</v>
      </c>
      <c r="BG575" s="347" t="s">
        <v>352</v>
      </c>
      <c r="BH575" s="1790"/>
      <c r="BI575" s="1794"/>
      <c r="BJ575" s="1345"/>
      <c r="BN575" s="345">
        <v>804.05</v>
      </c>
      <c r="BO575" s="345" t="s">
        <v>310</v>
      </c>
      <c r="BT575" s="347">
        <v>135.22999999999999</v>
      </c>
      <c r="BU575" s="347" t="s">
        <v>323</v>
      </c>
      <c r="BW575" s="348" t="str">
        <f t="array" ref="BW575">IFERROR(IF($BW$11="Metro",INDEX($BN$13:$BN$4972,SMALL(IF((County=$BO$13:$BO$4972),MATCH(ROW($BO$13:$BO$4972),ROW($BO$13:$BO$4972)),""),ROWS($A$13:$A575))),INDEX($BQ$13:$BQ$212,SMALL(IF((County=$BR$13:$BR$212),MATCH(ROW($BR$13:$BR$212),ROW($BR$13:$BR$212)),""),ROWS($A$13:$A575)))),"")</f>
        <v/>
      </c>
      <c r="CD575" s="237">
        <v>16.079999999999998</v>
      </c>
      <c r="CE575" s="237" t="s">
        <v>352</v>
      </c>
      <c r="CJ575" s="347">
        <v>42.05</v>
      </c>
      <c r="CK575" s="347" t="s">
        <v>361</v>
      </c>
      <c r="CL575" s="1789"/>
      <c r="CR575" s="345"/>
      <c r="CS575" s="345"/>
      <c r="CX575" s="347"/>
      <c r="CY575" s="347"/>
      <c r="DA575" s="348"/>
      <c r="DH575" s="237"/>
      <c r="DI575" s="237"/>
      <c r="DN575" s="347"/>
      <c r="DO575" s="347"/>
      <c r="DP575" s="2505"/>
      <c r="DT575" s="663"/>
      <c r="DU575" s="663"/>
      <c r="DV575" s="663"/>
      <c r="DW575" s="663"/>
      <c r="DX575" s="663"/>
      <c r="DY575" s="663"/>
      <c r="DZ575" s="663"/>
      <c r="EA575" s="663"/>
      <c r="EB575" s="663"/>
      <c r="EC575" s="663"/>
      <c r="ED575" s="663"/>
    </row>
    <row r="576" spans="6:134">
      <c r="F576" s="345">
        <v>30</v>
      </c>
      <c r="G576" s="345" t="s">
        <v>361</v>
      </c>
      <c r="L576" s="347">
        <v>9602</v>
      </c>
      <c r="M576" s="347" t="s">
        <v>331</v>
      </c>
      <c r="V576" s="345">
        <v>269.08999999999997</v>
      </c>
      <c r="W576" s="345" t="s">
        <v>363</v>
      </c>
      <c r="AB576" s="347">
        <v>70.08</v>
      </c>
      <c r="AC576" s="347" t="s">
        <v>361</v>
      </c>
      <c r="AD576" s="1138"/>
      <c r="AJ576" s="345">
        <v>124.02</v>
      </c>
      <c r="AK576" s="345" t="s">
        <v>359</v>
      </c>
      <c r="AP576" s="347">
        <v>137.31</v>
      </c>
      <c r="AQ576" s="347" t="s">
        <v>323</v>
      </c>
      <c r="AZ576" s="345">
        <v>163.02000000000001</v>
      </c>
      <c r="BA576" s="345" t="s">
        <v>359</v>
      </c>
      <c r="BF576" s="347">
        <v>42.08</v>
      </c>
      <c r="BG576" s="347" t="s">
        <v>352</v>
      </c>
      <c r="BH576" s="1790"/>
      <c r="BI576" s="1794"/>
      <c r="BJ576" s="1345"/>
      <c r="BN576" s="345">
        <v>804.06</v>
      </c>
      <c r="BO576" s="345" t="s">
        <v>310</v>
      </c>
      <c r="BT576" s="347">
        <v>137.22999999999999</v>
      </c>
      <c r="BU576" s="347" t="s">
        <v>323</v>
      </c>
      <c r="BW576" s="348" t="str">
        <f t="array" ref="BW576">IFERROR(IF($BW$11="Metro",INDEX($BN$13:$BN$4972,SMALL(IF((County=$BO$13:$BO$4972),MATCH(ROW($BO$13:$BO$4972),ROW($BO$13:$BO$4972)),""),ROWS($A$13:$A576))),INDEX($BQ$13:$BQ$212,SMALL(IF((County=$BR$13:$BR$212),MATCH(ROW($BR$13:$BR$212),ROW($BR$13:$BR$212)),""),ROWS($A$13:$A576)))),"")</f>
        <v/>
      </c>
      <c r="CD576" s="345">
        <v>17</v>
      </c>
      <c r="CE576" s="345" t="s">
        <v>306</v>
      </c>
      <c r="CJ576" s="347">
        <v>42.06</v>
      </c>
      <c r="CK576" s="347" t="s">
        <v>352</v>
      </c>
      <c r="CL576" s="1789"/>
      <c r="CR576" s="345"/>
      <c r="CS576" s="345"/>
      <c r="CX576" s="347"/>
      <c r="CY576" s="347"/>
      <c r="DA576" s="348"/>
      <c r="DH576" s="237"/>
      <c r="DI576" s="237"/>
      <c r="DN576" s="347"/>
      <c r="DO576" s="347"/>
      <c r="DP576" s="2505"/>
      <c r="DT576" s="663"/>
      <c r="DU576" s="663"/>
      <c r="DV576" s="663"/>
      <c r="DW576" s="663"/>
      <c r="DX576" s="663"/>
      <c r="DY576" s="663"/>
      <c r="DZ576" s="663"/>
      <c r="EA576" s="663"/>
      <c r="EB576" s="663"/>
      <c r="EC576" s="663"/>
      <c r="ED576" s="663"/>
    </row>
    <row r="577" spans="6:134">
      <c r="F577" s="345">
        <v>31.02</v>
      </c>
      <c r="G577" s="345" t="s">
        <v>361</v>
      </c>
      <c r="L577" s="347">
        <v>9603</v>
      </c>
      <c r="M577" s="347" t="s">
        <v>331</v>
      </c>
      <c r="V577" s="345">
        <v>271.01</v>
      </c>
      <c r="W577" s="345" t="s">
        <v>363</v>
      </c>
      <c r="AB577" s="347">
        <v>70.09</v>
      </c>
      <c r="AC577" s="347" t="s">
        <v>361</v>
      </c>
      <c r="AD577" s="1138"/>
      <c r="AJ577" s="345">
        <v>124.03</v>
      </c>
      <c r="AK577" s="345" t="s">
        <v>359</v>
      </c>
      <c r="AP577" s="347">
        <v>137.32</v>
      </c>
      <c r="AQ577" s="347" t="s">
        <v>323</v>
      </c>
      <c r="AZ577" s="345">
        <v>164</v>
      </c>
      <c r="BA577" s="345" t="s">
        <v>365</v>
      </c>
      <c r="BF577" s="347">
        <v>43</v>
      </c>
      <c r="BG577" s="347" t="s">
        <v>361</v>
      </c>
      <c r="BH577" s="1790"/>
      <c r="BI577" s="1794"/>
      <c r="BJ577" s="1345"/>
      <c r="BN577" s="345">
        <v>805</v>
      </c>
      <c r="BO577" s="345" t="s">
        <v>310</v>
      </c>
      <c r="BT577" s="347">
        <v>137.28</v>
      </c>
      <c r="BU577" s="347" t="s">
        <v>323</v>
      </c>
      <c r="BW577" s="348" t="str">
        <f t="array" ref="BW577">IFERROR(IF($BW$11="Metro",INDEX($BN$13:$BN$4972,SMALL(IF((County=$BO$13:$BO$4972),MATCH(ROW($BO$13:$BO$4972),ROW($BO$13:$BO$4972)),""),ROWS($A$13:$A577))),INDEX($BQ$13:$BQ$212,SMALL(IF((County=$BR$13:$BR$212),MATCH(ROW($BR$13:$BR$212),ROW($BR$13:$BR$212)),""),ROWS($A$13:$A577)))),"")</f>
        <v/>
      </c>
      <c r="CD577" s="237">
        <v>17</v>
      </c>
      <c r="CE577" s="237" t="s">
        <v>325</v>
      </c>
      <c r="CJ577" s="347">
        <v>42.06</v>
      </c>
      <c r="CK577" s="347" t="s">
        <v>361</v>
      </c>
      <c r="CL577" s="1789"/>
      <c r="CR577" s="345"/>
      <c r="CS577" s="345"/>
      <c r="CX577" s="347"/>
      <c r="CY577" s="347"/>
      <c r="DA577" s="348"/>
      <c r="DH577" s="237"/>
      <c r="DI577" s="237"/>
      <c r="DN577" s="347"/>
      <c r="DO577" s="347"/>
      <c r="DP577" s="2505"/>
      <c r="DT577" s="663"/>
      <c r="DU577" s="663"/>
      <c r="DV577" s="663"/>
      <c r="DW577" s="663"/>
      <c r="DX577" s="663"/>
      <c r="DY577" s="663"/>
      <c r="DZ577" s="663"/>
      <c r="EA577" s="663"/>
      <c r="EB577" s="663"/>
      <c r="EC577" s="663"/>
      <c r="ED577" s="663"/>
    </row>
    <row r="578" spans="6:134">
      <c r="F578" s="345">
        <v>37</v>
      </c>
      <c r="G578" s="345" t="s">
        <v>361</v>
      </c>
      <c r="L578" s="347">
        <v>9701.01</v>
      </c>
      <c r="M578" s="347" t="s">
        <v>333</v>
      </c>
      <c r="V578" s="345">
        <v>274.02</v>
      </c>
      <c r="W578" s="345" t="s">
        <v>363</v>
      </c>
      <c r="AB578" s="347">
        <v>70.099999999999994</v>
      </c>
      <c r="AC578" s="347" t="s">
        <v>361</v>
      </c>
      <c r="AD578" s="1138"/>
      <c r="AJ578" s="345">
        <v>134.03</v>
      </c>
      <c r="AK578" s="345" t="s">
        <v>359</v>
      </c>
      <c r="AP578" s="347">
        <v>137.33000000000001</v>
      </c>
      <c r="AQ578" s="347" t="s">
        <v>323</v>
      </c>
      <c r="AZ578" s="345">
        <v>164.07</v>
      </c>
      <c r="BA578" s="345" t="s">
        <v>359</v>
      </c>
      <c r="BF578" s="347">
        <v>43.01</v>
      </c>
      <c r="BG578" s="347" t="s">
        <v>352</v>
      </c>
      <c r="BH578" s="1790"/>
      <c r="BI578" s="1794"/>
      <c r="BJ578" s="1345"/>
      <c r="BN578" s="345">
        <v>901.02</v>
      </c>
      <c r="BO578" s="345" t="s">
        <v>310</v>
      </c>
      <c r="BT578" s="347">
        <v>137.29</v>
      </c>
      <c r="BU578" s="347" t="s">
        <v>323</v>
      </c>
      <c r="BW578" s="348" t="str">
        <f t="array" ref="BW578">IFERROR(IF($BW$11="Metro",INDEX($BN$13:$BN$4972,SMALL(IF((County=$BO$13:$BO$4972),MATCH(ROW($BO$13:$BO$4972),ROW($BO$13:$BO$4972)),""),ROWS($A$13:$A578))),INDEX($BQ$13:$BQ$212,SMALL(IF((County=$BR$13:$BR$212),MATCH(ROW($BR$13:$BR$212),ROW($BR$13:$BR$212)),""),ROWS($A$13:$A578)))),"")</f>
        <v/>
      </c>
      <c r="CD578" s="237">
        <v>17</v>
      </c>
      <c r="CE578" s="237" t="s">
        <v>337</v>
      </c>
      <c r="CJ578" s="347">
        <v>42.07</v>
      </c>
      <c r="CK578" s="347" t="s">
        <v>352</v>
      </c>
      <c r="CL578" s="1789"/>
      <c r="CR578" s="345"/>
      <c r="CS578" s="345"/>
      <c r="CX578" s="347"/>
      <c r="CY578" s="347"/>
      <c r="DA578" s="348"/>
      <c r="DH578" s="237"/>
      <c r="DI578" s="237"/>
      <c r="DN578" s="347"/>
      <c r="DO578" s="347"/>
      <c r="DP578" s="2505"/>
      <c r="DT578" s="663"/>
      <c r="DU578" s="663"/>
      <c r="DV578" s="663"/>
      <c r="DW578" s="663"/>
      <c r="DX578" s="663"/>
      <c r="DY578" s="663"/>
      <c r="DZ578" s="663"/>
      <c r="EA578" s="663"/>
      <c r="EB578" s="663"/>
      <c r="EC578" s="663"/>
      <c r="ED578" s="663"/>
    </row>
    <row r="579" spans="6:134">
      <c r="F579" s="345">
        <v>40.07</v>
      </c>
      <c r="G579" s="345" t="s">
        <v>361</v>
      </c>
      <c r="L579" s="347">
        <v>9701.02</v>
      </c>
      <c r="M579" s="347" t="s">
        <v>333</v>
      </c>
      <c r="V579" s="345">
        <v>287</v>
      </c>
      <c r="W579" s="345" t="s">
        <v>363</v>
      </c>
      <c r="AB579" s="347">
        <v>70.11</v>
      </c>
      <c r="AC579" s="347" t="s">
        <v>361</v>
      </c>
      <c r="AD579" s="1138"/>
      <c r="AJ579" s="345">
        <v>134.05000000000001</v>
      </c>
      <c r="AK579" s="345" t="s">
        <v>359</v>
      </c>
      <c r="AP579" s="347">
        <v>138</v>
      </c>
      <c r="AQ579" s="347" t="s">
        <v>323</v>
      </c>
      <c r="AZ579" s="345">
        <v>165.03</v>
      </c>
      <c r="BA579" s="345" t="s">
        <v>359</v>
      </c>
      <c r="BF579" s="347">
        <v>43.03</v>
      </c>
      <c r="BG579" s="347" t="s">
        <v>352</v>
      </c>
      <c r="BH579" s="1790"/>
      <c r="BI579" s="1793"/>
      <c r="BJ579" s="1329"/>
      <c r="BN579" s="345">
        <v>901.03</v>
      </c>
      <c r="BO579" s="345" t="s">
        <v>310</v>
      </c>
      <c r="BT579" s="347">
        <v>137.30000000000001</v>
      </c>
      <c r="BU579" s="347" t="s">
        <v>323</v>
      </c>
      <c r="BW579" s="348" t="str">
        <f t="array" ref="BW579">IFERROR(IF($BW$11="Metro",INDEX($BN$13:$BN$4972,SMALL(IF((County=$BO$13:$BO$4972),MATCH(ROW($BO$13:$BO$4972),ROW($BO$13:$BO$4972)),""),ROWS($A$13:$A579))),INDEX($BQ$13:$BQ$212,SMALL(IF((County=$BR$13:$BR$212),MATCH(ROW($BR$13:$BR$212),ROW($BR$13:$BR$212)),""),ROWS($A$13:$A579)))),"")</f>
        <v/>
      </c>
      <c r="CD579" s="237">
        <v>17</v>
      </c>
      <c r="CE579" s="237" t="s">
        <v>350</v>
      </c>
      <c r="CJ579" s="347">
        <v>43</v>
      </c>
      <c r="CK579" s="347" t="s">
        <v>361</v>
      </c>
      <c r="CL579" s="1789"/>
      <c r="CR579" s="345"/>
      <c r="CS579" s="345"/>
      <c r="CX579" s="347"/>
      <c r="CY579" s="347"/>
      <c r="DA579" s="348"/>
      <c r="DH579" s="237"/>
      <c r="DI579" s="237"/>
      <c r="DN579" s="347"/>
      <c r="DO579" s="347"/>
      <c r="DP579" s="2505"/>
      <c r="DT579" s="663"/>
      <c r="DU579" s="663"/>
      <c r="DV579" s="663"/>
      <c r="DW579" s="663"/>
      <c r="DX579" s="663"/>
      <c r="DY579" s="663"/>
      <c r="DZ579" s="663"/>
      <c r="EA579" s="663"/>
      <c r="EB579" s="663"/>
      <c r="EC579" s="663"/>
      <c r="ED579" s="663"/>
    </row>
    <row r="580" spans="6:134">
      <c r="F580" s="345">
        <v>40.090000000000003</v>
      </c>
      <c r="G580" s="345" t="s">
        <v>361</v>
      </c>
      <c r="L580" s="347">
        <v>9702.02</v>
      </c>
      <c r="M580" s="347" t="s">
        <v>333</v>
      </c>
      <c r="V580" s="345">
        <v>301.02</v>
      </c>
      <c r="W580" s="345" t="s">
        <v>343</v>
      </c>
      <c r="AB580" s="347">
        <v>71.010000000000005</v>
      </c>
      <c r="AC580" s="347" t="s">
        <v>352</v>
      </c>
      <c r="AD580" s="1138"/>
      <c r="AJ580" s="345">
        <v>135.03</v>
      </c>
      <c r="AK580" s="345" t="s">
        <v>359</v>
      </c>
      <c r="AP580" s="347">
        <v>139.01</v>
      </c>
      <c r="AQ580" s="347" t="s">
        <v>323</v>
      </c>
      <c r="AZ580" s="345">
        <v>165.1</v>
      </c>
      <c r="BA580" s="345" t="s">
        <v>359</v>
      </c>
      <c r="BF580" s="347">
        <v>43.04</v>
      </c>
      <c r="BG580" s="347" t="s">
        <v>352</v>
      </c>
      <c r="BH580" s="1790"/>
      <c r="BI580" s="1329"/>
      <c r="BJ580" s="1329"/>
      <c r="BN580" s="345">
        <v>901.04</v>
      </c>
      <c r="BO580" s="345" t="s">
        <v>310</v>
      </c>
      <c r="BT580" s="347">
        <v>137.31</v>
      </c>
      <c r="BU580" s="347" t="s">
        <v>323</v>
      </c>
      <c r="BW580" s="348" t="str">
        <f t="array" ref="BW580">IFERROR(IF($BW$11="Metro",INDEX($BN$13:$BN$4972,SMALL(IF((County=$BO$13:$BO$4972),MATCH(ROW($BO$13:$BO$4972),ROW($BO$13:$BO$4972)),""),ROWS($A$13:$A580))),INDEX($BQ$13:$BQ$212,SMALL(IF((County=$BR$13:$BR$212),MATCH(ROW($BR$13:$BR$212),ROW($BR$13:$BR$212)),""),ROWS($A$13:$A580)))),"")</f>
        <v/>
      </c>
      <c r="CD580" s="237">
        <v>17</v>
      </c>
      <c r="CE580" s="237" t="s">
        <v>361</v>
      </c>
      <c r="CJ580" s="347">
        <v>43.01</v>
      </c>
      <c r="CK580" s="347" t="s">
        <v>352</v>
      </c>
      <c r="CL580" s="1789"/>
      <c r="CR580" s="345"/>
      <c r="CS580" s="345"/>
      <c r="CX580" s="347"/>
      <c r="CY580" s="347"/>
      <c r="DA580" s="348"/>
      <c r="DH580" s="237"/>
      <c r="DI580" s="237"/>
      <c r="DN580" s="347"/>
      <c r="DO580" s="347"/>
      <c r="DP580" s="2505"/>
      <c r="DT580" s="663"/>
      <c r="DU580" s="663"/>
      <c r="DV580" s="663"/>
      <c r="DW580" s="663"/>
      <c r="DX580" s="663"/>
      <c r="DY580" s="663"/>
      <c r="DZ580" s="663"/>
      <c r="EA580" s="663"/>
      <c r="EB580" s="663"/>
      <c r="EC580" s="663"/>
      <c r="ED580" s="663"/>
    </row>
    <row r="581" spans="6:134">
      <c r="F581" s="345">
        <v>44.02</v>
      </c>
      <c r="G581" s="345" t="s">
        <v>361</v>
      </c>
      <c r="L581" s="347">
        <v>9703</v>
      </c>
      <c r="M581" s="347" t="s">
        <v>333</v>
      </c>
      <c r="V581" s="345">
        <v>301.02</v>
      </c>
      <c r="W581" s="345" t="s">
        <v>362</v>
      </c>
      <c r="AB581" s="347">
        <v>71.02</v>
      </c>
      <c r="AC581" s="347" t="s">
        <v>337</v>
      </c>
      <c r="AD581" s="1138"/>
      <c r="AJ581" s="345">
        <v>135.11000000000001</v>
      </c>
      <c r="AK581" s="345" t="s">
        <v>359</v>
      </c>
      <c r="AP581" s="347">
        <v>139.02000000000001</v>
      </c>
      <c r="AQ581" s="347" t="s">
        <v>323</v>
      </c>
      <c r="AZ581" s="345">
        <v>165.11</v>
      </c>
      <c r="BA581" s="345" t="s">
        <v>359</v>
      </c>
      <c r="BF581" s="347">
        <v>44.01</v>
      </c>
      <c r="BG581" s="347" t="s">
        <v>361</v>
      </c>
      <c r="BH581" s="1790"/>
      <c r="BI581" s="1329"/>
      <c r="BJ581" s="1329"/>
      <c r="BN581" s="345">
        <v>902</v>
      </c>
      <c r="BO581" s="345" t="s">
        <v>310</v>
      </c>
      <c r="BT581" s="347">
        <v>137.32</v>
      </c>
      <c r="BU581" s="347" t="s">
        <v>323</v>
      </c>
      <c r="BW581" s="348" t="str">
        <f t="array" ref="BW581">IFERROR(IF($BW$11="Metro",INDEX($BN$13:$BN$4972,SMALL(IF((County=$BO$13:$BO$4972),MATCH(ROW($BO$13:$BO$4972),ROW($BO$13:$BO$4972)),""),ROWS($A$13:$A581))),INDEX($BQ$13:$BQ$212,SMALL(IF((County=$BR$13:$BR$212),MATCH(ROW($BR$13:$BR$212),ROW($BR$13:$BR$212)),""),ROWS($A$13:$A581)))),"")</f>
        <v/>
      </c>
      <c r="CD581" s="345">
        <v>17.010000000000002</v>
      </c>
      <c r="CE581" s="345" t="s">
        <v>297</v>
      </c>
      <c r="CJ581" s="347">
        <v>43.03</v>
      </c>
      <c r="CK581" s="347" t="s">
        <v>352</v>
      </c>
      <c r="CL581" s="1789"/>
      <c r="CR581" s="345"/>
      <c r="CS581" s="345"/>
      <c r="CX581" s="347"/>
      <c r="CY581" s="347"/>
      <c r="DA581" s="348"/>
      <c r="DH581" s="237"/>
      <c r="DI581" s="237"/>
      <c r="DN581" s="347"/>
      <c r="DO581" s="347"/>
      <c r="DP581" s="2505"/>
      <c r="DT581" s="663"/>
      <c r="DU581" s="663"/>
      <c r="DV581" s="663"/>
      <c r="DW581" s="663"/>
      <c r="DX581" s="663"/>
      <c r="DY581" s="663"/>
      <c r="DZ581" s="663"/>
      <c r="EA581" s="663"/>
      <c r="EB581" s="663"/>
      <c r="EC581" s="663"/>
      <c r="ED581" s="663"/>
    </row>
    <row r="582" spans="6:134">
      <c r="F582" s="345">
        <v>45</v>
      </c>
      <c r="G582" s="345" t="s">
        <v>361</v>
      </c>
      <c r="L582" s="347">
        <v>1</v>
      </c>
      <c r="M582" s="347" t="s">
        <v>334</v>
      </c>
      <c r="V582" s="345">
        <v>301.06</v>
      </c>
      <c r="W582" s="345" t="s">
        <v>343</v>
      </c>
      <c r="AB582" s="347">
        <v>71.03</v>
      </c>
      <c r="AC582" s="347" t="s">
        <v>337</v>
      </c>
      <c r="AD582" s="1138"/>
      <c r="AJ582" s="345">
        <v>135.12</v>
      </c>
      <c r="AK582" s="345" t="s">
        <v>359</v>
      </c>
      <c r="AP582" s="347">
        <v>139.04</v>
      </c>
      <c r="AQ582" s="347" t="s">
        <v>323</v>
      </c>
      <c r="AZ582" s="345">
        <v>165.12</v>
      </c>
      <c r="BA582" s="345" t="s">
        <v>359</v>
      </c>
      <c r="BF582" s="347">
        <v>44.03</v>
      </c>
      <c r="BG582" s="347" t="s">
        <v>352</v>
      </c>
      <c r="BH582" s="1790"/>
      <c r="BI582" s="1329"/>
      <c r="BJ582" s="1329"/>
      <c r="BN582" s="345">
        <v>903.01</v>
      </c>
      <c r="BO582" s="345" t="s">
        <v>310</v>
      </c>
      <c r="BT582" s="347">
        <v>137.33000000000001</v>
      </c>
      <c r="BU582" s="347" t="s">
        <v>323</v>
      </c>
      <c r="BW582" s="348" t="str">
        <f t="array" ref="BW582">IFERROR(IF($BW$11="Metro",INDEX($BN$13:$BN$4972,SMALL(IF((County=$BO$13:$BO$4972),MATCH(ROW($BO$13:$BO$4972),ROW($BO$13:$BO$4972)),""),ROWS($A$13:$A582))),INDEX($BQ$13:$BQ$212,SMALL(IF((County=$BR$13:$BR$212),MATCH(ROW($BR$13:$BR$212),ROW($BR$13:$BR$212)),""),ROWS($A$13:$A582)))),"")</f>
        <v/>
      </c>
      <c r="CD582" s="237">
        <v>17.010000000000002</v>
      </c>
      <c r="CE582" s="237" t="s">
        <v>344</v>
      </c>
      <c r="CJ582" s="347">
        <v>43.04</v>
      </c>
      <c r="CK582" s="347" t="s">
        <v>352</v>
      </c>
      <c r="CL582" s="1789"/>
      <c r="CR582" s="345"/>
      <c r="CS582" s="345"/>
      <c r="CX582" s="347"/>
      <c r="CY582" s="347"/>
      <c r="DA582" s="348"/>
      <c r="DH582" s="237"/>
      <c r="DI582" s="237"/>
      <c r="DN582" s="347"/>
      <c r="DO582" s="347"/>
      <c r="DP582" s="2505"/>
      <c r="DT582" s="663"/>
      <c r="DU582" s="663"/>
      <c r="DV582" s="663"/>
      <c r="DW582" s="663"/>
      <c r="DX582" s="663"/>
      <c r="DY582" s="663"/>
      <c r="DZ582" s="663"/>
      <c r="EA582" s="663"/>
      <c r="EB582" s="663"/>
      <c r="EC582" s="663"/>
      <c r="ED582" s="663"/>
    </row>
    <row r="583" spans="6:134">
      <c r="F583" s="345">
        <v>46.02</v>
      </c>
      <c r="G583" s="345" t="s">
        <v>361</v>
      </c>
      <c r="L583" s="347">
        <v>4.01</v>
      </c>
      <c r="M583" s="347" t="s">
        <v>334</v>
      </c>
      <c r="V583" s="345">
        <v>302.02</v>
      </c>
      <c r="W583" s="345" t="s">
        <v>310</v>
      </c>
      <c r="AB583" s="347">
        <v>71.03</v>
      </c>
      <c r="AC583" s="347" t="s">
        <v>352</v>
      </c>
      <c r="AD583" s="1138"/>
      <c r="AJ583" s="345">
        <v>136.05000000000001</v>
      </c>
      <c r="AK583" s="345" t="s">
        <v>359</v>
      </c>
      <c r="AP583" s="347">
        <v>139.05000000000001</v>
      </c>
      <c r="AQ583" s="347" t="s">
        <v>323</v>
      </c>
      <c r="AZ583" s="345">
        <v>165.13</v>
      </c>
      <c r="BA583" s="345" t="s">
        <v>359</v>
      </c>
      <c r="BF583" s="347">
        <v>44.05</v>
      </c>
      <c r="BG583" s="347" t="s">
        <v>352</v>
      </c>
      <c r="BH583" s="1790"/>
      <c r="BI583" s="1329"/>
      <c r="BJ583" s="1329"/>
      <c r="BN583" s="345">
        <v>903.03</v>
      </c>
      <c r="BO583" s="345" t="s">
        <v>310</v>
      </c>
      <c r="BT583" s="347">
        <v>138</v>
      </c>
      <c r="BU583" s="347" t="s">
        <v>323</v>
      </c>
      <c r="BW583" s="348" t="str">
        <f t="array" ref="BW583">IFERROR(IF($BW$11="Metro",INDEX($BN$13:$BN$4972,SMALL(IF((County=$BO$13:$BO$4972),MATCH(ROW($BO$13:$BO$4972),ROW($BO$13:$BO$4972)),""),ROWS($A$13:$A583))),INDEX($BQ$13:$BQ$212,SMALL(IF((County=$BR$13:$BR$212),MATCH(ROW($BR$13:$BR$212),ROW($BR$13:$BR$212)),""),ROWS($A$13:$A583)))),"")</f>
        <v/>
      </c>
      <c r="CD583" s="237">
        <v>17.010000000000002</v>
      </c>
      <c r="CE583" s="237" t="s">
        <v>345</v>
      </c>
      <c r="CJ583" s="347">
        <v>44.01</v>
      </c>
      <c r="CK583" s="347" t="s">
        <v>361</v>
      </c>
      <c r="CL583" s="1789"/>
      <c r="CR583" s="345"/>
      <c r="CS583" s="345"/>
      <c r="CX583" s="347"/>
      <c r="CY583" s="347"/>
      <c r="DA583" s="348"/>
      <c r="DH583" s="237"/>
      <c r="DI583" s="237"/>
      <c r="DN583" s="347"/>
      <c r="DO583" s="347"/>
      <c r="DP583" s="2505"/>
      <c r="DT583" s="663"/>
      <c r="DU583" s="663"/>
      <c r="DV583" s="663"/>
      <c r="DW583" s="663"/>
      <c r="DX583" s="663"/>
      <c r="DY583" s="663"/>
      <c r="DZ583" s="663"/>
      <c r="EA583" s="663"/>
      <c r="EB583" s="663"/>
      <c r="EC583" s="663"/>
      <c r="ED583" s="663"/>
    </row>
    <row r="584" spans="6:134">
      <c r="F584" s="345">
        <v>47.04</v>
      </c>
      <c r="G584" s="345" t="s">
        <v>361</v>
      </c>
      <c r="L584" s="347">
        <v>4.0199999999999996</v>
      </c>
      <c r="M584" s="347" t="s">
        <v>334</v>
      </c>
      <c r="V584" s="345">
        <v>302.02999999999997</v>
      </c>
      <c r="W584" s="345" t="s">
        <v>362</v>
      </c>
      <c r="AB584" s="347">
        <v>71.040000000000006</v>
      </c>
      <c r="AC584" s="347" t="s">
        <v>352</v>
      </c>
      <c r="AD584" s="1138"/>
      <c r="AJ584" s="345">
        <v>136.06</v>
      </c>
      <c r="AK584" s="345" t="s">
        <v>359</v>
      </c>
      <c r="AP584" s="347">
        <v>139.06</v>
      </c>
      <c r="AQ584" s="347" t="s">
        <v>323</v>
      </c>
      <c r="AZ584" s="345">
        <v>166.05</v>
      </c>
      <c r="BA584" s="345" t="s">
        <v>323</v>
      </c>
      <c r="BF584" s="347">
        <v>44.06</v>
      </c>
      <c r="BG584" s="347" t="s">
        <v>352</v>
      </c>
      <c r="BH584" s="1790"/>
      <c r="BI584" s="1329"/>
      <c r="BJ584" s="1329"/>
      <c r="BN584" s="345">
        <v>903.04</v>
      </c>
      <c r="BO584" s="345" t="s">
        <v>310</v>
      </c>
      <c r="BT584" s="347">
        <v>139.01</v>
      </c>
      <c r="BU584" s="347" t="s">
        <v>323</v>
      </c>
      <c r="BW584" s="348" t="str">
        <f t="array" ref="BW584">IFERROR(IF($BW$11="Metro",INDEX($BN$13:$BN$4972,SMALL(IF((County=$BO$13:$BO$4972),MATCH(ROW($BO$13:$BO$4972),ROW($BO$13:$BO$4972)),""),ROWS($A$13:$A584))),INDEX($BQ$13:$BQ$212,SMALL(IF((County=$BR$13:$BR$212),MATCH(ROW($BR$13:$BR$212),ROW($BR$13:$BR$212)),""),ROWS($A$13:$A584)))),"")</f>
        <v/>
      </c>
      <c r="CD584" s="237">
        <v>17.010000000000002</v>
      </c>
      <c r="CE584" s="237" t="s">
        <v>349</v>
      </c>
      <c r="CJ584" s="347">
        <v>44.06</v>
      </c>
      <c r="CK584" s="347" t="s">
        <v>352</v>
      </c>
      <c r="CL584" s="1789"/>
      <c r="CR584" s="345"/>
      <c r="CS584" s="345"/>
      <c r="CX584" s="347"/>
      <c r="CY584" s="347"/>
      <c r="DA584" s="348"/>
      <c r="DH584" s="237"/>
      <c r="DI584" s="237"/>
      <c r="DN584" s="347"/>
      <c r="DO584" s="347"/>
      <c r="DP584" s="2505"/>
      <c r="DT584" s="663"/>
      <c r="DU584" s="663"/>
      <c r="DV584" s="663"/>
      <c r="DW584" s="663"/>
      <c r="DX584" s="663"/>
      <c r="DY584" s="663"/>
      <c r="DZ584" s="663"/>
      <c r="EA584" s="663"/>
      <c r="EB584" s="663"/>
      <c r="EC584" s="663"/>
      <c r="ED584" s="663"/>
    </row>
    <row r="585" spans="6:134">
      <c r="F585" s="345">
        <v>47.05</v>
      </c>
      <c r="G585" s="345" t="s">
        <v>361</v>
      </c>
      <c r="L585" s="347">
        <v>402.01</v>
      </c>
      <c r="M585" s="347" t="s">
        <v>335</v>
      </c>
      <c r="V585" s="345">
        <v>302.04000000000002</v>
      </c>
      <c r="W585" s="345" t="s">
        <v>362</v>
      </c>
      <c r="AB585" s="347">
        <v>72</v>
      </c>
      <c r="AC585" s="347" t="s">
        <v>337</v>
      </c>
      <c r="AD585" s="1138"/>
      <c r="AJ585" s="345">
        <v>143.02000000000001</v>
      </c>
      <c r="AK585" s="345" t="s">
        <v>359</v>
      </c>
      <c r="AP585" s="347">
        <v>140.01</v>
      </c>
      <c r="AQ585" s="347" t="s">
        <v>323</v>
      </c>
      <c r="AZ585" s="345">
        <v>166.06</v>
      </c>
      <c r="BA585" s="345" t="s">
        <v>323</v>
      </c>
      <c r="BF585" s="347">
        <v>45</v>
      </c>
      <c r="BG585" s="347" t="s">
        <v>352</v>
      </c>
      <c r="BH585" s="1790"/>
      <c r="BI585" s="1329"/>
      <c r="BJ585" s="1329"/>
      <c r="BN585" s="345">
        <v>904.01</v>
      </c>
      <c r="BO585" s="345" t="s">
        <v>310</v>
      </c>
      <c r="BT585" s="347">
        <v>139.02000000000001</v>
      </c>
      <c r="BU585" s="347" t="s">
        <v>323</v>
      </c>
      <c r="BW585" s="348" t="str">
        <f t="array" ref="BW585">IFERROR(IF($BW$11="Metro",INDEX($BN$13:$BN$4972,SMALL(IF((County=$BO$13:$BO$4972),MATCH(ROW($BO$13:$BO$4972),ROW($BO$13:$BO$4972)),""),ROWS($A$13:$A585))),INDEX($BQ$13:$BQ$212,SMALL(IF((County=$BR$13:$BR$212),MATCH(ROW($BR$13:$BR$212),ROW($BR$13:$BR$212)),""),ROWS($A$13:$A585)))),"")</f>
        <v/>
      </c>
      <c r="CD585" s="237">
        <v>17.010000000000002</v>
      </c>
      <c r="CE585" s="237" t="s">
        <v>351</v>
      </c>
      <c r="CJ585" s="347">
        <v>45</v>
      </c>
      <c r="CK585" s="347" t="s">
        <v>352</v>
      </c>
      <c r="CL585" s="1789"/>
      <c r="CR585" s="345"/>
      <c r="CS585" s="345"/>
      <c r="CX585" s="347"/>
      <c r="CY585" s="347"/>
      <c r="DA585" s="348"/>
      <c r="DH585" s="237"/>
      <c r="DI585" s="237"/>
      <c r="DN585" s="347"/>
      <c r="DO585" s="347"/>
      <c r="DP585" s="2505"/>
      <c r="DT585" s="663"/>
      <c r="DU585" s="663"/>
      <c r="DV585" s="663"/>
      <c r="DW585" s="663"/>
      <c r="DX585" s="663"/>
      <c r="DY585" s="663"/>
      <c r="DZ585" s="663"/>
      <c r="EA585" s="663"/>
      <c r="EB585" s="663"/>
      <c r="EC585" s="663"/>
      <c r="ED585" s="663"/>
    </row>
    <row r="586" spans="6:134">
      <c r="F586" s="345">
        <v>49.03</v>
      </c>
      <c r="G586" s="345" t="s">
        <v>361</v>
      </c>
      <c r="L586" s="347">
        <v>402.02</v>
      </c>
      <c r="M586" s="347" t="s">
        <v>335</v>
      </c>
      <c r="V586" s="345">
        <v>302.06</v>
      </c>
      <c r="W586" s="345" t="s">
        <v>343</v>
      </c>
      <c r="AB586" s="347">
        <v>72.010000000000005</v>
      </c>
      <c r="AC586" s="347" t="s">
        <v>361</v>
      </c>
      <c r="AD586" s="1138"/>
      <c r="AJ586" s="345">
        <v>145.02000000000001</v>
      </c>
      <c r="AK586" s="345" t="s">
        <v>359</v>
      </c>
      <c r="AP586" s="347">
        <v>140.02000000000001</v>
      </c>
      <c r="AQ586" s="347" t="s">
        <v>323</v>
      </c>
      <c r="AZ586" s="345">
        <v>167.09</v>
      </c>
      <c r="BA586" s="345" t="s">
        <v>359</v>
      </c>
      <c r="BF586" s="347">
        <v>46.01</v>
      </c>
      <c r="BG586" s="347" t="s">
        <v>337</v>
      </c>
      <c r="BH586" s="1790"/>
      <c r="BI586" s="1329"/>
      <c r="BJ586" s="1329"/>
      <c r="BN586" s="345">
        <v>904.03</v>
      </c>
      <c r="BO586" s="345" t="s">
        <v>310</v>
      </c>
      <c r="BT586" s="347">
        <v>139.05000000000001</v>
      </c>
      <c r="BU586" s="347" t="s">
        <v>323</v>
      </c>
      <c r="BW586" s="348" t="str">
        <f t="array" ref="BW586">IFERROR(IF($BW$11="Metro",INDEX($BN$13:$BN$4972,SMALL(IF((County=$BO$13:$BO$4972),MATCH(ROW($BO$13:$BO$4972),ROW($BO$13:$BO$4972)),""),ROWS($A$13:$A586))),INDEX($BQ$13:$BQ$212,SMALL(IF((County=$BR$13:$BR$212),MATCH(ROW($BR$13:$BR$212),ROW($BR$13:$BR$212)),""),ROWS($A$13:$A586)))),"")</f>
        <v/>
      </c>
      <c r="CD586" s="237">
        <v>17.010000000000002</v>
      </c>
      <c r="CE586" s="237" t="s">
        <v>352</v>
      </c>
      <c r="CJ586" s="347">
        <v>46.01</v>
      </c>
      <c r="CK586" s="347" t="s">
        <v>337</v>
      </c>
      <c r="CL586" s="1789"/>
      <c r="CR586" s="345"/>
      <c r="CS586" s="345"/>
      <c r="CX586" s="347"/>
      <c r="CY586" s="347"/>
      <c r="DA586" s="348"/>
      <c r="DH586" s="237"/>
      <c r="DI586" s="237"/>
      <c r="DN586" s="347"/>
      <c r="DO586" s="347"/>
      <c r="DP586" s="2505"/>
      <c r="DT586" s="663"/>
      <c r="DU586" s="663"/>
      <c r="DV586" s="663"/>
      <c r="DW586" s="663"/>
      <c r="DX586" s="663"/>
      <c r="DY586" s="663"/>
      <c r="DZ586" s="663"/>
      <c r="EA586" s="663"/>
      <c r="EB586" s="663"/>
      <c r="EC586" s="663"/>
      <c r="ED586" s="663"/>
    </row>
    <row r="587" spans="6:134">
      <c r="F587" s="345">
        <v>51.01</v>
      </c>
      <c r="G587" s="345" t="s">
        <v>361</v>
      </c>
      <c r="L587" s="347">
        <v>403.01</v>
      </c>
      <c r="M587" s="347" t="s">
        <v>335</v>
      </c>
      <c r="V587" s="345">
        <v>302.08999999999997</v>
      </c>
      <c r="W587" s="345" t="s">
        <v>343</v>
      </c>
      <c r="AB587" s="347">
        <v>72.02</v>
      </c>
      <c r="AC587" s="347" t="s">
        <v>361</v>
      </c>
      <c r="AD587" s="1138"/>
      <c r="AJ587" s="345">
        <v>145.03</v>
      </c>
      <c r="AK587" s="345" t="s">
        <v>359</v>
      </c>
      <c r="AP587" s="347">
        <v>141.01</v>
      </c>
      <c r="AQ587" s="347" t="s">
        <v>323</v>
      </c>
      <c r="AZ587" s="345">
        <v>167.38</v>
      </c>
      <c r="BA587" s="345" t="s">
        <v>359</v>
      </c>
      <c r="BF587" s="347">
        <v>46.02</v>
      </c>
      <c r="BG587" s="347" t="s">
        <v>337</v>
      </c>
      <c r="BH587" s="1790"/>
      <c r="BI587" s="1329"/>
      <c r="BJ587" s="1329"/>
      <c r="BN587" s="345">
        <v>904.04</v>
      </c>
      <c r="BO587" s="345" t="s">
        <v>310</v>
      </c>
      <c r="BT587" s="347">
        <v>139.06</v>
      </c>
      <c r="BU587" s="347" t="s">
        <v>323</v>
      </c>
      <c r="BW587" s="348" t="str">
        <f t="array" ref="BW587">IFERROR(IF($BW$11="Metro",INDEX($BN$13:$BN$4972,SMALL(IF((County=$BO$13:$BO$4972),MATCH(ROW($BO$13:$BO$4972),ROW($BO$13:$BO$4972)),""),ROWS($A$13:$A587))),INDEX($BQ$13:$BQ$212,SMALL(IF((County=$BR$13:$BR$212),MATCH(ROW($BR$13:$BR$212),ROW($BR$13:$BR$212)),""),ROWS($A$13:$A587)))),"")</f>
        <v/>
      </c>
      <c r="CD587" s="345">
        <v>17.02</v>
      </c>
      <c r="CE587" s="345" t="s">
        <v>297</v>
      </c>
      <c r="CJ587" s="347">
        <v>46.02</v>
      </c>
      <c r="CK587" s="347" t="s">
        <v>337</v>
      </c>
      <c r="CL587" s="1789"/>
      <c r="CR587" s="345"/>
      <c r="CS587" s="345"/>
      <c r="CX587" s="347"/>
      <c r="CY587" s="347"/>
      <c r="DA587" s="348"/>
      <c r="DH587" s="237"/>
      <c r="DI587" s="237"/>
      <c r="DN587" s="347"/>
      <c r="DO587" s="347"/>
      <c r="DP587" s="2505"/>
      <c r="DT587" s="663"/>
      <c r="DU587" s="663"/>
      <c r="DV587" s="663"/>
      <c r="DW587" s="663"/>
      <c r="DX587" s="663"/>
      <c r="DY587" s="663"/>
      <c r="DZ587" s="663"/>
      <c r="EA587" s="663"/>
      <c r="EB587" s="663"/>
      <c r="EC587" s="663"/>
      <c r="ED587" s="663"/>
    </row>
    <row r="588" spans="6:134">
      <c r="F588" s="345">
        <v>51.02</v>
      </c>
      <c r="G588" s="345" t="s">
        <v>361</v>
      </c>
      <c r="L588" s="347">
        <v>403.02</v>
      </c>
      <c r="M588" s="347" t="s">
        <v>335</v>
      </c>
      <c r="V588" s="345">
        <v>303.01</v>
      </c>
      <c r="W588" s="345" t="s">
        <v>310</v>
      </c>
      <c r="AB588" s="347">
        <v>72.03</v>
      </c>
      <c r="AC588" s="347" t="s">
        <v>361</v>
      </c>
      <c r="AD588" s="1138"/>
      <c r="AJ588" s="345">
        <v>146.01</v>
      </c>
      <c r="AK588" s="345" t="s">
        <v>359</v>
      </c>
      <c r="AP588" s="347">
        <v>141.03</v>
      </c>
      <c r="AQ588" s="347" t="s">
        <v>323</v>
      </c>
      <c r="AZ588" s="345">
        <v>167.39</v>
      </c>
      <c r="BA588" s="345" t="s">
        <v>359</v>
      </c>
      <c r="BF588" s="347">
        <v>46.02</v>
      </c>
      <c r="BG588" s="347" t="s">
        <v>352</v>
      </c>
      <c r="BH588" s="1790"/>
      <c r="BI588" s="1329"/>
      <c r="BJ588" s="1329"/>
      <c r="BN588" s="345">
        <v>905.02</v>
      </c>
      <c r="BO588" s="345" t="s">
        <v>310</v>
      </c>
      <c r="BT588" s="347">
        <v>140.01</v>
      </c>
      <c r="BU588" s="347" t="s">
        <v>323</v>
      </c>
      <c r="BW588" s="348" t="str">
        <f t="array" ref="BW588">IFERROR(IF($BW$11="Metro",INDEX($BN$13:$BN$4972,SMALL(IF((County=$BO$13:$BO$4972),MATCH(ROW($BO$13:$BO$4972),ROW($BO$13:$BO$4972)),""),ROWS($A$13:$A588))),INDEX($BQ$13:$BQ$212,SMALL(IF((County=$BR$13:$BR$212),MATCH(ROW($BR$13:$BR$212),ROW($BR$13:$BR$212)),""),ROWS($A$13:$A588)))),"")</f>
        <v/>
      </c>
      <c r="CD588" s="237">
        <v>17.02</v>
      </c>
      <c r="CE588" s="237" t="s">
        <v>345</v>
      </c>
      <c r="CJ588" s="347">
        <v>46.02</v>
      </c>
      <c r="CK588" s="347" t="s">
        <v>352</v>
      </c>
      <c r="CL588" s="1789"/>
      <c r="CR588" s="345"/>
      <c r="CS588" s="345"/>
      <c r="CX588" s="347"/>
      <c r="CY588" s="347"/>
      <c r="DA588" s="348"/>
      <c r="DH588" s="237"/>
      <c r="DI588" s="237"/>
      <c r="DN588" s="347"/>
      <c r="DO588" s="347"/>
      <c r="DP588" s="2505"/>
      <c r="DT588" s="663"/>
      <c r="DU588" s="663"/>
      <c r="DV588" s="663"/>
      <c r="DW588" s="663"/>
      <c r="DX588" s="663"/>
      <c r="DY588" s="663"/>
      <c r="DZ588" s="663"/>
      <c r="EA588" s="663"/>
      <c r="EB588" s="663"/>
      <c r="EC588" s="663"/>
      <c r="ED588" s="663"/>
    </row>
    <row r="589" spans="6:134">
      <c r="F589" s="345">
        <v>52.02</v>
      </c>
      <c r="G589" s="345" t="s">
        <v>361</v>
      </c>
      <c r="L589" s="347">
        <v>403.03</v>
      </c>
      <c r="M589" s="347" t="s">
        <v>335</v>
      </c>
      <c r="V589" s="345">
        <v>303.02</v>
      </c>
      <c r="W589" s="345" t="s">
        <v>310</v>
      </c>
      <c r="AB589" s="347">
        <v>73</v>
      </c>
      <c r="AC589" s="347" t="s">
        <v>352</v>
      </c>
      <c r="AD589" s="1138"/>
      <c r="AJ589" s="345">
        <v>146.05000000000001</v>
      </c>
      <c r="AK589" s="345" t="s">
        <v>359</v>
      </c>
      <c r="AP589" s="347">
        <v>141.04</v>
      </c>
      <c r="AQ589" s="347" t="s">
        <v>323</v>
      </c>
      <c r="AZ589" s="345">
        <v>167.4</v>
      </c>
      <c r="BA589" s="345" t="s">
        <v>359</v>
      </c>
      <c r="BF589" s="347">
        <v>46.05</v>
      </c>
      <c r="BG589" s="347" t="s">
        <v>352</v>
      </c>
      <c r="BH589" s="1790"/>
      <c r="BI589" s="1329"/>
      <c r="BJ589" s="1329"/>
      <c r="BN589" s="345">
        <v>905.03</v>
      </c>
      <c r="BO589" s="345" t="s">
        <v>310</v>
      </c>
      <c r="BT589" s="347">
        <v>140.02000000000001</v>
      </c>
      <c r="BU589" s="347" t="s">
        <v>323</v>
      </c>
      <c r="BW589" s="348" t="str">
        <f t="array" ref="BW589">IFERROR(IF($BW$11="Metro",INDEX($BN$13:$BN$4972,SMALL(IF((County=$BO$13:$BO$4972),MATCH(ROW($BO$13:$BO$4972),ROW($BO$13:$BO$4972)),""),ROWS($A$13:$A589))),INDEX($BQ$13:$BQ$212,SMALL(IF((County=$BR$13:$BR$212),MATCH(ROW($BR$13:$BR$212),ROW($BR$13:$BR$212)),""),ROWS($A$13:$A589)))),"")</f>
        <v/>
      </c>
      <c r="CD589" s="237">
        <v>17.02</v>
      </c>
      <c r="CE589" s="237" t="s">
        <v>351</v>
      </c>
      <c r="CJ589" s="347">
        <v>46.05</v>
      </c>
      <c r="CK589" s="347" t="s">
        <v>352</v>
      </c>
      <c r="CL589" s="1789"/>
      <c r="CR589" s="345"/>
      <c r="CS589" s="345"/>
      <c r="CX589" s="347"/>
      <c r="CY589" s="347"/>
      <c r="DA589" s="348"/>
      <c r="DH589" s="237"/>
      <c r="DI589" s="237"/>
      <c r="DN589" s="347"/>
      <c r="DO589" s="347"/>
      <c r="DP589" s="2505"/>
      <c r="DT589" s="663"/>
      <c r="DU589" s="663"/>
      <c r="DV589" s="663"/>
      <c r="DW589" s="663"/>
      <c r="DX589" s="663"/>
      <c r="DY589" s="663"/>
      <c r="DZ589" s="663"/>
      <c r="EA589" s="663"/>
      <c r="EB589" s="663"/>
      <c r="EC589" s="663"/>
      <c r="ED589" s="663"/>
    </row>
    <row r="590" spans="6:134">
      <c r="F590" s="345">
        <v>57.01</v>
      </c>
      <c r="G590" s="345" t="s">
        <v>361</v>
      </c>
      <c r="L590" s="347">
        <v>407.02</v>
      </c>
      <c r="M590" s="347" t="s">
        <v>335</v>
      </c>
      <c r="V590" s="345">
        <v>303.02</v>
      </c>
      <c r="W590" s="345" t="s">
        <v>362</v>
      </c>
      <c r="AB590" s="347">
        <v>73.010000000000005</v>
      </c>
      <c r="AC590" s="347" t="s">
        <v>361</v>
      </c>
      <c r="AD590" s="1138"/>
      <c r="AJ590" s="345">
        <v>146.06</v>
      </c>
      <c r="AK590" s="345" t="s">
        <v>359</v>
      </c>
      <c r="AP590" s="347">
        <v>142.03</v>
      </c>
      <c r="AQ590" s="347" t="s">
        <v>323</v>
      </c>
      <c r="AZ590" s="345">
        <v>167.41</v>
      </c>
      <c r="BA590" s="345" t="s">
        <v>359</v>
      </c>
      <c r="BF590" s="347">
        <v>46.07</v>
      </c>
      <c r="BG590" s="347" t="s">
        <v>352</v>
      </c>
      <c r="BH590" s="1790"/>
      <c r="BI590" s="1329"/>
      <c r="BJ590" s="1329"/>
      <c r="BN590" s="345">
        <v>905.04</v>
      </c>
      <c r="BO590" s="345" t="s">
        <v>310</v>
      </c>
      <c r="BT590" s="347">
        <v>141.01</v>
      </c>
      <c r="BU590" s="347" t="s">
        <v>323</v>
      </c>
      <c r="BW590" s="348" t="str">
        <f t="array" ref="BW590">IFERROR(IF($BW$11="Metro",INDEX($BN$13:$BN$4972,SMALL(IF((County=$BO$13:$BO$4972),MATCH(ROW($BO$13:$BO$4972),ROW($BO$13:$BO$4972)),""),ROWS($A$13:$A590))),INDEX($BQ$13:$BQ$212,SMALL(IF((County=$BR$13:$BR$212),MATCH(ROW($BR$13:$BR$212),ROW($BR$13:$BR$212)),""),ROWS($A$13:$A590)))),"")</f>
        <v/>
      </c>
      <c r="CD590" s="237">
        <v>17.02</v>
      </c>
      <c r="CE590" s="237" t="s">
        <v>352</v>
      </c>
      <c r="CJ590" s="347">
        <v>46.07</v>
      </c>
      <c r="CK590" s="347" t="s">
        <v>352</v>
      </c>
      <c r="CL590" s="1789"/>
      <c r="CR590" s="345"/>
      <c r="CS590" s="345"/>
      <c r="CX590" s="347"/>
      <c r="CY590" s="347"/>
      <c r="DA590" s="348"/>
      <c r="DH590" s="237"/>
      <c r="DI590" s="237"/>
      <c r="DN590" s="347"/>
      <c r="DO590" s="347"/>
      <c r="DP590" s="2505"/>
      <c r="DT590" s="663"/>
      <c r="DU590" s="663"/>
      <c r="DV590" s="663"/>
      <c r="DW590" s="663"/>
      <c r="DX590" s="663"/>
      <c r="DY590" s="663"/>
      <c r="DZ590" s="663"/>
      <c r="EA590" s="663"/>
      <c r="EB590" s="663"/>
      <c r="EC590" s="663"/>
      <c r="ED590" s="663"/>
    </row>
    <row r="591" spans="6:134">
      <c r="F591" s="345">
        <v>57.02</v>
      </c>
      <c r="G591" s="345" t="s">
        <v>361</v>
      </c>
      <c r="L591" s="347">
        <v>409.05</v>
      </c>
      <c r="M591" s="347" t="s">
        <v>335</v>
      </c>
      <c r="V591" s="345">
        <v>304</v>
      </c>
      <c r="W591" s="345" t="s">
        <v>317</v>
      </c>
      <c r="AB591" s="347">
        <v>74</v>
      </c>
      <c r="AC591" s="347" t="s">
        <v>352</v>
      </c>
      <c r="AD591" s="1138"/>
      <c r="AJ591" s="345">
        <v>146.08000000000001</v>
      </c>
      <c r="AK591" s="345" t="s">
        <v>359</v>
      </c>
      <c r="AP591" s="347">
        <v>142.04</v>
      </c>
      <c r="AQ591" s="347" t="s">
        <v>323</v>
      </c>
      <c r="AZ591" s="345">
        <v>167.42</v>
      </c>
      <c r="BA591" s="345" t="s">
        <v>359</v>
      </c>
      <c r="BF591" s="347">
        <v>46.08</v>
      </c>
      <c r="BG591" s="347" t="s">
        <v>352</v>
      </c>
      <c r="BH591" s="1790"/>
      <c r="BI591" s="1329"/>
      <c r="BJ591" s="1329"/>
      <c r="BN591" s="345">
        <v>906.01</v>
      </c>
      <c r="BO591" s="345" t="s">
        <v>310</v>
      </c>
      <c r="BT591" s="347">
        <v>141.03</v>
      </c>
      <c r="BU591" s="347" t="s">
        <v>323</v>
      </c>
      <c r="BW591" s="348" t="str">
        <f t="array" ref="BW591">IFERROR(IF($BW$11="Metro",INDEX($BN$13:$BN$4972,SMALL(IF((County=$BO$13:$BO$4972),MATCH(ROW($BO$13:$BO$4972),ROW($BO$13:$BO$4972)),""),ROWS($A$13:$A591))),INDEX($BQ$13:$BQ$212,SMALL(IF((County=$BR$13:$BR$212),MATCH(ROW($BR$13:$BR$212),ROW($BR$13:$BR$212)),""),ROWS($A$13:$A591)))),"")</f>
        <v/>
      </c>
      <c r="CD591" s="237">
        <v>17.02</v>
      </c>
      <c r="CE591" s="237" t="s">
        <v>368</v>
      </c>
      <c r="CJ591" s="347">
        <v>46.08</v>
      </c>
      <c r="CK591" s="347" t="s">
        <v>352</v>
      </c>
      <c r="CL591" s="1789"/>
      <c r="CR591" s="345"/>
      <c r="CS591" s="345"/>
      <c r="CX591" s="347"/>
      <c r="CY591" s="347"/>
      <c r="DA591" s="348"/>
      <c r="DH591" s="237"/>
      <c r="DI591" s="237"/>
      <c r="DN591" s="347"/>
      <c r="DO591" s="347"/>
      <c r="DP591" s="2505"/>
      <c r="DT591" s="663"/>
      <c r="DU591" s="663"/>
      <c r="DV591" s="663"/>
      <c r="DW591" s="663"/>
      <c r="DX591" s="663"/>
      <c r="DY591" s="663"/>
      <c r="DZ591" s="663"/>
      <c r="EA591" s="663"/>
      <c r="EB591" s="663"/>
      <c r="EC591" s="663"/>
      <c r="ED591" s="663"/>
    </row>
    <row r="592" spans="6:134">
      <c r="F592" s="345">
        <v>58.14</v>
      </c>
      <c r="G592" s="345" t="s">
        <v>361</v>
      </c>
      <c r="L592" s="347">
        <v>409.06</v>
      </c>
      <c r="M592" s="347" t="s">
        <v>335</v>
      </c>
      <c r="V592" s="345">
        <v>304.02</v>
      </c>
      <c r="W592" s="345" t="s">
        <v>310</v>
      </c>
      <c r="AB592" s="347">
        <v>74.069999999999993</v>
      </c>
      <c r="AC592" s="347" t="s">
        <v>361</v>
      </c>
      <c r="AD592" s="1138"/>
      <c r="AJ592" s="345">
        <v>146.09</v>
      </c>
      <c r="AK592" s="345" t="s">
        <v>359</v>
      </c>
      <c r="AP592" s="347">
        <v>142.06</v>
      </c>
      <c r="AQ592" s="347" t="s">
        <v>323</v>
      </c>
      <c r="AZ592" s="345">
        <v>169.02</v>
      </c>
      <c r="BA592" s="345" t="s">
        <v>359</v>
      </c>
      <c r="BF592" s="347">
        <v>47</v>
      </c>
      <c r="BG592" s="347" t="s">
        <v>337</v>
      </c>
      <c r="BH592" s="1790"/>
      <c r="BI592" s="1329"/>
      <c r="BJ592" s="1329"/>
      <c r="BN592" s="345">
        <v>906.02</v>
      </c>
      <c r="BO592" s="345" t="s">
        <v>310</v>
      </c>
      <c r="BT592" s="347">
        <v>141.04</v>
      </c>
      <c r="BU592" s="347" t="s">
        <v>323</v>
      </c>
      <c r="BW592" s="348" t="str">
        <f t="array" ref="BW592">IFERROR(IF($BW$11="Metro",INDEX($BN$13:$BN$4972,SMALL(IF((County=$BO$13:$BO$4972),MATCH(ROW($BO$13:$BO$4972),ROW($BO$13:$BO$4972)),""),ROWS($A$13:$A592))),INDEX($BQ$13:$BQ$212,SMALL(IF((County=$BR$13:$BR$212),MATCH(ROW($BR$13:$BR$212),ROW($BR$13:$BR$212)),""),ROWS($A$13:$A592)))),"")</f>
        <v/>
      </c>
      <c r="CD592" s="237">
        <v>17.03</v>
      </c>
      <c r="CE592" s="237" t="s">
        <v>351</v>
      </c>
      <c r="CJ592" s="347">
        <v>47</v>
      </c>
      <c r="CK592" s="347" t="s">
        <v>337</v>
      </c>
      <c r="CL592" s="1789"/>
      <c r="CR592" s="345"/>
      <c r="CS592" s="345"/>
      <c r="CX592" s="347"/>
      <c r="CY592" s="347"/>
      <c r="DA592" s="348"/>
      <c r="DH592" s="237"/>
      <c r="DI592" s="237"/>
      <c r="DN592" s="347"/>
      <c r="DO592" s="347"/>
      <c r="DP592" s="2505"/>
      <c r="DT592" s="663"/>
      <c r="DU592" s="663"/>
      <c r="DV592" s="663"/>
      <c r="DW592" s="663"/>
      <c r="DX592" s="663"/>
      <c r="DY592" s="663"/>
      <c r="DZ592" s="663"/>
      <c r="EA592" s="663"/>
      <c r="EB592" s="663"/>
      <c r="EC592" s="663"/>
      <c r="ED592" s="663"/>
    </row>
    <row r="593" spans="6:134">
      <c r="F593" s="345">
        <v>68.02</v>
      </c>
      <c r="G593" s="345" t="s">
        <v>361</v>
      </c>
      <c r="L593" s="347">
        <v>409.07</v>
      </c>
      <c r="M593" s="347" t="s">
        <v>335</v>
      </c>
      <c r="V593" s="345">
        <v>304.07</v>
      </c>
      <c r="W593" s="345" t="s">
        <v>362</v>
      </c>
      <c r="AB593" s="347">
        <v>74.099999999999994</v>
      </c>
      <c r="AC593" s="347" t="s">
        <v>361</v>
      </c>
      <c r="AD593" s="1138"/>
      <c r="AJ593" s="345">
        <v>147.01</v>
      </c>
      <c r="AK593" s="345" t="s">
        <v>359</v>
      </c>
      <c r="AP593" s="347">
        <v>143.12</v>
      </c>
      <c r="AQ593" s="347" t="s">
        <v>323</v>
      </c>
      <c r="AZ593" s="345">
        <v>169.04</v>
      </c>
      <c r="BA593" s="345" t="s">
        <v>359</v>
      </c>
      <c r="BF593" s="347">
        <v>47.01</v>
      </c>
      <c r="BG593" s="347" t="s">
        <v>352</v>
      </c>
      <c r="BH593" s="1790"/>
      <c r="BI593" s="1329"/>
      <c r="BJ593" s="1329"/>
      <c r="BN593" s="345">
        <v>907</v>
      </c>
      <c r="BO593" s="345" t="s">
        <v>310</v>
      </c>
      <c r="BT593" s="347">
        <v>142.03</v>
      </c>
      <c r="BU593" s="347" t="s">
        <v>323</v>
      </c>
      <c r="BW593" s="348" t="str">
        <f t="array" ref="BW593">IFERROR(IF($BW$11="Metro",INDEX($BN$13:$BN$4972,SMALL(IF((County=$BO$13:$BO$4972),MATCH(ROW($BO$13:$BO$4972),ROW($BO$13:$BO$4972)),""),ROWS($A$13:$A593))),INDEX($BQ$13:$BQ$212,SMALL(IF((County=$BR$13:$BR$212),MATCH(ROW($BR$13:$BR$212),ROW($BR$13:$BR$212)),""),ROWS($A$13:$A593)))),"")</f>
        <v/>
      </c>
      <c r="CD593" s="237">
        <v>17.03</v>
      </c>
      <c r="CE593" s="237" t="s">
        <v>368</v>
      </c>
      <c r="CJ593" s="347">
        <v>47.01</v>
      </c>
      <c r="CK593" s="347" t="s">
        <v>352</v>
      </c>
      <c r="CL593" s="1789"/>
      <c r="CR593" s="345"/>
      <c r="CS593" s="345"/>
      <c r="CX593" s="347"/>
      <c r="CY593" s="347"/>
      <c r="DA593" s="348"/>
      <c r="DH593" s="237"/>
      <c r="DI593" s="237"/>
      <c r="DN593" s="347"/>
      <c r="DO593" s="347"/>
      <c r="DP593" s="2505"/>
      <c r="DT593" s="663"/>
      <c r="DU593" s="663"/>
      <c r="DV593" s="663"/>
      <c r="DW593" s="663"/>
      <c r="DX593" s="663"/>
      <c r="DY593" s="663"/>
      <c r="DZ593" s="663"/>
      <c r="EA593" s="663"/>
      <c r="EB593" s="663"/>
      <c r="EC593" s="663"/>
      <c r="ED593" s="663"/>
    </row>
    <row r="594" spans="6:134">
      <c r="F594" s="345">
        <v>77.459999999999994</v>
      </c>
      <c r="G594" s="345" t="s">
        <v>361</v>
      </c>
      <c r="L594" s="347">
        <v>409.08</v>
      </c>
      <c r="M594" s="347" t="s">
        <v>335</v>
      </c>
      <c r="V594" s="345">
        <v>304.08</v>
      </c>
      <c r="W594" s="345" t="s">
        <v>362</v>
      </c>
      <c r="AB594" s="347">
        <v>74.12</v>
      </c>
      <c r="AC594" s="347" t="s">
        <v>361</v>
      </c>
      <c r="AD594" s="1138"/>
      <c r="AJ594" s="345">
        <v>148.12</v>
      </c>
      <c r="AK594" s="345" t="s">
        <v>359</v>
      </c>
      <c r="AP594" s="347">
        <v>143.28</v>
      </c>
      <c r="AQ594" s="347" t="s">
        <v>323</v>
      </c>
      <c r="AZ594" s="345">
        <v>169.06</v>
      </c>
      <c r="BA594" s="345" t="s">
        <v>359</v>
      </c>
      <c r="BF594" s="347">
        <v>47.02</v>
      </c>
      <c r="BG594" s="347" t="s">
        <v>361</v>
      </c>
      <c r="BH594" s="1790"/>
      <c r="BI594" s="1329"/>
      <c r="BJ594" s="1329"/>
      <c r="BN594" s="345">
        <v>908.01</v>
      </c>
      <c r="BO594" s="345" t="s">
        <v>310</v>
      </c>
      <c r="BT594" s="347">
        <v>142.04</v>
      </c>
      <c r="BU594" s="347" t="s">
        <v>323</v>
      </c>
      <c r="BW594" s="348" t="str">
        <f t="array" ref="BW594">IFERROR(IF($BW$11="Metro",INDEX($BN$13:$BN$4972,SMALL(IF((County=$BO$13:$BO$4972),MATCH(ROW($BO$13:$BO$4972),ROW($BO$13:$BO$4972)),""),ROWS($A$13:$A594))),INDEX($BQ$13:$BQ$212,SMALL(IF((County=$BR$13:$BR$212),MATCH(ROW($BR$13:$BR$212),ROW($BR$13:$BR$212)),""),ROWS($A$13:$A594)))),"")</f>
        <v/>
      </c>
      <c r="CD594" s="237">
        <v>17.04</v>
      </c>
      <c r="CE594" s="237" t="s">
        <v>352</v>
      </c>
      <c r="CJ594" s="347">
        <v>47.02</v>
      </c>
      <c r="CK594" s="347" t="s">
        <v>361</v>
      </c>
      <c r="CL594" s="1789"/>
      <c r="CR594" s="345"/>
      <c r="CS594" s="345"/>
      <c r="CX594" s="347"/>
      <c r="CY594" s="347"/>
      <c r="DA594" s="348"/>
      <c r="DH594" s="237"/>
      <c r="DI594" s="237"/>
      <c r="DN594" s="347"/>
      <c r="DO594" s="347"/>
      <c r="DP594" s="2505"/>
      <c r="DT594" s="663"/>
      <c r="DU594" s="663"/>
      <c r="DV594" s="663"/>
      <c r="DW594" s="663"/>
      <c r="DX594" s="663"/>
      <c r="DY594" s="663"/>
      <c r="DZ594" s="663"/>
      <c r="EA594" s="663"/>
      <c r="EB594" s="663"/>
      <c r="EC594" s="663"/>
      <c r="ED594" s="663"/>
    </row>
    <row r="595" spans="6:134">
      <c r="F595" s="345">
        <v>78.33</v>
      </c>
      <c r="G595" s="345" t="s">
        <v>361</v>
      </c>
      <c r="L595" s="347">
        <v>409.09</v>
      </c>
      <c r="M595" s="347" t="s">
        <v>335</v>
      </c>
      <c r="V595" s="345">
        <v>304.10000000000002</v>
      </c>
      <c r="W595" s="345" t="s">
        <v>362</v>
      </c>
      <c r="AB595" s="347">
        <v>74.14</v>
      </c>
      <c r="AC595" s="347" t="s">
        <v>361</v>
      </c>
      <c r="AD595" s="1138"/>
      <c r="AJ595" s="345">
        <v>149.04</v>
      </c>
      <c r="AK595" s="345" t="s">
        <v>359</v>
      </c>
      <c r="AP595" s="347">
        <v>143.29</v>
      </c>
      <c r="AQ595" s="347" t="s">
        <v>323</v>
      </c>
      <c r="AZ595" s="345">
        <v>169.07</v>
      </c>
      <c r="BA595" s="345" t="s">
        <v>359</v>
      </c>
      <c r="BF595" s="347">
        <v>47.03</v>
      </c>
      <c r="BG595" s="347" t="s">
        <v>352</v>
      </c>
      <c r="BH595" s="1790"/>
      <c r="BI595" s="1329"/>
      <c r="BJ595" s="1329"/>
      <c r="BN595" s="345">
        <v>908.02</v>
      </c>
      <c r="BO595" s="345" t="s">
        <v>310</v>
      </c>
      <c r="BT595" s="347">
        <v>142.05000000000001</v>
      </c>
      <c r="BU595" s="347" t="s">
        <v>323</v>
      </c>
      <c r="BW595" s="348" t="str">
        <f t="array" ref="BW595">IFERROR(IF($BW$11="Metro",INDEX($BN$13:$BN$4972,SMALL(IF((County=$BO$13:$BO$4972),MATCH(ROW($BO$13:$BO$4972),ROW($BO$13:$BO$4972)),""),ROWS($A$13:$A595))),INDEX($BQ$13:$BQ$212,SMALL(IF((County=$BR$13:$BR$212),MATCH(ROW($BR$13:$BR$212),ROW($BR$13:$BR$212)),""),ROWS($A$13:$A595)))),"")</f>
        <v/>
      </c>
      <c r="CD595" s="237">
        <v>17.04</v>
      </c>
      <c r="CE595" s="237" t="s">
        <v>368</v>
      </c>
      <c r="CJ595" s="347">
        <v>47.03</v>
      </c>
      <c r="CK595" s="347" t="s">
        <v>352</v>
      </c>
      <c r="CL595" s="1789"/>
      <c r="CR595" s="345"/>
      <c r="CS595" s="345"/>
      <c r="CX595" s="347"/>
      <c r="CY595" s="347"/>
      <c r="DA595" s="348"/>
      <c r="DH595" s="237"/>
      <c r="DI595" s="237"/>
      <c r="DN595" s="347"/>
      <c r="DO595" s="347"/>
      <c r="DP595" s="2505"/>
      <c r="DT595" s="663"/>
      <c r="DU595" s="663"/>
      <c r="DV595" s="663"/>
      <c r="DW595" s="663"/>
      <c r="DX595" s="663"/>
      <c r="DY595" s="663"/>
      <c r="DZ595" s="663"/>
      <c r="EA595" s="663"/>
      <c r="EB595" s="663"/>
      <c r="EC595" s="663"/>
      <c r="ED595" s="663"/>
    </row>
    <row r="596" spans="6:134">
      <c r="F596" s="345">
        <v>80.010000000000005</v>
      </c>
      <c r="G596" s="345" t="s">
        <v>361</v>
      </c>
      <c r="L596" s="347">
        <v>409.1</v>
      </c>
      <c r="M596" s="347" t="s">
        <v>335</v>
      </c>
      <c r="V596" s="345">
        <v>304.11</v>
      </c>
      <c r="W596" s="345" t="s">
        <v>362</v>
      </c>
      <c r="AB596" s="347">
        <v>74.16</v>
      </c>
      <c r="AC596" s="347" t="s">
        <v>361</v>
      </c>
      <c r="AD596" s="1138"/>
      <c r="AJ596" s="345">
        <v>150.01</v>
      </c>
      <c r="AK596" s="345" t="s">
        <v>359</v>
      </c>
      <c r="AP596" s="347">
        <v>143.30000000000001</v>
      </c>
      <c r="AQ596" s="347" t="s">
        <v>323</v>
      </c>
      <c r="AZ596" s="345">
        <v>172</v>
      </c>
      <c r="BA596" s="345" t="s">
        <v>323</v>
      </c>
      <c r="BF596" s="347">
        <v>47.04</v>
      </c>
      <c r="BG596" s="347" t="s">
        <v>352</v>
      </c>
      <c r="BH596" s="1790"/>
      <c r="BI596" s="1329"/>
      <c r="BJ596" s="1329"/>
      <c r="BN596" s="345">
        <v>909</v>
      </c>
      <c r="BO596" s="345" t="s">
        <v>310</v>
      </c>
      <c r="BT596" s="347">
        <v>142.06</v>
      </c>
      <c r="BU596" s="347" t="s">
        <v>323</v>
      </c>
      <c r="BW596" s="348" t="str">
        <f t="array" ref="BW596">IFERROR(IF($BW$11="Metro",INDEX($BN$13:$BN$4972,SMALL(IF((County=$BO$13:$BO$4972),MATCH(ROW($BO$13:$BO$4972),ROW($BO$13:$BO$4972)),""),ROWS($A$13:$A596))),INDEX($BQ$13:$BQ$212,SMALL(IF((County=$BR$13:$BR$212),MATCH(ROW($BR$13:$BR$212),ROW($BR$13:$BR$212)),""),ROWS($A$13:$A596)))),"")</f>
        <v/>
      </c>
      <c r="CD596" s="237">
        <v>17.05</v>
      </c>
      <c r="CE596" s="237" t="s">
        <v>344</v>
      </c>
      <c r="CJ596" s="347">
        <v>47.04</v>
      </c>
      <c r="CK596" s="347" t="s">
        <v>352</v>
      </c>
      <c r="CL596" s="1789"/>
      <c r="CR596" s="345"/>
      <c r="CS596" s="345"/>
      <c r="CX596" s="347"/>
      <c r="CY596" s="347"/>
      <c r="DA596" s="348"/>
      <c r="DH596" s="237"/>
      <c r="DI596" s="237"/>
      <c r="DN596" s="347"/>
      <c r="DO596" s="347"/>
      <c r="DP596" s="2505"/>
      <c r="DT596" s="663"/>
      <c r="DU596" s="663"/>
      <c r="DV596" s="663"/>
      <c r="DW596" s="663"/>
      <c r="DX596" s="663"/>
      <c r="DY596" s="663"/>
      <c r="DZ596" s="663"/>
      <c r="EA596" s="663"/>
      <c r="EB596" s="663"/>
      <c r="EC596" s="663"/>
      <c r="ED596" s="663"/>
    </row>
    <row r="597" spans="6:134">
      <c r="F597" s="345">
        <v>80.02</v>
      </c>
      <c r="G597" s="345" t="s">
        <v>361</v>
      </c>
      <c r="L597" s="347">
        <v>409.11</v>
      </c>
      <c r="M597" s="347" t="s">
        <v>335</v>
      </c>
      <c r="V597" s="345">
        <v>304.12</v>
      </c>
      <c r="W597" s="345" t="s">
        <v>362</v>
      </c>
      <c r="AB597" s="347">
        <v>74.180000000000007</v>
      </c>
      <c r="AC597" s="347" t="s">
        <v>361</v>
      </c>
      <c r="AD597" s="1138"/>
      <c r="AJ597" s="345">
        <v>163.02000000000001</v>
      </c>
      <c r="AK597" s="345" t="s">
        <v>359</v>
      </c>
      <c r="AP597" s="347">
        <v>143.33000000000001</v>
      </c>
      <c r="AQ597" s="347" t="s">
        <v>323</v>
      </c>
      <c r="AZ597" s="345">
        <v>174</v>
      </c>
      <c r="BA597" s="345" t="s">
        <v>323</v>
      </c>
      <c r="BF597" s="347">
        <v>47.05</v>
      </c>
      <c r="BG597" s="347" t="s">
        <v>352</v>
      </c>
      <c r="BH597" s="1790"/>
      <c r="BI597" s="1329"/>
      <c r="BJ597" s="1329"/>
      <c r="BN597" s="345">
        <v>910</v>
      </c>
      <c r="BO597" s="345" t="s">
        <v>310</v>
      </c>
      <c r="BT597" s="347">
        <v>143.12</v>
      </c>
      <c r="BU597" s="347" t="s">
        <v>323</v>
      </c>
      <c r="BW597" s="348" t="str">
        <f t="array" ref="BW597">IFERROR(IF($BW$11="Metro",INDEX($BN$13:$BN$4972,SMALL(IF((County=$BO$13:$BO$4972),MATCH(ROW($BO$13:$BO$4972),ROW($BO$13:$BO$4972)),""),ROWS($A$13:$A597))),INDEX($BQ$13:$BQ$212,SMALL(IF((County=$BR$13:$BR$212),MATCH(ROW($BR$13:$BR$212),ROW($BR$13:$BR$212)),""),ROWS($A$13:$A597)))),"")</f>
        <v/>
      </c>
      <c r="CD597" s="237">
        <v>17.05</v>
      </c>
      <c r="CE597" s="237" t="s">
        <v>349</v>
      </c>
      <c r="CJ597" s="347">
        <v>47.05</v>
      </c>
      <c r="CK597" s="347" t="s">
        <v>352</v>
      </c>
      <c r="CL597" s="1789"/>
      <c r="CR597" s="345"/>
      <c r="CS597" s="345"/>
      <c r="CX597" s="347"/>
      <c r="CY597" s="347"/>
      <c r="DA597" s="348"/>
      <c r="DH597" s="237"/>
      <c r="DI597" s="237"/>
      <c r="DN597" s="347"/>
      <c r="DO597" s="347"/>
      <c r="DP597" s="2505"/>
      <c r="DT597" s="663"/>
      <c r="DU597" s="663"/>
      <c r="DV597" s="663"/>
      <c r="DW597" s="663"/>
      <c r="DX597" s="663"/>
      <c r="DY597" s="663"/>
      <c r="DZ597" s="663"/>
      <c r="EA597" s="663"/>
      <c r="EB597" s="663"/>
      <c r="EC597" s="663"/>
      <c r="ED597" s="663"/>
    </row>
    <row r="598" spans="6:134">
      <c r="F598" s="345">
        <v>81.010000000000005</v>
      </c>
      <c r="G598" s="345" t="s">
        <v>361</v>
      </c>
      <c r="L598" s="347">
        <v>410.04</v>
      </c>
      <c r="M598" s="347" t="s">
        <v>335</v>
      </c>
      <c r="V598" s="345">
        <v>305</v>
      </c>
      <c r="W598" s="345" t="s">
        <v>310</v>
      </c>
      <c r="AB598" s="347">
        <v>74.2</v>
      </c>
      <c r="AC598" s="347" t="s">
        <v>361</v>
      </c>
      <c r="AD598" s="1138"/>
      <c r="AJ598" s="345">
        <v>164.07</v>
      </c>
      <c r="AK598" s="345" t="s">
        <v>359</v>
      </c>
      <c r="AP598" s="347">
        <v>143.34</v>
      </c>
      <c r="AQ598" s="347" t="s">
        <v>323</v>
      </c>
      <c r="AZ598" s="345">
        <v>175</v>
      </c>
      <c r="BA598" s="345" t="s">
        <v>352</v>
      </c>
      <c r="BF598" s="347">
        <v>48</v>
      </c>
      <c r="BG598" s="347" t="s">
        <v>337</v>
      </c>
      <c r="BH598" s="1790"/>
      <c r="BI598" s="1329"/>
      <c r="BJ598" s="1329"/>
      <c r="BN598" s="345">
        <v>911</v>
      </c>
      <c r="BO598" s="345" t="s">
        <v>310</v>
      </c>
      <c r="BT598" s="347">
        <v>143.28</v>
      </c>
      <c r="BU598" s="347" t="s">
        <v>323</v>
      </c>
      <c r="BW598" s="348" t="str">
        <f t="array" ref="BW598">IFERROR(IF($BW$11="Metro",INDEX($BN$13:$BN$4972,SMALL(IF((County=$BO$13:$BO$4972),MATCH(ROW($BO$13:$BO$4972),ROW($BO$13:$BO$4972)),""),ROWS($A$13:$A598))),INDEX($BQ$13:$BQ$212,SMALL(IF((County=$BR$13:$BR$212),MATCH(ROW($BR$13:$BR$212),ROW($BR$13:$BR$212)),""),ROWS($A$13:$A598)))),"")</f>
        <v/>
      </c>
      <c r="CD598" s="237">
        <v>17.05</v>
      </c>
      <c r="CE598" s="237" t="s">
        <v>352</v>
      </c>
      <c r="CJ598" s="347">
        <v>48</v>
      </c>
      <c r="CK598" s="347" t="s">
        <v>337</v>
      </c>
      <c r="CL598" s="1789"/>
      <c r="CR598" s="345"/>
      <c r="CS598" s="345"/>
      <c r="CX598" s="347"/>
      <c r="CY598" s="347"/>
      <c r="DA598" s="348"/>
      <c r="DH598" s="237"/>
      <c r="DI598" s="237"/>
      <c r="DN598" s="347"/>
      <c r="DO598" s="347"/>
      <c r="DP598" s="2505"/>
      <c r="DT598" s="663"/>
      <c r="DU598" s="663"/>
      <c r="DV598" s="663"/>
      <c r="DW598" s="663"/>
      <c r="DX598" s="663"/>
      <c r="DY598" s="663"/>
      <c r="DZ598" s="663"/>
      <c r="EA598" s="663"/>
      <c r="EB598" s="663"/>
      <c r="EC598" s="663"/>
      <c r="ED598" s="663"/>
    </row>
    <row r="599" spans="6:134">
      <c r="F599" s="345">
        <v>82.01</v>
      </c>
      <c r="G599" s="345" t="s">
        <v>361</v>
      </c>
      <c r="L599" s="347">
        <v>410.05</v>
      </c>
      <c r="M599" s="347" t="s">
        <v>335</v>
      </c>
      <c r="V599" s="345">
        <v>305.02999999999997</v>
      </c>
      <c r="W599" s="345" t="s">
        <v>343</v>
      </c>
      <c r="AB599" s="347">
        <v>75.010000000000005</v>
      </c>
      <c r="AC599" s="347" t="s">
        <v>352</v>
      </c>
      <c r="AD599" s="1138"/>
      <c r="AJ599" s="345">
        <v>165.03</v>
      </c>
      <c r="AK599" s="345" t="s">
        <v>359</v>
      </c>
      <c r="AP599" s="347">
        <v>143.35</v>
      </c>
      <c r="AQ599" s="347" t="s">
        <v>323</v>
      </c>
      <c r="AZ599" s="345">
        <v>176</v>
      </c>
      <c r="BA599" s="345" t="s">
        <v>359</v>
      </c>
      <c r="BF599" s="347">
        <v>48.15</v>
      </c>
      <c r="BG599" s="347" t="s">
        <v>361</v>
      </c>
      <c r="BH599" s="1790"/>
      <c r="BI599" s="1329"/>
      <c r="BJ599" s="1329"/>
      <c r="BN599" s="345">
        <v>912.01</v>
      </c>
      <c r="BO599" s="345" t="s">
        <v>310</v>
      </c>
      <c r="BT599" s="347">
        <v>143.29</v>
      </c>
      <c r="BU599" s="347" t="s">
        <v>323</v>
      </c>
      <c r="BW599" s="348" t="str">
        <f t="array" ref="BW599">IFERROR(IF($BW$11="Metro",INDEX($BN$13:$BN$4972,SMALL(IF((County=$BO$13:$BO$4972),MATCH(ROW($BO$13:$BO$4972),ROW($BO$13:$BO$4972)),""),ROWS($A$13:$A599))),INDEX($BQ$13:$BQ$212,SMALL(IF((County=$BR$13:$BR$212),MATCH(ROW($BR$13:$BR$212),ROW($BR$13:$BR$212)),""),ROWS($A$13:$A599)))),"")</f>
        <v/>
      </c>
      <c r="CD599" s="237">
        <v>17.059999999999999</v>
      </c>
      <c r="CE599" s="237" t="s">
        <v>344</v>
      </c>
      <c r="CJ599" s="347">
        <v>48.13</v>
      </c>
      <c r="CK599" s="347" t="s">
        <v>361</v>
      </c>
      <c r="CL599" s="1789"/>
      <c r="CR599" s="345"/>
      <c r="CS599" s="345"/>
      <c r="CX599" s="347"/>
      <c r="CY599" s="347"/>
      <c r="DA599" s="348"/>
      <c r="DH599" s="237"/>
      <c r="DI599" s="237"/>
      <c r="DN599" s="347"/>
      <c r="DO599" s="347"/>
      <c r="DP599" s="2505"/>
      <c r="DT599" s="663"/>
      <c r="DU599" s="663"/>
      <c r="DV599" s="663"/>
      <c r="DW599" s="663"/>
      <c r="DX599" s="663"/>
      <c r="DY599" s="663"/>
      <c r="DZ599" s="663"/>
      <c r="EA599" s="663"/>
      <c r="EB599" s="663"/>
      <c r="EC599" s="663"/>
      <c r="ED599" s="663"/>
    </row>
    <row r="600" spans="6:134">
      <c r="F600" s="345">
        <v>82.02</v>
      </c>
      <c r="G600" s="345" t="s">
        <v>361</v>
      </c>
      <c r="L600" s="347">
        <v>410.06</v>
      </c>
      <c r="M600" s="347" t="s">
        <v>335</v>
      </c>
      <c r="V600" s="345">
        <v>306.01</v>
      </c>
      <c r="W600" s="345" t="s">
        <v>343</v>
      </c>
      <c r="AB600" s="347">
        <v>75.010000000000005</v>
      </c>
      <c r="AC600" s="347" t="s">
        <v>361</v>
      </c>
      <c r="AD600" s="1138"/>
      <c r="AJ600" s="345">
        <v>165.1</v>
      </c>
      <c r="AK600" s="345" t="s">
        <v>359</v>
      </c>
      <c r="AP600" s="347">
        <v>143.36000000000001</v>
      </c>
      <c r="AQ600" s="347" t="s">
        <v>323</v>
      </c>
      <c r="AZ600" s="345">
        <v>180</v>
      </c>
      <c r="BA600" s="345" t="s">
        <v>359</v>
      </c>
      <c r="BF600" s="347">
        <v>48.16</v>
      </c>
      <c r="BG600" s="347" t="s">
        <v>361</v>
      </c>
      <c r="BH600" s="1790"/>
      <c r="BI600" s="1329"/>
      <c r="BJ600" s="1329"/>
      <c r="BN600" s="345">
        <v>912.02</v>
      </c>
      <c r="BO600" s="345" t="s">
        <v>310</v>
      </c>
      <c r="BT600" s="347">
        <v>143.30000000000001</v>
      </c>
      <c r="BU600" s="347" t="s">
        <v>323</v>
      </c>
      <c r="BW600" s="348" t="str">
        <f t="array" ref="BW600">IFERROR(IF($BW$11="Metro",INDEX($BN$13:$BN$4972,SMALL(IF((County=$BO$13:$BO$4972),MATCH(ROW($BO$13:$BO$4972),ROW($BO$13:$BO$4972)),""),ROWS($A$13:$A600))),INDEX($BQ$13:$BQ$212,SMALL(IF((County=$BR$13:$BR$212),MATCH(ROW($BR$13:$BR$212),ROW($BR$13:$BR$212)),""),ROWS($A$13:$A600)))),"")</f>
        <v/>
      </c>
      <c r="CD600" s="237">
        <v>17.079999999999998</v>
      </c>
      <c r="CE600" s="237" t="s">
        <v>344</v>
      </c>
      <c r="CJ600" s="347">
        <v>48.21</v>
      </c>
      <c r="CK600" s="347" t="s">
        <v>361</v>
      </c>
      <c r="CL600" s="1789"/>
      <c r="CR600" s="345"/>
      <c r="CS600" s="345"/>
      <c r="CX600" s="347"/>
      <c r="CY600" s="347"/>
      <c r="DA600" s="348"/>
      <c r="DH600" s="237"/>
      <c r="DI600" s="237"/>
      <c r="DN600" s="347"/>
      <c r="DO600" s="347"/>
      <c r="DP600" s="2505"/>
      <c r="DT600" s="663"/>
      <c r="DU600" s="663"/>
      <c r="DV600" s="663"/>
      <c r="DW600" s="663"/>
      <c r="DX600" s="663"/>
      <c r="DY600" s="663"/>
      <c r="DZ600" s="663"/>
      <c r="EA600" s="663"/>
      <c r="EB600" s="663"/>
      <c r="EC600" s="663"/>
      <c r="ED600" s="663"/>
    </row>
    <row r="601" spans="6:134">
      <c r="F601" s="345">
        <v>82.03</v>
      </c>
      <c r="G601" s="345" t="s">
        <v>361</v>
      </c>
      <c r="L601" s="347">
        <v>411.04</v>
      </c>
      <c r="M601" s="347" t="s">
        <v>335</v>
      </c>
      <c r="V601" s="345">
        <v>306.02</v>
      </c>
      <c r="W601" s="345" t="s">
        <v>343</v>
      </c>
      <c r="AB601" s="347">
        <v>75.03</v>
      </c>
      <c r="AC601" s="347" t="s">
        <v>352</v>
      </c>
      <c r="AD601" s="1138"/>
      <c r="AJ601" s="345">
        <v>165.11</v>
      </c>
      <c r="AK601" s="345" t="s">
        <v>359</v>
      </c>
      <c r="AP601" s="347">
        <v>143.38</v>
      </c>
      <c r="AQ601" s="347" t="s">
        <v>323</v>
      </c>
      <c r="AZ601" s="345">
        <v>185</v>
      </c>
      <c r="BA601" s="345" t="s">
        <v>359</v>
      </c>
      <c r="BF601" s="347">
        <v>48.21</v>
      </c>
      <c r="BG601" s="347" t="s">
        <v>361</v>
      </c>
      <c r="BH601" s="1790"/>
      <c r="BI601" s="1329"/>
      <c r="BJ601" s="1329"/>
      <c r="BN601" s="345">
        <v>913</v>
      </c>
      <c r="BO601" s="345" t="s">
        <v>310</v>
      </c>
      <c r="BT601" s="347">
        <v>143.33000000000001</v>
      </c>
      <c r="BU601" s="347" t="s">
        <v>323</v>
      </c>
      <c r="BW601" s="348" t="str">
        <f t="array" ref="BW601">IFERROR(IF($BW$11="Metro",INDEX($BN$13:$BN$4972,SMALL(IF((County=$BO$13:$BO$4972),MATCH(ROW($BO$13:$BO$4972),ROW($BO$13:$BO$4972)),""),ROWS($A$13:$A601))),INDEX($BQ$13:$BQ$212,SMALL(IF((County=$BR$13:$BR$212),MATCH(ROW($BR$13:$BR$212),ROW($BR$13:$BR$212)),""),ROWS($A$13:$A601)))),"")</f>
        <v/>
      </c>
      <c r="CD601" s="237">
        <v>17.09</v>
      </c>
      <c r="CE601" s="237" t="s">
        <v>344</v>
      </c>
      <c r="CJ601" s="347">
        <v>48.23</v>
      </c>
      <c r="CK601" s="347" t="s">
        <v>361</v>
      </c>
      <c r="CL601" s="1789"/>
      <c r="CR601" s="345"/>
      <c r="CS601" s="345"/>
      <c r="CX601" s="347"/>
      <c r="CY601" s="347"/>
      <c r="DA601" s="348"/>
      <c r="DH601" s="237"/>
      <c r="DI601" s="237"/>
      <c r="DN601" s="347"/>
      <c r="DO601" s="347"/>
      <c r="DP601" s="2505"/>
      <c r="DT601" s="663"/>
      <c r="DU601" s="663"/>
      <c r="DV601" s="663"/>
      <c r="DW601" s="663"/>
      <c r="DX601" s="663"/>
      <c r="DY601" s="663"/>
      <c r="DZ601" s="663"/>
      <c r="EA601" s="663"/>
      <c r="EB601" s="663"/>
      <c r="EC601" s="663"/>
      <c r="ED601" s="663"/>
    </row>
    <row r="602" spans="6:134">
      <c r="F602" s="345">
        <v>83.01</v>
      </c>
      <c r="G602" s="345" t="s">
        <v>361</v>
      </c>
      <c r="L602" s="347">
        <v>411.06</v>
      </c>
      <c r="M602" s="347" t="s">
        <v>335</v>
      </c>
      <c r="V602" s="345">
        <v>306.02</v>
      </c>
      <c r="W602" s="345" t="s">
        <v>362</v>
      </c>
      <c r="AB602" s="347">
        <v>75.040000000000006</v>
      </c>
      <c r="AC602" s="347" t="s">
        <v>361</v>
      </c>
      <c r="AD602" s="1138"/>
      <c r="AJ602" s="345">
        <v>165.12</v>
      </c>
      <c r="AK602" s="345" t="s">
        <v>359</v>
      </c>
      <c r="AP602" s="347">
        <v>143.38999999999999</v>
      </c>
      <c r="AQ602" s="347" t="s">
        <v>323</v>
      </c>
      <c r="AZ602" s="345">
        <v>187</v>
      </c>
      <c r="BA602" s="345" t="s">
        <v>359</v>
      </c>
      <c r="BF602" s="347">
        <v>48.23</v>
      </c>
      <c r="BG602" s="347" t="s">
        <v>361</v>
      </c>
      <c r="BH602" s="1790"/>
      <c r="BI602" s="1329"/>
      <c r="BJ602" s="1329"/>
      <c r="BN602" s="345">
        <v>914</v>
      </c>
      <c r="BO602" s="345" t="s">
        <v>310</v>
      </c>
      <c r="BT602" s="347">
        <v>143.34</v>
      </c>
      <c r="BU602" s="347" t="s">
        <v>323</v>
      </c>
      <c r="BW602" s="348" t="str">
        <f t="array" ref="BW602">IFERROR(IF($BW$11="Metro",INDEX($BN$13:$BN$4972,SMALL(IF((County=$BO$13:$BO$4972),MATCH(ROW($BO$13:$BO$4972),ROW($BO$13:$BO$4972)),""),ROWS($A$13:$A602))),INDEX($BQ$13:$BQ$212,SMALL(IF((County=$BR$13:$BR$212),MATCH(ROW($BR$13:$BR$212),ROW($BR$13:$BR$212)),""),ROWS($A$13:$A602)))),"")</f>
        <v/>
      </c>
      <c r="CD602" s="237">
        <v>17.100000000000001</v>
      </c>
      <c r="CE602" s="237" t="s">
        <v>344</v>
      </c>
      <c r="CJ602" s="347">
        <v>49.01</v>
      </c>
      <c r="CK602" s="347" t="s">
        <v>337</v>
      </c>
      <c r="CL602" s="1789"/>
      <c r="CR602" s="345"/>
      <c r="CS602" s="345"/>
      <c r="CX602" s="347"/>
      <c r="CY602" s="347"/>
      <c r="DA602" s="348"/>
      <c r="DH602" s="237"/>
      <c r="DI602" s="237"/>
      <c r="DN602" s="347"/>
      <c r="DO602" s="347"/>
      <c r="DP602" s="2505"/>
      <c r="DT602" s="663"/>
      <c r="DU602" s="663"/>
      <c r="DV602" s="663"/>
      <c r="DW602" s="663"/>
      <c r="DX602" s="663"/>
      <c r="DY602" s="663"/>
      <c r="DZ602" s="663"/>
      <c r="EA602" s="663"/>
      <c r="EB602" s="663"/>
      <c r="EC602" s="663"/>
      <c r="ED602" s="663"/>
    </row>
    <row r="603" spans="6:134">
      <c r="F603" s="345">
        <v>83.02</v>
      </c>
      <c r="G603" s="345" t="s">
        <v>361</v>
      </c>
      <c r="L603" s="347">
        <v>412.01</v>
      </c>
      <c r="M603" s="347" t="s">
        <v>335</v>
      </c>
      <c r="V603" s="345">
        <v>308</v>
      </c>
      <c r="W603" s="345" t="s">
        <v>362</v>
      </c>
      <c r="AB603" s="347">
        <v>75.05</v>
      </c>
      <c r="AC603" s="347" t="s">
        <v>361</v>
      </c>
      <c r="AD603" s="1138"/>
      <c r="AJ603" s="345">
        <v>165.13</v>
      </c>
      <c r="AK603" s="345" t="s">
        <v>359</v>
      </c>
      <c r="AP603" s="347">
        <v>143.4</v>
      </c>
      <c r="AQ603" s="347" t="s">
        <v>323</v>
      </c>
      <c r="AZ603" s="345">
        <v>189.01</v>
      </c>
      <c r="BA603" s="345" t="s">
        <v>359</v>
      </c>
      <c r="BF603" s="347">
        <v>49.01</v>
      </c>
      <c r="BG603" s="347" t="s">
        <v>337</v>
      </c>
      <c r="BH603" s="1790"/>
      <c r="BI603" s="1329"/>
      <c r="BJ603" s="1329"/>
      <c r="BN603" s="345">
        <v>915</v>
      </c>
      <c r="BO603" s="345" t="s">
        <v>310</v>
      </c>
      <c r="BT603" s="347">
        <v>143.35</v>
      </c>
      <c r="BU603" s="347" t="s">
        <v>323</v>
      </c>
      <c r="BW603" s="348" t="str">
        <f t="array" ref="BW603">IFERROR(IF($BW$11="Metro",INDEX($BN$13:$BN$4972,SMALL(IF((County=$BO$13:$BO$4972),MATCH(ROW($BO$13:$BO$4972),ROW($BO$13:$BO$4972)),""),ROWS($A$13:$A603))),INDEX($BQ$13:$BQ$212,SMALL(IF((County=$BR$13:$BR$212),MATCH(ROW($BR$13:$BR$212),ROW($BR$13:$BR$212)),""),ROWS($A$13:$A603)))),"")</f>
        <v/>
      </c>
      <c r="CD603" s="237">
        <v>17.11</v>
      </c>
      <c r="CE603" s="237" t="s">
        <v>344</v>
      </c>
      <c r="CJ603" s="347">
        <v>49.02</v>
      </c>
      <c r="CK603" s="347" t="s">
        <v>337</v>
      </c>
      <c r="CL603" s="1789"/>
      <c r="CR603" s="345"/>
      <c r="CS603" s="345"/>
      <c r="CX603" s="347"/>
      <c r="CY603" s="347"/>
      <c r="DA603" s="348"/>
      <c r="DH603" s="237"/>
      <c r="DI603" s="237"/>
      <c r="DN603" s="347"/>
      <c r="DO603" s="347"/>
      <c r="DP603" s="2505"/>
      <c r="DT603" s="663"/>
      <c r="DU603" s="663"/>
      <c r="DV603" s="663"/>
      <c r="DW603" s="663"/>
      <c r="DX603" s="663"/>
      <c r="DY603" s="663"/>
      <c r="DZ603" s="663"/>
      <c r="EA603" s="663"/>
      <c r="EB603" s="663"/>
      <c r="EC603" s="663"/>
      <c r="ED603" s="663"/>
    </row>
    <row r="604" spans="6:134">
      <c r="F604" s="345">
        <v>301.02</v>
      </c>
      <c r="G604" s="345" t="s">
        <v>362</v>
      </c>
      <c r="L604" s="347">
        <v>412.03</v>
      </c>
      <c r="M604" s="347" t="s">
        <v>335</v>
      </c>
      <c r="V604" s="345">
        <v>308.01</v>
      </c>
      <c r="W604" s="345" t="s">
        <v>310</v>
      </c>
      <c r="AB604" s="347">
        <v>76.010000000000005</v>
      </c>
      <c r="AC604" s="347" t="s">
        <v>352</v>
      </c>
      <c r="AD604" s="1138"/>
      <c r="AJ604" s="345">
        <v>167.09</v>
      </c>
      <c r="AK604" s="345" t="s">
        <v>359</v>
      </c>
      <c r="AP604" s="347">
        <v>143.41</v>
      </c>
      <c r="AQ604" s="347" t="s">
        <v>323</v>
      </c>
      <c r="AZ604" s="345">
        <v>189.02</v>
      </c>
      <c r="BA604" s="345" t="s">
        <v>359</v>
      </c>
      <c r="BF604" s="347">
        <v>49.01</v>
      </c>
      <c r="BG604" s="347" t="s">
        <v>352</v>
      </c>
      <c r="BH604" s="1790"/>
      <c r="BI604" s="1329"/>
      <c r="BJ604" s="1329"/>
      <c r="BN604" s="345">
        <v>916.01</v>
      </c>
      <c r="BO604" s="345" t="s">
        <v>310</v>
      </c>
      <c r="BT604" s="347">
        <v>143.36000000000001</v>
      </c>
      <c r="BU604" s="347" t="s">
        <v>323</v>
      </c>
      <c r="BW604" s="348" t="str">
        <f t="array" ref="BW604">IFERROR(IF($BW$11="Metro",INDEX($BN$13:$BN$4972,SMALL(IF((County=$BO$13:$BO$4972),MATCH(ROW($BO$13:$BO$4972),ROW($BO$13:$BO$4972)),""),ROWS($A$13:$A604))),INDEX($BQ$13:$BQ$212,SMALL(IF((County=$BR$13:$BR$212),MATCH(ROW($BR$13:$BR$212),ROW($BR$13:$BR$212)),""),ROWS($A$13:$A604)))),"")</f>
        <v/>
      </c>
      <c r="CD604" s="345">
        <v>18</v>
      </c>
      <c r="CE604" s="345" t="s">
        <v>306</v>
      </c>
      <c r="CJ604" s="347">
        <v>49.02</v>
      </c>
      <c r="CK604" s="347" t="s">
        <v>361</v>
      </c>
      <c r="CL604" s="1789"/>
      <c r="CR604" s="345"/>
      <c r="CS604" s="345"/>
      <c r="CX604" s="347"/>
      <c r="CY604" s="347"/>
      <c r="DA604" s="348"/>
      <c r="DH604" s="237"/>
      <c r="DI604" s="237"/>
      <c r="DN604" s="347"/>
      <c r="DO604" s="347"/>
      <c r="DP604" s="2505"/>
      <c r="DT604" s="663"/>
      <c r="DU604" s="663"/>
      <c r="DV604" s="663"/>
      <c r="DW604" s="663"/>
      <c r="DX604" s="663"/>
      <c r="DY604" s="663"/>
      <c r="DZ604" s="663"/>
      <c r="EA604" s="663"/>
      <c r="EB604" s="663"/>
      <c r="EC604" s="663"/>
      <c r="ED604" s="663"/>
    </row>
    <row r="605" spans="6:134">
      <c r="F605" s="345">
        <v>302.02999999999997</v>
      </c>
      <c r="G605" s="345" t="s">
        <v>362</v>
      </c>
      <c r="L605" s="347">
        <v>413.03</v>
      </c>
      <c r="M605" s="347" t="s">
        <v>335</v>
      </c>
      <c r="V605" s="345">
        <v>310.05</v>
      </c>
      <c r="W605" s="345" t="s">
        <v>362</v>
      </c>
      <c r="AB605" s="347">
        <v>76.03</v>
      </c>
      <c r="AC605" s="347" t="s">
        <v>361</v>
      </c>
      <c r="AD605" s="1138"/>
      <c r="AJ605" s="345">
        <v>167.38</v>
      </c>
      <c r="AK605" s="345" t="s">
        <v>359</v>
      </c>
      <c r="AP605" s="347">
        <v>143.41999999999999</v>
      </c>
      <c r="AQ605" s="347" t="s">
        <v>323</v>
      </c>
      <c r="AZ605" s="345">
        <v>201.01</v>
      </c>
      <c r="BA605" s="345" t="s">
        <v>369</v>
      </c>
      <c r="BF605" s="347">
        <v>49.02</v>
      </c>
      <c r="BG605" s="347" t="s">
        <v>337</v>
      </c>
      <c r="BH605" s="1790"/>
      <c r="BI605" s="1329"/>
      <c r="BJ605" s="1329"/>
      <c r="BN605" s="345">
        <v>916.02</v>
      </c>
      <c r="BO605" s="345" t="s">
        <v>310</v>
      </c>
      <c r="BT605" s="347">
        <v>143.38</v>
      </c>
      <c r="BU605" s="347" t="s">
        <v>323</v>
      </c>
      <c r="BW605" s="348" t="str">
        <f t="array" ref="BW605">IFERROR(IF($BW$11="Metro",INDEX($BN$13:$BN$4972,SMALL(IF((County=$BO$13:$BO$4972),MATCH(ROW($BO$13:$BO$4972),ROW($BO$13:$BO$4972)),""),ROWS($A$13:$A605))),INDEX($BQ$13:$BQ$212,SMALL(IF((County=$BR$13:$BR$212),MATCH(ROW($BR$13:$BR$212),ROW($BR$13:$BR$212)),""),ROWS($A$13:$A605)))),"")</f>
        <v/>
      </c>
      <c r="CD605" s="237">
        <v>18</v>
      </c>
      <c r="CE605" s="237" t="s">
        <v>325</v>
      </c>
      <c r="CJ605" s="347">
        <v>49.04</v>
      </c>
      <c r="CK605" s="347" t="s">
        <v>352</v>
      </c>
      <c r="CL605" s="1789"/>
      <c r="CR605" s="345"/>
      <c r="CS605" s="345"/>
      <c r="CX605" s="347"/>
      <c r="CY605" s="347"/>
      <c r="DA605" s="348"/>
      <c r="DH605" s="237"/>
      <c r="DI605" s="237"/>
      <c r="DN605" s="347"/>
      <c r="DO605" s="347"/>
      <c r="DP605" s="2505"/>
      <c r="DT605" s="663"/>
      <c r="DU605" s="663"/>
      <c r="DV605" s="663"/>
      <c r="DW605" s="663"/>
      <c r="DX605" s="663"/>
      <c r="DY605" s="663"/>
      <c r="DZ605" s="663"/>
      <c r="EA605" s="663"/>
      <c r="EB605" s="663"/>
      <c r="EC605" s="663"/>
      <c r="ED605" s="663"/>
    </row>
    <row r="606" spans="6:134">
      <c r="F606" s="345">
        <v>302.04000000000002</v>
      </c>
      <c r="G606" s="345" t="s">
        <v>362</v>
      </c>
      <c r="L606" s="347">
        <v>413.05</v>
      </c>
      <c r="M606" s="347" t="s">
        <v>335</v>
      </c>
      <c r="V606" s="345">
        <v>310.08</v>
      </c>
      <c r="W606" s="345" t="s">
        <v>362</v>
      </c>
      <c r="AB606" s="347">
        <v>76.040000000000006</v>
      </c>
      <c r="AC606" s="347" t="s">
        <v>352</v>
      </c>
      <c r="AD606" s="1138"/>
      <c r="AJ606" s="345">
        <v>167.39</v>
      </c>
      <c r="AK606" s="345" t="s">
        <v>359</v>
      </c>
      <c r="AP606" s="347">
        <v>143.43</v>
      </c>
      <c r="AQ606" s="347" t="s">
        <v>323</v>
      </c>
      <c r="AZ606" s="345">
        <v>201.09</v>
      </c>
      <c r="BA606" s="345" t="s">
        <v>363</v>
      </c>
      <c r="BF606" s="347">
        <v>49.02</v>
      </c>
      <c r="BG606" s="347" t="s">
        <v>361</v>
      </c>
      <c r="BH606" s="1790"/>
      <c r="BI606" s="1329"/>
      <c r="BJ606" s="1329"/>
      <c r="BN606" s="345">
        <v>917.01</v>
      </c>
      <c r="BO606" s="345" t="s">
        <v>310</v>
      </c>
      <c r="BT606" s="347">
        <v>143.38999999999999</v>
      </c>
      <c r="BU606" s="347" t="s">
        <v>323</v>
      </c>
      <c r="BW606" s="348" t="str">
        <f t="array" ref="BW606">IFERROR(IF($BW$11="Metro",INDEX($BN$13:$BN$4972,SMALL(IF((County=$BO$13:$BO$4972),MATCH(ROW($BO$13:$BO$4972),ROW($BO$13:$BO$4972)),""),ROWS($A$13:$A606))),INDEX($BQ$13:$BQ$212,SMALL(IF((County=$BR$13:$BR$212),MATCH(ROW($BR$13:$BR$212),ROW($BR$13:$BR$212)),""),ROWS($A$13:$A606)))),"")</f>
        <v/>
      </c>
      <c r="CD606" s="237">
        <v>18</v>
      </c>
      <c r="CE606" s="237" t="s">
        <v>337</v>
      </c>
      <c r="CJ606" s="347">
        <v>50.03</v>
      </c>
      <c r="CK606" s="347" t="s">
        <v>352</v>
      </c>
      <c r="CL606" s="1789"/>
      <c r="CR606" s="345"/>
      <c r="CS606" s="345"/>
      <c r="CX606" s="347"/>
      <c r="CY606" s="347"/>
      <c r="DA606" s="348"/>
      <c r="DH606" s="237"/>
      <c r="DI606" s="237"/>
      <c r="DN606" s="347"/>
      <c r="DO606" s="347"/>
      <c r="DP606" s="2505"/>
      <c r="DT606" s="663"/>
      <c r="DU606" s="663"/>
      <c r="DV606" s="663"/>
      <c r="DW606" s="663"/>
      <c r="DX606" s="663"/>
      <c r="DY606" s="663"/>
      <c r="DZ606" s="663"/>
      <c r="EA606" s="663"/>
      <c r="EB606" s="663"/>
      <c r="EC606" s="663"/>
      <c r="ED606" s="663"/>
    </row>
    <row r="607" spans="6:134">
      <c r="F607" s="345">
        <v>303.02</v>
      </c>
      <c r="G607" s="345" t="s">
        <v>362</v>
      </c>
      <c r="L607" s="347">
        <v>414.02</v>
      </c>
      <c r="M607" s="347" t="s">
        <v>335</v>
      </c>
      <c r="V607" s="345">
        <v>310.08999999999997</v>
      </c>
      <c r="W607" s="345" t="s">
        <v>362</v>
      </c>
      <c r="AB607" s="347">
        <v>76.040000000000006</v>
      </c>
      <c r="AC607" s="347" t="s">
        <v>361</v>
      </c>
      <c r="AD607" s="1138"/>
      <c r="AJ607" s="345">
        <v>167.4</v>
      </c>
      <c r="AK607" s="345" t="s">
        <v>359</v>
      </c>
      <c r="AP607" s="347">
        <v>144.08000000000001</v>
      </c>
      <c r="AQ607" s="347" t="s">
        <v>323</v>
      </c>
      <c r="AZ607" s="345">
        <v>201.1</v>
      </c>
      <c r="BA607" s="345" t="s">
        <v>363</v>
      </c>
      <c r="BF607" s="347">
        <v>49.04</v>
      </c>
      <c r="BG607" s="347" t="s">
        <v>352</v>
      </c>
      <c r="BH607" s="1790"/>
      <c r="BN607" s="345">
        <v>917.02</v>
      </c>
      <c r="BO607" s="345" t="s">
        <v>310</v>
      </c>
      <c r="BT607" s="347">
        <v>143.4</v>
      </c>
      <c r="BU607" s="347" t="s">
        <v>323</v>
      </c>
      <c r="BW607" s="348" t="str">
        <f t="array" ref="BW607">IFERROR(IF($BW$11="Metro",INDEX($BN$13:$BN$4972,SMALL(IF((County=$BO$13:$BO$4972),MATCH(ROW($BO$13:$BO$4972),ROW($BO$13:$BO$4972)),""),ROWS($A$13:$A607))),INDEX($BQ$13:$BQ$212,SMALL(IF((County=$BR$13:$BR$212),MATCH(ROW($BR$13:$BR$212),ROW($BR$13:$BR$212)),""),ROWS($A$13:$A607)))),"")</f>
        <v/>
      </c>
      <c r="CD607" s="237">
        <v>18</v>
      </c>
      <c r="CE607" s="237" t="s">
        <v>350</v>
      </c>
      <c r="CJ607" s="347">
        <v>51.01</v>
      </c>
      <c r="CK607" s="347" t="s">
        <v>337</v>
      </c>
      <c r="CL607" s="1789"/>
      <c r="CR607" s="345"/>
      <c r="CS607" s="345"/>
      <c r="CX607" s="347"/>
      <c r="CY607" s="347"/>
      <c r="DA607" s="348"/>
      <c r="DH607" s="237"/>
      <c r="DI607" s="237"/>
      <c r="DN607" s="347"/>
      <c r="DO607" s="347"/>
      <c r="DP607" s="2505"/>
      <c r="DT607" s="663"/>
      <c r="DU607" s="663"/>
      <c r="DV607" s="663"/>
      <c r="DW607" s="663"/>
      <c r="DX607" s="663"/>
      <c r="DY607" s="663"/>
      <c r="DZ607" s="663"/>
      <c r="EA607" s="663"/>
      <c r="EB607" s="663"/>
      <c r="EC607" s="663"/>
      <c r="ED607" s="663"/>
    </row>
    <row r="608" spans="6:134">
      <c r="F608" s="345">
        <v>304.07</v>
      </c>
      <c r="G608" s="345" t="s">
        <v>362</v>
      </c>
      <c r="L608" s="347">
        <v>415.01</v>
      </c>
      <c r="M608" s="347" t="s">
        <v>335</v>
      </c>
      <c r="V608" s="345">
        <v>310.10000000000002</v>
      </c>
      <c r="W608" s="345" t="s">
        <v>362</v>
      </c>
      <c r="AB608" s="347">
        <v>76.05</v>
      </c>
      <c r="AC608" s="347" t="s">
        <v>352</v>
      </c>
      <c r="AD608" s="1138"/>
      <c r="AJ608" s="345">
        <v>167.41</v>
      </c>
      <c r="AK608" s="345" t="s">
        <v>359</v>
      </c>
      <c r="AP608" s="347">
        <v>144.13</v>
      </c>
      <c r="AQ608" s="347" t="s">
        <v>323</v>
      </c>
      <c r="AZ608" s="345">
        <v>202.01</v>
      </c>
      <c r="BA608" s="345" t="s">
        <v>369</v>
      </c>
      <c r="BF608" s="347">
        <v>50.02</v>
      </c>
      <c r="BG608" s="347" t="s">
        <v>352</v>
      </c>
      <c r="BH608" s="1790"/>
      <c r="BN608" s="345">
        <v>918.02</v>
      </c>
      <c r="BO608" s="345" t="s">
        <v>310</v>
      </c>
      <c r="BT608" s="347">
        <v>143.41</v>
      </c>
      <c r="BU608" s="347" t="s">
        <v>323</v>
      </c>
      <c r="BW608" s="348" t="str">
        <f t="array" ref="BW608">IFERROR(IF($BW$11="Metro",INDEX($BN$13:$BN$4972,SMALL(IF((County=$BO$13:$BO$4972),MATCH(ROW($BO$13:$BO$4972),ROW($BO$13:$BO$4972)),""),ROWS($A$13:$A608))),INDEX($BQ$13:$BQ$212,SMALL(IF((County=$BR$13:$BR$212),MATCH(ROW($BR$13:$BR$212),ROW($BR$13:$BR$212)),""),ROWS($A$13:$A608)))),"")</f>
        <v/>
      </c>
      <c r="CD608" s="237">
        <v>18.010000000000002</v>
      </c>
      <c r="CE608" s="237" t="s">
        <v>344</v>
      </c>
      <c r="CJ608" s="347">
        <v>51.02</v>
      </c>
      <c r="CK608" s="347" t="s">
        <v>337</v>
      </c>
      <c r="CL608" s="1789"/>
      <c r="CR608" s="345"/>
      <c r="CS608" s="345"/>
      <c r="CX608" s="347"/>
      <c r="CY608" s="347"/>
      <c r="DA608" s="348"/>
      <c r="DH608" s="237"/>
      <c r="DI608" s="237"/>
      <c r="DN608" s="347"/>
      <c r="DO608" s="347"/>
      <c r="DP608" s="2505"/>
      <c r="DT608" s="663"/>
      <c r="DU608" s="663"/>
      <c r="DV608" s="663"/>
      <c r="DW608" s="663"/>
      <c r="DX608" s="663"/>
      <c r="DY608" s="663"/>
      <c r="DZ608" s="663"/>
      <c r="EA608" s="663"/>
      <c r="EB608" s="663"/>
      <c r="EC608" s="663"/>
      <c r="ED608" s="663"/>
    </row>
    <row r="609" spans="6:134">
      <c r="F609" s="345">
        <v>304.08</v>
      </c>
      <c r="G609" s="345" t="s">
        <v>362</v>
      </c>
      <c r="L609" s="347">
        <v>415.02</v>
      </c>
      <c r="M609" s="347" t="s">
        <v>335</v>
      </c>
      <c r="V609" s="345">
        <v>314.04000000000002</v>
      </c>
      <c r="W609" s="345" t="s">
        <v>362</v>
      </c>
      <c r="AB609" s="347">
        <v>76.05</v>
      </c>
      <c r="AC609" s="347" t="s">
        <v>361</v>
      </c>
      <c r="AD609" s="1138"/>
      <c r="AJ609" s="345">
        <v>167.42</v>
      </c>
      <c r="AK609" s="345" t="s">
        <v>359</v>
      </c>
      <c r="AP609" s="347">
        <v>144.13999999999999</v>
      </c>
      <c r="AQ609" s="347" t="s">
        <v>323</v>
      </c>
      <c r="AZ609" s="345">
        <v>203</v>
      </c>
      <c r="BA609" s="345" t="s">
        <v>370</v>
      </c>
      <c r="BF609" s="347">
        <v>51.01</v>
      </c>
      <c r="BG609" s="347" t="s">
        <v>337</v>
      </c>
      <c r="BH609" s="1790"/>
      <c r="BN609" s="345">
        <v>918.03</v>
      </c>
      <c r="BO609" s="345" t="s">
        <v>310</v>
      </c>
      <c r="BT609" s="347">
        <v>143.41999999999999</v>
      </c>
      <c r="BU609" s="347" t="s">
        <v>323</v>
      </c>
      <c r="BW609" s="348" t="str">
        <f t="array" ref="BW609">IFERROR(IF($BW$11="Metro",INDEX($BN$13:$BN$4972,SMALL(IF((County=$BO$13:$BO$4972),MATCH(ROW($BO$13:$BO$4972),ROW($BO$13:$BO$4972)),""),ROWS($A$13:$A609))),INDEX($BQ$13:$BQ$212,SMALL(IF((County=$BR$13:$BR$212),MATCH(ROW($BR$13:$BR$212),ROW($BR$13:$BR$212)),""),ROWS($A$13:$A609)))),"")</f>
        <v/>
      </c>
      <c r="CD609" s="237">
        <v>18.010000000000002</v>
      </c>
      <c r="CE609" s="237" t="s">
        <v>345</v>
      </c>
      <c r="CJ609" s="347">
        <v>53.01</v>
      </c>
      <c r="CK609" s="347" t="s">
        <v>337</v>
      </c>
      <c r="CL609" s="1789"/>
      <c r="CR609" s="345"/>
      <c r="CS609" s="345"/>
      <c r="CX609" s="347"/>
      <c r="CY609" s="347"/>
      <c r="DA609" s="348"/>
      <c r="DH609" s="237"/>
      <c r="DI609" s="237"/>
      <c r="DN609" s="347"/>
      <c r="DO609" s="347"/>
      <c r="DP609" s="2505"/>
      <c r="DT609" s="663"/>
      <c r="DU609" s="663"/>
      <c r="DV609" s="663"/>
      <c r="DW609" s="663"/>
      <c r="DX609" s="663"/>
      <c r="DY609" s="663"/>
      <c r="DZ609" s="663"/>
      <c r="EA609" s="663"/>
      <c r="EB609" s="663"/>
      <c r="EC609" s="663"/>
      <c r="ED609" s="663"/>
    </row>
    <row r="610" spans="6:134">
      <c r="F610" s="345">
        <v>304.10000000000002</v>
      </c>
      <c r="G610" s="345" t="s">
        <v>362</v>
      </c>
      <c r="L610" s="347">
        <v>416</v>
      </c>
      <c r="M610" s="347" t="s">
        <v>335</v>
      </c>
      <c r="V610" s="345">
        <v>314.05</v>
      </c>
      <c r="W610" s="345" t="s">
        <v>362</v>
      </c>
      <c r="AB610" s="347">
        <v>76.06</v>
      </c>
      <c r="AC610" s="347" t="s">
        <v>352</v>
      </c>
      <c r="AD610" s="1138"/>
      <c r="AJ610" s="345">
        <v>169.02</v>
      </c>
      <c r="AK610" s="345" t="s">
        <v>359</v>
      </c>
      <c r="AP610" s="347">
        <v>144.16</v>
      </c>
      <c r="AQ610" s="347" t="s">
        <v>323</v>
      </c>
      <c r="AZ610" s="345">
        <v>203.01</v>
      </c>
      <c r="BA610" s="345" t="s">
        <v>344</v>
      </c>
      <c r="BF610" s="347">
        <v>51.02</v>
      </c>
      <c r="BG610" s="347" t="s">
        <v>337</v>
      </c>
      <c r="BH610" s="1790"/>
      <c r="BN610" s="345">
        <v>918.04</v>
      </c>
      <c r="BO610" s="345" t="s">
        <v>310</v>
      </c>
      <c r="BT610" s="347">
        <v>143.43</v>
      </c>
      <c r="BU610" s="347" t="s">
        <v>323</v>
      </c>
      <c r="BW610" s="348" t="str">
        <f t="array" ref="BW610">IFERROR(IF($BW$11="Metro",INDEX($BN$13:$BN$4972,SMALL(IF((County=$BO$13:$BO$4972),MATCH(ROW($BO$13:$BO$4972),ROW($BO$13:$BO$4972)),""),ROWS($A$13:$A610))),INDEX($BQ$13:$BQ$212,SMALL(IF((County=$BR$13:$BR$212),MATCH(ROW($BR$13:$BR$212),ROW($BR$13:$BR$212)),""),ROWS($A$13:$A610)))),"")</f>
        <v/>
      </c>
      <c r="CD610" s="237">
        <v>18.010000000000002</v>
      </c>
      <c r="CE610" s="237" t="s">
        <v>349</v>
      </c>
      <c r="CJ610" s="347">
        <v>54.01</v>
      </c>
      <c r="CK610" s="347" t="s">
        <v>337</v>
      </c>
      <c r="CL610" s="1789"/>
      <c r="CR610" s="345"/>
      <c r="CS610" s="345"/>
      <c r="CX610" s="347"/>
      <c r="CY610" s="347"/>
      <c r="DA610" s="348"/>
      <c r="DH610" s="237"/>
      <c r="DI610" s="237"/>
      <c r="DN610" s="347"/>
      <c r="DO610" s="347"/>
      <c r="DP610" s="2505"/>
      <c r="DT610" s="663"/>
      <c r="DU610" s="663"/>
      <c r="DV610" s="663"/>
      <c r="DW610" s="663"/>
      <c r="DX610" s="663"/>
      <c r="DY610" s="663"/>
      <c r="DZ610" s="663"/>
      <c r="EA610" s="663"/>
      <c r="EB610" s="663"/>
      <c r="EC610" s="663"/>
      <c r="ED610" s="663"/>
    </row>
    <row r="611" spans="6:134">
      <c r="F611" s="345">
        <v>304.11</v>
      </c>
      <c r="G611" s="345" t="s">
        <v>362</v>
      </c>
      <c r="L611" s="347">
        <v>9601.01</v>
      </c>
      <c r="M611" s="347" t="s">
        <v>336</v>
      </c>
      <c r="V611" s="345">
        <v>314.06</v>
      </c>
      <c r="W611" s="345" t="s">
        <v>362</v>
      </c>
      <c r="AB611" s="347">
        <v>76.069999999999993</v>
      </c>
      <c r="AC611" s="347" t="s">
        <v>361</v>
      </c>
      <c r="AD611" s="1138"/>
      <c r="AJ611" s="345">
        <v>169.04</v>
      </c>
      <c r="AK611" s="345" t="s">
        <v>359</v>
      </c>
      <c r="AP611" s="347">
        <v>144.16999999999999</v>
      </c>
      <c r="AQ611" s="347" t="s">
        <v>323</v>
      </c>
      <c r="AZ611" s="345">
        <v>203.02</v>
      </c>
      <c r="BA611" s="345" t="s">
        <v>344</v>
      </c>
      <c r="BF611" s="347">
        <v>53</v>
      </c>
      <c r="BG611" s="347" t="s">
        <v>361</v>
      </c>
      <c r="BH611" s="1790"/>
      <c r="BN611" s="345">
        <v>919.01</v>
      </c>
      <c r="BO611" s="345" t="s">
        <v>310</v>
      </c>
      <c r="BT611" s="347">
        <v>143.44</v>
      </c>
      <c r="BU611" s="347" t="s">
        <v>323</v>
      </c>
      <c r="BW611" s="348" t="str">
        <f t="array" ref="BW611">IFERROR(IF($BW$11="Metro",INDEX($BN$13:$BN$4972,SMALL(IF((County=$BO$13:$BO$4972),MATCH(ROW($BO$13:$BO$4972),ROW($BO$13:$BO$4972)),""),ROWS($A$13:$A611))),INDEX($BQ$13:$BQ$212,SMALL(IF((County=$BR$13:$BR$212),MATCH(ROW($BR$13:$BR$212),ROW($BR$13:$BR$212)),""),ROWS($A$13:$A611)))),"")</f>
        <v/>
      </c>
      <c r="CD611" s="237">
        <v>18.010000000000002</v>
      </c>
      <c r="CE611" s="237" t="s">
        <v>352</v>
      </c>
      <c r="CJ611" s="347">
        <v>54.11</v>
      </c>
      <c r="CK611" s="347" t="s">
        <v>361</v>
      </c>
      <c r="CL611" s="1789"/>
      <c r="CR611" s="345"/>
      <c r="CS611" s="345"/>
      <c r="CX611" s="347"/>
      <c r="CY611" s="347"/>
      <c r="DA611" s="348"/>
      <c r="DH611" s="237"/>
      <c r="DI611" s="237"/>
      <c r="DN611" s="347"/>
      <c r="DO611" s="347"/>
      <c r="DP611" s="2505"/>
      <c r="DT611" s="663"/>
      <c r="DU611" s="663"/>
      <c r="DV611" s="663"/>
      <c r="DW611" s="663"/>
      <c r="DX611" s="663"/>
      <c r="DY611" s="663"/>
      <c r="DZ611" s="663"/>
      <c r="EA611" s="663"/>
      <c r="EB611" s="663"/>
      <c r="EC611" s="663"/>
      <c r="ED611" s="663"/>
    </row>
    <row r="612" spans="6:134">
      <c r="F612" s="345">
        <v>304.12</v>
      </c>
      <c r="G612" s="345" t="s">
        <v>362</v>
      </c>
      <c r="L612" s="347">
        <v>9604</v>
      </c>
      <c r="M612" s="347" t="s">
        <v>336</v>
      </c>
      <c r="V612" s="345">
        <v>314.08</v>
      </c>
      <c r="W612" s="345" t="s">
        <v>362</v>
      </c>
      <c r="AB612" s="347">
        <v>76.099999999999994</v>
      </c>
      <c r="AC612" s="347" t="s">
        <v>361</v>
      </c>
      <c r="AD612" s="1138"/>
      <c r="AJ612" s="345">
        <v>169.06</v>
      </c>
      <c r="AK612" s="345" t="s">
        <v>359</v>
      </c>
      <c r="AP612" s="347">
        <v>144.18</v>
      </c>
      <c r="AQ612" s="347" t="s">
        <v>323</v>
      </c>
      <c r="AZ612" s="345">
        <v>204</v>
      </c>
      <c r="BA612" s="345" t="s">
        <v>370</v>
      </c>
      <c r="BF612" s="347">
        <v>53.01</v>
      </c>
      <c r="BG612" s="347" t="s">
        <v>337</v>
      </c>
      <c r="BH612" s="1790"/>
      <c r="BN612" s="345">
        <v>919.03</v>
      </c>
      <c r="BO612" s="345" t="s">
        <v>310</v>
      </c>
      <c r="BT612" s="347">
        <v>144.08000000000001</v>
      </c>
      <c r="BU612" s="347" t="s">
        <v>323</v>
      </c>
      <c r="BW612" s="348" t="str">
        <f t="array" ref="BW612">IFERROR(IF($BW$11="Metro",INDEX($BN$13:$BN$4972,SMALL(IF((County=$BO$13:$BO$4972),MATCH(ROW($BO$13:$BO$4972),ROW($BO$13:$BO$4972)),""),ROWS($A$13:$A612))),INDEX($BQ$13:$BQ$212,SMALL(IF((County=$BR$13:$BR$212),MATCH(ROW($BR$13:$BR$212),ROW($BR$13:$BR$212)),""),ROWS($A$13:$A612)))),"")</f>
        <v/>
      </c>
      <c r="CD612" s="237">
        <v>18.010000000000002</v>
      </c>
      <c r="CE612" s="237" t="s">
        <v>361</v>
      </c>
      <c r="CJ612" s="347">
        <v>54.12</v>
      </c>
      <c r="CK612" s="347" t="s">
        <v>361</v>
      </c>
      <c r="CL612" s="1789"/>
      <c r="CR612" s="345"/>
      <c r="CS612" s="345"/>
      <c r="CX612" s="347"/>
      <c r="CY612" s="347"/>
      <c r="DA612" s="348"/>
      <c r="DH612" s="237"/>
      <c r="DI612" s="237"/>
      <c r="DN612" s="347"/>
      <c r="DO612" s="347"/>
      <c r="DP612" s="2505"/>
      <c r="DT612" s="663"/>
      <c r="DU612" s="663"/>
      <c r="DV612" s="663"/>
      <c r="DW612" s="663"/>
      <c r="DX612" s="663"/>
      <c r="DY612" s="663"/>
      <c r="DZ612" s="663"/>
      <c r="EA612" s="663"/>
      <c r="EB612" s="663"/>
      <c r="EC612" s="663"/>
      <c r="ED612" s="663"/>
    </row>
    <row r="613" spans="6:134">
      <c r="F613" s="345">
        <v>306.02</v>
      </c>
      <c r="G613" s="345" t="s">
        <v>362</v>
      </c>
      <c r="L613" s="347">
        <v>9605.02</v>
      </c>
      <c r="M613" s="347" t="s">
        <v>336</v>
      </c>
      <c r="V613" s="345">
        <v>317.02999999999997</v>
      </c>
      <c r="W613" s="345" t="s">
        <v>362</v>
      </c>
      <c r="AB613" s="347">
        <v>76.12</v>
      </c>
      <c r="AC613" s="347" t="s">
        <v>361</v>
      </c>
      <c r="AD613" s="1138"/>
      <c r="AJ613" s="345">
        <v>169.07</v>
      </c>
      <c r="AK613" s="345" t="s">
        <v>359</v>
      </c>
      <c r="AP613" s="347">
        <v>144.19</v>
      </c>
      <c r="AQ613" s="347" t="s">
        <v>323</v>
      </c>
      <c r="AZ613" s="345">
        <v>204.05</v>
      </c>
      <c r="BA613" s="345" t="s">
        <v>310</v>
      </c>
      <c r="BF613" s="347">
        <v>54.01</v>
      </c>
      <c r="BG613" s="347" t="s">
        <v>337</v>
      </c>
      <c r="BH613" s="1790"/>
      <c r="BN613" s="345">
        <v>919.04</v>
      </c>
      <c r="BO613" s="345" t="s">
        <v>310</v>
      </c>
      <c r="BT613" s="347">
        <v>144.13</v>
      </c>
      <c r="BU613" s="347" t="s">
        <v>323</v>
      </c>
      <c r="BW613" s="348" t="str">
        <f t="array" ref="BW613">IFERROR(IF($BW$11="Metro",INDEX($BN$13:$BN$4972,SMALL(IF((County=$BO$13:$BO$4972),MATCH(ROW($BO$13:$BO$4972),ROW($BO$13:$BO$4972)),""),ROWS($A$13:$A613))),INDEX($BQ$13:$BQ$212,SMALL(IF((County=$BR$13:$BR$212),MATCH(ROW($BR$13:$BR$212),ROW($BR$13:$BR$212)),""),ROWS($A$13:$A613)))),"")</f>
        <v/>
      </c>
      <c r="CD613" s="237">
        <v>18.010000000000002</v>
      </c>
      <c r="CE613" s="237" t="s">
        <v>368</v>
      </c>
      <c r="CJ613" s="347">
        <v>54.13</v>
      </c>
      <c r="CK613" s="347" t="s">
        <v>361</v>
      </c>
      <c r="CL613" s="1789"/>
      <c r="CR613" s="345"/>
      <c r="CS613" s="345"/>
      <c r="CX613" s="347"/>
      <c r="CY613" s="347"/>
      <c r="DA613" s="348"/>
      <c r="DH613" s="237"/>
      <c r="DI613" s="237"/>
      <c r="DN613" s="347"/>
      <c r="DO613" s="347"/>
      <c r="DP613" s="2505"/>
      <c r="DT613" s="663"/>
      <c r="DU613" s="663"/>
      <c r="DV613" s="663"/>
      <c r="DW613" s="663"/>
      <c r="DX613" s="663"/>
      <c r="DY613" s="663"/>
      <c r="DZ613" s="663"/>
      <c r="EA613" s="663"/>
      <c r="EB613" s="663"/>
      <c r="EC613" s="663"/>
      <c r="ED613" s="663"/>
    </row>
    <row r="614" spans="6:134">
      <c r="F614" s="345">
        <v>308</v>
      </c>
      <c r="G614" s="345" t="s">
        <v>362</v>
      </c>
      <c r="L614" s="347">
        <v>9606.01</v>
      </c>
      <c r="M614" s="347" t="s">
        <v>336</v>
      </c>
      <c r="V614" s="345">
        <v>318.06</v>
      </c>
      <c r="W614" s="345" t="s">
        <v>362</v>
      </c>
      <c r="AB614" s="347">
        <v>76.13</v>
      </c>
      <c r="AC614" s="347" t="s">
        <v>361</v>
      </c>
      <c r="AD614" s="1138"/>
      <c r="AJ614" s="345">
        <v>176</v>
      </c>
      <c r="AK614" s="345" t="s">
        <v>359</v>
      </c>
      <c r="AP614" s="347">
        <v>144.19999999999999</v>
      </c>
      <c r="AQ614" s="347" t="s">
        <v>323</v>
      </c>
      <c r="AZ614" s="345">
        <v>204.12</v>
      </c>
      <c r="BA614" s="345" t="s">
        <v>310</v>
      </c>
      <c r="BF614" s="347">
        <v>54.11</v>
      </c>
      <c r="BG614" s="347" t="s">
        <v>361</v>
      </c>
      <c r="BH614" s="1790"/>
      <c r="BN614" s="345">
        <v>920</v>
      </c>
      <c r="BO614" s="345" t="s">
        <v>310</v>
      </c>
      <c r="BT614" s="347">
        <v>144.13999999999999</v>
      </c>
      <c r="BU614" s="347" t="s">
        <v>323</v>
      </c>
      <c r="BW614" s="348" t="str">
        <f t="array" ref="BW614">IFERROR(IF($BW$11="Metro",INDEX($BN$13:$BN$4972,SMALL(IF((County=$BO$13:$BO$4972),MATCH(ROW($BO$13:$BO$4972),ROW($BO$13:$BO$4972)),""),ROWS($A$13:$A614))),INDEX($BQ$13:$BQ$212,SMALL(IF((County=$BR$13:$BR$212),MATCH(ROW($BR$13:$BR$212),ROW($BR$13:$BR$212)),""),ROWS($A$13:$A614)))),"")</f>
        <v/>
      </c>
      <c r="CD614" s="345">
        <v>18.02</v>
      </c>
      <c r="CE614" s="345" t="s">
        <v>297</v>
      </c>
      <c r="CJ614" s="347">
        <v>55</v>
      </c>
      <c r="CK614" s="347" t="s">
        <v>337</v>
      </c>
      <c r="CL614" s="1789"/>
      <c r="CR614" s="345"/>
      <c r="CS614" s="345"/>
      <c r="CX614" s="347"/>
      <c r="CY614" s="347"/>
      <c r="DA614" s="348"/>
      <c r="DH614" s="237"/>
      <c r="DI614" s="237"/>
      <c r="DN614" s="347"/>
      <c r="DO614" s="347"/>
      <c r="DP614" s="2505"/>
      <c r="DT614" s="663"/>
      <c r="DU614" s="663"/>
      <c r="DV614" s="663"/>
      <c r="DW614" s="663"/>
      <c r="DX614" s="663"/>
      <c r="DY614" s="663"/>
      <c r="DZ614" s="663"/>
      <c r="EA614" s="663"/>
      <c r="EB614" s="663"/>
      <c r="EC614" s="663"/>
      <c r="ED614" s="663"/>
    </row>
    <row r="615" spans="6:134">
      <c r="F615" s="345">
        <v>310.05</v>
      </c>
      <c r="G615" s="345" t="s">
        <v>362</v>
      </c>
      <c r="L615" s="347">
        <v>9606.02</v>
      </c>
      <c r="M615" s="347" t="s">
        <v>336</v>
      </c>
      <c r="V615" s="345">
        <v>318.07</v>
      </c>
      <c r="W615" s="345" t="s">
        <v>362</v>
      </c>
      <c r="AB615" s="347">
        <v>76.14</v>
      </c>
      <c r="AC615" s="347" t="s">
        <v>361</v>
      </c>
      <c r="AD615" s="1138"/>
      <c r="AJ615" s="345">
        <v>180</v>
      </c>
      <c r="AK615" s="345" t="s">
        <v>359</v>
      </c>
      <c r="AP615" s="347">
        <v>144.21</v>
      </c>
      <c r="AQ615" s="347" t="s">
        <v>323</v>
      </c>
      <c r="AZ615" s="345">
        <v>205</v>
      </c>
      <c r="BA615" s="345" t="s">
        <v>363</v>
      </c>
      <c r="BF615" s="347">
        <v>54.12</v>
      </c>
      <c r="BG615" s="347" t="s">
        <v>361</v>
      </c>
      <c r="BH615" s="1790"/>
      <c r="BN615" s="345">
        <v>1001.03</v>
      </c>
      <c r="BO615" s="345" t="s">
        <v>310</v>
      </c>
      <c r="BT615" s="347">
        <v>144.16</v>
      </c>
      <c r="BU615" s="347" t="s">
        <v>323</v>
      </c>
      <c r="BW615" s="348" t="str">
        <f t="array" ref="BW615">IFERROR(IF($BW$11="Metro",INDEX($BN$13:$BN$4972,SMALL(IF((County=$BO$13:$BO$4972),MATCH(ROW($BO$13:$BO$4972),ROW($BO$13:$BO$4972)),""),ROWS($A$13:$A615))),INDEX($BQ$13:$BQ$212,SMALL(IF((County=$BR$13:$BR$212),MATCH(ROW($BR$13:$BR$212),ROW($BR$13:$BR$212)),""),ROWS($A$13:$A615)))),"")</f>
        <v/>
      </c>
      <c r="CD615" s="237">
        <v>18.02</v>
      </c>
      <c r="CE615" s="237" t="s">
        <v>344</v>
      </c>
      <c r="CJ615" s="347">
        <v>56.02</v>
      </c>
      <c r="CK615" s="347" t="s">
        <v>361</v>
      </c>
      <c r="CL615" s="1789"/>
      <c r="CR615" s="345"/>
      <c r="CS615" s="345"/>
      <c r="CX615" s="347"/>
      <c r="CY615" s="347"/>
      <c r="DA615" s="348"/>
      <c r="DH615" s="237"/>
      <c r="DI615" s="237"/>
      <c r="DN615" s="347"/>
      <c r="DO615" s="347"/>
      <c r="DP615" s="2505"/>
      <c r="DT615" s="663"/>
      <c r="DU615" s="663"/>
      <c r="DV615" s="663"/>
      <c r="DW615" s="663"/>
      <c r="DX615" s="663"/>
      <c r="DY615" s="663"/>
      <c r="DZ615" s="663"/>
      <c r="EA615" s="663"/>
      <c r="EB615" s="663"/>
      <c r="EC615" s="663"/>
      <c r="ED615" s="663"/>
    </row>
    <row r="616" spans="6:134">
      <c r="F616" s="345">
        <v>310.08</v>
      </c>
      <c r="G616" s="345" t="s">
        <v>362</v>
      </c>
      <c r="L616" s="347">
        <v>9607</v>
      </c>
      <c r="M616" s="347" t="s">
        <v>336</v>
      </c>
      <c r="V616" s="345">
        <v>318.08999999999997</v>
      </c>
      <c r="W616" s="345" t="s">
        <v>362</v>
      </c>
      <c r="AB616" s="347">
        <v>76.16</v>
      </c>
      <c r="AC616" s="347" t="s">
        <v>361</v>
      </c>
      <c r="AD616" s="1138"/>
      <c r="AJ616" s="345">
        <v>185</v>
      </c>
      <c r="AK616" s="345" t="s">
        <v>359</v>
      </c>
      <c r="AP616" s="347">
        <v>144.22</v>
      </c>
      <c r="AQ616" s="347" t="s">
        <v>323</v>
      </c>
      <c r="AZ616" s="345">
        <v>205</v>
      </c>
      <c r="BA616" s="345" t="s">
        <v>369</v>
      </c>
      <c r="BF616" s="347">
        <v>54.13</v>
      </c>
      <c r="BG616" s="347" t="s">
        <v>361</v>
      </c>
      <c r="BH616" s="1790"/>
      <c r="BN616" s="345">
        <v>1001.04</v>
      </c>
      <c r="BO616" s="345" t="s">
        <v>310</v>
      </c>
      <c r="BT616" s="347">
        <v>144.16999999999999</v>
      </c>
      <c r="BU616" s="347" t="s">
        <v>323</v>
      </c>
      <c r="BW616" s="348" t="str">
        <f t="array" ref="BW616">IFERROR(IF($BW$11="Metro",INDEX($BN$13:$BN$4972,SMALL(IF((County=$BO$13:$BO$4972),MATCH(ROW($BO$13:$BO$4972),ROW($BO$13:$BO$4972)),""),ROWS($A$13:$A616))),INDEX($BQ$13:$BQ$212,SMALL(IF((County=$BR$13:$BR$212),MATCH(ROW($BR$13:$BR$212),ROW($BR$13:$BR$212)),""),ROWS($A$13:$A616)))),"")</f>
        <v/>
      </c>
      <c r="CD616" s="237">
        <v>18.02</v>
      </c>
      <c r="CE616" s="237" t="s">
        <v>349</v>
      </c>
      <c r="CJ616" s="347">
        <v>57</v>
      </c>
      <c r="CK616" s="347" t="s">
        <v>337</v>
      </c>
      <c r="CL616" s="1789"/>
      <c r="CR616" s="345"/>
      <c r="CS616" s="345"/>
      <c r="CX616" s="347"/>
      <c r="CY616" s="347"/>
      <c r="DA616" s="348"/>
      <c r="DH616" s="237"/>
      <c r="DI616" s="237"/>
      <c r="DN616" s="347"/>
      <c r="DO616" s="347"/>
      <c r="DP616" s="2505"/>
      <c r="DT616" s="663"/>
      <c r="DU616" s="663"/>
      <c r="DV616" s="663"/>
      <c r="DW616" s="663"/>
      <c r="DX616" s="663"/>
      <c r="DY616" s="663"/>
      <c r="DZ616" s="663"/>
      <c r="EA616" s="663"/>
      <c r="EB616" s="663"/>
      <c r="EC616" s="663"/>
      <c r="ED616" s="663"/>
    </row>
    <row r="617" spans="6:134">
      <c r="F617" s="345">
        <v>310.08999999999997</v>
      </c>
      <c r="G617" s="345" t="s">
        <v>362</v>
      </c>
      <c r="L617" s="347">
        <v>9610</v>
      </c>
      <c r="M617" s="347" t="s">
        <v>336</v>
      </c>
      <c r="V617" s="345">
        <v>324.02</v>
      </c>
      <c r="W617" s="345" t="s">
        <v>362</v>
      </c>
      <c r="AB617" s="347">
        <v>76.17</v>
      </c>
      <c r="AC617" s="347" t="s">
        <v>361</v>
      </c>
      <c r="AD617" s="1138"/>
      <c r="AJ617" s="345">
        <v>187</v>
      </c>
      <c r="AK617" s="345" t="s">
        <v>359</v>
      </c>
      <c r="AP617" s="347">
        <v>144.22999999999999</v>
      </c>
      <c r="AQ617" s="347" t="s">
        <v>323</v>
      </c>
      <c r="AZ617" s="345">
        <v>205.01</v>
      </c>
      <c r="BA617" s="345" t="s">
        <v>344</v>
      </c>
      <c r="BF617" s="347">
        <v>55</v>
      </c>
      <c r="BG617" s="347" t="s">
        <v>337</v>
      </c>
      <c r="BH617" s="1790"/>
      <c r="BN617" s="345">
        <v>1001.05</v>
      </c>
      <c r="BO617" s="345" t="s">
        <v>310</v>
      </c>
      <c r="BT617" s="347">
        <v>144.18</v>
      </c>
      <c r="BU617" s="347" t="s">
        <v>323</v>
      </c>
      <c r="BW617" s="348" t="str">
        <f t="array" ref="BW617">IFERROR(IF($BW$11="Metro",INDEX($BN$13:$BN$4972,SMALL(IF((County=$BO$13:$BO$4972),MATCH(ROW($BO$13:$BO$4972),ROW($BO$13:$BO$4972)),""),ROWS($A$13:$A617))),INDEX($BQ$13:$BQ$212,SMALL(IF((County=$BR$13:$BR$212),MATCH(ROW($BR$13:$BR$212),ROW($BR$13:$BR$212)),""),ROWS($A$13:$A617)))),"")</f>
        <v/>
      </c>
      <c r="CD617" s="237">
        <v>18.02</v>
      </c>
      <c r="CE617" s="237" t="s">
        <v>352</v>
      </c>
      <c r="CJ617" s="347">
        <v>57.06</v>
      </c>
      <c r="CK617" s="347" t="s">
        <v>352</v>
      </c>
      <c r="CL617" s="1789"/>
      <c r="CR617" s="345"/>
      <c r="CS617" s="345"/>
      <c r="CX617" s="347"/>
      <c r="CY617" s="347"/>
      <c r="DA617" s="348"/>
      <c r="DH617" s="237"/>
      <c r="DI617" s="237"/>
      <c r="DN617" s="347"/>
      <c r="DO617" s="347"/>
      <c r="DP617" s="2505"/>
      <c r="DT617" s="663"/>
      <c r="DU617" s="663"/>
      <c r="DV617" s="663"/>
      <c r="DW617" s="663"/>
      <c r="DX617" s="663"/>
      <c r="DY617" s="663"/>
      <c r="DZ617" s="663"/>
      <c r="EA617" s="663"/>
      <c r="EB617" s="663"/>
      <c r="EC617" s="663"/>
      <c r="ED617" s="663"/>
    </row>
    <row r="618" spans="6:134">
      <c r="F618" s="345">
        <v>310.10000000000002</v>
      </c>
      <c r="G618" s="345" t="s">
        <v>362</v>
      </c>
      <c r="L618" s="347">
        <v>9613.01</v>
      </c>
      <c r="M618" s="347" t="s">
        <v>336</v>
      </c>
      <c r="V618" s="345">
        <v>326.01</v>
      </c>
      <c r="W618" s="345" t="s">
        <v>362</v>
      </c>
      <c r="AB618" s="347">
        <v>76.180000000000007</v>
      </c>
      <c r="AC618" s="347" t="s">
        <v>361</v>
      </c>
      <c r="AD618" s="1138"/>
      <c r="AJ618" s="345">
        <v>189.01</v>
      </c>
      <c r="AK618" s="345" t="s">
        <v>359</v>
      </c>
      <c r="AP618" s="347">
        <v>144.24</v>
      </c>
      <c r="AQ618" s="347" t="s">
        <v>323</v>
      </c>
      <c r="AZ618" s="345">
        <v>206</v>
      </c>
      <c r="BA618" s="345" t="s">
        <v>363</v>
      </c>
      <c r="BF618" s="347">
        <v>55.06</v>
      </c>
      <c r="BG618" s="347" t="s">
        <v>352</v>
      </c>
      <c r="BH618" s="1790"/>
      <c r="BN618" s="345">
        <v>1001.06</v>
      </c>
      <c r="BO618" s="345" t="s">
        <v>310</v>
      </c>
      <c r="BT618" s="347">
        <v>144.19</v>
      </c>
      <c r="BU618" s="347" t="s">
        <v>323</v>
      </c>
      <c r="BW618" s="348" t="str">
        <f t="array" ref="BW618">IFERROR(IF($BW$11="Metro",INDEX($BN$13:$BN$4972,SMALL(IF((County=$BO$13:$BO$4972),MATCH(ROW($BO$13:$BO$4972),ROW($BO$13:$BO$4972)),""),ROWS($A$13:$A618))),INDEX($BQ$13:$BQ$212,SMALL(IF((County=$BR$13:$BR$212),MATCH(ROW($BR$13:$BR$212),ROW($BR$13:$BR$212)),""),ROWS($A$13:$A618)))),"")</f>
        <v/>
      </c>
      <c r="CD618" s="237">
        <v>18.02</v>
      </c>
      <c r="CE618" s="237" t="s">
        <v>361</v>
      </c>
      <c r="CJ618" s="347">
        <v>58</v>
      </c>
      <c r="CK618" s="347" t="s">
        <v>337</v>
      </c>
      <c r="CL618" s="1789"/>
      <c r="CR618" s="345"/>
      <c r="CS618" s="345"/>
      <c r="CX618" s="347"/>
      <c r="CY618" s="347"/>
      <c r="DA618" s="348"/>
      <c r="DH618" s="237"/>
      <c r="DI618" s="237"/>
      <c r="DN618" s="347"/>
      <c r="DO618" s="347"/>
      <c r="DP618" s="2505"/>
      <c r="DT618" s="663"/>
      <c r="DU618" s="663"/>
      <c r="DV618" s="663"/>
      <c r="DW618" s="663"/>
      <c r="DX618" s="663"/>
      <c r="DY618" s="663"/>
      <c r="DZ618" s="663"/>
      <c r="EA618" s="663"/>
      <c r="EB618" s="663"/>
      <c r="EC618" s="663"/>
      <c r="ED618" s="663"/>
    </row>
    <row r="619" spans="6:134">
      <c r="F619" s="345">
        <v>314.04000000000002</v>
      </c>
      <c r="G619" s="345" t="s">
        <v>362</v>
      </c>
      <c r="L619" s="347">
        <v>9613.02</v>
      </c>
      <c r="M619" s="347" t="s">
        <v>336</v>
      </c>
      <c r="V619" s="345">
        <v>326.02</v>
      </c>
      <c r="W619" s="345" t="s">
        <v>362</v>
      </c>
      <c r="AB619" s="347">
        <v>77.010000000000005</v>
      </c>
      <c r="AC619" s="347" t="s">
        <v>352</v>
      </c>
      <c r="AD619" s="1138"/>
      <c r="AJ619" s="345">
        <v>189.02</v>
      </c>
      <c r="AK619" s="345" t="s">
        <v>359</v>
      </c>
      <c r="AP619" s="347">
        <v>144.25</v>
      </c>
      <c r="AQ619" s="347" t="s">
        <v>323</v>
      </c>
      <c r="AZ619" s="345">
        <v>207</v>
      </c>
      <c r="BA619" s="345" t="s">
        <v>315</v>
      </c>
      <c r="BF619" s="347">
        <v>56</v>
      </c>
      <c r="BG619" s="347" t="s">
        <v>352</v>
      </c>
      <c r="BH619" s="1790"/>
      <c r="BN619" s="345">
        <v>1001.07</v>
      </c>
      <c r="BO619" s="345" t="s">
        <v>310</v>
      </c>
      <c r="BT619" s="347">
        <v>144.19999999999999</v>
      </c>
      <c r="BU619" s="347" t="s">
        <v>323</v>
      </c>
      <c r="BW619" s="348" t="str">
        <f t="array" ref="BW619">IFERROR(IF($BW$11="Metro",INDEX($BN$13:$BN$4972,SMALL(IF((County=$BO$13:$BO$4972),MATCH(ROW($BO$13:$BO$4972),ROW($BO$13:$BO$4972)),""),ROWS($A$13:$A619))),INDEX($BQ$13:$BQ$212,SMALL(IF((County=$BR$13:$BR$212),MATCH(ROW($BR$13:$BR$212),ROW($BR$13:$BR$212)),""),ROWS($A$13:$A619)))),"")</f>
        <v/>
      </c>
      <c r="CD619" s="345">
        <v>18.03</v>
      </c>
      <c r="CE619" s="345" t="s">
        <v>297</v>
      </c>
      <c r="CJ619" s="347">
        <v>58.05</v>
      </c>
      <c r="CK619" s="347" t="s">
        <v>352</v>
      </c>
      <c r="CL619" s="1789"/>
      <c r="CR619" s="345"/>
      <c r="CS619" s="345"/>
      <c r="CX619" s="347"/>
      <c r="CY619" s="347"/>
      <c r="DA619" s="348"/>
      <c r="DH619" s="237"/>
      <c r="DI619" s="237"/>
      <c r="DN619" s="347"/>
      <c r="DO619" s="347"/>
      <c r="DP619" s="2505"/>
      <c r="DT619" s="663"/>
      <c r="DU619" s="663"/>
      <c r="DV619" s="663"/>
      <c r="DW619" s="663"/>
      <c r="DX619" s="663"/>
      <c r="DY619" s="663"/>
      <c r="DZ619" s="663"/>
      <c r="EA619" s="663"/>
      <c r="EB619" s="663"/>
      <c r="EC619" s="663"/>
      <c r="ED619" s="663"/>
    </row>
    <row r="620" spans="6:134">
      <c r="F620" s="345">
        <v>314.05</v>
      </c>
      <c r="G620" s="345" t="s">
        <v>362</v>
      </c>
      <c r="L620" s="347">
        <v>9614</v>
      </c>
      <c r="M620" s="347" t="s">
        <v>336</v>
      </c>
      <c r="V620" s="345">
        <v>328.04</v>
      </c>
      <c r="W620" s="345" t="s">
        <v>362</v>
      </c>
      <c r="AB620" s="347">
        <v>77.02</v>
      </c>
      <c r="AC620" s="347" t="s">
        <v>352</v>
      </c>
      <c r="AD620" s="1138"/>
      <c r="AJ620" s="345">
        <v>416</v>
      </c>
      <c r="AK620" s="345" t="s">
        <v>360</v>
      </c>
      <c r="AP620" s="347">
        <v>144.26</v>
      </c>
      <c r="AQ620" s="347" t="s">
        <v>323</v>
      </c>
      <c r="AZ620" s="345">
        <v>207</v>
      </c>
      <c r="BA620" s="345" t="s">
        <v>363</v>
      </c>
      <c r="BF620" s="347">
        <v>56.02</v>
      </c>
      <c r="BG620" s="347" t="s">
        <v>361</v>
      </c>
      <c r="BH620" s="1790"/>
      <c r="BN620" s="345">
        <v>1001.08</v>
      </c>
      <c r="BO620" s="345" t="s">
        <v>310</v>
      </c>
      <c r="BT620" s="347">
        <v>144.21</v>
      </c>
      <c r="BU620" s="347" t="s">
        <v>323</v>
      </c>
      <c r="BW620" s="348" t="str">
        <f t="array" ref="BW620">IFERROR(IF($BW$11="Metro",INDEX($BN$13:$BN$4972,SMALL(IF((County=$BO$13:$BO$4972),MATCH(ROW($BO$13:$BO$4972),ROW($BO$13:$BO$4972)),""),ROWS($A$13:$A620))),INDEX($BQ$13:$BQ$212,SMALL(IF((County=$BR$13:$BR$212),MATCH(ROW($BR$13:$BR$212),ROW($BR$13:$BR$212)),""),ROWS($A$13:$A620)))),"")</f>
        <v/>
      </c>
      <c r="CD620" s="237">
        <v>18.03</v>
      </c>
      <c r="CE620" s="237" t="s">
        <v>345</v>
      </c>
      <c r="CJ620" s="347">
        <v>58.06</v>
      </c>
      <c r="CK620" s="347" t="s">
        <v>352</v>
      </c>
      <c r="CL620" s="1789"/>
      <c r="CR620" s="345"/>
      <c r="CS620" s="345"/>
      <c r="CX620" s="347"/>
      <c r="CY620" s="347"/>
      <c r="DA620" s="348"/>
      <c r="DH620" s="237"/>
      <c r="DI620" s="237"/>
      <c r="DN620" s="347"/>
      <c r="DO620" s="347"/>
      <c r="DP620" s="2505"/>
      <c r="DT620" s="663"/>
      <c r="DU620" s="663"/>
      <c r="DV620" s="663"/>
      <c r="DW620" s="663"/>
      <c r="DX620" s="663"/>
      <c r="DY620" s="663"/>
      <c r="DZ620" s="663"/>
      <c r="EA620" s="663"/>
      <c r="EB620" s="663"/>
      <c r="EC620" s="663"/>
      <c r="ED620" s="663"/>
    </row>
    <row r="621" spans="6:134">
      <c r="F621" s="345">
        <v>314.06</v>
      </c>
      <c r="G621" s="345" t="s">
        <v>362</v>
      </c>
      <c r="L621" s="347">
        <v>9616.01</v>
      </c>
      <c r="M621" s="347" t="s">
        <v>336</v>
      </c>
      <c r="V621" s="345">
        <v>329.01</v>
      </c>
      <c r="W621" s="345" t="s">
        <v>362</v>
      </c>
      <c r="AB621" s="347">
        <v>77.040000000000006</v>
      </c>
      <c r="AC621" s="347" t="s">
        <v>352</v>
      </c>
      <c r="AD621" s="1138"/>
      <c r="AJ621" s="345">
        <v>418</v>
      </c>
      <c r="AK621" s="345" t="s">
        <v>360</v>
      </c>
      <c r="AP621" s="347">
        <v>144.28</v>
      </c>
      <c r="AQ621" s="347" t="s">
        <v>323</v>
      </c>
      <c r="AZ621" s="345">
        <v>207.01</v>
      </c>
      <c r="BA621" s="345" t="s">
        <v>328</v>
      </c>
      <c r="BF621" s="347">
        <v>57.01</v>
      </c>
      <c r="BG621" s="347" t="s">
        <v>352</v>
      </c>
      <c r="BH621" s="1790"/>
      <c r="BN621" s="345">
        <v>1002.01</v>
      </c>
      <c r="BO621" s="345" t="s">
        <v>310</v>
      </c>
      <c r="BT621" s="347">
        <v>144.22</v>
      </c>
      <c r="BU621" s="347" t="s">
        <v>323</v>
      </c>
      <c r="BW621" s="348" t="str">
        <f t="array" ref="BW621">IFERROR(IF($BW$11="Metro",INDEX($BN$13:$BN$4972,SMALL(IF((County=$BO$13:$BO$4972),MATCH(ROW($BO$13:$BO$4972),ROW($BO$13:$BO$4972)),""),ROWS($A$13:$A621))),INDEX($BQ$13:$BQ$212,SMALL(IF((County=$BR$13:$BR$212),MATCH(ROW($BR$13:$BR$212),ROW($BR$13:$BR$212)),""),ROWS($A$13:$A621)))),"")</f>
        <v/>
      </c>
      <c r="CD621" s="237">
        <v>18.03</v>
      </c>
      <c r="CE621" s="237" t="s">
        <v>351</v>
      </c>
      <c r="CJ621" s="347">
        <v>58.11</v>
      </c>
      <c r="CK621" s="347" t="s">
        <v>361</v>
      </c>
      <c r="CL621" s="1789"/>
      <c r="CR621" s="345"/>
      <c r="CS621" s="345"/>
      <c r="CX621" s="347"/>
      <c r="CY621" s="347"/>
      <c r="DA621" s="348"/>
      <c r="DH621" s="237"/>
      <c r="DI621" s="237"/>
      <c r="DN621" s="347"/>
      <c r="DO621" s="347"/>
      <c r="DP621" s="2505"/>
      <c r="DT621" s="663"/>
      <c r="DU621" s="663"/>
      <c r="DV621" s="663"/>
      <c r="DW621" s="663"/>
      <c r="DX621" s="663"/>
      <c r="DY621" s="663"/>
      <c r="DZ621" s="663"/>
      <c r="EA621" s="663"/>
      <c r="EB621" s="663"/>
      <c r="EC621" s="663"/>
      <c r="ED621" s="663"/>
    </row>
    <row r="622" spans="6:134">
      <c r="F622" s="345">
        <v>314.08</v>
      </c>
      <c r="G622" s="345" t="s">
        <v>362</v>
      </c>
      <c r="L622" s="347">
        <v>9616.02</v>
      </c>
      <c r="M622" s="347" t="s">
        <v>336</v>
      </c>
      <c r="V622" s="345">
        <v>330.08</v>
      </c>
      <c r="W622" s="345" t="s">
        <v>362</v>
      </c>
      <c r="AB622" s="347">
        <v>77.05</v>
      </c>
      <c r="AC622" s="347" t="s">
        <v>352</v>
      </c>
      <c r="AD622" s="1138"/>
      <c r="AJ622" s="345">
        <v>419</v>
      </c>
      <c r="AK622" s="345" t="s">
        <v>360</v>
      </c>
      <c r="AP622" s="347">
        <v>145</v>
      </c>
      <c r="AQ622" s="347" t="s">
        <v>323</v>
      </c>
      <c r="AZ622" s="345">
        <v>207.02</v>
      </c>
      <c r="BA622" s="345" t="s">
        <v>328</v>
      </c>
      <c r="BF622" s="347">
        <v>57.06</v>
      </c>
      <c r="BG622" s="347" t="s">
        <v>352</v>
      </c>
      <c r="BH622" s="1790"/>
      <c r="BN622" s="345">
        <v>1002.03</v>
      </c>
      <c r="BO622" s="345" t="s">
        <v>310</v>
      </c>
      <c r="BT622" s="347">
        <v>144.22999999999999</v>
      </c>
      <c r="BU622" s="347" t="s">
        <v>323</v>
      </c>
      <c r="BW622" s="348" t="str">
        <f t="array" ref="BW622">IFERROR(IF($BW$11="Metro",INDEX($BN$13:$BN$4972,SMALL(IF((County=$BO$13:$BO$4972),MATCH(ROW($BO$13:$BO$4972),ROW($BO$13:$BO$4972)),""),ROWS($A$13:$A622))),INDEX($BQ$13:$BQ$212,SMALL(IF((County=$BR$13:$BR$212),MATCH(ROW($BR$13:$BR$212),ROW($BR$13:$BR$212)),""),ROWS($A$13:$A622)))),"")</f>
        <v/>
      </c>
      <c r="CD622" s="237">
        <v>18.03</v>
      </c>
      <c r="CE622" s="237" t="s">
        <v>352</v>
      </c>
      <c r="CJ622" s="347">
        <v>58.13</v>
      </c>
      <c r="CK622" s="347" t="s">
        <v>361</v>
      </c>
      <c r="CL622" s="1789"/>
      <c r="CR622" s="345"/>
      <c r="CS622" s="345"/>
      <c r="CX622" s="347"/>
      <c r="CY622" s="347"/>
      <c r="DA622" s="348"/>
      <c r="DH622" s="237"/>
      <c r="DI622" s="237"/>
      <c r="DN622" s="347"/>
      <c r="DO622" s="347"/>
      <c r="DP622" s="2505"/>
      <c r="DT622" s="663"/>
      <c r="DU622" s="663"/>
      <c r="DV622" s="663"/>
      <c r="DW622" s="663"/>
      <c r="DX622" s="663"/>
      <c r="DY622" s="663"/>
      <c r="DZ622" s="663"/>
      <c r="EA622" s="663"/>
      <c r="EB622" s="663"/>
      <c r="EC622" s="663"/>
      <c r="ED622" s="663"/>
    </row>
    <row r="623" spans="6:134">
      <c r="F623" s="345">
        <v>317.02999999999997</v>
      </c>
      <c r="G623" s="345" t="s">
        <v>362</v>
      </c>
      <c r="L623" s="347">
        <v>5</v>
      </c>
      <c r="M623" s="347" t="s">
        <v>337</v>
      </c>
      <c r="V623" s="345">
        <v>330.09</v>
      </c>
      <c r="W623" s="345" t="s">
        <v>362</v>
      </c>
      <c r="AB623" s="347">
        <v>77.05</v>
      </c>
      <c r="AC623" s="347" t="s">
        <v>361</v>
      </c>
      <c r="AD623" s="1138"/>
      <c r="AJ623" s="345">
        <v>420</v>
      </c>
      <c r="AK623" s="345" t="s">
        <v>360</v>
      </c>
      <c r="AP623" s="347">
        <v>146.01</v>
      </c>
      <c r="AQ623" s="347" t="s">
        <v>323</v>
      </c>
      <c r="AZ623" s="345">
        <v>208</v>
      </c>
      <c r="BA623" s="345" t="s">
        <v>363</v>
      </c>
      <c r="BF623" s="347">
        <v>58</v>
      </c>
      <c r="BG623" s="347" t="s">
        <v>337</v>
      </c>
      <c r="BH623" s="1790"/>
      <c r="BN623" s="345">
        <v>1002.04</v>
      </c>
      <c r="BO623" s="345" t="s">
        <v>310</v>
      </c>
      <c r="BT623" s="347">
        <v>144.24</v>
      </c>
      <c r="BU623" s="347" t="s">
        <v>323</v>
      </c>
      <c r="BW623" s="348" t="str">
        <f t="array" ref="BW623">IFERROR(IF($BW$11="Metro",INDEX($BN$13:$BN$4972,SMALL(IF((County=$BO$13:$BO$4972),MATCH(ROW($BO$13:$BO$4972),ROW($BO$13:$BO$4972)),""),ROWS($A$13:$A623))),INDEX($BQ$13:$BQ$212,SMALL(IF((County=$BR$13:$BR$212),MATCH(ROW($BR$13:$BR$212),ROW($BR$13:$BR$212)),""),ROWS($A$13:$A623)))),"")</f>
        <v/>
      </c>
      <c r="CD623" s="237">
        <v>18.03</v>
      </c>
      <c r="CE623" s="237" t="s">
        <v>368</v>
      </c>
      <c r="CJ623" s="347">
        <v>58.2</v>
      </c>
      <c r="CK623" s="347" t="s">
        <v>361</v>
      </c>
      <c r="CL623" s="1789"/>
      <c r="CR623" s="345"/>
      <c r="CS623" s="345"/>
      <c r="CX623" s="347"/>
      <c r="CY623" s="347"/>
      <c r="DA623" s="348"/>
      <c r="DH623" s="237"/>
      <c r="DI623" s="237"/>
      <c r="DN623" s="347"/>
      <c r="DO623" s="347"/>
      <c r="DP623" s="2505"/>
      <c r="DT623" s="663"/>
      <c r="DU623" s="663"/>
      <c r="DV623" s="663"/>
      <c r="DW623" s="663"/>
      <c r="DX623" s="663"/>
      <c r="DY623" s="663"/>
      <c r="DZ623" s="663"/>
      <c r="EA623" s="663"/>
      <c r="EB623" s="663"/>
      <c r="EC623" s="663"/>
      <c r="ED623" s="663"/>
    </row>
    <row r="624" spans="6:134">
      <c r="F624" s="345">
        <v>318.06</v>
      </c>
      <c r="G624" s="345" t="s">
        <v>362</v>
      </c>
      <c r="L624" s="347">
        <v>11</v>
      </c>
      <c r="M624" s="347" t="s">
        <v>337</v>
      </c>
      <c r="V624" s="345">
        <v>330.12</v>
      </c>
      <c r="W624" s="345" t="s">
        <v>362</v>
      </c>
      <c r="AB624" s="347">
        <v>77.099999999999994</v>
      </c>
      <c r="AC624" s="347" t="s">
        <v>361</v>
      </c>
      <c r="AD624" s="1138"/>
      <c r="AJ624" s="345">
        <v>421</v>
      </c>
      <c r="AK624" s="345" t="s">
        <v>360</v>
      </c>
      <c r="AP624" s="347">
        <v>146.03</v>
      </c>
      <c r="AQ624" s="347" t="s">
        <v>323</v>
      </c>
      <c r="AZ624" s="345">
        <v>208.01</v>
      </c>
      <c r="BA624" s="345" t="s">
        <v>344</v>
      </c>
      <c r="BF624" s="347">
        <v>58.05</v>
      </c>
      <c r="BG624" s="347" t="s">
        <v>352</v>
      </c>
      <c r="BH624" s="1790"/>
      <c r="BN624" s="345">
        <v>1003.01</v>
      </c>
      <c r="BO624" s="345" t="s">
        <v>310</v>
      </c>
      <c r="BT624" s="347">
        <v>144.25</v>
      </c>
      <c r="BU624" s="347" t="s">
        <v>323</v>
      </c>
      <c r="BW624" s="348" t="str">
        <f t="array" ref="BW624">IFERROR(IF($BW$11="Metro",INDEX($BN$13:$BN$4972,SMALL(IF((County=$BO$13:$BO$4972),MATCH(ROW($BO$13:$BO$4972),ROW($BO$13:$BO$4972)),""),ROWS($A$13:$A624))),INDEX($BQ$13:$BQ$212,SMALL(IF((County=$BR$13:$BR$212),MATCH(ROW($BR$13:$BR$212),ROW($BR$13:$BR$212)),""),ROWS($A$13:$A624)))),"")</f>
        <v/>
      </c>
      <c r="CD624" s="237">
        <v>18.04</v>
      </c>
      <c r="CE624" s="237" t="s">
        <v>345</v>
      </c>
      <c r="CJ624" s="347">
        <v>59</v>
      </c>
      <c r="CK624" s="347" t="s">
        <v>337</v>
      </c>
      <c r="CL624" s="1789"/>
      <c r="CR624" s="345"/>
      <c r="CS624" s="345"/>
      <c r="CX624" s="347"/>
      <c r="CY624" s="347"/>
      <c r="DA624" s="348"/>
      <c r="DH624" s="237"/>
      <c r="DI624" s="237"/>
      <c r="DN624" s="347"/>
      <c r="DO624" s="347"/>
      <c r="DP624" s="2505"/>
      <c r="DT624" s="663"/>
      <c r="DU624" s="663"/>
      <c r="DV624" s="663"/>
      <c r="DW624" s="663"/>
      <c r="DX624" s="663"/>
      <c r="DY624" s="663"/>
      <c r="DZ624" s="663"/>
      <c r="EA624" s="663"/>
      <c r="EB624" s="663"/>
      <c r="EC624" s="663"/>
      <c r="ED624" s="663"/>
    </row>
    <row r="625" spans="6:134">
      <c r="F625" s="345">
        <v>318.07</v>
      </c>
      <c r="G625" s="345" t="s">
        <v>362</v>
      </c>
      <c r="L625" s="347">
        <v>15</v>
      </c>
      <c r="M625" s="347" t="s">
        <v>337</v>
      </c>
      <c r="V625" s="345">
        <v>330.13</v>
      </c>
      <c r="W625" s="345" t="s">
        <v>362</v>
      </c>
      <c r="AB625" s="347">
        <v>77.13</v>
      </c>
      <c r="AC625" s="347" t="s">
        <v>361</v>
      </c>
      <c r="AD625" s="1138"/>
      <c r="AJ625" s="345">
        <v>422.02</v>
      </c>
      <c r="AK625" s="345" t="s">
        <v>360</v>
      </c>
      <c r="AP625" s="347">
        <v>147.03</v>
      </c>
      <c r="AQ625" s="347" t="s">
        <v>323</v>
      </c>
      <c r="AZ625" s="345">
        <v>208.02</v>
      </c>
      <c r="BA625" s="345" t="s">
        <v>344</v>
      </c>
      <c r="BF625" s="347">
        <v>58.06</v>
      </c>
      <c r="BG625" s="347" t="s">
        <v>352</v>
      </c>
      <c r="BH625" s="1790"/>
      <c r="BN625" s="345">
        <v>1003.02</v>
      </c>
      <c r="BO625" s="345" t="s">
        <v>310</v>
      </c>
      <c r="BT625" s="347">
        <v>144.26</v>
      </c>
      <c r="BU625" s="347" t="s">
        <v>323</v>
      </c>
      <c r="BW625" s="348" t="str">
        <f t="array" ref="BW625">IFERROR(IF($BW$11="Metro",INDEX($BN$13:$BN$4972,SMALL(IF((County=$BO$13:$BO$4972),MATCH(ROW($BO$13:$BO$4972),ROW($BO$13:$BO$4972)),""),ROWS($A$13:$A625))),INDEX($BQ$13:$BQ$212,SMALL(IF((County=$BR$13:$BR$212),MATCH(ROW($BR$13:$BR$212),ROW($BR$13:$BR$212)),""),ROWS($A$13:$A625)))),"")</f>
        <v/>
      </c>
      <c r="CD625" s="237">
        <v>18.04</v>
      </c>
      <c r="CE625" s="237" t="s">
        <v>351</v>
      </c>
      <c r="CJ625" s="347">
        <v>59.01</v>
      </c>
      <c r="CK625" s="347" t="s">
        <v>352</v>
      </c>
      <c r="CL625" s="1789"/>
      <c r="CR625" s="345"/>
      <c r="CS625" s="345"/>
      <c r="CX625" s="347"/>
      <c r="CY625" s="347"/>
      <c r="DA625" s="348"/>
      <c r="DH625" s="237"/>
      <c r="DI625" s="237"/>
      <c r="DN625" s="347"/>
      <c r="DO625" s="347"/>
      <c r="DP625" s="2505"/>
      <c r="DT625" s="663"/>
      <c r="DU625" s="663"/>
      <c r="DV625" s="663"/>
      <c r="DW625" s="663"/>
      <c r="DX625" s="663"/>
      <c r="DY625" s="663"/>
      <c r="DZ625" s="663"/>
      <c r="EA625" s="663"/>
      <c r="EB625" s="663"/>
      <c r="EC625" s="663"/>
      <c r="ED625" s="663"/>
    </row>
    <row r="626" spans="6:134">
      <c r="F626" s="345">
        <v>318.08999999999997</v>
      </c>
      <c r="G626" s="345" t="s">
        <v>362</v>
      </c>
      <c r="L626" s="347">
        <v>16</v>
      </c>
      <c r="M626" s="347" t="s">
        <v>337</v>
      </c>
      <c r="V626" s="345">
        <v>330.14</v>
      </c>
      <c r="W626" s="345" t="s">
        <v>362</v>
      </c>
      <c r="AB626" s="347">
        <v>77.209999999999994</v>
      </c>
      <c r="AC626" s="347" t="s">
        <v>361</v>
      </c>
      <c r="AD626" s="1138"/>
      <c r="AJ626" s="345">
        <v>423</v>
      </c>
      <c r="AK626" s="345" t="s">
        <v>360</v>
      </c>
      <c r="AP626" s="347">
        <v>150.02000000000001</v>
      </c>
      <c r="AQ626" s="347" t="s">
        <v>323</v>
      </c>
      <c r="AZ626" s="345">
        <v>210.02</v>
      </c>
      <c r="BA626" s="345" t="s">
        <v>370</v>
      </c>
      <c r="BF626" s="347">
        <v>58.07</v>
      </c>
      <c r="BG626" s="347" t="s">
        <v>361</v>
      </c>
      <c r="BH626" s="1790"/>
      <c r="BN626" s="345">
        <v>1004</v>
      </c>
      <c r="BO626" s="345" t="s">
        <v>310</v>
      </c>
      <c r="BT626" s="347">
        <v>144.27000000000001</v>
      </c>
      <c r="BU626" s="347" t="s">
        <v>323</v>
      </c>
      <c r="BW626" s="348" t="str">
        <f t="array" ref="BW626">IFERROR(IF($BW$11="Metro",INDEX($BN$13:$BN$4972,SMALL(IF((County=$BO$13:$BO$4972),MATCH(ROW($BO$13:$BO$4972),ROW($BO$13:$BO$4972)),""),ROWS($A$13:$A626))),INDEX($BQ$13:$BQ$212,SMALL(IF((County=$BR$13:$BR$212),MATCH(ROW($BR$13:$BR$212),ROW($BR$13:$BR$212)),""),ROWS($A$13:$A626)))),"")</f>
        <v/>
      </c>
      <c r="CD626" s="237">
        <v>18.04</v>
      </c>
      <c r="CE626" s="237" t="s">
        <v>368</v>
      </c>
      <c r="CJ626" s="347">
        <v>59.04</v>
      </c>
      <c r="CK626" s="347" t="s">
        <v>352</v>
      </c>
      <c r="CL626" s="1789"/>
      <c r="CR626" s="345"/>
      <c r="CS626" s="345"/>
      <c r="CX626" s="347"/>
      <c r="CY626" s="347"/>
      <c r="DA626" s="348"/>
      <c r="DH626" s="237"/>
      <c r="DI626" s="237"/>
      <c r="DN626" s="347"/>
      <c r="DO626" s="347"/>
      <c r="DP626" s="2505"/>
      <c r="DT626" s="663"/>
      <c r="DU626" s="663"/>
      <c r="DV626" s="663"/>
      <c r="DW626" s="663"/>
      <c r="DX626" s="663"/>
      <c r="DY626" s="663"/>
      <c r="DZ626" s="663"/>
      <c r="EA626" s="663"/>
      <c r="EB626" s="663"/>
      <c r="EC626" s="663"/>
      <c r="ED626" s="663"/>
    </row>
    <row r="627" spans="6:134">
      <c r="F627" s="345">
        <v>324.02</v>
      </c>
      <c r="G627" s="345" t="s">
        <v>362</v>
      </c>
      <c r="L627" s="347">
        <v>17</v>
      </c>
      <c r="M627" s="347" t="s">
        <v>337</v>
      </c>
      <c r="V627" s="345">
        <v>401.09</v>
      </c>
      <c r="W627" s="345" t="s">
        <v>344</v>
      </c>
      <c r="AB627" s="347">
        <v>77.23</v>
      </c>
      <c r="AC627" s="347" t="s">
        <v>361</v>
      </c>
      <c r="AD627" s="1138"/>
      <c r="AJ627" s="345">
        <v>427.02</v>
      </c>
      <c r="AK627" s="345" t="s">
        <v>360</v>
      </c>
      <c r="AP627" s="347">
        <v>156</v>
      </c>
      <c r="AQ627" s="347" t="s">
        <v>323</v>
      </c>
      <c r="AZ627" s="345">
        <v>212</v>
      </c>
      <c r="BA627" s="345" t="s">
        <v>363</v>
      </c>
      <c r="BF627" s="347">
        <v>58.11</v>
      </c>
      <c r="BG627" s="347" t="s">
        <v>361</v>
      </c>
      <c r="BH627" s="1790"/>
      <c r="BN627" s="345">
        <v>1005.01</v>
      </c>
      <c r="BO627" s="345" t="s">
        <v>310</v>
      </c>
      <c r="BT627" s="347">
        <v>144.28</v>
      </c>
      <c r="BU627" s="347" t="s">
        <v>323</v>
      </c>
      <c r="BW627" s="348" t="str">
        <f t="array" ref="BW627">IFERROR(IF($BW$11="Metro",INDEX($BN$13:$BN$4972,SMALL(IF((County=$BO$13:$BO$4972),MATCH(ROW($BO$13:$BO$4972),ROW($BO$13:$BO$4972)),""),ROWS($A$13:$A627))),INDEX($BQ$13:$BQ$212,SMALL(IF((County=$BR$13:$BR$212),MATCH(ROW($BR$13:$BR$212),ROW($BR$13:$BR$212)),""),ROWS($A$13:$A627)))),"")</f>
        <v/>
      </c>
      <c r="CD627" s="237">
        <v>18.05</v>
      </c>
      <c r="CE627" s="237" t="s">
        <v>351</v>
      </c>
      <c r="CJ627" s="347">
        <v>59.16</v>
      </c>
      <c r="CK627" s="347" t="s">
        <v>361</v>
      </c>
      <c r="CL627" s="1789"/>
      <c r="CR627" s="345"/>
      <c r="CS627" s="345"/>
      <c r="CX627" s="347"/>
      <c r="CY627" s="347"/>
      <c r="DA627" s="348"/>
      <c r="DH627" s="237"/>
      <c r="DI627" s="237"/>
      <c r="DN627" s="347"/>
      <c r="DO627" s="347"/>
      <c r="DP627" s="2505"/>
      <c r="DT627" s="663"/>
      <c r="DU627" s="663"/>
      <c r="DV627" s="663"/>
      <c r="DW627" s="663"/>
      <c r="DX627" s="663"/>
      <c r="DY627" s="663"/>
      <c r="DZ627" s="663"/>
      <c r="EA627" s="663"/>
      <c r="EB627" s="663"/>
      <c r="EC627" s="663"/>
      <c r="ED627" s="663"/>
    </row>
    <row r="628" spans="6:134">
      <c r="F628" s="345">
        <v>326.01</v>
      </c>
      <c r="G628" s="345" t="s">
        <v>362</v>
      </c>
      <c r="L628" s="347">
        <v>22</v>
      </c>
      <c r="M628" s="347" t="s">
        <v>337</v>
      </c>
      <c r="V628" s="345">
        <v>401.22</v>
      </c>
      <c r="W628" s="345" t="s">
        <v>344</v>
      </c>
      <c r="AB628" s="347">
        <v>77.239999999999995</v>
      </c>
      <c r="AC628" s="347" t="s">
        <v>361</v>
      </c>
      <c r="AD628" s="1138"/>
      <c r="AJ628" s="345">
        <v>434</v>
      </c>
      <c r="AK628" s="345" t="s">
        <v>360</v>
      </c>
      <c r="AP628" s="347">
        <v>157.02000000000001</v>
      </c>
      <c r="AQ628" s="347" t="s">
        <v>323</v>
      </c>
      <c r="AZ628" s="345">
        <v>216</v>
      </c>
      <c r="BA628" s="345" t="s">
        <v>363</v>
      </c>
      <c r="BF628" s="347">
        <v>58.13</v>
      </c>
      <c r="BG628" s="347" t="s">
        <v>361</v>
      </c>
      <c r="BH628" s="1790"/>
      <c r="BN628" s="345">
        <v>1005.02</v>
      </c>
      <c r="BO628" s="345" t="s">
        <v>310</v>
      </c>
      <c r="BT628" s="347">
        <v>146.01</v>
      </c>
      <c r="BU628" s="347" t="s">
        <v>323</v>
      </c>
      <c r="BW628" s="348" t="str">
        <f t="array" ref="BW628">IFERROR(IF($BW$11="Metro",INDEX($BN$13:$BN$4972,SMALL(IF((County=$BO$13:$BO$4972),MATCH(ROW($BO$13:$BO$4972),ROW($BO$13:$BO$4972)),""),ROWS($A$13:$A628))),INDEX($BQ$13:$BQ$212,SMALL(IF((County=$BR$13:$BR$212),MATCH(ROW($BR$13:$BR$212),ROW($BR$13:$BR$212)),""),ROWS($A$13:$A628)))),"")</f>
        <v/>
      </c>
      <c r="CD628" s="237">
        <v>18.05</v>
      </c>
      <c r="CE628" s="237" t="s">
        <v>368</v>
      </c>
      <c r="CJ628" s="347">
        <v>59.17</v>
      </c>
      <c r="CK628" s="347" t="s">
        <v>361</v>
      </c>
      <c r="CL628" s="1789"/>
      <c r="CR628" s="345"/>
      <c r="CS628" s="345"/>
      <c r="CX628" s="347"/>
      <c r="CY628" s="347"/>
      <c r="DA628" s="348"/>
      <c r="DH628" s="237"/>
      <c r="DI628" s="237"/>
      <c r="DN628" s="347"/>
      <c r="DO628" s="347"/>
      <c r="DP628" s="2505"/>
      <c r="DT628" s="663"/>
      <c r="DU628" s="663"/>
      <c r="DV628" s="663"/>
      <c r="DW628" s="663"/>
      <c r="DX628" s="663"/>
      <c r="DY628" s="663"/>
      <c r="DZ628" s="663"/>
      <c r="EA628" s="663"/>
      <c r="EB628" s="663"/>
      <c r="EC628" s="663"/>
      <c r="ED628" s="663"/>
    </row>
    <row r="629" spans="6:134">
      <c r="F629" s="345">
        <v>326.02</v>
      </c>
      <c r="G629" s="345" t="s">
        <v>362</v>
      </c>
      <c r="L629" s="347">
        <v>23</v>
      </c>
      <c r="M629" s="347" t="s">
        <v>337</v>
      </c>
      <c r="V629" s="345">
        <v>403.04</v>
      </c>
      <c r="W629" s="345" t="s">
        <v>344</v>
      </c>
      <c r="AB629" s="347">
        <v>77.25</v>
      </c>
      <c r="AC629" s="347" t="s">
        <v>361</v>
      </c>
      <c r="AD629" s="1138"/>
      <c r="AJ629" s="345">
        <v>13.01</v>
      </c>
      <c r="AK629" s="345" t="s">
        <v>361</v>
      </c>
      <c r="AP629" s="347">
        <v>158.04</v>
      </c>
      <c r="AQ629" s="347" t="s">
        <v>323</v>
      </c>
      <c r="AZ629" s="345">
        <v>220.01</v>
      </c>
      <c r="BA629" s="345" t="s">
        <v>369</v>
      </c>
      <c r="BF629" s="347">
        <v>58.19</v>
      </c>
      <c r="BG629" s="347" t="s">
        <v>361</v>
      </c>
      <c r="BH629" s="1790"/>
      <c r="BN629" s="345">
        <v>1006</v>
      </c>
      <c r="BO629" s="345" t="s">
        <v>310</v>
      </c>
      <c r="BT629" s="347">
        <v>146.03</v>
      </c>
      <c r="BU629" s="347" t="s">
        <v>323</v>
      </c>
      <c r="BW629" s="348" t="str">
        <f t="array" ref="BW629">IFERROR(IF($BW$11="Metro",INDEX($BN$13:$BN$4972,SMALL(IF((County=$BO$13:$BO$4972),MATCH(ROW($BO$13:$BO$4972),ROW($BO$13:$BO$4972)),""),ROWS($A$13:$A629))),INDEX($BQ$13:$BQ$212,SMALL(IF((County=$BR$13:$BR$212),MATCH(ROW($BR$13:$BR$212),ROW($BR$13:$BR$212)),""),ROWS($A$13:$A629)))),"")</f>
        <v/>
      </c>
      <c r="CD629" s="237">
        <v>18.059999999999999</v>
      </c>
      <c r="CE629" s="237" t="s">
        <v>351</v>
      </c>
      <c r="CJ629" s="347">
        <v>59.21</v>
      </c>
      <c r="CK629" s="347" t="s">
        <v>361</v>
      </c>
      <c r="CL629" s="1789"/>
      <c r="CR629" s="345"/>
      <c r="CS629" s="345"/>
      <c r="CX629" s="347"/>
      <c r="CY629" s="347"/>
      <c r="DA629" s="348"/>
      <c r="DH629" s="237"/>
      <c r="DI629" s="237"/>
      <c r="DN629" s="347"/>
      <c r="DO629" s="347"/>
      <c r="DP629" s="2505"/>
      <c r="DT629" s="663"/>
      <c r="DU629" s="663"/>
      <c r="DV629" s="663"/>
      <c r="DW629" s="663"/>
      <c r="DX629" s="663"/>
      <c r="DY629" s="663"/>
      <c r="DZ629" s="663"/>
      <c r="EA629" s="663"/>
      <c r="EB629" s="663"/>
      <c r="EC629" s="663"/>
      <c r="ED629" s="663"/>
    </row>
    <row r="630" spans="6:134">
      <c r="F630" s="345">
        <v>328.04</v>
      </c>
      <c r="G630" s="345" t="s">
        <v>362</v>
      </c>
      <c r="L630" s="347">
        <v>28</v>
      </c>
      <c r="M630" s="347" t="s">
        <v>337</v>
      </c>
      <c r="V630" s="345">
        <v>403.05</v>
      </c>
      <c r="W630" s="345" t="s">
        <v>344</v>
      </c>
      <c r="AB630" s="347">
        <v>77.3</v>
      </c>
      <c r="AC630" s="347" t="s">
        <v>361</v>
      </c>
      <c r="AD630" s="1138"/>
      <c r="AJ630" s="345">
        <v>13.02</v>
      </c>
      <c r="AK630" s="345" t="s">
        <v>361</v>
      </c>
      <c r="AP630" s="347">
        <v>158.06</v>
      </c>
      <c r="AQ630" s="347" t="s">
        <v>323</v>
      </c>
      <c r="AZ630" s="345">
        <v>221.01</v>
      </c>
      <c r="BA630" s="345" t="s">
        <v>369</v>
      </c>
      <c r="BF630" s="347">
        <v>58.2</v>
      </c>
      <c r="BG630" s="347" t="s">
        <v>361</v>
      </c>
      <c r="BH630" s="1790"/>
      <c r="BN630" s="345">
        <v>1007</v>
      </c>
      <c r="BO630" s="345" t="s">
        <v>310</v>
      </c>
      <c r="BT630" s="347">
        <v>146.04</v>
      </c>
      <c r="BU630" s="347" t="s">
        <v>323</v>
      </c>
      <c r="BW630" s="348" t="str">
        <f t="array" ref="BW630">IFERROR(IF($BW$11="Metro",INDEX($BN$13:$BN$4972,SMALL(IF((County=$BO$13:$BO$4972),MATCH(ROW($BO$13:$BO$4972),ROW($BO$13:$BO$4972)),""),ROWS($A$13:$A630))),INDEX($BQ$13:$BQ$212,SMALL(IF((County=$BR$13:$BR$212),MATCH(ROW($BR$13:$BR$212),ROW($BR$13:$BR$212)),""),ROWS($A$13:$A630)))),"")</f>
        <v/>
      </c>
      <c r="CD630" s="345">
        <v>18.11</v>
      </c>
      <c r="CE630" s="345" t="s">
        <v>297</v>
      </c>
      <c r="CJ630" s="347">
        <v>59.23</v>
      </c>
      <c r="CK630" s="347" t="s">
        <v>361</v>
      </c>
      <c r="CL630" s="1789"/>
      <c r="CR630" s="345"/>
      <c r="CS630" s="345"/>
      <c r="CX630" s="347"/>
      <c r="CY630" s="347"/>
      <c r="DA630" s="348"/>
      <c r="DH630" s="237"/>
      <c r="DI630" s="237"/>
      <c r="DN630" s="347"/>
      <c r="DO630" s="347"/>
      <c r="DP630" s="2505"/>
      <c r="DT630" s="663"/>
      <c r="DU630" s="663"/>
      <c r="DV630" s="663"/>
      <c r="DW630" s="663"/>
      <c r="DX630" s="663"/>
      <c r="DY630" s="663"/>
      <c r="DZ630" s="663"/>
      <c r="EA630" s="663"/>
      <c r="EB630" s="663"/>
      <c r="EC630" s="663"/>
      <c r="ED630" s="663"/>
    </row>
    <row r="631" spans="6:134">
      <c r="F631" s="345">
        <v>329.01</v>
      </c>
      <c r="G631" s="345" t="s">
        <v>362</v>
      </c>
      <c r="L631" s="347">
        <v>46</v>
      </c>
      <c r="M631" s="347" t="s">
        <v>337</v>
      </c>
      <c r="V631" s="345">
        <v>403.08</v>
      </c>
      <c r="W631" s="345" t="s">
        <v>344</v>
      </c>
      <c r="AB631" s="347">
        <v>77.31</v>
      </c>
      <c r="AC631" s="347" t="s">
        <v>361</v>
      </c>
      <c r="AD631" s="1138"/>
      <c r="AJ631" s="345">
        <v>14.02</v>
      </c>
      <c r="AK631" s="345" t="s">
        <v>361</v>
      </c>
      <c r="AP631" s="347">
        <v>159.22</v>
      </c>
      <c r="AQ631" s="347" t="s">
        <v>323</v>
      </c>
      <c r="AZ631" s="345">
        <v>226</v>
      </c>
      <c r="BA631" s="345" t="s">
        <v>357</v>
      </c>
      <c r="BF631" s="347">
        <v>59</v>
      </c>
      <c r="BG631" s="347" t="s">
        <v>337</v>
      </c>
      <c r="BH631" s="1790"/>
      <c r="BN631" s="345">
        <v>1008.01</v>
      </c>
      <c r="BO631" s="345" t="s">
        <v>310</v>
      </c>
      <c r="BT631" s="347">
        <v>147.03</v>
      </c>
      <c r="BU631" s="347" t="s">
        <v>323</v>
      </c>
      <c r="BW631" s="348" t="str">
        <f t="array" ref="BW631">IFERROR(IF($BW$11="Metro",INDEX($BN$13:$BN$4972,SMALL(IF((County=$BO$13:$BO$4972),MATCH(ROW($BO$13:$BO$4972),ROW($BO$13:$BO$4972)),""),ROWS($A$13:$A631))),INDEX($BQ$13:$BQ$212,SMALL(IF((County=$BR$13:$BR$212),MATCH(ROW($BR$13:$BR$212),ROW($BR$13:$BR$212)),""),ROWS($A$13:$A631)))),"")</f>
        <v/>
      </c>
      <c r="CD631" s="345">
        <v>18.13</v>
      </c>
      <c r="CE631" s="345" t="s">
        <v>297</v>
      </c>
      <c r="CJ631" s="347">
        <v>59.31</v>
      </c>
      <c r="CK631" s="347" t="s">
        <v>361</v>
      </c>
      <c r="CL631" s="1789"/>
      <c r="CR631" s="345"/>
      <c r="CS631" s="345"/>
      <c r="CX631" s="347"/>
      <c r="CY631" s="347"/>
      <c r="DA631" s="348"/>
      <c r="DH631" s="237"/>
      <c r="DI631" s="237"/>
      <c r="DN631" s="347"/>
      <c r="DO631" s="347"/>
      <c r="DP631" s="2505"/>
      <c r="DT631" s="663"/>
      <c r="DU631" s="663"/>
      <c r="DV631" s="663"/>
      <c r="DW631" s="663"/>
      <c r="DX631" s="663"/>
      <c r="DY631" s="663"/>
      <c r="DZ631" s="663"/>
      <c r="EA631" s="663"/>
      <c r="EB631" s="663"/>
      <c r="EC631" s="663"/>
      <c r="ED631" s="663"/>
    </row>
    <row r="632" spans="6:134">
      <c r="F632" s="345">
        <v>330.08</v>
      </c>
      <c r="G632" s="345" t="s">
        <v>362</v>
      </c>
      <c r="L632" s="347">
        <v>47</v>
      </c>
      <c r="M632" s="347" t="s">
        <v>337</v>
      </c>
      <c r="V632" s="345">
        <v>403.11</v>
      </c>
      <c r="W632" s="345" t="s">
        <v>344</v>
      </c>
      <c r="AB632" s="347">
        <v>77.33</v>
      </c>
      <c r="AC632" s="347" t="s">
        <v>361</v>
      </c>
      <c r="AD632" s="1138"/>
      <c r="AJ632" s="345">
        <v>14.03</v>
      </c>
      <c r="AK632" s="345" t="s">
        <v>361</v>
      </c>
      <c r="AP632" s="347">
        <v>159.24</v>
      </c>
      <c r="AQ632" s="347" t="s">
        <v>323</v>
      </c>
      <c r="AZ632" s="345">
        <v>228</v>
      </c>
      <c r="BA632" s="345" t="s">
        <v>357</v>
      </c>
      <c r="BF632" s="347">
        <v>59.01</v>
      </c>
      <c r="BG632" s="347" t="s">
        <v>352</v>
      </c>
      <c r="BH632" s="1790"/>
      <c r="BN632" s="345">
        <v>1008.03</v>
      </c>
      <c r="BO632" s="345" t="s">
        <v>310</v>
      </c>
      <c r="BT632" s="347">
        <v>149.01</v>
      </c>
      <c r="BU632" s="347" t="s">
        <v>323</v>
      </c>
      <c r="BW632" s="348" t="str">
        <f t="array" ref="BW632">IFERROR(IF($BW$11="Metro",INDEX($BN$13:$BN$4972,SMALL(IF((County=$BO$13:$BO$4972),MATCH(ROW($BO$13:$BO$4972),ROW($BO$13:$BO$4972)),""),ROWS($A$13:$A632))),INDEX($BQ$13:$BQ$212,SMALL(IF((County=$BR$13:$BR$212),MATCH(ROW($BR$13:$BR$212),ROW($BR$13:$BR$212)),""),ROWS($A$13:$A632)))),"")</f>
        <v/>
      </c>
      <c r="CD632" s="345">
        <v>18.149999999999999</v>
      </c>
      <c r="CE632" s="345" t="s">
        <v>297</v>
      </c>
      <c r="CJ632" s="347">
        <v>59.34</v>
      </c>
      <c r="CK632" s="347" t="s">
        <v>361</v>
      </c>
      <c r="CL632" s="1789"/>
      <c r="CR632" s="345"/>
      <c r="CS632" s="345"/>
      <c r="CX632" s="347"/>
      <c r="CY632" s="347"/>
      <c r="DA632" s="348"/>
      <c r="DH632" s="237"/>
      <c r="DI632" s="237"/>
      <c r="DN632" s="347"/>
      <c r="DO632" s="347"/>
      <c r="DP632" s="2505"/>
      <c r="DT632" s="663"/>
      <c r="DU632" s="663"/>
      <c r="DV632" s="663"/>
      <c r="DW632" s="663"/>
      <c r="DX632" s="663"/>
      <c r="DY632" s="663"/>
      <c r="DZ632" s="663"/>
      <c r="EA632" s="663"/>
      <c r="EB632" s="663"/>
      <c r="EC632" s="663"/>
      <c r="ED632" s="663"/>
    </row>
    <row r="633" spans="6:134">
      <c r="F633" s="345">
        <v>330.09</v>
      </c>
      <c r="G633" s="345" t="s">
        <v>362</v>
      </c>
      <c r="L633" s="347">
        <v>49</v>
      </c>
      <c r="M633" s="347" t="s">
        <v>337</v>
      </c>
      <c r="V633" s="345">
        <v>404</v>
      </c>
      <c r="W633" s="345" t="s">
        <v>335</v>
      </c>
      <c r="AB633" s="347">
        <v>77.34</v>
      </c>
      <c r="AC633" s="347" t="s">
        <v>361</v>
      </c>
      <c r="AD633" s="1138"/>
      <c r="AJ633" s="345">
        <v>14.04</v>
      </c>
      <c r="AK633" s="345" t="s">
        <v>361</v>
      </c>
      <c r="AP633" s="347">
        <v>159.25</v>
      </c>
      <c r="AQ633" s="347" t="s">
        <v>323</v>
      </c>
      <c r="AZ633" s="345">
        <v>245.1</v>
      </c>
      <c r="BA633" s="345" t="s">
        <v>363</v>
      </c>
      <c r="BF633" s="347">
        <v>59.02</v>
      </c>
      <c r="BG633" s="347" t="s">
        <v>352</v>
      </c>
      <c r="BH633" s="1790"/>
      <c r="BN633" s="345">
        <v>1008.04</v>
      </c>
      <c r="BO633" s="345" t="s">
        <v>310</v>
      </c>
      <c r="BT633" s="347">
        <v>150.02000000000001</v>
      </c>
      <c r="BU633" s="347" t="s">
        <v>323</v>
      </c>
      <c r="BW633" s="348" t="str">
        <f t="array" ref="BW633">IFERROR(IF($BW$11="Metro",INDEX($BN$13:$BN$4972,SMALL(IF((County=$BO$13:$BO$4972),MATCH(ROW($BO$13:$BO$4972),ROW($BO$13:$BO$4972)),""),ROWS($A$13:$A633))),INDEX($BQ$13:$BQ$212,SMALL(IF((County=$BR$13:$BR$212),MATCH(ROW($BR$13:$BR$212),ROW($BR$13:$BR$212)),""),ROWS($A$13:$A633)))),"")</f>
        <v/>
      </c>
      <c r="CD633" s="345">
        <v>18.16</v>
      </c>
      <c r="CE633" s="345" t="s">
        <v>297</v>
      </c>
      <c r="CJ633" s="347">
        <v>59.37</v>
      </c>
      <c r="CK633" s="347" t="s">
        <v>361</v>
      </c>
      <c r="CL633" s="1789"/>
      <c r="CR633" s="345"/>
      <c r="CS633" s="345"/>
      <c r="CX633" s="347"/>
      <c r="CY633" s="347"/>
      <c r="DA633" s="348"/>
      <c r="DH633" s="237"/>
      <c r="DI633" s="237"/>
      <c r="DN633" s="347"/>
      <c r="DO633" s="347"/>
      <c r="DP633" s="2505"/>
      <c r="DT633" s="663"/>
      <c r="DU633" s="663"/>
      <c r="DV633" s="663"/>
      <c r="DW633" s="663"/>
      <c r="DX633" s="663"/>
      <c r="DY633" s="663"/>
      <c r="DZ633" s="663"/>
      <c r="EA633" s="663"/>
      <c r="EB633" s="663"/>
      <c r="EC633" s="663"/>
      <c r="ED633" s="663"/>
    </row>
    <row r="634" spans="6:134">
      <c r="F634" s="345">
        <v>330.12</v>
      </c>
      <c r="G634" s="345" t="s">
        <v>362</v>
      </c>
      <c r="L634" s="347">
        <v>51.01</v>
      </c>
      <c r="M634" s="347" t="s">
        <v>337</v>
      </c>
      <c r="V634" s="345">
        <v>405.01</v>
      </c>
      <c r="W634" s="345" t="s">
        <v>335</v>
      </c>
      <c r="AB634" s="347">
        <v>77.349999999999994</v>
      </c>
      <c r="AC634" s="347" t="s">
        <v>361</v>
      </c>
      <c r="AD634" s="1138"/>
      <c r="AJ634" s="345">
        <v>16</v>
      </c>
      <c r="AK634" s="345" t="s">
        <v>361</v>
      </c>
      <c r="AP634" s="347">
        <v>159.26</v>
      </c>
      <c r="AQ634" s="347" t="s">
        <v>323</v>
      </c>
      <c r="AZ634" s="345">
        <v>246.03</v>
      </c>
      <c r="BA634" s="345" t="s">
        <v>363</v>
      </c>
      <c r="BF634" s="347">
        <v>59.03</v>
      </c>
      <c r="BG634" s="347" t="s">
        <v>352</v>
      </c>
      <c r="BH634" s="1790"/>
      <c r="BN634" s="345">
        <v>1101</v>
      </c>
      <c r="BO634" s="345" t="s">
        <v>310</v>
      </c>
      <c r="BT634" s="347">
        <v>156</v>
      </c>
      <c r="BU634" s="347" t="s">
        <v>323</v>
      </c>
      <c r="BW634" s="348" t="str">
        <f t="array" ref="BW634">IFERROR(IF($BW$11="Metro",INDEX($BN$13:$BN$4972,SMALL(IF((County=$BO$13:$BO$4972),MATCH(ROW($BO$13:$BO$4972),ROW($BO$13:$BO$4972)),""),ROWS($A$13:$A634))),INDEX($BQ$13:$BQ$212,SMALL(IF((County=$BR$13:$BR$212),MATCH(ROW($BR$13:$BR$212),ROW($BR$13:$BR$212)),""),ROWS($A$13:$A634)))),"")</f>
        <v/>
      </c>
      <c r="CD634" s="345">
        <v>18.170000000000002</v>
      </c>
      <c r="CE634" s="345" t="s">
        <v>297</v>
      </c>
      <c r="CJ634" s="347">
        <v>59.38</v>
      </c>
      <c r="CK634" s="347" t="s">
        <v>361</v>
      </c>
      <c r="CL634" s="1789"/>
      <c r="CR634" s="345"/>
      <c r="CS634" s="345"/>
      <c r="CX634" s="347"/>
      <c r="CY634" s="347"/>
      <c r="DA634" s="348"/>
      <c r="DH634" s="237"/>
      <c r="DI634" s="237"/>
      <c r="DN634" s="347"/>
      <c r="DO634" s="347"/>
      <c r="DP634" s="2505"/>
      <c r="DT634" s="663"/>
      <c r="DU634" s="663"/>
      <c r="DV634" s="663"/>
      <c r="DW634" s="663"/>
      <c r="DX634" s="663"/>
      <c r="DY634" s="663"/>
      <c r="DZ634" s="663"/>
      <c r="EA634" s="663"/>
      <c r="EB634" s="663"/>
      <c r="EC634" s="663"/>
      <c r="ED634" s="663"/>
    </row>
    <row r="635" spans="6:134">
      <c r="F635" s="345">
        <v>330.13</v>
      </c>
      <c r="G635" s="345" t="s">
        <v>362</v>
      </c>
      <c r="L635" s="347">
        <v>51.02</v>
      </c>
      <c r="M635" s="347" t="s">
        <v>337</v>
      </c>
      <c r="V635" s="345">
        <v>405.02</v>
      </c>
      <c r="W635" s="345" t="s">
        <v>335</v>
      </c>
      <c r="AB635" s="347">
        <v>77.36</v>
      </c>
      <c r="AC635" s="347" t="s">
        <v>361</v>
      </c>
      <c r="AD635" s="1138"/>
      <c r="AJ635" s="345">
        <v>19.09</v>
      </c>
      <c r="AK635" s="345" t="s">
        <v>361</v>
      </c>
      <c r="AP635" s="347">
        <v>159.29</v>
      </c>
      <c r="AQ635" s="347" t="s">
        <v>323</v>
      </c>
      <c r="AZ635" s="345">
        <v>246.04</v>
      </c>
      <c r="BA635" s="345" t="s">
        <v>363</v>
      </c>
      <c r="BF635" s="347">
        <v>59.04</v>
      </c>
      <c r="BG635" s="347" t="s">
        <v>352</v>
      </c>
      <c r="BH635" s="1790"/>
      <c r="BN635" s="345">
        <v>1103.01</v>
      </c>
      <c r="BO635" s="345" t="s">
        <v>310</v>
      </c>
      <c r="BT635" s="347">
        <v>158.04</v>
      </c>
      <c r="BU635" s="347" t="s">
        <v>323</v>
      </c>
      <c r="BW635" s="348" t="str">
        <f t="array" ref="BW635">IFERROR(IF($BW$11="Metro",INDEX($BN$13:$BN$4972,SMALL(IF((County=$BO$13:$BO$4972),MATCH(ROW($BO$13:$BO$4972),ROW($BO$13:$BO$4972)),""),ROWS($A$13:$A635))),INDEX($BQ$13:$BQ$212,SMALL(IF((County=$BR$13:$BR$212),MATCH(ROW($BR$13:$BR$212),ROW($BR$13:$BR$212)),""),ROWS($A$13:$A635)))),"")</f>
        <v/>
      </c>
      <c r="CD635" s="345">
        <v>18.18</v>
      </c>
      <c r="CE635" s="345" t="s">
        <v>297</v>
      </c>
      <c r="CJ635" s="347">
        <v>59.42</v>
      </c>
      <c r="CK635" s="347" t="s">
        <v>361</v>
      </c>
      <c r="CL635" s="1789"/>
      <c r="CR635" s="345"/>
      <c r="CS635" s="345"/>
      <c r="CX635" s="347"/>
      <c r="CY635" s="347"/>
      <c r="DA635" s="348"/>
      <c r="DH635" s="237"/>
      <c r="DI635" s="237"/>
      <c r="DN635" s="347"/>
      <c r="DO635" s="347"/>
      <c r="DP635" s="2505"/>
      <c r="DT635" s="663"/>
      <c r="DU635" s="663"/>
      <c r="DV635" s="663"/>
      <c r="DW635" s="663"/>
      <c r="DX635" s="663"/>
      <c r="DY635" s="663"/>
      <c r="DZ635" s="663"/>
      <c r="EA635" s="663"/>
      <c r="EB635" s="663"/>
      <c r="EC635" s="663"/>
      <c r="ED635" s="663"/>
    </row>
    <row r="636" spans="6:134">
      <c r="F636" s="345">
        <v>330.14</v>
      </c>
      <c r="G636" s="345" t="s">
        <v>362</v>
      </c>
      <c r="L636" s="347">
        <v>53.01</v>
      </c>
      <c r="M636" s="347" t="s">
        <v>337</v>
      </c>
      <c r="V636" s="345">
        <v>408.01</v>
      </c>
      <c r="W636" s="345" t="s">
        <v>310</v>
      </c>
      <c r="AB636" s="347">
        <v>77.400000000000006</v>
      </c>
      <c r="AC636" s="347" t="s">
        <v>361</v>
      </c>
      <c r="AD636" s="1138"/>
      <c r="AJ636" s="345">
        <v>19.100000000000001</v>
      </c>
      <c r="AK636" s="345" t="s">
        <v>361</v>
      </c>
      <c r="AP636" s="347">
        <v>164</v>
      </c>
      <c r="AQ636" s="347" t="s">
        <v>323</v>
      </c>
      <c r="AZ636" s="345">
        <v>247.01</v>
      </c>
      <c r="BA636" s="345" t="s">
        <v>363</v>
      </c>
      <c r="BF636" s="347">
        <v>59.16</v>
      </c>
      <c r="BG636" s="347" t="s">
        <v>361</v>
      </c>
      <c r="BH636" s="1790"/>
      <c r="BN636" s="345">
        <v>1103.03</v>
      </c>
      <c r="BO636" s="345" t="s">
        <v>310</v>
      </c>
      <c r="BT636" s="347">
        <v>158.06</v>
      </c>
      <c r="BU636" s="347" t="s">
        <v>323</v>
      </c>
      <c r="BW636" s="348" t="str">
        <f t="array" ref="BW636">IFERROR(IF($BW$11="Metro",INDEX($BN$13:$BN$4972,SMALL(IF((County=$BO$13:$BO$4972),MATCH(ROW($BO$13:$BO$4972),ROW($BO$13:$BO$4972)),""),ROWS($A$13:$A636))),INDEX($BQ$13:$BQ$212,SMALL(IF((County=$BR$13:$BR$212),MATCH(ROW($BR$13:$BR$212),ROW($BR$13:$BR$212)),""),ROWS($A$13:$A636)))),"")</f>
        <v/>
      </c>
      <c r="CD636" s="345">
        <v>18.190000000000001</v>
      </c>
      <c r="CE636" s="345" t="s">
        <v>297</v>
      </c>
      <c r="CJ636" s="347">
        <v>59.45</v>
      </c>
      <c r="CK636" s="347" t="s">
        <v>361</v>
      </c>
      <c r="CL636" s="1789"/>
      <c r="CR636" s="345"/>
      <c r="CS636" s="345"/>
      <c r="CX636" s="347"/>
      <c r="CY636" s="347"/>
      <c r="DA636" s="348"/>
      <c r="DH636" s="237"/>
      <c r="DI636" s="237"/>
      <c r="DN636" s="347"/>
      <c r="DO636" s="347"/>
      <c r="DP636" s="2505"/>
      <c r="DT636" s="663"/>
      <c r="DU636" s="663"/>
      <c r="DV636" s="663"/>
      <c r="DW636" s="663"/>
      <c r="DX636" s="663"/>
      <c r="DY636" s="663"/>
      <c r="DZ636" s="663"/>
      <c r="EA636" s="663"/>
      <c r="EB636" s="663"/>
      <c r="EC636" s="663"/>
      <c r="ED636" s="663"/>
    </row>
    <row r="637" spans="6:134">
      <c r="F637" s="345">
        <v>201.01</v>
      </c>
      <c r="G637" s="345" t="s">
        <v>363</v>
      </c>
      <c r="L637" s="347">
        <v>54.01</v>
      </c>
      <c r="M637" s="347" t="s">
        <v>337</v>
      </c>
      <c r="V637" s="345">
        <v>409.01</v>
      </c>
      <c r="W637" s="345" t="s">
        <v>310</v>
      </c>
      <c r="AB637" s="347">
        <v>77.430000000000007</v>
      </c>
      <c r="AC637" s="347" t="s">
        <v>361</v>
      </c>
      <c r="AD637" s="1138"/>
      <c r="AJ637" s="345">
        <v>19.11</v>
      </c>
      <c r="AK637" s="345" t="s">
        <v>361</v>
      </c>
      <c r="AP637" s="347">
        <v>165</v>
      </c>
      <c r="AQ637" s="347" t="s">
        <v>323</v>
      </c>
      <c r="AZ637" s="345">
        <v>248.04</v>
      </c>
      <c r="BA637" s="345" t="s">
        <v>363</v>
      </c>
      <c r="BF637" s="347">
        <v>59.17</v>
      </c>
      <c r="BG637" s="347" t="s">
        <v>361</v>
      </c>
      <c r="BH637" s="1790"/>
      <c r="BN637" s="345">
        <v>1103.07</v>
      </c>
      <c r="BO637" s="345" t="s">
        <v>310</v>
      </c>
      <c r="BT637" s="347">
        <v>159.22</v>
      </c>
      <c r="BU637" s="347" t="s">
        <v>323</v>
      </c>
      <c r="BW637" s="348" t="str">
        <f t="array" ref="BW637">IFERROR(IF($BW$11="Metro",INDEX($BN$13:$BN$4972,SMALL(IF((County=$BO$13:$BO$4972),MATCH(ROW($BO$13:$BO$4972),ROW($BO$13:$BO$4972)),""),ROWS($A$13:$A637))),INDEX($BQ$13:$BQ$212,SMALL(IF((County=$BR$13:$BR$212),MATCH(ROW($BR$13:$BR$212),ROW($BR$13:$BR$212)),""),ROWS($A$13:$A637)))),"")</f>
        <v/>
      </c>
      <c r="CD637" s="345">
        <v>19</v>
      </c>
      <c r="CE637" s="345" t="s">
        <v>306</v>
      </c>
      <c r="CJ637" s="347">
        <v>59.46</v>
      </c>
      <c r="CK637" s="347" t="s">
        <v>361</v>
      </c>
      <c r="CL637" s="1789"/>
      <c r="CR637" s="345"/>
      <c r="CS637" s="345"/>
      <c r="CX637" s="347"/>
      <c r="CY637" s="347"/>
      <c r="DA637" s="348"/>
      <c r="DH637" s="237"/>
      <c r="DI637" s="237"/>
      <c r="DN637" s="347"/>
      <c r="DO637" s="347"/>
      <c r="DP637" s="2505"/>
      <c r="DT637" s="663"/>
      <c r="DU637" s="663"/>
      <c r="DV637" s="663"/>
      <c r="DW637" s="663"/>
      <c r="DX637" s="663"/>
      <c r="DY637" s="663"/>
      <c r="DZ637" s="663"/>
      <c r="EA637" s="663"/>
      <c r="EB637" s="663"/>
      <c r="EC637" s="663"/>
      <c r="ED637" s="663"/>
    </row>
    <row r="638" spans="6:134">
      <c r="F638" s="345">
        <v>205</v>
      </c>
      <c r="G638" s="345" t="s">
        <v>363</v>
      </c>
      <c r="L638" s="347">
        <v>55</v>
      </c>
      <c r="M638" s="347" t="s">
        <v>337</v>
      </c>
      <c r="V638" s="345">
        <v>409.02</v>
      </c>
      <c r="W638" s="345" t="s">
        <v>310</v>
      </c>
      <c r="AB638" s="347">
        <v>77.48</v>
      </c>
      <c r="AC638" s="347" t="s">
        <v>361</v>
      </c>
      <c r="AD638" s="1138"/>
      <c r="AJ638" s="345">
        <v>19.12</v>
      </c>
      <c r="AK638" s="345" t="s">
        <v>361</v>
      </c>
      <c r="AP638" s="347">
        <v>166.03</v>
      </c>
      <c r="AQ638" s="347" t="s">
        <v>323</v>
      </c>
      <c r="AZ638" s="345">
        <v>250.17</v>
      </c>
      <c r="BA638" s="345" t="s">
        <v>363</v>
      </c>
      <c r="BF638" s="347">
        <v>59.18</v>
      </c>
      <c r="BG638" s="347" t="s">
        <v>361</v>
      </c>
      <c r="BH638" s="1790"/>
      <c r="BN638" s="345">
        <v>1103.08</v>
      </c>
      <c r="BO638" s="345" t="s">
        <v>310</v>
      </c>
      <c r="BT638" s="347">
        <v>159.24</v>
      </c>
      <c r="BU638" s="347" t="s">
        <v>323</v>
      </c>
      <c r="BW638" s="348" t="str">
        <f t="array" ref="BW638">IFERROR(IF($BW$11="Metro",INDEX($BN$13:$BN$4972,SMALL(IF((County=$BO$13:$BO$4972),MATCH(ROW($BO$13:$BO$4972),ROW($BO$13:$BO$4972)),""),ROWS($A$13:$A638))),INDEX($BQ$13:$BQ$212,SMALL(IF((County=$BR$13:$BR$212),MATCH(ROW($BR$13:$BR$212),ROW($BR$13:$BR$212)),""),ROWS($A$13:$A638)))),"")</f>
        <v/>
      </c>
      <c r="CD638" s="237">
        <v>19</v>
      </c>
      <c r="CE638" s="237" t="s">
        <v>325</v>
      </c>
      <c r="CJ638" s="347">
        <v>59.47</v>
      </c>
      <c r="CK638" s="347" t="s">
        <v>361</v>
      </c>
      <c r="CL638" s="1789"/>
      <c r="CR638" s="345"/>
      <c r="CS638" s="345"/>
      <c r="CX638" s="347"/>
      <c r="CY638" s="347"/>
      <c r="DA638" s="348"/>
      <c r="DH638" s="237"/>
      <c r="DI638" s="237"/>
      <c r="DN638" s="347"/>
      <c r="DO638" s="347"/>
      <c r="DP638" s="2505"/>
      <c r="DT638" s="663"/>
      <c r="DU638" s="663"/>
      <c r="DV638" s="663"/>
      <c r="DW638" s="663"/>
      <c r="DX638" s="663"/>
      <c r="DY638" s="663"/>
      <c r="DZ638" s="663"/>
      <c r="EA638" s="663"/>
      <c r="EB638" s="663"/>
      <c r="EC638" s="663"/>
      <c r="ED638" s="663"/>
    </row>
    <row r="639" spans="6:134">
      <c r="F639" s="345">
        <v>206</v>
      </c>
      <c r="G639" s="345" t="s">
        <v>363</v>
      </c>
      <c r="L639" s="347">
        <v>57</v>
      </c>
      <c r="M639" s="347" t="s">
        <v>337</v>
      </c>
      <c r="V639" s="345">
        <v>409.02</v>
      </c>
      <c r="W639" s="345" t="s">
        <v>360</v>
      </c>
      <c r="AB639" s="347">
        <v>77.489999999999995</v>
      </c>
      <c r="AC639" s="347" t="s">
        <v>361</v>
      </c>
      <c r="AD639" s="1138"/>
      <c r="AJ639" s="345">
        <v>21</v>
      </c>
      <c r="AK639" s="345" t="s">
        <v>361</v>
      </c>
      <c r="AP639" s="347">
        <v>166.04</v>
      </c>
      <c r="AQ639" s="347" t="s">
        <v>323</v>
      </c>
      <c r="AZ639" s="345">
        <v>251.15</v>
      </c>
      <c r="BA639" s="345" t="s">
        <v>363</v>
      </c>
      <c r="BF639" s="347">
        <v>59.21</v>
      </c>
      <c r="BG639" s="347" t="s">
        <v>361</v>
      </c>
      <c r="BH639" s="1790"/>
      <c r="BN639" s="345">
        <v>1103.0899999999999</v>
      </c>
      <c r="BO639" s="345" t="s">
        <v>310</v>
      </c>
      <c r="BT639" s="347">
        <v>159.25</v>
      </c>
      <c r="BU639" s="347" t="s">
        <v>323</v>
      </c>
      <c r="BW639" s="348" t="str">
        <f t="array" ref="BW639">IFERROR(IF($BW$11="Metro",INDEX($BN$13:$BN$4972,SMALL(IF((County=$BO$13:$BO$4972),MATCH(ROW($BO$13:$BO$4972),ROW($BO$13:$BO$4972)),""),ROWS($A$13:$A639))),INDEX($BQ$13:$BQ$212,SMALL(IF((County=$BR$13:$BR$212),MATCH(ROW($BR$13:$BR$212),ROW($BR$13:$BR$212)),""),ROWS($A$13:$A639)))),"")</f>
        <v/>
      </c>
      <c r="CD639" s="237">
        <v>19</v>
      </c>
      <c r="CE639" s="237" t="s">
        <v>337</v>
      </c>
      <c r="CJ639" s="347">
        <v>59.49</v>
      </c>
      <c r="CK639" s="347" t="s">
        <v>361</v>
      </c>
      <c r="CL639" s="1789"/>
      <c r="CR639" s="345"/>
      <c r="CS639" s="345"/>
      <c r="CX639" s="347"/>
      <c r="CY639" s="347"/>
      <c r="DA639" s="348"/>
      <c r="DH639" s="237"/>
      <c r="DI639" s="237"/>
      <c r="DN639" s="347"/>
      <c r="DO639" s="347"/>
      <c r="DP639" s="2505"/>
      <c r="DT639" s="663"/>
      <c r="DU639" s="663"/>
      <c r="DV639" s="663"/>
      <c r="DW639" s="663"/>
      <c r="DX639" s="663"/>
      <c r="DY639" s="663"/>
      <c r="DZ639" s="663"/>
      <c r="EA639" s="663"/>
      <c r="EB639" s="663"/>
      <c r="EC639" s="663"/>
      <c r="ED639" s="663"/>
    </row>
    <row r="640" spans="6:134">
      <c r="F640" s="345">
        <v>207</v>
      </c>
      <c r="G640" s="345" t="s">
        <v>363</v>
      </c>
      <c r="L640" s="347">
        <v>58</v>
      </c>
      <c r="M640" s="347" t="s">
        <v>337</v>
      </c>
      <c r="V640" s="345">
        <v>410</v>
      </c>
      <c r="W640" s="345" t="s">
        <v>310</v>
      </c>
      <c r="AB640" s="347">
        <v>77.510000000000005</v>
      </c>
      <c r="AC640" s="347" t="s">
        <v>361</v>
      </c>
      <c r="AD640" s="1138"/>
      <c r="AJ640" s="345">
        <v>22</v>
      </c>
      <c r="AK640" s="345" t="s">
        <v>361</v>
      </c>
      <c r="AP640" s="347">
        <v>166.05</v>
      </c>
      <c r="AQ640" s="347" t="s">
        <v>323</v>
      </c>
      <c r="AZ640" s="345">
        <v>253.05</v>
      </c>
      <c r="BA640" s="345" t="s">
        <v>363</v>
      </c>
      <c r="BF640" s="347">
        <v>59.22</v>
      </c>
      <c r="BG640" s="347" t="s">
        <v>361</v>
      </c>
      <c r="BH640" s="1790"/>
      <c r="BN640" s="345">
        <v>1103.1099999999999</v>
      </c>
      <c r="BO640" s="345" t="s">
        <v>310</v>
      </c>
      <c r="BT640" s="347">
        <v>159.26</v>
      </c>
      <c r="BU640" s="347" t="s">
        <v>323</v>
      </c>
      <c r="BW640" s="348" t="str">
        <f t="array" ref="BW640">IFERROR(IF($BW$11="Metro",INDEX($BN$13:$BN$4972,SMALL(IF((County=$BO$13:$BO$4972),MATCH(ROW($BO$13:$BO$4972),ROW($BO$13:$BO$4972)),""),ROWS($A$13:$A640))),INDEX($BQ$13:$BQ$212,SMALL(IF((County=$BR$13:$BR$212),MATCH(ROW($BR$13:$BR$212),ROW($BR$13:$BR$212)),""),ROWS($A$13:$A640)))),"")</f>
        <v/>
      </c>
      <c r="CD640" s="237">
        <v>19</v>
      </c>
      <c r="CE640" s="237" t="s">
        <v>350</v>
      </c>
      <c r="CJ640" s="347">
        <v>59.5</v>
      </c>
      <c r="CK640" s="347" t="s">
        <v>361</v>
      </c>
      <c r="CL640" s="1789"/>
      <c r="CR640" s="345"/>
      <c r="CS640" s="345"/>
      <c r="CX640" s="347"/>
      <c r="CY640" s="347"/>
      <c r="DA640" s="348"/>
      <c r="DH640" s="237"/>
      <c r="DI640" s="237"/>
      <c r="DN640" s="347"/>
      <c r="DO640" s="347"/>
      <c r="DP640" s="2505"/>
      <c r="DT640" s="663"/>
      <c r="DU640" s="663"/>
      <c r="DV640" s="663"/>
      <c r="DW640" s="663"/>
      <c r="DX640" s="663"/>
      <c r="DY640" s="663"/>
      <c r="DZ640" s="663"/>
      <c r="EA640" s="663"/>
      <c r="EB640" s="663"/>
      <c r="EC640" s="663"/>
      <c r="ED640" s="663"/>
    </row>
    <row r="641" spans="6:134">
      <c r="F641" s="345">
        <v>208</v>
      </c>
      <c r="G641" s="345" t="s">
        <v>363</v>
      </c>
      <c r="L641" s="347">
        <v>59</v>
      </c>
      <c r="M641" s="347" t="s">
        <v>337</v>
      </c>
      <c r="V641" s="345">
        <v>412</v>
      </c>
      <c r="W641" s="345" t="s">
        <v>310</v>
      </c>
      <c r="AB641" s="347">
        <v>77.52</v>
      </c>
      <c r="AC641" s="347" t="s">
        <v>361</v>
      </c>
      <c r="AD641" s="1138"/>
      <c r="AJ641" s="345">
        <v>24</v>
      </c>
      <c r="AK641" s="345" t="s">
        <v>361</v>
      </c>
      <c r="AP641" s="347">
        <v>167.11</v>
      </c>
      <c r="AQ641" s="347" t="s">
        <v>323</v>
      </c>
      <c r="AZ641" s="345">
        <v>255.05</v>
      </c>
      <c r="BA641" s="345" t="s">
        <v>363</v>
      </c>
      <c r="BF641" s="347">
        <v>59.3</v>
      </c>
      <c r="BG641" s="347" t="s">
        <v>361</v>
      </c>
      <c r="BH641" s="1790"/>
      <c r="BN641" s="345">
        <v>1103.1199999999999</v>
      </c>
      <c r="BO641" s="345" t="s">
        <v>310</v>
      </c>
      <c r="BT641" s="347">
        <v>159.28</v>
      </c>
      <c r="BU641" s="347" t="s">
        <v>323</v>
      </c>
      <c r="BW641" s="348" t="str">
        <f t="array" ref="BW641">IFERROR(IF($BW$11="Metro",INDEX($BN$13:$BN$4972,SMALL(IF((County=$BO$13:$BO$4972),MATCH(ROW($BO$13:$BO$4972),ROW($BO$13:$BO$4972)),""),ROWS($A$13:$A641))),INDEX($BQ$13:$BQ$212,SMALL(IF((County=$BR$13:$BR$212),MATCH(ROW($BR$13:$BR$212),ROW($BR$13:$BR$212)),""),ROWS($A$13:$A641)))),"")</f>
        <v/>
      </c>
      <c r="CD641" s="237">
        <v>19.010000000000002</v>
      </c>
      <c r="CE641" s="237" t="s">
        <v>345</v>
      </c>
      <c r="CJ641" s="347">
        <v>59.53</v>
      </c>
      <c r="CK641" s="347" t="s">
        <v>361</v>
      </c>
      <c r="CL641" s="1789"/>
      <c r="CR641" s="345"/>
      <c r="CS641" s="345"/>
      <c r="CX641" s="347"/>
      <c r="CY641" s="347"/>
      <c r="DA641" s="348"/>
      <c r="DH641" s="237"/>
      <c r="DI641" s="237"/>
      <c r="DN641" s="347"/>
      <c r="DO641" s="347"/>
      <c r="DP641" s="2505"/>
      <c r="DT641" s="663"/>
      <c r="DU641" s="663"/>
      <c r="DV641" s="663"/>
      <c r="DW641" s="663"/>
      <c r="DX641" s="663"/>
      <c r="DY641" s="663"/>
      <c r="DZ641" s="663"/>
      <c r="EA641" s="663"/>
      <c r="EB641" s="663"/>
      <c r="EC641" s="663"/>
      <c r="ED641" s="663"/>
    </row>
    <row r="642" spans="6:134">
      <c r="F642" s="345">
        <v>212</v>
      </c>
      <c r="G642" s="345" t="s">
        <v>363</v>
      </c>
      <c r="L642" s="347">
        <v>60</v>
      </c>
      <c r="M642" s="347" t="s">
        <v>337</v>
      </c>
      <c r="V642" s="345">
        <v>412.04</v>
      </c>
      <c r="W642" s="345" t="s">
        <v>335</v>
      </c>
      <c r="AB642" s="347">
        <v>77.53</v>
      </c>
      <c r="AC642" s="347" t="s">
        <v>361</v>
      </c>
      <c r="AD642" s="1138"/>
      <c r="AJ642" s="345">
        <v>29</v>
      </c>
      <c r="AK642" s="345" t="s">
        <v>361</v>
      </c>
      <c r="AP642" s="347">
        <v>167.24</v>
      </c>
      <c r="AQ642" s="347" t="s">
        <v>323</v>
      </c>
      <c r="AZ642" s="345">
        <v>256.02</v>
      </c>
      <c r="BA642" s="345" t="s">
        <v>363</v>
      </c>
      <c r="BF642" s="347">
        <v>59.31</v>
      </c>
      <c r="BG642" s="347" t="s">
        <v>361</v>
      </c>
      <c r="BH642" s="1790"/>
      <c r="BN642" s="345">
        <v>1103.1300000000001</v>
      </c>
      <c r="BO642" s="345" t="s">
        <v>310</v>
      </c>
      <c r="BT642" s="347">
        <v>159.29</v>
      </c>
      <c r="BU642" s="347" t="s">
        <v>323</v>
      </c>
      <c r="BW642" s="348" t="str">
        <f t="array" ref="BW642">IFERROR(IF($BW$11="Metro",INDEX($BN$13:$BN$4972,SMALL(IF((County=$BO$13:$BO$4972),MATCH(ROW($BO$13:$BO$4972),ROW($BO$13:$BO$4972)),""),ROWS($A$13:$A642))),INDEX($BQ$13:$BQ$212,SMALL(IF((County=$BR$13:$BR$212),MATCH(ROW($BR$13:$BR$212),ROW($BR$13:$BR$212)),""),ROWS($A$13:$A642)))),"")</f>
        <v/>
      </c>
      <c r="CD642" s="237">
        <v>19.010000000000002</v>
      </c>
      <c r="CE642" s="237" t="s">
        <v>352</v>
      </c>
      <c r="CJ642" s="347">
        <v>59.54</v>
      </c>
      <c r="CK642" s="347" t="s">
        <v>361</v>
      </c>
      <c r="CL642" s="1789"/>
      <c r="CR642" s="345"/>
      <c r="CS642" s="345"/>
      <c r="CX642" s="347"/>
      <c r="CY642" s="347"/>
      <c r="DA642" s="348"/>
      <c r="DH642" s="237"/>
      <c r="DI642" s="237"/>
      <c r="DN642" s="347"/>
      <c r="DO642" s="347"/>
      <c r="DP642" s="2505"/>
      <c r="DT642" s="663"/>
      <c r="DU642" s="663"/>
      <c r="DV642" s="663"/>
      <c r="DW642" s="663"/>
      <c r="DX642" s="663"/>
      <c r="DY642" s="663"/>
      <c r="DZ642" s="663"/>
      <c r="EA642" s="663"/>
      <c r="EB642" s="663"/>
      <c r="EC642" s="663"/>
      <c r="ED642" s="663"/>
    </row>
    <row r="643" spans="6:134">
      <c r="F643" s="345">
        <v>216</v>
      </c>
      <c r="G643" s="345" t="s">
        <v>363</v>
      </c>
      <c r="L643" s="347">
        <v>61.01</v>
      </c>
      <c r="M643" s="347" t="s">
        <v>337</v>
      </c>
      <c r="V643" s="345">
        <v>413</v>
      </c>
      <c r="W643" s="345" t="s">
        <v>310</v>
      </c>
      <c r="AB643" s="347">
        <v>77.540000000000006</v>
      </c>
      <c r="AC643" s="347" t="s">
        <v>361</v>
      </c>
      <c r="AD643" s="1138"/>
      <c r="AJ643" s="345">
        <v>30</v>
      </c>
      <c r="AK643" s="345" t="s">
        <v>361</v>
      </c>
      <c r="AP643" s="347">
        <v>167.25</v>
      </c>
      <c r="AQ643" s="347" t="s">
        <v>323</v>
      </c>
      <c r="AZ643" s="345">
        <v>258</v>
      </c>
      <c r="BA643" s="345" t="s">
        <v>363</v>
      </c>
      <c r="BF643" s="347">
        <v>59.34</v>
      </c>
      <c r="BG643" s="347" t="s">
        <v>361</v>
      </c>
      <c r="BH643" s="1790"/>
      <c r="BN643" s="345">
        <v>1103.19</v>
      </c>
      <c r="BO643" s="345" t="s">
        <v>310</v>
      </c>
      <c r="BT643" s="347">
        <v>161.01</v>
      </c>
      <c r="BU643" s="347" t="s">
        <v>323</v>
      </c>
      <c r="BW643" s="348" t="str">
        <f t="array" ref="BW643">IFERROR(IF($BW$11="Metro",INDEX($BN$13:$BN$4972,SMALL(IF((County=$BO$13:$BO$4972),MATCH(ROW($BO$13:$BO$4972),ROW($BO$13:$BO$4972)),""),ROWS($A$13:$A643))),INDEX($BQ$13:$BQ$212,SMALL(IF((County=$BR$13:$BR$212),MATCH(ROW($BR$13:$BR$212),ROW($BR$13:$BR$212)),""),ROWS($A$13:$A643)))),"")</f>
        <v/>
      </c>
      <c r="CD643" s="345">
        <v>19.02</v>
      </c>
      <c r="CE643" s="345" t="s">
        <v>297</v>
      </c>
      <c r="CJ643" s="347">
        <v>59.55</v>
      </c>
      <c r="CK643" s="347" t="s">
        <v>361</v>
      </c>
      <c r="CL643" s="1789"/>
      <c r="CR643" s="345"/>
      <c r="CS643" s="345"/>
      <c r="CX643" s="347"/>
      <c r="CY643" s="347"/>
      <c r="DA643" s="348"/>
      <c r="DH643" s="237"/>
      <c r="DI643" s="237"/>
      <c r="DN643" s="347"/>
      <c r="DO643" s="347"/>
      <c r="DP643" s="2505"/>
      <c r="DT643" s="663"/>
      <c r="DU643" s="663"/>
      <c r="DV643" s="663"/>
      <c r="DW643" s="663"/>
      <c r="DX643" s="663"/>
      <c r="DY643" s="663"/>
      <c r="DZ643" s="663"/>
      <c r="EA643" s="663"/>
      <c r="EB643" s="663"/>
      <c r="EC643" s="663"/>
      <c r="ED643" s="663"/>
    </row>
    <row r="644" spans="6:134">
      <c r="F644" s="345">
        <v>220</v>
      </c>
      <c r="G644" s="345" t="s">
        <v>363</v>
      </c>
      <c r="L644" s="347">
        <v>61.03</v>
      </c>
      <c r="M644" s="347" t="s">
        <v>337</v>
      </c>
      <c r="V644" s="345">
        <v>414</v>
      </c>
      <c r="W644" s="345" t="s">
        <v>310</v>
      </c>
      <c r="AB644" s="347">
        <v>77.56</v>
      </c>
      <c r="AC644" s="347" t="s">
        <v>361</v>
      </c>
      <c r="AD644" s="1138"/>
      <c r="AJ644" s="345">
        <v>31.02</v>
      </c>
      <c r="AK644" s="345" t="s">
        <v>361</v>
      </c>
      <c r="AP644" s="347">
        <v>167.26</v>
      </c>
      <c r="AQ644" s="347" t="s">
        <v>323</v>
      </c>
      <c r="AZ644" s="345">
        <v>259.01</v>
      </c>
      <c r="BA644" s="345" t="s">
        <v>363</v>
      </c>
      <c r="BF644" s="347">
        <v>59.37</v>
      </c>
      <c r="BG644" s="347" t="s">
        <v>361</v>
      </c>
      <c r="BH644" s="1790"/>
      <c r="BN644" s="345">
        <v>1103.21</v>
      </c>
      <c r="BO644" s="345" t="s">
        <v>310</v>
      </c>
      <c r="BT644" s="347">
        <v>164</v>
      </c>
      <c r="BU644" s="347" t="s">
        <v>323</v>
      </c>
      <c r="BW644" s="348" t="str">
        <f t="array" ref="BW644">IFERROR(IF($BW$11="Metro",INDEX($BN$13:$BN$4972,SMALL(IF((County=$BO$13:$BO$4972),MATCH(ROW($BO$13:$BO$4972),ROW($BO$13:$BO$4972)),""),ROWS($A$13:$A644))),INDEX($BQ$13:$BQ$212,SMALL(IF((County=$BR$13:$BR$212),MATCH(ROW($BR$13:$BR$212),ROW($BR$13:$BR$212)),""),ROWS($A$13:$A644)))),"")</f>
        <v/>
      </c>
      <c r="CD644" s="237">
        <v>19.02</v>
      </c>
      <c r="CE644" s="237" t="s">
        <v>345</v>
      </c>
      <c r="CJ644" s="347">
        <v>59.58</v>
      </c>
      <c r="CK644" s="347" t="s">
        <v>361</v>
      </c>
      <c r="CL644" s="1789"/>
      <c r="CR644" s="345"/>
      <c r="CS644" s="345"/>
      <c r="CX644" s="347"/>
      <c r="CY644" s="347"/>
      <c r="DA644" s="348"/>
      <c r="DH644" s="237"/>
      <c r="DI644" s="237"/>
      <c r="DN644" s="347"/>
      <c r="DO644" s="347"/>
      <c r="DP644" s="2505"/>
      <c r="DT644" s="663"/>
      <c r="DU644" s="663"/>
      <c r="DV644" s="663"/>
      <c r="DW644" s="663"/>
      <c r="DX644" s="663"/>
      <c r="DY644" s="663"/>
      <c r="DZ644" s="663"/>
      <c r="EA644" s="663"/>
      <c r="EB644" s="663"/>
      <c r="EC644" s="663"/>
      <c r="ED644" s="663"/>
    </row>
    <row r="645" spans="6:134">
      <c r="F645" s="345">
        <v>245.1</v>
      </c>
      <c r="G645" s="345" t="s">
        <v>363</v>
      </c>
      <c r="L645" s="347">
        <v>62</v>
      </c>
      <c r="M645" s="347" t="s">
        <v>337</v>
      </c>
      <c r="V645" s="345">
        <v>414.01</v>
      </c>
      <c r="W645" s="345" t="s">
        <v>335</v>
      </c>
      <c r="AB645" s="347">
        <v>77.569999999999993</v>
      </c>
      <c r="AC645" s="347" t="s">
        <v>361</v>
      </c>
      <c r="AD645" s="1138"/>
      <c r="AJ645" s="345">
        <v>40.07</v>
      </c>
      <c r="AK645" s="345" t="s">
        <v>361</v>
      </c>
      <c r="AP645" s="347">
        <v>167.28</v>
      </c>
      <c r="AQ645" s="347" t="s">
        <v>323</v>
      </c>
      <c r="AZ645" s="345">
        <v>259.02</v>
      </c>
      <c r="BA645" s="345" t="s">
        <v>363</v>
      </c>
      <c r="BF645" s="347">
        <v>59.38</v>
      </c>
      <c r="BG645" s="347" t="s">
        <v>361</v>
      </c>
      <c r="BH645" s="1790"/>
      <c r="BN645" s="345">
        <v>1103.23</v>
      </c>
      <c r="BO645" s="345" t="s">
        <v>310</v>
      </c>
      <c r="BT645" s="347">
        <v>165</v>
      </c>
      <c r="BU645" s="347" t="s">
        <v>323</v>
      </c>
      <c r="BW645" s="348" t="str">
        <f t="array" ref="BW645">IFERROR(IF($BW$11="Metro",INDEX($BN$13:$BN$4972,SMALL(IF((County=$BO$13:$BO$4972),MATCH(ROW($BO$13:$BO$4972),ROW($BO$13:$BO$4972)),""),ROWS($A$13:$A645))),INDEX($BQ$13:$BQ$212,SMALL(IF((County=$BR$13:$BR$212),MATCH(ROW($BR$13:$BR$212),ROW($BR$13:$BR$212)),""),ROWS($A$13:$A645)))),"")</f>
        <v/>
      </c>
      <c r="CD645" s="237">
        <v>19.03</v>
      </c>
      <c r="CE645" s="237" t="s">
        <v>344</v>
      </c>
      <c r="CJ645" s="347">
        <v>59.6</v>
      </c>
      <c r="CK645" s="347" t="s">
        <v>361</v>
      </c>
      <c r="CL645" s="1789"/>
      <c r="CR645" s="345"/>
      <c r="CS645" s="345"/>
      <c r="CX645" s="347"/>
      <c r="CY645" s="347"/>
      <c r="DA645" s="348"/>
      <c r="DH645" s="237"/>
      <c r="DI645" s="237"/>
      <c r="DN645" s="347"/>
      <c r="DO645" s="347"/>
      <c r="DP645" s="2505"/>
      <c r="DT645" s="663"/>
      <c r="DU645" s="663"/>
      <c r="DV645" s="663"/>
      <c r="DW645" s="663"/>
      <c r="DX645" s="663"/>
      <c r="DY645" s="663"/>
      <c r="DZ645" s="663"/>
      <c r="EA645" s="663"/>
      <c r="EB645" s="663"/>
      <c r="EC645" s="663"/>
      <c r="ED645" s="663"/>
    </row>
    <row r="646" spans="6:134">
      <c r="F646" s="345">
        <v>245.14</v>
      </c>
      <c r="G646" s="345" t="s">
        <v>363</v>
      </c>
      <c r="L646" s="347">
        <v>63</v>
      </c>
      <c r="M646" s="347" t="s">
        <v>337</v>
      </c>
      <c r="V646" s="345">
        <v>415</v>
      </c>
      <c r="W646" s="345" t="s">
        <v>310</v>
      </c>
      <c r="AB646" s="347">
        <v>77.58</v>
      </c>
      <c r="AC646" s="347" t="s">
        <v>361</v>
      </c>
      <c r="AD646" s="1138"/>
      <c r="AJ646" s="345">
        <v>40.090000000000003</v>
      </c>
      <c r="AK646" s="345" t="s">
        <v>361</v>
      </c>
      <c r="AP646" s="347">
        <v>167.29</v>
      </c>
      <c r="AQ646" s="347" t="s">
        <v>323</v>
      </c>
      <c r="AZ646" s="345">
        <v>261.01</v>
      </c>
      <c r="BA646" s="345" t="s">
        <v>363</v>
      </c>
      <c r="BF646" s="347">
        <v>59.42</v>
      </c>
      <c r="BG646" s="347" t="s">
        <v>361</v>
      </c>
      <c r="BH646" s="1790"/>
      <c r="BN646" s="345">
        <v>1103.26</v>
      </c>
      <c r="BO646" s="345" t="s">
        <v>310</v>
      </c>
      <c r="BT646" s="347">
        <v>166.03</v>
      </c>
      <c r="BU646" s="347" t="s">
        <v>323</v>
      </c>
      <c r="BW646" s="348" t="str">
        <f t="array" ref="BW646">IFERROR(IF($BW$11="Metro",INDEX($BN$13:$BN$4972,SMALL(IF((County=$BO$13:$BO$4972),MATCH(ROW($BO$13:$BO$4972),ROW($BO$13:$BO$4972)),""),ROWS($A$13:$A646))),INDEX($BQ$13:$BQ$212,SMALL(IF((County=$BR$13:$BR$212),MATCH(ROW($BR$13:$BR$212),ROW($BR$13:$BR$212)),""),ROWS($A$13:$A646)))),"")</f>
        <v/>
      </c>
      <c r="CD646" s="237">
        <v>19.03</v>
      </c>
      <c r="CE646" s="237" t="s">
        <v>352</v>
      </c>
      <c r="CJ646" s="347">
        <v>60</v>
      </c>
      <c r="CK646" s="347" t="s">
        <v>337</v>
      </c>
      <c r="CL646" s="1789"/>
      <c r="CR646" s="345"/>
      <c r="CS646" s="345"/>
      <c r="CX646" s="347"/>
      <c r="CY646" s="347"/>
      <c r="DA646" s="348"/>
      <c r="DH646" s="237"/>
      <c r="DI646" s="237"/>
      <c r="DN646" s="347"/>
      <c r="DO646" s="347"/>
      <c r="DP646" s="2505"/>
      <c r="DT646" s="663"/>
      <c r="DU646" s="663"/>
      <c r="DV646" s="663"/>
      <c r="DW646" s="663"/>
      <c r="DX646" s="663"/>
      <c r="DY646" s="663"/>
      <c r="DZ646" s="663"/>
      <c r="EA646" s="663"/>
      <c r="EB646" s="663"/>
      <c r="EC646" s="663"/>
      <c r="ED646" s="663"/>
    </row>
    <row r="647" spans="6:134">
      <c r="F647" s="345">
        <v>246.02</v>
      </c>
      <c r="G647" s="345" t="s">
        <v>363</v>
      </c>
      <c r="L647" s="347">
        <v>64</v>
      </c>
      <c r="M647" s="347" t="s">
        <v>337</v>
      </c>
      <c r="V647" s="345">
        <v>416</v>
      </c>
      <c r="W647" s="345" t="s">
        <v>310</v>
      </c>
      <c r="AB647" s="347">
        <v>77.59</v>
      </c>
      <c r="AC647" s="347" t="s">
        <v>361</v>
      </c>
      <c r="AD647" s="1138"/>
      <c r="AJ647" s="345">
        <v>40.130000000000003</v>
      </c>
      <c r="AK647" s="345" t="s">
        <v>361</v>
      </c>
      <c r="AP647" s="347">
        <v>167.3</v>
      </c>
      <c r="AQ647" s="347" t="s">
        <v>323</v>
      </c>
      <c r="AZ647" s="345">
        <v>262</v>
      </c>
      <c r="BA647" s="345" t="s">
        <v>363</v>
      </c>
      <c r="BF647" s="347">
        <v>59.45</v>
      </c>
      <c r="BG647" s="347" t="s">
        <v>361</v>
      </c>
      <c r="BH647" s="1790"/>
      <c r="BN647" s="345">
        <v>1103.27</v>
      </c>
      <c r="BO647" s="345" t="s">
        <v>310</v>
      </c>
      <c r="BT647" s="347">
        <v>166.04</v>
      </c>
      <c r="BU647" s="347" t="s">
        <v>323</v>
      </c>
      <c r="BW647" s="348" t="str">
        <f t="array" ref="BW647">IFERROR(IF($BW$11="Metro",INDEX($BN$13:$BN$4972,SMALL(IF((County=$BO$13:$BO$4972),MATCH(ROW($BO$13:$BO$4972),ROW($BO$13:$BO$4972)),""),ROWS($A$13:$A647))),INDEX($BQ$13:$BQ$212,SMALL(IF((County=$BR$13:$BR$212),MATCH(ROW($BR$13:$BR$212),ROW($BR$13:$BR$212)),""),ROWS($A$13:$A647)))),"")</f>
        <v/>
      </c>
      <c r="CD647" s="237">
        <v>19.03</v>
      </c>
      <c r="CE647" s="237" t="s">
        <v>368</v>
      </c>
      <c r="CJ647" s="347">
        <v>60.02</v>
      </c>
      <c r="CK647" s="347" t="s">
        <v>352</v>
      </c>
      <c r="CL647" s="1789"/>
      <c r="CR647" s="345"/>
      <c r="CS647" s="345"/>
      <c r="CX647" s="347"/>
      <c r="CY647" s="347"/>
      <c r="DA647" s="348"/>
      <c r="DH647" s="237"/>
      <c r="DI647" s="237"/>
      <c r="DN647" s="347"/>
      <c r="DO647" s="347"/>
      <c r="DP647" s="2505"/>
      <c r="DT647" s="663"/>
      <c r="DU647" s="663"/>
      <c r="DV647" s="663"/>
      <c r="DW647" s="663"/>
      <c r="DX647" s="663"/>
      <c r="DY647" s="663"/>
      <c r="DZ647" s="663"/>
      <c r="EA647" s="663"/>
      <c r="EB647" s="663"/>
      <c r="EC647" s="663"/>
      <c r="ED647" s="663"/>
    </row>
    <row r="648" spans="6:134">
      <c r="F648" s="345">
        <v>247.01</v>
      </c>
      <c r="G648" s="345" t="s">
        <v>363</v>
      </c>
      <c r="L648" s="347">
        <v>65.010000000000005</v>
      </c>
      <c r="M648" s="347" t="s">
        <v>337</v>
      </c>
      <c r="V648" s="345">
        <v>416</v>
      </c>
      <c r="W648" s="345" t="s">
        <v>360</v>
      </c>
      <c r="AB648" s="347">
        <v>77.599999999999994</v>
      </c>
      <c r="AC648" s="347" t="s">
        <v>361</v>
      </c>
      <c r="AD648" s="1138"/>
      <c r="AJ648" s="345">
        <v>44.02</v>
      </c>
      <c r="AK648" s="345" t="s">
        <v>361</v>
      </c>
      <c r="AP648" s="347">
        <v>167.31</v>
      </c>
      <c r="AQ648" s="347" t="s">
        <v>323</v>
      </c>
      <c r="AZ648" s="345">
        <v>263</v>
      </c>
      <c r="BA648" s="345" t="s">
        <v>363</v>
      </c>
      <c r="BF648" s="347">
        <v>59.46</v>
      </c>
      <c r="BG648" s="347" t="s">
        <v>361</v>
      </c>
      <c r="BH648" s="1790"/>
      <c r="BN648" s="345">
        <v>1103.28</v>
      </c>
      <c r="BO648" s="345" t="s">
        <v>310</v>
      </c>
      <c r="BT648" s="347">
        <v>166.05</v>
      </c>
      <c r="BU648" s="347" t="s">
        <v>323</v>
      </c>
      <c r="BW648" s="348" t="str">
        <f t="array" ref="BW648">IFERROR(IF($BW$11="Metro",INDEX($BN$13:$BN$4972,SMALL(IF((County=$BO$13:$BO$4972),MATCH(ROW($BO$13:$BO$4972),ROW($BO$13:$BO$4972)),""),ROWS($A$13:$A648))),INDEX($BQ$13:$BQ$212,SMALL(IF((County=$BR$13:$BR$212),MATCH(ROW($BR$13:$BR$212),ROW($BR$13:$BR$212)),""),ROWS($A$13:$A648)))),"")</f>
        <v/>
      </c>
      <c r="CD648" s="237">
        <v>19.04</v>
      </c>
      <c r="CE648" s="237" t="s">
        <v>349</v>
      </c>
      <c r="CJ648" s="347">
        <v>60.03</v>
      </c>
      <c r="CK648" s="347" t="s">
        <v>352</v>
      </c>
      <c r="CL648" s="1789"/>
      <c r="CR648" s="345"/>
      <c r="CS648" s="345"/>
      <c r="CX648" s="347"/>
      <c r="CY648" s="347"/>
      <c r="DA648" s="348"/>
      <c r="DH648" s="237"/>
      <c r="DI648" s="237"/>
      <c r="DN648" s="347"/>
      <c r="DO648" s="347"/>
      <c r="DP648" s="2505"/>
      <c r="DT648" s="663"/>
      <c r="DU648" s="663"/>
      <c r="DV648" s="663"/>
      <c r="DW648" s="663"/>
      <c r="DX648" s="663"/>
      <c r="DY648" s="663"/>
      <c r="DZ648" s="663"/>
      <c r="EA648" s="663"/>
      <c r="EB648" s="663"/>
      <c r="EC648" s="663"/>
      <c r="ED648" s="663"/>
    </row>
    <row r="649" spans="6:134">
      <c r="F649" s="345">
        <v>247.02</v>
      </c>
      <c r="G649" s="345" t="s">
        <v>363</v>
      </c>
      <c r="L649" s="347">
        <v>66</v>
      </c>
      <c r="M649" s="347" t="s">
        <v>337</v>
      </c>
      <c r="V649" s="345">
        <v>417</v>
      </c>
      <c r="W649" s="345" t="s">
        <v>310</v>
      </c>
      <c r="AB649" s="347">
        <v>77.62</v>
      </c>
      <c r="AC649" s="347" t="s">
        <v>361</v>
      </c>
      <c r="AD649" s="1138"/>
      <c r="AJ649" s="345">
        <v>45</v>
      </c>
      <c r="AK649" s="345" t="s">
        <v>361</v>
      </c>
      <c r="AP649" s="347">
        <v>168.01</v>
      </c>
      <c r="AQ649" s="347" t="s">
        <v>323</v>
      </c>
      <c r="AZ649" s="345">
        <v>264.02</v>
      </c>
      <c r="BA649" s="345" t="s">
        <v>363</v>
      </c>
      <c r="BF649" s="347">
        <v>59.47</v>
      </c>
      <c r="BG649" s="347" t="s">
        <v>361</v>
      </c>
      <c r="BH649" s="1790"/>
      <c r="BN649" s="345">
        <v>1103.3</v>
      </c>
      <c r="BO649" s="345" t="s">
        <v>310</v>
      </c>
      <c r="BT649" s="347">
        <v>167.11</v>
      </c>
      <c r="BU649" s="347" t="s">
        <v>323</v>
      </c>
      <c r="BW649" s="348" t="str">
        <f t="array" ref="BW649">IFERROR(IF($BW$11="Metro",INDEX($BN$13:$BN$4972,SMALL(IF((County=$BO$13:$BO$4972),MATCH(ROW($BO$13:$BO$4972),ROW($BO$13:$BO$4972)),""),ROWS($A$13:$A649))),INDEX($BQ$13:$BQ$212,SMALL(IF((County=$BR$13:$BR$212),MATCH(ROW($BR$13:$BR$212),ROW($BR$13:$BR$212)),""),ROWS($A$13:$A649)))),"")</f>
        <v/>
      </c>
      <c r="CD649" s="237">
        <v>19.04</v>
      </c>
      <c r="CE649" s="237" t="s">
        <v>352</v>
      </c>
      <c r="CJ649" s="347">
        <v>60.04</v>
      </c>
      <c r="CK649" s="347" t="s">
        <v>352</v>
      </c>
      <c r="CL649" s="1789"/>
      <c r="CR649" s="345"/>
      <c r="CS649" s="345"/>
      <c r="CX649" s="347"/>
      <c r="CY649" s="347"/>
      <c r="DA649" s="348"/>
      <c r="DH649" s="237"/>
      <c r="DI649" s="237"/>
      <c r="DN649" s="347"/>
      <c r="DO649" s="347"/>
      <c r="DP649" s="2505"/>
      <c r="DT649" s="663"/>
      <c r="DU649" s="663"/>
      <c r="DV649" s="663"/>
      <c r="DW649" s="663"/>
      <c r="DX649" s="663"/>
      <c r="DY649" s="663"/>
      <c r="DZ649" s="663"/>
      <c r="EA649" s="663"/>
      <c r="EB649" s="663"/>
      <c r="EC649" s="663"/>
      <c r="ED649" s="663"/>
    </row>
    <row r="650" spans="6:134">
      <c r="F650" s="345">
        <v>248.04</v>
      </c>
      <c r="G650" s="345" t="s">
        <v>363</v>
      </c>
      <c r="L650" s="347">
        <v>67</v>
      </c>
      <c r="M650" s="347" t="s">
        <v>337</v>
      </c>
      <c r="V650" s="345">
        <v>417</v>
      </c>
      <c r="W650" s="345" t="s">
        <v>360</v>
      </c>
      <c r="AB650" s="347">
        <v>77.63</v>
      </c>
      <c r="AC650" s="347" t="s">
        <v>361</v>
      </c>
      <c r="AD650" s="1138"/>
      <c r="AJ650" s="345">
        <v>46.02</v>
      </c>
      <c r="AK650" s="345" t="s">
        <v>361</v>
      </c>
      <c r="AP650" s="347">
        <v>168.03</v>
      </c>
      <c r="AQ650" s="347" t="s">
        <v>323</v>
      </c>
      <c r="AZ650" s="345">
        <v>269.08999999999997</v>
      </c>
      <c r="BA650" s="345" t="s">
        <v>363</v>
      </c>
      <c r="BF650" s="347">
        <v>59.49</v>
      </c>
      <c r="BG650" s="347" t="s">
        <v>361</v>
      </c>
      <c r="BH650" s="1790"/>
      <c r="BN650" s="345">
        <v>1103.32</v>
      </c>
      <c r="BO650" s="345" t="s">
        <v>310</v>
      </c>
      <c r="BT650" s="347">
        <v>167.24</v>
      </c>
      <c r="BU650" s="347" t="s">
        <v>323</v>
      </c>
      <c r="BW650" s="348" t="str">
        <f t="array" ref="BW650">IFERROR(IF($BW$11="Metro",INDEX($BN$13:$BN$4972,SMALL(IF((County=$BO$13:$BO$4972),MATCH(ROW($BO$13:$BO$4972),ROW($BO$13:$BO$4972)),""),ROWS($A$13:$A650))),INDEX($BQ$13:$BQ$212,SMALL(IF((County=$BR$13:$BR$212),MATCH(ROW($BR$13:$BR$212),ROW($BR$13:$BR$212)),""),ROWS($A$13:$A650)))),"")</f>
        <v/>
      </c>
      <c r="CD650" s="237">
        <v>19.04</v>
      </c>
      <c r="CE650" s="237" t="s">
        <v>361</v>
      </c>
      <c r="CJ650" s="347">
        <v>60.05</v>
      </c>
      <c r="CK650" s="347" t="s">
        <v>361</v>
      </c>
      <c r="CL650" s="1789"/>
      <c r="CR650" s="345"/>
      <c r="CS650" s="345"/>
      <c r="CX650" s="347"/>
      <c r="CY650" s="347"/>
      <c r="DA650" s="348"/>
      <c r="DH650" s="237"/>
      <c r="DI650" s="237"/>
      <c r="DN650" s="347"/>
      <c r="DO650" s="347"/>
      <c r="DP650" s="2505"/>
      <c r="DT650" s="663"/>
      <c r="DU650" s="663"/>
      <c r="DV650" s="663"/>
      <c r="DW650" s="663"/>
      <c r="DX650" s="663"/>
      <c r="DY650" s="663"/>
      <c r="DZ650" s="663"/>
      <c r="EA650" s="663"/>
      <c r="EB650" s="663"/>
      <c r="EC650" s="663"/>
      <c r="ED650" s="663"/>
    </row>
    <row r="651" spans="6:134">
      <c r="F651" s="345">
        <v>250.17</v>
      </c>
      <c r="G651" s="345" t="s">
        <v>363</v>
      </c>
      <c r="L651" s="347">
        <v>68.010000000000005</v>
      </c>
      <c r="M651" s="347" t="s">
        <v>337</v>
      </c>
      <c r="V651" s="345">
        <v>418</v>
      </c>
      <c r="W651" s="345" t="s">
        <v>360</v>
      </c>
      <c r="AB651" s="347">
        <v>77.64</v>
      </c>
      <c r="AC651" s="347" t="s">
        <v>361</v>
      </c>
      <c r="AD651" s="1138"/>
      <c r="AJ651" s="345">
        <v>47.04</v>
      </c>
      <c r="AK651" s="345" t="s">
        <v>361</v>
      </c>
      <c r="AP651" s="347">
        <v>168.04</v>
      </c>
      <c r="AQ651" s="347" t="s">
        <v>323</v>
      </c>
      <c r="AZ651" s="345">
        <v>271.07</v>
      </c>
      <c r="BA651" s="345" t="s">
        <v>363</v>
      </c>
      <c r="BF651" s="347">
        <v>59.5</v>
      </c>
      <c r="BG651" s="347" t="s">
        <v>361</v>
      </c>
      <c r="BH651" s="1790"/>
      <c r="BN651" s="345">
        <v>1103.33</v>
      </c>
      <c r="BO651" s="345" t="s">
        <v>310</v>
      </c>
      <c r="BT651" s="347">
        <v>167.25</v>
      </c>
      <c r="BU651" s="347" t="s">
        <v>323</v>
      </c>
      <c r="BW651" s="348" t="str">
        <f t="array" ref="BW651">IFERROR(IF($BW$11="Metro",INDEX($BN$13:$BN$4972,SMALL(IF((County=$BO$13:$BO$4972),MATCH(ROW($BO$13:$BO$4972),ROW($BO$13:$BO$4972)),""),ROWS($A$13:$A651))),INDEX($BQ$13:$BQ$212,SMALL(IF((County=$BR$13:$BR$212),MATCH(ROW($BR$13:$BR$212),ROW($BR$13:$BR$212)),""),ROWS($A$13:$A651)))),"")</f>
        <v/>
      </c>
      <c r="CD651" s="237">
        <v>19.04</v>
      </c>
      <c r="CE651" s="237" t="s">
        <v>368</v>
      </c>
      <c r="CJ651" s="347">
        <v>60.08</v>
      </c>
      <c r="CK651" s="347" t="s">
        <v>361</v>
      </c>
      <c r="CL651" s="1789"/>
      <c r="CR651" s="345"/>
      <c r="CS651" s="345"/>
      <c r="CX651" s="347"/>
      <c r="CY651" s="347"/>
      <c r="DA651" s="348"/>
      <c r="DH651" s="237"/>
      <c r="DI651" s="237"/>
      <c r="DN651" s="347"/>
      <c r="DO651" s="347"/>
      <c r="DP651" s="2505"/>
      <c r="DT651" s="663"/>
      <c r="DU651" s="663"/>
      <c r="DV651" s="663"/>
      <c r="DW651" s="663"/>
      <c r="DX651" s="663"/>
      <c r="DY651" s="663"/>
      <c r="DZ651" s="663"/>
      <c r="EA651" s="663"/>
      <c r="EB651" s="663"/>
      <c r="EC651" s="663"/>
      <c r="ED651" s="663"/>
    </row>
    <row r="652" spans="6:134">
      <c r="F652" s="345">
        <v>251.15</v>
      </c>
      <c r="G652" s="345" t="s">
        <v>363</v>
      </c>
      <c r="L652" s="347">
        <v>68.02</v>
      </c>
      <c r="M652" s="347" t="s">
        <v>337</v>
      </c>
      <c r="V652" s="345">
        <v>419</v>
      </c>
      <c r="W652" s="345" t="s">
        <v>360</v>
      </c>
      <c r="AB652" s="347">
        <v>77.650000000000006</v>
      </c>
      <c r="AC652" s="347" t="s">
        <v>361</v>
      </c>
      <c r="AD652" s="1138"/>
      <c r="AJ652" s="345">
        <v>49.03</v>
      </c>
      <c r="AK652" s="345" t="s">
        <v>361</v>
      </c>
      <c r="AP652" s="347">
        <v>168.07</v>
      </c>
      <c r="AQ652" s="347" t="s">
        <v>323</v>
      </c>
      <c r="AZ652" s="345">
        <v>271.08</v>
      </c>
      <c r="BA652" s="345" t="s">
        <v>363</v>
      </c>
      <c r="BF652" s="347">
        <v>59.53</v>
      </c>
      <c r="BG652" s="347" t="s">
        <v>361</v>
      </c>
      <c r="BH652" s="1790"/>
      <c r="BN652" s="345">
        <v>1103.3399999999999</v>
      </c>
      <c r="BO652" s="345" t="s">
        <v>310</v>
      </c>
      <c r="BT652" s="347">
        <v>167.26</v>
      </c>
      <c r="BU652" s="347" t="s">
        <v>323</v>
      </c>
      <c r="BW652" s="348" t="str">
        <f t="array" ref="BW652">IFERROR(IF($BW$11="Metro",INDEX($BN$13:$BN$4972,SMALL(IF((County=$BO$13:$BO$4972),MATCH(ROW($BO$13:$BO$4972),ROW($BO$13:$BO$4972)),""),ROWS($A$13:$A652))),INDEX($BQ$13:$BQ$212,SMALL(IF((County=$BR$13:$BR$212),MATCH(ROW($BR$13:$BR$212),ROW($BR$13:$BR$212)),""),ROWS($A$13:$A652)))),"")</f>
        <v/>
      </c>
      <c r="CD652" s="237">
        <v>19.05</v>
      </c>
      <c r="CE652" s="237" t="s">
        <v>368</v>
      </c>
      <c r="CJ652" s="347">
        <v>60.1</v>
      </c>
      <c r="CK652" s="347" t="s">
        <v>361</v>
      </c>
      <c r="CL652" s="1789"/>
      <c r="CR652" s="345"/>
      <c r="CS652" s="345"/>
      <c r="CX652" s="347"/>
      <c r="CY652" s="347"/>
      <c r="DA652" s="348"/>
      <c r="DH652" s="237"/>
      <c r="DI652" s="237"/>
      <c r="DN652" s="347"/>
      <c r="DO652" s="347"/>
      <c r="DP652" s="2505"/>
      <c r="DT652" s="663"/>
      <c r="DU652" s="663"/>
      <c r="DV652" s="663"/>
      <c r="DW652" s="663"/>
      <c r="DX652" s="663"/>
      <c r="DY652" s="663"/>
      <c r="DZ652" s="663"/>
      <c r="EA652" s="663"/>
      <c r="EB652" s="663"/>
      <c r="EC652" s="663"/>
      <c r="ED652" s="663"/>
    </row>
    <row r="653" spans="6:134">
      <c r="F653" s="345">
        <v>253.05</v>
      </c>
      <c r="G653" s="345" t="s">
        <v>363</v>
      </c>
      <c r="L653" s="347">
        <v>69</v>
      </c>
      <c r="M653" s="347" t="s">
        <v>337</v>
      </c>
      <c r="V653" s="345">
        <v>420</v>
      </c>
      <c r="W653" s="345" t="s">
        <v>360</v>
      </c>
      <c r="AB653" s="347">
        <v>78.010000000000005</v>
      </c>
      <c r="AC653" s="347" t="s">
        <v>352</v>
      </c>
      <c r="AD653" s="1138"/>
      <c r="AJ653" s="345">
        <v>51.01</v>
      </c>
      <c r="AK653" s="345" t="s">
        <v>361</v>
      </c>
      <c r="AP653" s="347">
        <v>168.09</v>
      </c>
      <c r="AQ653" s="347" t="s">
        <v>323</v>
      </c>
      <c r="AZ653" s="345">
        <v>287</v>
      </c>
      <c r="BA653" s="345" t="s">
        <v>363</v>
      </c>
      <c r="BF653" s="347">
        <v>59.54</v>
      </c>
      <c r="BG653" s="347" t="s">
        <v>361</v>
      </c>
      <c r="BH653" s="1790"/>
      <c r="BN653" s="345">
        <v>1103.3699999999999</v>
      </c>
      <c r="BO653" s="345" t="s">
        <v>310</v>
      </c>
      <c r="BT653" s="347">
        <v>167.28</v>
      </c>
      <c r="BU653" s="347" t="s">
        <v>323</v>
      </c>
      <c r="BW653" s="348" t="str">
        <f t="array" ref="BW653">IFERROR(IF($BW$11="Metro",INDEX($BN$13:$BN$4972,SMALL(IF((County=$BO$13:$BO$4972),MATCH(ROW($BO$13:$BO$4972),ROW($BO$13:$BO$4972)),""),ROWS($A$13:$A653))),INDEX($BQ$13:$BQ$212,SMALL(IF((County=$BR$13:$BR$212),MATCH(ROW($BR$13:$BR$212),ROW($BR$13:$BR$212)),""),ROWS($A$13:$A653)))),"")</f>
        <v/>
      </c>
      <c r="CD653" s="345">
        <v>19.07</v>
      </c>
      <c r="CE653" s="345" t="s">
        <v>297</v>
      </c>
      <c r="CJ653" s="347">
        <v>61.01</v>
      </c>
      <c r="CK653" s="347" t="s">
        <v>337</v>
      </c>
      <c r="CL653" s="1789"/>
      <c r="CR653" s="345"/>
      <c r="CS653" s="345"/>
      <c r="CX653" s="347"/>
      <c r="CY653" s="347"/>
      <c r="DA653" s="348"/>
      <c r="DH653" s="237"/>
      <c r="DI653" s="237"/>
      <c r="DN653" s="347"/>
      <c r="DO653" s="347"/>
      <c r="DP653" s="2505"/>
      <c r="DT653" s="663"/>
      <c r="DU653" s="663"/>
      <c r="DV653" s="663"/>
      <c r="DW653" s="663"/>
      <c r="DX653" s="663"/>
      <c r="DY653" s="663"/>
      <c r="DZ653" s="663"/>
      <c r="EA653" s="663"/>
      <c r="EB653" s="663"/>
      <c r="EC653" s="663"/>
      <c r="ED653" s="663"/>
    </row>
    <row r="654" spans="6:134">
      <c r="F654" s="345">
        <v>255.05</v>
      </c>
      <c r="G654" s="345" t="s">
        <v>363</v>
      </c>
      <c r="L654" s="347">
        <v>71.02</v>
      </c>
      <c r="M654" s="347" t="s">
        <v>337</v>
      </c>
      <c r="V654" s="345">
        <v>421</v>
      </c>
      <c r="W654" s="345" t="s">
        <v>360</v>
      </c>
      <c r="AB654" s="347">
        <v>78.040000000000006</v>
      </c>
      <c r="AC654" s="347" t="s">
        <v>352</v>
      </c>
      <c r="AD654" s="1138"/>
      <c r="AJ654" s="345">
        <v>51.02</v>
      </c>
      <c r="AK654" s="345" t="s">
        <v>361</v>
      </c>
      <c r="AP654" s="347">
        <v>168.1</v>
      </c>
      <c r="AQ654" s="347" t="s">
        <v>323</v>
      </c>
      <c r="AZ654" s="345">
        <v>301.06</v>
      </c>
      <c r="BA654" s="345" t="s">
        <v>343</v>
      </c>
      <c r="BF654" s="347">
        <v>59.55</v>
      </c>
      <c r="BG654" s="347" t="s">
        <v>361</v>
      </c>
      <c r="BH654" s="1790"/>
      <c r="BN654" s="345">
        <v>1103.3800000000001</v>
      </c>
      <c r="BO654" s="345" t="s">
        <v>310</v>
      </c>
      <c r="BT654" s="347">
        <v>167.29</v>
      </c>
      <c r="BU654" s="347" t="s">
        <v>323</v>
      </c>
      <c r="BW654" s="348" t="str">
        <f t="array" ref="BW654">IFERROR(IF($BW$11="Metro",INDEX($BN$13:$BN$4972,SMALL(IF((County=$BO$13:$BO$4972),MATCH(ROW($BO$13:$BO$4972),ROW($BO$13:$BO$4972)),""),ROWS($A$13:$A654))),INDEX($BQ$13:$BQ$212,SMALL(IF((County=$BR$13:$BR$212),MATCH(ROW($BR$13:$BR$212),ROW($BR$13:$BR$212)),""),ROWS($A$13:$A654)))),"")</f>
        <v/>
      </c>
      <c r="CD654" s="237">
        <v>19.07</v>
      </c>
      <c r="CE654" s="237" t="s">
        <v>349</v>
      </c>
      <c r="CJ654" s="347">
        <v>61.03</v>
      </c>
      <c r="CK654" s="347" t="s">
        <v>337</v>
      </c>
      <c r="CL654" s="1789"/>
      <c r="CR654" s="345"/>
      <c r="CS654" s="345"/>
      <c r="CX654" s="347"/>
      <c r="CY654" s="347"/>
      <c r="DA654" s="348"/>
      <c r="DH654" s="237"/>
      <c r="DI654" s="237"/>
      <c r="DN654" s="347"/>
      <c r="DO654" s="347"/>
      <c r="DP654" s="2505"/>
      <c r="DT654" s="663"/>
      <c r="DU654" s="663"/>
      <c r="DV654" s="663"/>
      <c r="DW654" s="663"/>
      <c r="DX654" s="663"/>
      <c r="DY654" s="663"/>
      <c r="DZ654" s="663"/>
      <c r="EA654" s="663"/>
      <c r="EB654" s="663"/>
      <c r="EC654" s="663"/>
      <c r="ED654" s="663"/>
    </row>
    <row r="655" spans="6:134">
      <c r="F655" s="345">
        <v>256.02</v>
      </c>
      <c r="G655" s="345" t="s">
        <v>363</v>
      </c>
      <c r="L655" s="347">
        <v>71.03</v>
      </c>
      <c r="M655" s="347" t="s">
        <v>337</v>
      </c>
      <c r="V655" s="345">
        <v>422</v>
      </c>
      <c r="W655" s="345" t="s">
        <v>360</v>
      </c>
      <c r="AB655" s="347">
        <v>78.05</v>
      </c>
      <c r="AC655" s="347" t="s">
        <v>352</v>
      </c>
      <c r="AD655" s="1138"/>
      <c r="AJ655" s="345">
        <v>52.02</v>
      </c>
      <c r="AK655" s="345" t="s">
        <v>361</v>
      </c>
      <c r="AP655" s="347">
        <v>168.11</v>
      </c>
      <c r="AQ655" s="347" t="s">
        <v>323</v>
      </c>
      <c r="AZ655" s="345">
        <v>302.02</v>
      </c>
      <c r="BA655" s="345" t="s">
        <v>310</v>
      </c>
      <c r="BF655" s="347">
        <v>59.58</v>
      </c>
      <c r="BG655" s="347" t="s">
        <v>361</v>
      </c>
      <c r="BH655" s="1790"/>
      <c r="BN655" s="345">
        <v>1103.3900000000001</v>
      </c>
      <c r="BO655" s="345" t="s">
        <v>310</v>
      </c>
      <c r="BT655" s="347">
        <v>167.3</v>
      </c>
      <c r="BU655" s="347" t="s">
        <v>323</v>
      </c>
      <c r="BW655" s="348" t="str">
        <f t="array" ref="BW655">IFERROR(IF($BW$11="Metro",INDEX($BN$13:$BN$4972,SMALL(IF((County=$BO$13:$BO$4972),MATCH(ROW($BO$13:$BO$4972),ROW($BO$13:$BO$4972)),""),ROWS($A$13:$A655))),INDEX($BQ$13:$BQ$212,SMALL(IF((County=$BR$13:$BR$212),MATCH(ROW($BR$13:$BR$212),ROW($BR$13:$BR$212)),""),ROWS($A$13:$A655)))),"")</f>
        <v/>
      </c>
      <c r="CD655" s="237">
        <v>19.07</v>
      </c>
      <c r="CE655" s="237" t="s">
        <v>361</v>
      </c>
      <c r="CJ655" s="347">
        <v>61.03</v>
      </c>
      <c r="CK655" s="347" t="s">
        <v>352</v>
      </c>
      <c r="CL655" s="1789"/>
      <c r="CR655" s="345"/>
      <c r="CS655" s="345"/>
      <c r="CX655" s="347"/>
      <c r="CY655" s="347"/>
      <c r="DA655" s="348"/>
      <c r="DH655" s="237"/>
      <c r="DI655" s="237"/>
      <c r="DN655" s="347"/>
      <c r="DO655" s="347"/>
      <c r="DP655" s="2505"/>
      <c r="DT655" s="663"/>
      <c r="DU655" s="663"/>
      <c r="DV655" s="663"/>
      <c r="DW655" s="663"/>
      <c r="DX655" s="663"/>
      <c r="DY655" s="663"/>
      <c r="DZ655" s="663"/>
      <c r="EA655" s="663"/>
      <c r="EB655" s="663"/>
      <c r="EC655" s="663"/>
      <c r="ED655" s="663"/>
    </row>
    <row r="656" spans="6:134">
      <c r="F656" s="345">
        <v>258</v>
      </c>
      <c r="G656" s="345" t="s">
        <v>363</v>
      </c>
      <c r="L656" s="347">
        <v>72</v>
      </c>
      <c r="M656" s="347" t="s">
        <v>337</v>
      </c>
      <c r="V656" s="345">
        <v>423</v>
      </c>
      <c r="W656" s="345" t="s">
        <v>360</v>
      </c>
      <c r="AB656" s="347">
        <v>78.05</v>
      </c>
      <c r="AC656" s="347" t="s">
        <v>361</v>
      </c>
      <c r="AD656" s="1138"/>
      <c r="AJ656" s="345">
        <v>57.03</v>
      </c>
      <c r="AK656" s="345" t="s">
        <v>361</v>
      </c>
      <c r="AP656" s="347">
        <v>168.12</v>
      </c>
      <c r="AQ656" s="347" t="s">
        <v>323</v>
      </c>
      <c r="AZ656" s="345">
        <v>302.04000000000002</v>
      </c>
      <c r="BA656" s="345" t="s">
        <v>362</v>
      </c>
      <c r="BF656" s="347">
        <v>59.6</v>
      </c>
      <c r="BG656" s="347" t="s">
        <v>361</v>
      </c>
      <c r="BH656" s="1790"/>
      <c r="BN656" s="345">
        <v>1103.4100000000001</v>
      </c>
      <c r="BO656" s="345" t="s">
        <v>310</v>
      </c>
      <c r="BT656" s="347">
        <v>167.31</v>
      </c>
      <c r="BU656" s="347" t="s">
        <v>323</v>
      </c>
      <c r="BW656" s="348" t="str">
        <f t="array" ref="BW656">IFERROR(IF($BW$11="Metro",INDEX($BN$13:$BN$4972,SMALL(IF((County=$BO$13:$BO$4972),MATCH(ROW($BO$13:$BO$4972),ROW($BO$13:$BO$4972)),""),ROWS($A$13:$A656))),INDEX($BQ$13:$BQ$212,SMALL(IF((County=$BR$13:$BR$212),MATCH(ROW($BR$13:$BR$212),ROW($BR$13:$BR$212)),""),ROWS($A$13:$A656)))),"")</f>
        <v/>
      </c>
      <c r="CD656" s="345">
        <v>19.079999999999998</v>
      </c>
      <c r="CE656" s="345" t="s">
        <v>297</v>
      </c>
      <c r="CJ656" s="347">
        <v>61.04</v>
      </c>
      <c r="CK656" s="347" t="s">
        <v>352</v>
      </c>
      <c r="CL656" s="1789"/>
      <c r="CR656" s="345"/>
      <c r="CS656" s="345"/>
      <c r="CX656" s="347"/>
      <c r="CY656" s="347"/>
      <c r="DA656" s="348"/>
      <c r="DH656" s="237"/>
      <c r="DI656" s="237"/>
      <c r="DN656" s="347"/>
      <c r="DO656" s="347"/>
      <c r="DP656" s="2505"/>
      <c r="DT656" s="663"/>
      <c r="DU656" s="663"/>
      <c r="DV656" s="663"/>
      <c r="DW656" s="663"/>
      <c r="DX656" s="663"/>
      <c r="DY656" s="663"/>
      <c r="DZ656" s="663"/>
      <c r="EA656" s="663"/>
      <c r="EB656" s="663"/>
      <c r="EC656" s="663"/>
      <c r="ED656" s="663"/>
    </row>
    <row r="657" spans="6:134">
      <c r="F657" s="345">
        <v>259</v>
      </c>
      <c r="G657" s="345" t="s">
        <v>363</v>
      </c>
      <c r="L657" s="347">
        <v>101.06</v>
      </c>
      <c r="M657" s="347" t="s">
        <v>337</v>
      </c>
      <c r="V657" s="345">
        <v>427.01</v>
      </c>
      <c r="W657" s="345" t="s">
        <v>360</v>
      </c>
      <c r="AB657" s="347">
        <v>78.06</v>
      </c>
      <c r="AC657" s="347" t="s">
        <v>352</v>
      </c>
      <c r="AD657" s="1138"/>
      <c r="AJ657" s="345">
        <v>57.04</v>
      </c>
      <c r="AK657" s="345" t="s">
        <v>361</v>
      </c>
      <c r="AP657" s="347">
        <v>168.13</v>
      </c>
      <c r="AQ657" s="347" t="s">
        <v>323</v>
      </c>
      <c r="AZ657" s="345">
        <v>302.06</v>
      </c>
      <c r="BA657" s="345" t="s">
        <v>343</v>
      </c>
      <c r="BF657" s="347">
        <v>60</v>
      </c>
      <c r="BG657" s="347" t="s">
        <v>337</v>
      </c>
      <c r="BH657" s="1790"/>
      <c r="BN657" s="345">
        <v>1103.44</v>
      </c>
      <c r="BO657" s="345" t="s">
        <v>310</v>
      </c>
      <c r="BT657" s="347">
        <v>168.01</v>
      </c>
      <c r="BU657" s="347" t="s">
        <v>323</v>
      </c>
      <c r="BW657" s="348" t="str">
        <f t="array" ref="BW657">IFERROR(IF($BW$11="Metro",INDEX($BN$13:$BN$4972,SMALL(IF((County=$BO$13:$BO$4972),MATCH(ROW($BO$13:$BO$4972),ROW($BO$13:$BO$4972)),""),ROWS($A$13:$A657))),INDEX($BQ$13:$BQ$212,SMALL(IF((County=$BR$13:$BR$212),MATCH(ROW($BR$13:$BR$212),ROW($BR$13:$BR$212)),""),ROWS($A$13:$A657)))),"")</f>
        <v/>
      </c>
      <c r="CD657" s="237">
        <v>19.079999999999998</v>
      </c>
      <c r="CE657" s="237" t="s">
        <v>344</v>
      </c>
      <c r="CJ657" s="347">
        <v>61.05</v>
      </c>
      <c r="CK657" s="347" t="s">
        <v>352</v>
      </c>
      <c r="CL657" s="1789"/>
      <c r="CR657" s="345"/>
      <c r="CS657" s="345"/>
      <c r="CX657" s="347"/>
      <c r="CY657" s="347"/>
      <c r="DA657" s="348"/>
      <c r="DH657" s="237"/>
      <c r="DI657" s="237"/>
      <c r="DN657" s="347"/>
      <c r="DO657" s="347"/>
      <c r="DP657" s="2505"/>
      <c r="DT657" s="663"/>
      <c r="DU657" s="663"/>
      <c r="DV657" s="663"/>
      <c r="DW657" s="663"/>
      <c r="DX657" s="663"/>
      <c r="DY657" s="663"/>
      <c r="DZ657" s="663"/>
      <c r="EA657" s="663"/>
      <c r="EB657" s="663"/>
      <c r="EC657" s="663"/>
      <c r="ED657" s="663"/>
    </row>
    <row r="658" spans="6:134">
      <c r="F658" s="345">
        <v>262</v>
      </c>
      <c r="G658" s="345" t="s">
        <v>363</v>
      </c>
      <c r="L658" s="347">
        <v>101.08</v>
      </c>
      <c r="M658" s="347" t="s">
        <v>337</v>
      </c>
      <c r="V658" s="345">
        <v>427.02</v>
      </c>
      <c r="W658" s="345" t="s">
        <v>360</v>
      </c>
      <c r="AB658" s="347">
        <v>78.069999999999993</v>
      </c>
      <c r="AC658" s="347" t="s">
        <v>352</v>
      </c>
      <c r="AD658" s="1138"/>
      <c r="AJ658" s="345">
        <v>58.14</v>
      </c>
      <c r="AK658" s="345" t="s">
        <v>361</v>
      </c>
      <c r="AP658" s="347">
        <v>171.01</v>
      </c>
      <c r="AQ658" s="347" t="s">
        <v>323</v>
      </c>
      <c r="AZ658" s="345">
        <v>302.08999999999997</v>
      </c>
      <c r="BA658" s="345" t="s">
        <v>343</v>
      </c>
      <c r="BF658" s="347">
        <v>60.02</v>
      </c>
      <c r="BG658" s="347" t="s">
        <v>352</v>
      </c>
      <c r="BH658" s="1790"/>
      <c r="BN658" s="345">
        <v>1103.45</v>
      </c>
      <c r="BO658" s="345" t="s">
        <v>310</v>
      </c>
      <c r="BT658" s="347">
        <v>168.03</v>
      </c>
      <c r="BU658" s="347" t="s">
        <v>323</v>
      </c>
      <c r="BW658" s="348" t="str">
        <f t="array" ref="BW658">IFERROR(IF($BW$11="Metro",INDEX($BN$13:$BN$4972,SMALL(IF((County=$BO$13:$BO$4972),MATCH(ROW($BO$13:$BO$4972),ROW($BO$13:$BO$4972)),""),ROWS($A$13:$A658))),INDEX($BQ$13:$BQ$212,SMALL(IF((County=$BR$13:$BR$212),MATCH(ROW($BR$13:$BR$212),ROW($BR$13:$BR$212)),""),ROWS($A$13:$A658)))),"")</f>
        <v/>
      </c>
      <c r="CD658" s="237">
        <v>19.079999999999998</v>
      </c>
      <c r="CE658" s="237" t="s">
        <v>349</v>
      </c>
      <c r="CJ658" s="347">
        <v>61.06</v>
      </c>
      <c r="CK658" s="347" t="s">
        <v>352</v>
      </c>
      <c r="CL658" s="1789"/>
      <c r="CR658" s="345"/>
      <c r="CS658" s="345"/>
      <c r="CX658" s="347"/>
      <c r="CY658" s="347"/>
      <c r="DA658" s="348"/>
      <c r="DH658" s="237"/>
      <c r="DI658" s="237"/>
      <c r="DN658" s="347"/>
      <c r="DO658" s="347"/>
      <c r="DP658" s="2505"/>
      <c r="DT658" s="663"/>
      <c r="DU658" s="663"/>
      <c r="DV658" s="663"/>
      <c r="DW658" s="663"/>
      <c r="DX658" s="663"/>
      <c r="DY658" s="663"/>
      <c r="DZ658" s="663"/>
      <c r="EA658" s="663"/>
      <c r="EB658" s="663"/>
      <c r="EC658" s="663"/>
      <c r="ED658" s="663"/>
    </row>
    <row r="659" spans="6:134">
      <c r="F659" s="345">
        <v>263</v>
      </c>
      <c r="G659" s="345" t="s">
        <v>363</v>
      </c>
      <c r="L659" s="347">
        <v>102.04</v>
      </c>
      <c r="M659" s="347" t="s">
        <v>337</v>
      </c>
      <c r="V659" s="345">
        <v>428</v>
      </c>
      <c r="W659" s="345" t="s">
        <v>310</v>
      </c>
      <c r="AB659" s="347">
        <v>78.08</v>
      </c>
      <c r="AC659" s="347" t="s">
        <v>361</v>
      </c>
      <c r="AD659" s="1138"/>
      <c r="AJ659" s="345">
        <v>68.02</v>
      </c>
      <c r="AK659" s="345" t="s">
        <v>361</v>
      </c>
      <c r="AP659" s="347">
        <v>173</v>
      </c>
      <c r="AQ659" s="347" t="s">
        <v>323</v>
      </c>
      <c r="AZ659" s="345">
        <v>303.01</v>
      </c>
      <c r="BA659" s="345" t="s">
        <v>310</v>
      </c>
      <c r="BF659" s="347">
        <v>60.03</v>
      </c>
      <c r="BG659" s="347" t="s">
        <v>352</v>
      </c>
      <c r="BH659" s="1790"/>
      <c r="BN659" s="345">
        <v>1103.46</v>
      </c>
      <c r="BO659" s="345" t="s">
        <v>310</v>
      </c>
      <c r="BT659" s="347">
        <v>168.04</v>
      </c>
      <c r="BU659" s="347" t="s">
        <v>323</v>
      </c>
      <c r="BW659" s="348" t="str">
        <f t="array" ref="BW659">IFERROR(IF($BW$11="Metro",INDEX($BN$13:$BN$4972,SMALL(IF((County=$BO$13:$BO$4972),MATCH(ROW($BO$13:$BO$4972),ROW($BO$13:$BO$4972)),""),ROWS($A$13:$A659))),INDEX($BQ$13:$BQ$212,SMALL(IF((County=$BR$13:$BR$212),MATCH(ROW($BR$13:$BR$212),ROW($BR$13:$BR$212)),""),ROWS($A$13:$A659)))),"")</f>
        <v/>
      </c>
      <c r="CD659" s="237">
        <v>19.09</v>
      </c>
      <c r="CE659" s="237" t="s">
        <v>349</v>
      </c>
      <c r="CJ659" s="347">
        <v>62</v>
      </c>
      <c r="CK659" s="347" t="s">
        <v>337</v>
      </c>
      <c r="CL659" s="1789"/>
      <c r="CR659" s="345"/>
      <c r="CS659" s="345"/>
      <c r="CX659" s="347"/>
      <c r="CY659" s="347"/>
      <c r="DA659" s="348"/>
      <c r="DH659" s="237"/>
      <c r="DI659" s="237"/>
      <c r="DN659" s="347"/>
      <c r="DO659" s="347"/>
      <c r="DP659" s="2505"/>
      <c r="DT659" s="663"/>
      <c r="DU659" s="663"/>
      <c r="DV659" s="663"/>
      <c r="DW659" s="663"/>
      <c r="DX659" s="663"/>
      <c r="DY659" s="663"/>
      <c r="DZ659" s="663"/>
      <c r="EA659" s="663"/>
      <c r="EB659" s="663"/>
      <c r="EC659" s="663"/>
      <c r="ED659" s="663"/>
    </row>
    <row r="660" spans="6:134">
      <c r="F660" s="345">
        <v>269.08999999999997</v>
      </c>
      <c r="G660" s="345" t="s">
        <v>363</v>
      </c>
      <c r="L660" s="347">
        <v>102.05</v>
      </c>
      <c r="M660" s="347" t="s">
        <v>337</v>
      </c>
      <c r="V660" s="345">
        <v>433.02</v>
      </c>
      <c r="W660" s="345" t="s">
        <v>310</v>
      </c>
      <c r="AB660" s="347">
        <v>78.12</v>
      </c>
      <c r="AC660" s="347" t="s">
        <v>361</v>
      </c>
      <c r="AD660" s="1138"/>
      <c r="AJ660" s="345">
        <v>76.19</v>
      </c>
      <c r="AK660" s="345" t="s">
        <v>361</v>
      </c>
      <c r="AP660" s="347">
        <v>1</v>
      </c>
      <c r="AQ660" s="347" t="s">
        <v>325</v>
      </c>
      <c r="AZ660" s="345">
        <v>303.02</v>
      </c>
      <c r="BA660" s="345" t="s">
        <v>310</v>
      </c>
      <c r="BF660" s="347">
        <v>60.04</v>
      </c>
      <c r="BG660" s="347" t="s">
        <v>352</v>
      </c>
      <c r="BH660" s="1790"/>
      <c r="BN660" s="345">
        <v>1103.47</v>
      </c>
      <c r="BO660" s="345" t="s">
        <v>310</v>
      </c>
      <c r="BT660" s="347">
        <v>168.07</v>
      </c>
      <c r="BU660" s="347" t="s">
        <v>323</v>
      </c>
      <c r="BW660" s="348" t="str">
        <f t="array" ref="BW660">IFERROR(IF($BW$11="Metro",INDEX($BN$13:$BN$4972,SMALL(IF((County=$BO$13:$BO$4972),MATCH(ROW($BO$13:$BO$4972),ROW($BO$13:$BO$4972)),""),ROWS($A$13:$A660))),INDEX($BQ$13:$BQ$212,SMALL(IF((County=$BR$13:$BR$212),MATCH(ROW($BR$13:$BR$212),ROW($BR$13:$BR$212)),""),ROWS($A$13:$A660)))),"")</f>
        <v/>
      </c>
      <c r="CD660" s="237">
        <v>19.09</v>
      </c>
      <c r="CE660" s="237" t="s">
        <v>361</v>
      </c>
      <c r="CJ660" s="347">
        <v>62.01</v>
      </c>
      <c r="CK660" s="347" t="s">
        <v>352</v>
      </c>
      <c r="CL660" s="1789"/>
      <c r="CR660" s="345"/>
      <c r="CS660" s="345"/>
      <c r="CX660" s="347"/>
      <c r="CY660" s="347"/>
      <c r="DA660" s="348"/>
      <c r="DH660" s="237"/>
      <c r="DI660" s="237"/>
      <c r="DN660" s="347"/>
      <c r="DO660" s="347"/>
      <c r="DP660" s="2505"/>
      <c r="DT660" s="663"/>
      <c r="DU660" s="663"/>
      <c r="DV660" s="663"/>
      <c r="DW660" s="663"/>
      <c r="DX660" s="663"/>
      <c r="DY660" s="663"/>
      <c r="DZ660" s="663"/>
      <c r="EA660" s="663"/>
      <c r="EB660" s="663"/>
      <c r="EC660" s="663"/>
      <c r="ED660" s="663"/>
    </row>
    <row r="661" spans="6:134">
      <c r="F661" s="345">
        <v>271.01</v>
      </c>
      <c r="G661" s="345" t="s">
        <v>363</v>
      </c>
      <c r="L661" s="347">
        <v>102.09</v>
      </c>
      <c r="M661" s="347" t="s">
        <v>337</v>
      </c>
      <c r="V661" s="345">
        <v>434</v>
      </c>
      <c r="W661" s="345" t="s">
        <v>360</v>
      </c>
      <c r="AB661" s="347">
        <v>78.13</v>
      </c>
      <c r="AC661" s="347" t="s">
        <v>361</v>
      </c>
      <c r="AD661" s="1138"/>
      <c r="AJ661" s="345">
        <v>76.2</v>
      </c>
      <c r="AK661" s="345" t="s">
        <v>361</v>
      </c>
      <c r="AP661" s="347">
        <v>5</v>
      </c>
      <c r="AQ661" s="347" t="s">
        <v>325</v>
      </c>
      <c r="AZ661" s="345">
        <v>304</v>
      </c>
      <c r="BA661" s="345" t="s">
        <v>317</v>
      </c>
      <c r="BF661" s="347">
        <v>60.05</v>
      </c>
      <c r="BG661" s="347" t="s">
        <v>361</v>
      </c>
      <c r="BH661" s="1790"/>
      <c r="BN661" s="345">
        <v>1103.48</v>
      </c>
      <c r="BO661" s="345" t="s">
        <v>310</v>
      </c>
      <c r="BT661" s="347">
        <v>168.08</v>
      </c>
      <c r="BU661" s="347" t="s">
        <v>323</v>
      </c>
      <c r="BW661" s="348" t="str">
        <f t="array" ref="BW661">IFERROR(IF($BW$11="Metro",INDEX($BN$13:$BN$4972,SMALL(IF((County=$BO$13:$BO$4972),MATCH(ROW($BO$13:$BO$4972),ROW($BO$13:$BO$4972)),""),ROWS($A$13:$A661))),INDEX($BQ$13:$BQ$212,SMALL(IF((County=$BR$13:$BR$212),MATCH(ROW($BR$13:$BR$212),ROW($BR$13:$BR$212)),""),ROWS($A$13:$A661)))),"")</f>
        <v/>
      </c>
      <c r="CD661" s="237">
        <v>19.09</v>
      </c>
      <c r="CE661" s="237" t="s">
        <v>368</v>
      </c>
      <c r="CJ661" s="347">
        <v>62.02</v>
      </c>
      <c r="CK661" s="347" t="s">
        <v>361</v>
      </c>
      <c r="CL661" s="1789"/>
      <c r="CR661" s="345"/>
      <c r="CS661" s="345"/>
      <c r="CX661" s="347"/>
      <c r="CY661" s="347"/>
      <c r="DA661" s="348"/>
      <c r="DH661" s="237"/>
      <c r="DI661" s="237"/>
      <c r="DN661" s="347"/>
      <c r="DO661" s="347"/>
      <c r="DP661" s="2505"/>
      <c r="DT661" s="663"/>
      <c r="DU661" s="663"/>
      <c r="DV661" s="663"/>
      <c r="DW661" s="663"/>
      <c r="DX661" s="663"/>
      <c r="DY661" s="663"/>
      <c r="DZ661" s="663"/>
      <c r="EA661" s="663"/>
      <c r="EB661" s="663"/>
      <c r="EC661" s="663"/>
      <c r="ED661" s="663"/>
    </row>
    <row r="662" spans="6:134">
      <c r="F662" s="345">
        <v>274.02</v>
      </c>
      <c r="G662" s="345" t="s">
        <v>363</v>
      </c>
      <c r="L662" s="347">
        <v>102.1</v>
      </c>
      <c r="M662" s="347" t="s">
        <v>337</v>
      </c>
      <c r="V662" s="345">
        <v>502.08</v>
      </c>
      <c r="W662" s="345" t="s">
        <v>310</v>
      </c>
      <c r="AB662" s="347">
        <v>78.14</v>
      </c>
      <c r="AC662" s="347" t="s">
        <v>361</v>
      </c>
      <c r="AD662" s="1138"/>
      <c r="AJ662" s="345">
        <v>77.459999999999994</v>
      </c>
      <c r="AK662" s="345" t="s">
        <v>361</v>
      </c>
      <c r="AP662" s="347">
        <v>8.01</v>
      </c>
      <c r="AQ662" s="347" t="s">
        <v>325</v>
      </c>
      <c r="AZ662" s="345">
        <v>304.02</v>
      </c>
      <c r="BA662" s="345" t="s">
        <v>310</v>
      </c>
      <c r="BF662" s="347">
        <v>60.06</v>
      </c>
      <c r="BG662" s="347" t="s">
        <v>361</v>
      </c>
      <c r="BH662" s="1790"/>
      <c r="BN662" s="345">
        <v>1103.49</v>
      </c>
      <c r="BO662" s="345" t="s">
        <v>310</v>
      </c>
      <c r="BT662" s="347">
        <v>168.09</v>
      </c>
      <c r="BU662" s="347" t="s">
        <v>323</v>
      </c>
      <c r="BW662" s="348" t="str">
        <f t="array" ref="BW662">IFERROR(IF($BW$11="Metro",INDEX($BN$13:$BN$4972,SMALL(IF((County=$BO$13:$BO$4972),MATCH(ROW($BO$13:$BO$4972),ROW($BO$13:$BO$4972)),""),ROWS($A$13:$A662))),INDEX($BQ$13:$BQ$212,SMALL(IF((County=$BR$13:$BR$212),MATCH(ROW($BR$13:$BR$212),ROW($BR$13:$BR$212)),""),ROWS($A$13:$A662)))),"")</f>
        <v/>
      </c>
      <c r="CD662" s="237">
        <v>19.100000000000001</v>
      </c>
      <c r="CE662" s="237" t="s">
        <v>344</v>
      </c>
      <c r="CJ662" s="347">
        <v>62.03</v>
      </c>
      <c r="CK662" s="347" t="s">
        <v>352</v>
      </c>
      <c r="CL662" s="1789"/>
      <c r="CR662" s="345"/>
      <c r="CS662" s="345"/>
      <c r="CX662" s="347"/>
      <c r="CY662" s="347"/>
      <c r="DA662" s="348"/>
      <c r="DH662" s="237"/>
      <c r="DI662" s="237"/>
      <c r="DN662" s="347"/>
      <c r="DO662" s="347"/>
      <c r="DP662" s="2505"/>
      <c r="DT662" s="663"/>
      <c r="DU662" s="663"/>
      <c r="DV662" s="663"/>
      <c r="DW662" s="663"/>
      <c r="DX662" s="663"/>
      <c r="DY662" s="663"/>
      <c r="DZ662" s="663"/>
      <c r="EA662" s="663"/>
      <c r="EB662" s="663"/>
      <c r="EC662" s="663"/>
      <c r="ED662" s="663"/>
    </row>
    <row r="663" spans="6:134">
      <c r="F663" s="345">
        <v>287</v>
      </c>
      <c r="G663" s="345" t="s">
        <v>363</v>
      </c>
      <c r="L663" s="347">
        <v>102.11</v>
      </c>
      <c r="M663" s="347" t="s">
        <v>337</v>
      </c>
      <c r="V663" s="345">
        <v>503.02</v>
      </c>
      <c r="W663" s="345" t="s">
        <v>339</v>
      </c>
      <c r="AB663" s="347">
        <v>78.17</v>
      </c>
      <c r="AC663" s="347" t="s">
        <v>361</v>
      </c>
      <c r="AD663" s="1138"/>
      <c r="AJ663" s="345">
        <v>78.33</v>
      </c>
      <c r="AK663" s="345" t="s">
        <v>361</v>
      </c>
      <c r="AP663" s="347">
        <v>8.02</v>
      </c>
      <c r="AQ663" s="347" t="s">
        <v>325</v>
      </c>
      <c r="AZ663" s="345">
        <v>304.07</v>
      </c>
      <c r="BA663" s="345" t="s">
        <v>362</v>
      </c>
      <c r="BF663" s="347">
        <v>60.08</v>
      </c>
      <c r="BG663" s="347" t="s">
        <v>361</v>
      </c>
      <c r="BH663" s="1790"/>
      <c r="BN663" s="345">
        <v>1103.5</v>
      </c>
      <c r="BO663" s="345" t="s">
        <v>310</v>
      </c>
      <c r="BT663" s="347">
        <v>168.1</v>
      </c>
      <c r="BU663" s="347" t="s">
        <v>323</v>
      </c>
      <c r="BW663" s="348" t="str">
        <f t="array" ref="BW663">IFERROR(IF($BW$11="Metro",INDEX($BN$13:$BN$4972,SMALL(IF((County=$BO$13:$BO$4972),MATCH(ROW($BO$13:$BO$4972),ROW($BO$13:$BO$4972)),""),ROWS($A$13:$A663))),INDEX($BQ$13:$BQ$212,SMALL(IF((County=$BR$13:$BR$212),MATCH(ROW($BR$13:$BR$212),ROW($BR$13:$BR$212)),""),ROWS($A$13:$A663)))),"")</f>
        <v/>
      </c>
      <c r="CD663" s="237">
        <v>19.100000000000001</v>
      </c>
      <c r="CE663" s="237" t="s">
        <v>349</v>
      </c>
      <c r="CJ663" s="347">
        <v>62.05</v>
      </c>
      <c r="CK663" s="347" t="s">
        <v>352</v>
      </c>
      <c r="CL663" s="1789"/>
      <c r="CR663" s="345"/>
      <c r="CS663" s="345"/>
      <c r="CX663" s="347"/>
      <c r="CY663" s="347"/>
      <c r="DA663" s="348"/>
      <c r="DH663" s="237"/>
      <c r="DI663" s="237"/>
      <c r="DN663" s="347"/>
      <c r="DO663" s="347"/>
      <c r="DP663" s="2505"/>
      <c r="DT663" s="663"/>
      <c r="DU663" s="663"/>
      <c r="DV663" s="663"/>
      <c r="DW663" s="663"/>
      <c r="DX663" s="663"/>
      <c r="DY663" s="663"/>
      <c r="DZ663" s="663"/>
      <c r="EA663" s="663"/>
      <c r="EB663" s="663"/>
      <c r="EC663" s="663"/>
      <c r="ED663" s="663"/>
    </row>
    <row r="664" spans="6:134">
      <c r="F664" s="345">
        <v>103</v>
      </c>
      <c r="G664" s="345" t="s">
        <v>365</v>
      </c>
      <c r="L664" s="347">
        <v>102.12</v>
      </c>
      <c r="M664" s="347" t="s">
        <v>337</v>
      </c>
      <c r="V664" s="345">
        <v>503.07</v>
      </c>
      <c r="W664" s="345" t="s">
        <v>310</v>
      </c>
      <c r="AB664" s="347">
        <v>78.180000000000007</v>
      </c>
      <c r="AC664" s="347" t="s">
        <v>361</v>
      </c>
      <c r="AD664" s="1138"/>
      <c r="AJ664" s="345">
        <v>80.010000000000005</v>
      </c>
      <c r="AK664" s="345" t="s">
        <v>361</v>
      </c>
      <c r="AP664" s="347">
        <v>9</v>
      </c>
      <c r="AQ664" s="347" t="s">
        <v>325</v>
      </c>
      <c r="AZ664" s="345">
        <v>304.08</v>
      </c>
      <c r="BA664" s="345" t="s">
        <v>362</v>
      </c>
      <c r="BF664" s="347">
        <v>61.01</v>
      </c>
      <c r="BG664" s="347" t="s">
        <v>337</v>
      </c>
      <c r="BH664" s="1790"/>
      <c r="BN664" s="345">
        <v>1103.51</v>
      </c>
      <c r="BO664" s="345" t="s">
        <v>310</v>
      </c>
      <c r="BT664" s="347">
        <v>168.11</v>
      </c>
      <c r="BU664" s="347" t="s">
        <v>323</v>
      </c>
      <c r="BW664" s="348" t="str">
        <f t="array" ref="BW664">IFERROR(IF($BW$11="Metro",INDEX($BN$13:$BN$4972,SMALL(IF((County=$BO$13:$BO$4972),MATCH(ROW($BO$13:$BO$4972),ROW($BO$13:$BO$4972)),""),ROWS($A$13:$A664))),INDEX($BQ$13:$BQ$212,SMALL(IF((County=$BR$13:$BR$212),MATCH(ROW($BR$13:$BR$212),ROW($BR$13:$BR$212)),""),ROWS($A$13:$A664)))),"")</f>
        <v/>
      </c>
      <c r="CD664" s="237">
        <v>19.100000000000001</v>
      </c>
      <c r="CE664" s="237" t="s">
        <v>361</v>
      </c>
      <c r="CJ664" s="347">
        <v>62.06</v>
      </c>
      <c r="CK664" s="347" t="s">
        <v>352</v>
      </c>
      <c r="CL664" s="1789"/>
      <c r="CR664" s="345"/>
      <c r="CS664" s="345"/>
      <c r="CX664" s="347"/>
      <c r="CY664" s="347"/>
      <c r="DA664" s="348"/>
      <c r="DH664" s="237"/>
      <c r="DI664" s="237"/>
      <c r="DN664" s="347"/>
      <c r="DO664" s="347"/>
      <c r="DP664" s="2505"/>
      <c r="DT664" s="663"/>
      <c r="DU664" s="663"/>
      <c r="DV664" s="663"/>
      <c r="DW664" s="663"/>
      <c r="DX664" s="663"/>
      <c r="DY664" s="663"/>
      <c r="DZ664" s="663"/>
      <c r="EA664" s="663"/>
      <c r="EB664" s="663"/>
      <c r="EC664" s="663"/>
      <c r="ED664" s="663"/>
    </row>
    <row r="665" spans="6:134">
      <c r="F665" s="345">
        <v>110</v>
      </c>
      <c r="G665" s="345" t="s">
        <v>365</v>
      </c>
      <c r="L665" s="347">
        <v>104.01</v>
      </c>
      <c r="M665" s="347" t="s">
        <v>337</v>
      </c>
      <c r="V665" s="345">
        <v>503.08</v>
      </c>
      <c r="W665" s="345" t="s">
        <v>310</v>
      </c>
      <c r="AB665" s="347">
        <v>78.2</v>
      </c>
      <c r="AC665" s="347" t="s">
        <v>361</v>
      </c>
      <c r="AD665" s="1138"/>
      <c r="AJ665" s="345">
        <v>80.02</v>
      </c>
      <c r="AK665" s="345" t="s">
        <v>361</v>
      </c>
      <c r="AP665" s="347">
        <v>10.01</v>
      </c>
      <c r="AQ665" s="347" t="s">
        <v>325</v>
      </c>
      <c r="AZ665" s="345">
        <v>304.10000000000002</v>
      </c>
      <c r="BA665" s="345" t="s">
        <v>362</v>
      </c>
      <c r="BF665" s="347">
        <v>61.03</v>
      </c>
      <c r="BG665" s="347" t="s">
        <v>337</v>
      </c>
      <c r="BH665" s="1790"/>
      <c r="BN665" s="345">
        <v>1103.52</v>
      </c>
      <c r="BO665" s="345" t="s">
        <v>310</v>
      </c>
      <c r="BT665" s="347">
        <v>168.12</v>
      </c>
      <c r="BU665" s="347" t="s">
        <v>323</v>
      </c>
      <c r="BW665" s="348" t="str">
        <f t="array" ref="BW665">IFERROR(IF($BW$11="Metro",INDEX($BN$13:$BN$4972,SMALL(IF((County=$BO$13:$BO$4972),MATCH(ROW($BO$13:$BO$4972),ROW($BO$13:$BO$4972)),""),ROWS($A$13:$A665))),INDEX($BQ$13:$BQ$212,SMALL(IF((County=$BR$13:$BR$212),MATCH(ROW($BR$13:$BR$212),ROW($BR$13:$BR$212)),""),ROWS($A$13:$A665)))),"")</f>
        <v/>
      </c>
      <c r="CD665" s="237">
        <v>19.11</v>
      </c>
      <c r="CE665" s="237" t="s">
        <v>344</v>
      </c>
      <c r="CJ665" s="347">
        <v>63</v>
      </c>
      <c r="CK665" s="347" t="s">
        <v>337</v>
      </c>
      <c r="CL665" s="1789"/>
      <c r="CR665" s="345"/>
      <c r="CS665" s="345"/>
      <c r="CX665" s="347"/>
      <c r="CY665" s="347"/>
      <c r="DA665" s="348"/>
      <c r="DH665" s="237"/>
      <c r="DI665" s="237"/>
      <c r="DN665" s="347"/>
      <c r="DO665" s="347"/>
      <c r="DP665" s="2505"/>
      <c r="DT665" s="663"/>
      <c r="DU665" s="663"/>
      <c r="DV665" s="663"/>
      <c r="DW665" s="663"/>
      <c r="DX665" s="663"/>
      <c r="DY665" s="663"/>
      <c r="DZ665" s="663"/>
      <c r="EA665" s="663"/>
      <c r="EB665" s="663"/>
      <c r="EC665" s="663"/>
      <c r="ED665" s="663"/>
    </row>
    <row r="666" spans="6:134">
      <c r="F666" s="345">
        <v>111</v>
      </c>
      <c r="G666" s="345" t="s">
        <v>365</v>
      </c>
      <c r="L666" s="347">
        <v>106</v>
      </c>
      <c r="M666" s="347" t="s">
        <v>337</v>
      </c>
      <c r="V666" s="345">
        <v>503.09</v>
      </c>
      <c r="W666" s="345" t="s">
        <v>310</v>
      </c>
      <c r="AB666" s="347">
        <v>78.209999999999994</v>
      </c>
      <c r="AC666" s="347" t="s">
        <v>361</v>
      </c>
      <c r="AD666" s="1138"/>
      <c r="AJ666" s="345">
        <v>81.010000000000005</v>
      </c>
      <c r="AK666" s="345" t="s">
        <v>361</v>
      </c>
      <c r="AP666" s="347">
        <v>10.02</v>
      </c>
      <c r="AQ666" s="347" t="s">
        <v>325</v>
      </c>
      <c r="AZ666" s="345">
        <v>304.11</v>
      </c>
      <c r="BA666" s="345" t="s">
        <v>362</v>
      </c>
      <c r="BF666" s="347">
        <v>61.03</v>
      </c>
      <c r="BG666" s="347" t="s">
        <v>352</v>
      </c>
      <c r="BH666" s="1790"/>
      <c r="BN666" s="345">
        <v>1103.53</v>
      </c>
      <c r="BO666" s="345" t="s">
        <v>310</v>
      </c>
      <c r="BT666" s="347">
        <v>168.13</v>
      </c>
      <c r="BU666" s="347" t="s">
        <v>323</v>
      </c>
      <c r="BW666" s="348" t="str">
        <f t="array" ref="BW666">IFERROR(IF($BW$11="Metro",INDEX($BN$13:$BN$4972,SMALL(IF((County=$BO$13:$BO$4972),MATCH(ROW($BO$13:$BO$4972),ROW($BO$13:$BO$4972)),""),ROWS($A$13:$A666))),INDEX($BQ$13:$BQ$212,SMALL(IF((County=$BR$13:$BR$212),MATCH(ROW($BR$13:$BR$212),ROW($BR$13:$BR$212)),""),ROWS($A$13:$A666)))),"")</f>
        <v/>
      </c>
      <c r="CD666" s="237">
        <v>19.11</v>
      </c>
      <c r="CE666" s="237" t="s">
        <v>349</v>
      </c>
      <c r="CJ666" s="347">
        <v>63.02</v>
      </c>
      <c r="CK666" s="347" t="s">
        <v>352</v>
      </c>
      <c r="CL666" s="1789"/>
      <c r="CR666" s="345"/>
      <c r="CS666" s="345"/>
      <c r="CX666" s="347"/>
      <c r="CY666" s="347"/>
      <c r="DA666" s="348"/>
      <c r="DH666" s="237"/>
      <c r="DI666" s="237"/>
      <c r="DN666" s="347"/>
      <c r="DO666" s="347"/>
      <c r="DP666" s="2505"/>
      <c r="DT666" s="663"/>
      <c r="DU666" s="663"/>
      <c r="DV666" s="663"/>
      <c r="DW666" s="663"/>
      <c r="DX666" s="663"/>
      <c r="DY666" s="663"/>
      <c r="DZ666" s="663"/>
      <c r="EA666" s="663"/>
      <c r="EB666" s="663"/>
      <c r="EC666" s="663"/>
      <c r="ED666" s="663"/>
    </row>
    <row r="667" spans="6:134">
      <c r="F667" s="345">
        <v>112.02</v>
      </c>
      <c r="G667" s="345" t="s">
        <v>365</v>
      </c>
      <c r="L667" s="347">
        <v>107.01</v>
      </c>
      <c r="M667" s="347" t="s">
        <v>337</v>
      </c>
      <c r="V667" s="345">
        <v>503.11</v>
      </c>
      <c r="W667" s="345" t="s">
        <v>310</v>
      </c>
      <c r="AB667" s="347">
        <v>78.22</v>
      </c>
      <c r="AC667" s="347" t="s">
        <v>361</v>
      </c>
      <c r="AD667" s="1138"/>
      <c r="AJ667" s="345">
        <v>82.01</v>
      </c>
      <c r="AK667" s="345" t="s">
        <v>361</v>
      </c>
      <c r="AP667" s="347">
        <v>11.01</v>
      </c>
      <c r="AQ667" s="347" t="s">
        <v>325</v>
      </c>
      <c r="AZ667" s="345">
        <v>304.12</v>
      </c>
      <c r="BA667" s="345" t="s">
        <v>362</v>
      </c>
      <c r="BF667" s="347">
        <v>61.04</v>
      </c>
      <c r="BG667" s="347" t="s">
        <v>352</v>
      </c>
      <c r="BH667" s="1790"/>
      <c r="BN667" s="345">
        <v>1103.54</v>
      </c>
      <c r="BO667" s="345" t="s">
        <v>310</v>
      </c>
      <c r="BT667" s="347">
        <v>171.01</v>
      </c>
      <c r="BU667" s="347" t="s">
        <v>323</v>
      </c>
      <c r="BW667" s="348" t="str">
        <f t="array" ref="BW667">IFERROR(IF($BW$11="Metro",INDEX($BN$13:$BN$4972,SMALL(IF((County=$BO$13:$BO$4972),MATCH(ROW($BO$13:$BO$4972),ROW($BO$13:$BO$4972)),""),ROWS($A$13:$A667))),INDEX($BQ$13:$BQ$212,SMALL(IF((County=$BR$13:$BR$212),MATCH(ROW($BR$13:$BR$212),ROW($BR$13:$BR$212)),""),ROWS($A$13:$A667)))),"")</f>
        <v/>
      </c>
      <c r="CD667" s="237">
        <v>19.11</v>
      </c>
      <c r="CE667" s="237" t="s">
        <v>361</v>
      </c>
      <c r="CJ667" s="347">
        <v>63.02</v>
      </c>
      <c r="CK667" s="347" t="s">
        <v>361</v>
      </c>
      <c r="CL667" s="1789"/>
      <c r="CR667" s="345"/>
      <c r="CS667" s="345"/>
      <c r="CX667" s="347"/>
      <c r="CY667" s="347"/>
      <c r="DA667" s="348"/>
      <c r="DH667" s="237"/>
      <c r="DI667" s="237"/>
      <c r="DN667" s="347"/>
      <c r="DO667" s="347"/>
      <c r="DP667" s="2505"/>
      <c r="DT667" s="663"/>
      <c r="DU667" s="663"/>
      <c r="DV667" s="663"/>
      <c r="DW667" s="663"/>
      <c r="DX667" s="663"/>
      <c r="DY667" s="663"/>
      <c r="DZ667" s="663"/>
      <c r="EA667" s="663"/>
      <c r="EB667" s="663"/>
      <c r="EC667" s="663"/>
      <c r="ED667" s="663"/>
    </row>
    <row r="668" spans="6:134">
      <c r="F668" s="345">
        <v>112.03</v>
      </c>
      <c r="G668" s="345" t="s">
        <v>365</v>
      </c>
      <c r="L668" s="347">
        <v>107.02</v>
      </c>
      <c r="M668" s="347" t="s">
        <v>337</v>
      </c>
      <c r="V668" s="345">
        <v>504.01</v>
      </c>
      <c r="W668" s="345" t="s">
        <v>339</v>
      </c>
      <c r="AB668" s="347">
        <v>78.23</v>
      </c>
      <c r="AC668" s="347" t="s">
        <v>361</v>
      </c>
      <c r="AD668" s="1138"/>
      <c r="AJ668" s="345">
        <v>82.02</v>
      </c>
      <c r="AK668" s="345" t="s">
        <v>361</v>
      </c>
      <c r="AP668" s="347">
        <v>11.03</v>
      </c>
      <c r="AQ668" s="347" t="s">
        <v>325</v>
      </c>
      <c r="AZ668" s="345">
        <v>305</v>
      </c>
      <c r="BA668" s="345" t="s">
        <v>310</v>
      </c>
      <c r="BF668" s="347">
        <v>61.05</v>
      </c>
      <c r="BG668" s="347" t="s">
        <v>352</v>
      </c>
      <c r="BH668" s="1790"/>
      <c r="BN668" s="345">
        <v>1103.55</v>
      </c>
      <c r="BO668" s="345" t="s">
        <v>310</v>
      </c>
      <c r="BT668" s="347">
        <v>171.02</v>
      </c>
      <c r="BU668" s="347" t="s">
        <v>323</v>
      </c>
      <c r="BW668" s="348" t="str">
        <f t="array" ref="BW668">IFERROR(IF($BW$11="Metro",INDEX($BN$13:$BN$4972,SMALL(IF((County=$BO$13:$BO$4972),MATCH(ROW($BO$13:$BO$4972),ROW($BO$13:$BO$4972)),""),ROWS($A$13:$A668))),INDEX($BQ$13:$BQ$212,SMALL(IF((County=$BR$13:$BR$212),MATCH(ROW($BR$13:$BR$212),ROW($BR$13:$BR$212)),""),ROWS($A$13:$A668)))),"")</f>
        <v/>
      </c>
      <c r="CD668" s="237">
        <v>19.12</v>
      </c>
      <c r="CE668" s="237" t="s">
        <v>344</v>
      </c>
      <c r="CJ668" s="347">
        <v>63.03</v>
      </c>
      <c r="CK668" s="347" t="s">
        <v>352</v>
      </c>
      <c r="CL668" s="1789"/>
      <c r="CR668" s="345"/>
      <c r="CS668" s="345"/>
      <c r="CX668" s="347"/>
      <c r="CY668" s="347"/>
      <c r="DA668" s="348"/>
      <c r="DH668" s="237"/>
      <c r="DI668" s="237"/>
      <c r="DN668" s="347"/>
      <c r="DO668" s="347"/>
      <c r="DP668" s="2505"/>
      <c r="DT668" s="663"/>
      <c r="DU668" s="663"/>
      <c r="DV668" s="663"/>
      <c r="DW668" s="663"/>
      <c r="DX668" s="663"/>
      <c r="DY668" s="663"/>
      <c r="DZ668" s="663"/>
      <c r="EA668" s="663"/>
      <c r="EB668" s="663"/>
      <c r="EC668" s="663"/>
      <c r="ED668" s="663"/>
    </row>
    <row r="669" spans="6:134">
      <c r="F669" s="345">
        <v>112.04</v>
      </c>
      <c r="G669" s="345" t="s">
        <v>365</v>
      </c>
      <c r="L669" s="347">
        <v>108.1</v>
      </c>
      <c r="M669" s="347" t="s">
        <v>337</v>
      </c>
      <c r="V669" s="345">
        <v>507.02</v>
      </c>
      <c r="W669" s="345" t="s">
        <v>310</v>
      </c>
      <c r="AB669" s="347">
        <v>78.28</v>
      </c>
      <c r="AC669" s="347" t="s">
        <v>361</v>
      </c>
      <c r="AD669" s="1138"/>
      <c r="AJ669" s="345">
        <v>82.03</v>
      </c>
      <c r="AK669" s="345" t="s">
        <v>361</v>
      </c>
      <c r="AP669" s="347">
        <v>11.04</v>
      </c>
      <c r="AQ669" s="347" t="s">
        <v>325</v>
      </c>
      <c r="AZ669" s="345">
        <v>305.01</v>
      </c>
      <c r="BA669" s="345" t="s">
        <v>362</v>
      </c>
      <c r="BF669" s="347">
        <v>61.06</v>
      </c>
      <c r="BG669" s="347" t="s">
        <v>352</v>
      </c>
      <c r="BH669" s="1790"/>
      <c r="BN669" s="345">
        <v>1103.56</v>
      </c>
      <c r="BO669" s="345" t="s">
        <v>310</v>
      </c>
      <c r="BT669" s="347">
        <v>172</v>
      </c>
      <c r="BU669" s="347" t="s">
        <v>323</v>
      </c>
      <c r="BW669" s="348" t="str">
        <f t="array" ref="BW669">IFERROR(IF($BW$11="Metro",INDEX($BN$13:$BN$4972,SMALL(IF((County=$BO$13:$BO$4972),MATCH(ROW($BO$13:$BO$4972),ROW($BO$13:$BO$4972)),""),ROWS($A$13:$A669))),INDEX($BQ$13:$BQ$212,SMALL(IF((County=$BR$13:$BR$212),MATCH(ROW($BR$13:$BR$212),ROW($BR$13:$BR$212)),""),ROWS($A$13:$A669)))),"")</f>
        <v/>
      </c>
      <c r="CD669" s="237">
        <v>19.12</v>
      </c>
      <c r="CE669" s="237" t="s">
        <v>361</v>
      </c>
      <c r="CJ669" s="347">
        <v>63.04</v>
      </c>
      <c r="CK669" s="347" t="s">
        <v>352</v>
      </c>
      <c r="CL669" s="1789"/>
      <c r="CR669" s="345"/>
      <c r="CS669" s="345"/>
      <c r="CX669" s="347"/>
      <c r="CY669" s="347"/>
      <c r="DA669" s="348"/>
      <c r="DH669" s="237"/>
      <c r="DI669" s="237"/>
      <c r="DN669" s="347"/>
      <c r="DO669" s="347"/>
      <c r="DP669" s="2505"/>
      <c r="DT669" s="663"/>
      <c r="DU669" s="663"/>
      <c r="DV669" s="663"/>
      <c r="DW669" s="663"/>
      <c r="DX669" s="663"/>
      <c r="DY669" s="663"/>
      <c r="DZ669" s="663"/>
      <c r="EA669" s="663"/>
      <c r="EB669" s="663"/>
      <c r="EC669" s="663"/>
      <c r="ED669" s="663"/>
    </row>
    <row r="670" spans="6:134">
      <c r="F670" s="345">
        <v>113</v>
      </c>
      <c r="G670" s="345" t="s">
        <v>365</v>
      </c>
      <c r="L670" s="347">
        <v>108.11</v>
      </c>
      <c r="M670" s="347" t="s">
        <v>337</v>
      </c>
      <c r="V670" s="345">
        <v>508</v>
      </c>
      <c r="W670" s="345" t="s">
        <v>310</v>
      </c>
      <c r="AB670" s="347">
        <v>78.3</v>
      </c>
      <c r="AC670" s="347" t="s">
        <v>361</v>
      </c>
      <c r="AD670" s="1138"/>
      <c r="AJ670" s="345">
        <v>83.01</v>
      </c>
      <c r="AK670" s="345" t="s">
        <v>361</v>
      </c>
      <c r="AP670" s="347">
        <v>12.01</v>
      </c>
      <c r="AQ670" s="347" t="s">
        <v>325</v>
      </c>
      <c r="AZ670" s="345">
        <v>305.07</v>
      </c>
      <c r="BA670" s="345" t="s">
        <v>343</v>
      </c>
      <c r="BF670" s="347">
        <v>62</v>
      </c>
      <c r="BG670" s="347" t="s">
        <v>337</v>
      </c>
      <c r="BH670" s="1790"/>
      <c r="BN670" s="345">
        <v>1103.57</v>
      </c>
      <c r="BO670" s="345" t="s">
        <v>310</v>
      </c>
      <c r="BT670" s="347">
        <v>1</v>
      </c>
      <c r="BU670" s="347" t="s">
        <v>325</v>
      </c>
      <c r="BW670" s="348" t="str">
        <f t="array" ref="BW670">IFERROR(IF($BW$11="Metro",INDEX($BN$13:$BN$4972,SMALL(IF((County=$BO$13:$BO$4972),MATCH(ROW($BO$13:$BO$4972),ROW($BO$13:$BO$4972)),""),ROWS($A$13:$A670))),INDEX($BQ$13:$BQ$212,SMALL(IF((County=$BR$13:$BR$212),MATCH(ROW($BR$13:$BR$212),ROW($BR$13:$BR$212)),""),ROWS($A$13:$A670)))),"")</f>
        <v/>
      </c>
      <c r="CD670" s="237">
        <v>19.13</v>
      </c>
      <c r="CE670" s="237" t="s">
        <v>344</v>
      </c>
      <c r="CJ670" s="347">
        <v>64</v>
      </c>
      <c r="CK670" s="347" t="s">
        <v>337</v>
      </c>
      <c r="CL670" s="1789"/>
      <c r="CR670" s="345"/>
      <c r="CS670" s="345"/>
      <c r="CX670" s="347"/>
      <c r="CY670" s="347"/>
      <c r="DA670" s="348"/>
      <c r="DH670" s="237"/>
      <c r="DI670" s="237"/>
      <c r="DN670" s="347"/>
      <c r="DO670" s="347"/>
      <c r="DP670" s="2505"/>
      <c r="DT670" s="663"/>
      <c r="DU670" s="663"/>
      <c r="DV670" s="663"/>
      <c r="DW670" s="663"/>
      <c r="DX670" s="663"/>
      <c r="DY670" s="663"/>
      <c r="DZ670" s="663"/>
      <c r="EA670" s="663"/>
      <c r="EB670" s="663"/>
      <c r="EC670" s="663"/>
      <c r="ED670" s="663"/>
    </row>
    <row r="671" spans="6:134">
      <c r="F671" s="345">
        <v>114</v>
      </c>
      <c r="G671" s="345" t="s">
        <v>365</v>
      </c>
      <c r="L671" s="347">
        <v>110.05</v>
      </c>
      <c r="M671" s="347" t="s">
        <v>337</v>
      </c>
      <c r="V671" s="345">
        <v>509.04</v>
      </c>
      <c r="W671" s="345" t="s">
        <v>339</v>
      </c>
      <c r="AB671" s="347">
        <v>78.31</v>
      </c>
      <c r="AC671" s="347" t="s">
        <v>361</v>
      </c>
      <c r="AD671" s="1138"/>
      <c r="AJ671" s="345">
        <v>83.02</v>
      </c>
      <c r="AK671" s="345" t="s">
        <v>361</v>
      </c>
      <c r="AP671" s="347">
        <v>14.01</v>
      </c>
      <c r="AQ671" s="347" t="s">
        <v>325</v>
      </c>
      <c r="AZ671" s="345">
        <v>306.01</v>
      </c>
      <c r="BA671" s="345" t="s">
        <v>343</v>
      </c>
      <c r="BF671" s="347">
        <v>62.02</v>
      </c>
      <c r="BG671" s="347" t="s">
        <v>361</v>
      </c>
      <c r="BH671" s="1790"/>
      <c r="BN671" s="345">
        <v>1103.58</v>
      </c>
      <c r="BO671" s="345" t="s">
        <v>310</v>
      </c>
      <c r="BT671" s="347">
        <v>3</v>
      </c>
      <c r="BU671" s="347" t="s">
        <v>325</v>
      </c>
      <c r="BW671" s="348" t="str">
        <f t="array" ref="BW671">IFERROR(IF($BW$11="Metro",INDEX($BN$13:$BN$4972,SMALL(IF((County=$BO$13:$BO$4972),MATCH(ROW($BO$13:$BO$4972),ROW($BO$13:$BO$4972)),""),ROWS($A$13:$A671))),INDEX($BQ$13:$BQ$212,SMALL(IF((County=$BR$13:$BR$212),MATCH(ROW($BR$13:$BR$212),ROW($BR$13:$BR$212)),""),ROWS($A$13:$A671)))),"")</f>
        <v/>
      </c>
      <c r="CD671" s="237">
        <v>19.13</v>
      </c>
      <c r="CE671" s="237" t="s">
        <v>349</v>
      </c>
      <c r="CJ671" s="347">
        <v>64.010000000000005</v>
      </c>
      <c r="CK671" s="347" t="s">
        <v>361</v>
      </c>
      <c r="CL671" s="1789"/>
      <c r="CR671" s="345"/>
      <c r="CS671" s="345"/>
      <c r="CX671" s="347"/>
      <c r="CY671" s="347"/>
      <c r="DA671" s="348"/>
      <c r="DH671" s="237"/>
      <c r="DI671" s="237"/>
      <c r="DN671" s="347"/>
      <c r="DO671" s="347"/>
      <c r="DP671" s="2505"/>
      <c r="DT671" s="663"/>
      <c r="DU671" s="663"/>
      <c r="DV671" s="663"/>
      <c r="DW671" s="663"/>
      <c r="DX671" s="663"/>
      <c r="DY671" s="663"/>
      <c r="DZ671" s="663"/>
      <c r="EA671" s="663"/>
      <c r="EB671" s="663"/>
      <c r="EC671" s="663"/>
      <c r="ED671" s="663"/>
    </row>
    <row r="672" spans="6:134">
      <c r="F672" s="345">
        <v>115.01</v>
      </c>
      <c r="G672" s="345" t="s">
        <v>365</v>
      </c>
      <c r="L672" s="347">
        <v>110.06</v>
      </c>
      <c r="M672" s="347" t="s">
        <v>337</v>
      </c>
      <c r="V672" s="345">
        <v>602.03</v>
      </c>
      <c r="W672" s="345" t="s">
        <v>310</v>
      </c>
      <c r="AB672" s="347">
        <v>78.34</v>
      </c>
      <c r="AC672" s="347" t="s">
        <v>361</v>
      </c>
      <c r="AD672" s="1138"/>
      <c r="AJ672" s="345">
        <v>2.0299999999999998</v>
      </c>
      <c r="AK672" s="345" t="s">
        <v>362</v>
      </c>
      <c r="AP672" s="347">
        <v>24</v>
      </c>
      <c r="AQ672" s="347" t="s">
        <v>325</v>
      </c>
      <c r="AZ672" s="345">
        <v>306.02</v>
      </c>
      <c r="BA672" s="345" t="s">
        <v>343</v>
      </c>
      <c r="BF672" s="347">
        <v>62.03</v>
      </c>
      <c r="BG672" s="347" t="s">
        <v>352</v>
      </c>
      <c r="BH672" s="1790"/>
      <c r="BN672" s="345">
        <v>1103.5899999999999</v>
      </c>
      <c r="BO672" s="345" t="s">
        <v>310</v>
      </c>
      <c r="BT672" s="347">
        <v>5</v>
      </c>
      <c r="BU672" s="347" t="s">
        <v>325</v>
      </c>
      <c r="BW672" s="348" t="str">
        <f t="array" ref="BW672">IFERROR(IF($BW$11="Metro",INDEX($BN$13:$BN$4972,SMALL(IF((County=$BO$13:$BO$4972),MATCH(ROW($BO$13:$BO$4972),ROW($BO$13:$BO$4972)),""),ROWS($A$13:$A672))),INDEX($BQ$13:$BQ$212,SMALL(IF((County=$BR$13:$BR$212),MATCH(ROW($BR$13:$BR$212),ROW($BR$13:$BR$212)),""),ROWS($A$13:$A672)))),"")</f>
        <v/>
      </c>
      <c r="CD672" s="237">
        <v>19.13</v>
      </c>
      <c r="CE672" s="237" t="s">
        <v>361</v>
      </c>
      <c r="CJ672" s="347">
        <v>64.02</v>
      </c>
      <c r="CK672" s="347" t="s">
        <v>361</v>
      </c>
      <c r="CL672" s="1789"/>
      <c r="CR672" s="345"/>
      <c r="CS672" s="345"/>
      <c r="CX672" s="347"/>
      <c r="CY672" s="347"/>
      <c r="DA672" s="348"/>
      <c r="DH672" s="237"/>
      <c r="DI672" s="237"/>
      <c r="DN672" s="347"/>
      <c r="DO672" s="347"/>
      <c r="DP672" s="2505"/>
      <c r="DT672" s="663"/>
      <c r="DU672" s="663"/>
      <c r="DV672" s="663"/>
      <c r="DW672" s="663"/>
      <c r="DX672" s="663"/>
      <c r="DY672" s="663"/>
      <c r="DZ672" s="663"/>
      <c r="EA672" s="663"/>
      <c r="EB672" s="663"/>
      <c r="EC672" s="663"/>
      <c r="ED672" s="663"/>
    </row>
    <row r="673" spans="6:134">
      <c r="F673" s="345">
        <v>116.04</v>
      </c>
      <c r="G673" s="345" t="s">
        <v>365</v>
      </c>
      <c r="L673" s="347">
        <v>110.07</v>
      </c>
      <c r="M673" s="347" t="s">
        <v>337</v>
      </c>
      <c r="V673" s="345">
        <v>603.02</v>
      </c>
      <c r="W673" s="345" t="s">
        <v>310</v>
      </c>
      <c r="AB673" s="347">
        <v>78.349999999999994</v>
      </c>
      <c r="AC673" s="347" t="s">
        <v>361</v>
      </c>
      <c r="AD673" s="1138"/>
      <c r="AJ673" s="345">
        <v>302.04000000000002</v>
      </c>
      <c r="AK673" s="345" t="s">
        <v>362</v>
      </c>
      <c r="AP673" s="347">
        <v>25</v>
      </c>
      <c r="AQ673" s="347" t="s">
        <v>325</v>
      </c>
      <c r="AZ673" s="345">
        <v>306.02</v>
      </c>
      <c r="BA673" s="345" t="s">
        <v>362</v>
      </c>
      <c r="BF673" s="347">
        <v>62.05</v>
      </c>
      <c r="BG673" s="347" t="s">
        <v>352</v>
      </c>
      <c r="BH673" s="1790"/>
      <c r="BN673" s="345">
        <v>1103.5999999999999</v>
      </c>
      <c r="BO673" s="345" t="s">
        <v>310</v>
      </c>
      <c r="BT673" s="347">
        <v>8.01</v>
      </c>
      <c r="BU673" s="347" t="s">
        <v>325</v>
      </c>
      <c r="BW673" s="348" t="str">
        <f t="array" ref="BW673">IFERROR(IF($BW$11="Metro",INDEX($BN$13:$BN$4972,SMALL(IF((County=$BO$13:$BO$4972),MATCH(ROW($BO$13:$BO$4972),ROW($BO$13:$BO$4972)),""),ROWS($A$13:$A673))),INDEX($BQ$13:$BQ$212,SMALL(IF((County=$BR$13:$BR$212),MATCH(ROW($BR$13:$BR$212),ROW($BR$13:$BR$212)),""),ROWS($A$13:$A673)))),"")</f>
        <v/>
      </c>
      <c r="CD673" s="237">
        <v>19.14</v>
      </c>
      <c r="CE673" s="237" t="s">
        <v>349</v>
      </c>
      <c r="CJ673" s="347">
        <v>65.010000000000005</v>
      </c>
      <c r="CK673" s="347" t="s">
        <v>337</v>
      </c>
      <c r="CL673" s="1789"/>
      <c r="CR673" s="345"/>
      <c r="CS673" s="345"/>
      <c r="CX673" s="347"/>
      <c r="CY673" s="347"/>
      <c r="DA673" s="348"/>
      <c r="DH673" s="237"/>
      <c r="DI673" s="237"/>
      <c r="DN673" s="347"/>
      <c r="DO673" s="347"/>
      <c r="DP673" s="2505"/>
      <c r="DT673" s="663"/>
      <c r="DU673" s="663"/>
      <c r="DV673" s="663"/>
      <c r="DW673" s="663"/>
      <c r="DX673" s="663"/>
      <c r="DY673" s="663"/>
      <c r="DZ673" s="663"/>
      <c r="EA673" s="663"/>
      <c r="EB673" s="663"/>
      <c r="EC673" s="663"/>
      <c r="ED673" s="663"/>
    </row>
    <row r="674" spans="6:134">
      <c r="F674" s="345">
        <v>117.04</v>
      </c>
      <c r="G674" s="345" t="s">
        <v>365</v>
      </c>
      <c r="L674" s="347">
        <v>110.08</v>
      </c>
      <c r="M674" s="347" t="s">
        <v>337</v>
      </c>
      <c r="V674" s="345">
        <v>603.03</v>
      </c>
      <c r="W674" s="345" t="s">
        <v>310</v>
      </c>
      <c r="AB674" s="347">
        <v>78.36</v>
      </c>
      <c r="AC674" s="347" t="s">
        <v>361</v>
      </c>
      <c r="AD674" s="1138"/>
      <c r="AJ674" s="345">
        <v>304.07</v>
      </c>
      <c r="AK674" s="345" t="s">
        <v>362</v>
      </c>
      <c r="AP674" s="347">
        <v>26.01</v>
      </c>
      <c r="AQ674" s="347" t="s">
        <v>325</v>
      </c>
      <c r="AZ674" s="345">
        <v>308</v>
      </c>
      <c r="BA674" s="345" t="s">
        <v>362</v>
      </c>
      <c r="BF674" s="347">
        <v>62.06</v>
      </c>
      <c r="BG674" s="347" t="s">
        <v>352</v>
      </c>
      <c r="BH674" s="1790"/>
      <c r="BN674" s="345">
        <v>1103.6099999999999</v>
      </c>
      <c r="BO674" s="345" t="s">
        <v>310</v>
      </c>
      <c r="BT674" s="347">
        <v>8.02</v>
      </c>
      <c r="BU674" s="347" t="s">
        <v>325</v>
      </c>
      <c r="BW674" s="348" t="str">
        <f t="array" ref="BW674">IFERROR(IF($BW$11="Metro",INDEX($BN$13:$BN$4972,SMALL(IF((County=$BO$13:$BO$4972),MATCH(ROW($BO$13:$BO$4972),ROW($BO$13:$BO$4972)),""),ROWS($A$13:$A674))),INDEX($BQ$13:$BQ$212,SMALL(IF((County=$BR$13:$BR$212),MATCH(ROW($BR$13:$BR$212),ROW($BR$13:$BR$212)),""),ROWS($A$13:$A674)))),"")</f>
        <v/>
      </c>
      <c r="CD674" s="237">
        <v>19.149999999999999</v>
      </c>
      <c r="CE674" s="237" t="s">
        <v>344</v>
      </c>
      <c r="CJ674" s="347">
        <v>65.010000000000005</v>
      </c>
      <c r="CK674" s="347" t="s">
        <v>352</v>
      </c>
      <c r="CL674" s="1789"/>
      <c r="CR674" s="345"/>
      <c r="CS674" s="345"/>
      <c r="CX674" s="347"/>
      <c r="CY674" s="347"/>
      <c r="DA674" s="348"/>
      <c r="DH674" s="237"/>
      <c r="DI674" s="237"/>
      <c r="DN674" s="347"/>
      <c r="DO674" s="347"/>
      <c r="DP674" s="2505"/>
      <c r="DT674" s="663"/>
      <c r="DU674" s="663"/>
      <c r="DV674" s="663"/>
      <c r="DW674" s="663"/>
      <c r="DX674" s="663"/>
      <c r="DY674" s="663"/>
      <c r="DZ674" s="663"/>
      <c r="EA674" s="663"/>
      <c r="EB674" s="663"/>
      <c r="EC674" s="663"/>
      <c r="ED674" s="663"/>
    </row>
    <row r="675" spans="6:134">
      <c r="F675" s="345">
        <v>117.31</v>
      </c>
      <c r="G675" s="345" t="s">
        <v>365</v>
      </c>
      <c r="L675" s="347">
        <v>110.12</v>
      </c>
      <c r="M675" s="347" t="s">
        <v>337</v>
      </c>
      <c r="V675" s="345">
        <v>603.04</v>
      </c>
      <c r="W675" s="345" t="s">
        <v>310</v>
      </c>
      <c r="AB675" s="347">
        <v>78.37</v>
      </c>
      <c r="AC675" s="347" t="s">
        <v>361</v>
      </c>
      <c r="AD675" s="1138"/>
      <c r="AJ675" s="345">
        <v>304.08</v>
      </c>
      <c r="AK675" s="345" t="s">
        <v>362</v>
      </c>
      <c r="AP675" s="347">
        <v>26.02</v>
      </c>
      <c r="AQ675" s="347" t="s">
        <v>325</v>
      </c>
      <c r="AZ675" s="345">
        <v>308.02999999999997</v>
      </c>
      <c r="BA675" s="345" t="s">
        <v>310</v>
      </c>
      <c r="BF675" s="347">
        <v>63</v>
      </c>
      <c r="BG675" s="347" t="s">
        <v>337</v>
      </c>
      <c r="BH675" s="1790"/>
      <c r="BN675" s="345">
        <v>1103.6199999999999</v>
      </c>
      <c r="BO675" s="345" t="s">
        <v>310</v>
      </c>
      <c r="BT675" s="347">
        <v>9</v>
      </c>
      <c r="BU675" s="347" t="s">
        <v>325</v>
      </c>
      <c r="BW675" s="348" t="str">
        <f t="array" ref="BW675">IFERROR(IF($BW$11="Metro",INDEX($BN$13:$BN$4972,SMALL(IF((County=$BO$13:$BO$4972),MATCH(ROW($BO$13:$BO$4972),ROW($BO$13:$BO$4972)),""),ROWS($A$13:$A675))),INDEX($BQ$13:$BQ$212,SMALL(IF((County=$BR$13:$BR$212),MATCH(ROW($BR$13:$BR$212),ROW($BR$13:$BR$212)),""),ROWS($A$13:$A675)))),"")</f>
        <v/>
      </c>
      <c r="CD675" s="237">
        <v>19.149999999999999</v>
      </c>
      <c r="CE675" s="237" t="s">
        <v>349</v>
      </c>
      <c r="CJ675" s="347">
        <v>65.010000000000005</v>
      </c>
      <c r="CK675" s="347" t="s">
        <v>361</v>
      </c>
      <c r="CL675" s="1789"/>
      <c r="CR675" s="345"/>
      <c r="CS675" s="345"/>
      <c r="CX675" s="347"/>
      <c r="CY675" s="347"/>
      <c r="DA675" s="348"/>
      <c r="DH675" s="237"/>
      <c r="DI675" s="237"/>
      <c r="DN675" s="347"/>
      <c r="DO675" s="347"/>
      <c r="DP675" s="2505"/>
      <c r="DT675" s="663"/>
      <c r="DU675" s="663"/>
      <c r="DV675" s="663"/>
      <c r="DW675" s="663"/>
      <c r="DX675" s="663"/>
      <c r="DY675" s="663"/>
      <c r="DZ675" s="663"/>
      <c r="EA675" s="663"/>
      <c r="EB675" s="663"/>
      <c r="EC675" s="663"/>
      <c r="ED675" s="663"/>
    </row>
    <row r="676" spans="6:134">
      <c r="F676" s="345">
        <v>117.32</v>
      </c>
      <c r="G676" s="345" t="s">
        <v>365</v>
      </c>
      <c r="L676" s="347">
        <v>110.13</v>
      </c>
      <c r="M676" s="347" t="s">
        <v>337</v>
      </c>
      <c r="V676" s="345">
        <v>604</v>
      </c>
      <c r="W676" s="345" t="s">
        <v>309</v>
      </c>
      <c r="AB676" s="347">
        <v>78.38</v>
      </c>
      <c r="AC676" s="347" t="s">
        <v>361</v>
      </c>
      <c r="AD676" s="1138"/>
      <c r="AJ676" s="345">
        <v>304.10000000000002</v>
      </c>
      <c r="AK676" s="345" t="s">
        <v>362</v>
      </c>
      <c r="AP676" s="347">
        <v>26.04</v>
      </c>
      <c r="AQ676" s="347" t="s">
        <v>325</v>
      </c>
      <c r="AZ676" s="345">
        <v>308.04000000000002</v>
      </c>
      <c r="BA676" s="345" t="s">
        <v>310</v>
      </c>
      <c r="BF676" s="347">
        <v>63.01</v>
      </c>
      <c r="BG676" s="347" t="s">
        <v>361</v>
      </c>
      <c r="BH676" s="1790"/>
      <c r="BN676" s="345">
        <v>1103.6300000000001</v>
      </c>
      <c r="BO676" s="345" t="s">
        <v>310</v>
      </c>
      <c r="BT676" s="347">
        <v>10.01</v>
      </c>
      <c r="BU676" s="347" t="s">
        <v>325</v>
      </c>
      <c r="BW676" s="348" t="str">
        <f t="array" ref="BW676">IFERROR(IF($BW$11="Metro",INDEX($BN$13:$BN$4972,SMALL(IF((County=$BO$13:$BO$4972),MATCH(ROW($BO$13:$BO$4972),ROW($BO$13:$BO$4972)),""),ROWS($A$13:$A676))),INDEX($BQ$13:$BQ$212,SMALL(IF((County=$BR$13:$BR$212),MATCH(ROW($BR$13:$BR$212),ROW($BR$13:$BR$212)),""),ROWS($A$13:$A676)))),"")</f>
        <v/>
      </c>
      <c r="CD676" s="237">
        <v>19.16</v>
      </c>
      <c r="CE676" s="237" t="s">
        <v>344</v>
      </c>
      <c r="CJ676" s="347">
        <v>65.02</v>
      </c>
      <c r="CK676" s="347" t="s">
        <v>361</v>
      </c>
      <c r="CL676" s="1789"/>
      <c r="CR676" s="345"/>
      <c r="CS676" s="345"/>
      <c r="CX676" s="347"/>
      <c r="CY676" s="347"/>
      <c r="DA676" s="348"/>
      <c r="DH676" s="237"/>
      <c r="DI676" s="237"/>
      <c r="DN676" s="347"/>
      <c r="DO676" s="347"/>
      <c r="DP676" s="2505"/>
      <c r="DT676" s="663"/>
      <c r="DU676" s="663"/>
      <c r="DV676" s="663"/>
      <c r="DW676" s="663"/>
      <c r="DX676" s="663"/>
      <c r="DY676" s="663"/>
      <c r="DZ676" s="663"/>
      <c r="EA676" s="663"/>
      <c r="EB676" s="663"/>
      <c r="EC676" s="663"/>
      <c r="ED676" s="663"/>
    </row>
    <row r="677" spans="6:134">
      <c r="F677" s="345">
        <v>123.07</v>
      </c>
      <c r="G677" s="345" t="s">
        <v>365</v>
      </c>
      <c r="L677" s="347">
        <v>110.14</v>
      </c>
      <c r="M677" s="347" t="s">
        <v>337</v>
      </c>
      <c r="V677" s="345">
        <v>604.01</v>
      </c>
      <c r="W677" s="345" t="s">
        <v>310</v>
      </c>
      <c r="AB677" s="347">
        <v>78.39</v>
      </c>
      <c r="AC677" s="347" t="s">
        <v>361</v>
      </c>
      <c r="AD677" s="1138"/>
      <c r="AJ677" s="345">
        <v>304.11</v>
      </c>
      <c r="AK677" s="345" t="s">
        <v>362</v>
      </c>
      <c r="AP677" s="347">
        <v>26.05</v>
      </c>
      <c r="AQ677" s="347" t="s">
        <v>325</v>
      </c>
      <c r="AZ677" s="345">
        <v>309.01</v>
      </c>
      <c r="BA677" s="345" t="s">
        <v>362</v>
      </c>
      <c r="BF677" s="347">
        <v>63.02</v>
      </c>
      <c r="BG677" s="347" t="s">
        <v>352</v>
      </c>
      <c r="BH677" s="1790"/>
      <c r="BN677" s="345">
        <v>1103.6400000000001</v>
      </c>
      <c r="BO677" s="345" t="s">
        <v>310</v>
      </c>
      <c r="BT677" s="347">
        <v>10.02</v>
      </c>
      <c r="BU677" s="347" t="s">
        <v>325</v>
      </c>
      <c r="BW677" s="348" t="str">
        <f t="array" ref="BW677">IFERROR(IF($BW$11="Metro",INDEX($BN$13:$BN$4972,SMALL(IF((County=$BO$13:$BO$4972),MATCH(ROW($BO$13:$BO$4972),ROW($BO$13:$BO$4972)),""),ROWS($A$13:$A677))),INDEX($BQ$13:$BQ$212,SMALL(IF((County=$BR$13:$BR$212),MATCH(ROW($BR$13:$BR$212),ROW($BR$13:$BR$212)),""),ROWS($A$13:$A677)))),"")</f>
        <v/>
      </c>
      <c r="CD677" s="237">
        <v>19.16</v>
      </c>
      <c r="CE677" s="237" t="s">
        <v>349</v>
      </c>
      <c r="CJ677" s="347">
        <v>65.03</v>
      </c>
      <c r="CK677" s="347" t="s">
        <v>337</v>
      </c>
      <c r="CL677" s="1789"/>
      <c r="CR677" s="345"/>
      <c r="CS677" s="345"/>
      <c r="CX677" s="347"/>
      <c r="CY677" s="347"/>
      <c r="DA677" s="348"/>
      <c r="DH677" s="237"/>
      <c r="DI677" s="237"/>
      <c r="DN677" s="347"/>
      <c r="DO677" s="347"/>
      <c r="DP677" s="2505"/>
      <c r="DT677" s="663"/>
      <c r="DU677" s="663"/>
      <c r="DV677" s="663"/>
      <c r="DW677" s="663"/>
      <c r="DX677" s="663"/>
      <c r="DY677" s="663"/>
      <c r="DZ677" s="663"/>
      <c r="EA677" s="663"/>
      <c r="EB677" s="663"/>
      <c r="EC677" s="663"/>
      <c r="ED677" s="663"/>
    </row>
    <row r="678" spans="6:134">
      <c r="F678" s="345">
        <v>126.01</v>
      </c>
      <c r="G678" s="345" t="s">
        <v>365</v>
      </c>
      <c r="L678" s="347">
        <v>110.15</v>
      </c>
      <c r="M678" s="347" t="s">
        <v>337</v>
      </c>
      <c r="V678" s="345">
        <v>607</v>
      </c>
      <c r="W678" s="345" t="s">
        <v>309</v>
      </c>
      <c r="AB678" s="347">
        <v>79.010000000000005</v>
      </c>
      <c r="AC678" s="347" t="s">
        <v>352</v>
      </c>
      <c r="AD678" s="1138"/>
      <c r="AJ678" s="345">
        <v>304.12</v>
      </c>
      <c r="AK678" s="345" t="s">
        <v>362</v>
      </c>
      <c r="AP678" s="347">
        <v>26.06</v>
      </c>
      <c r="AQ678" s="347" t="s">
        <v>325</v>
      </c>
      <c r="AZ678" s="345">
        <v>310.01</v>
      </c>
      <c r="BA678" s="345" t="s">
        <v>310</v>
      </c>
      <c r="BF678" s="347">
        <v>63.02</v>
      </c>
      <c r="BG678" s="347" t="s">
        <v>361</v>
      </c>
      <c r="BH678" s="1790"/>
      <c r="BN678" s="345">
        <v>1103.6500000000001</v>
      </c>
      <c r="BO678" s="345" t="s">
        <v>310</v>
      </c>
      <c r="BT678" s="347">
        <v>11.01</v>
      </c>
      <c r="BU678" s="347" t="s">
        <v>325</v>
      </c>
      <c r="BW678" s="348" t="str">
        <f t="array" ref="BW678">IFERROR(IF($BW$11="Metro",INDEX($BN$13:$BN$4972,SMALL(IF((County=$BO$13:$BO$4972),MATCH(ROW($BO$13:$BO$4972),ROW($BO$13:$BO$4972)),""),ROWS($A$13:$A678))),INDEX($BQ$13:$BQ$212,SMALL(IF((County=$BR$13:$BR$212),MATCH(ROW($BR$13:$BR$212),ROW($BR$13:$BR$212)),""),ROWS($A$13:$A678)))),"")</f>
        <v/>
      </c>
      <c r="CD678" s="237">
        <v>19.16</v>
      </c>
      <c r="CE678" s="237" t="s">
        <v>361</v>
      </c>
      <c r="CJ678" s="347">
        <v>65.03</v>
      </c>
      <c r="CK678" s="347" t="s">
        <v>352</v>
      </c>
      <c r="CL678" s="1789"/>
      <c r="CR678" s="345"/>
      <c r="CS678" s="345"/>
      <c r="CX678" s="347"/>
      <c r="CY678" s="347"/>
      <c r="DA678" s="348"/>
      <c r="DH678" s="237"/>
      <c r="DI678" s="237"/>
      <c r="DN678" s="347"/>
      <c r="DO678" s="347"/>
      <c r="DP678" s="2505"/>
      <c r="DT678" s="663"/>
      <c r="DU678" s="663"/>
      <c r="DV678" s="663"/>
      <c r="DW678" s="663"/>
      <c r="DX678" s="663"/>
      <c r="DY678" s="663"/>
      <c r="DZ678" s="663"/>
      <c r="EA678" s="663"/>
      <c r="EB678" s="663"/>
      <c r="EC678" s="663"/>
      <c r="ED678" s="663"/>
    </row>
    <row r="679" spans="6:134">
      <c r="F679" s="345">
        <v>126.02</v>
      </c>
      <c r="G679" s="345" t="s">
        <v>365</v>
      </c>
      <c r="L679" s="347">
        <v>110.16</v>
      </c>
      <c r="M679" s="347" t="s">
        <v>337</v>
      </c>
      <c r="V679" s="345">
        <v>610.02</v>
      </c>
      <c r="W679" s="345" t="s">
        <v>309</v>
      </c>
      <c r="AB679" s="347">
        <v>79.02</v>
      </c>
      <c r="AC679" s="347" t="s">
        <v>352</v>
      </c>
      <c r="AD679" s="1138"/>
      <c r="AJ679" s="345">
        <v>305.01</v>
      </c>
      <c r="AK679" s="345" t="s">
        <v>362</v>
      </c>
      <c r="AP679" s="347">
        <v>26.07</v>
      </c>
      <c r="AQ679" s="347" t="s">
        <v>325</v>
      </c>
      <c r="AZ679" s="345">
        <v>310.05</v>
      </c>
      <c r="BA679" s="345" t="s">
        <v>362</v>
      </c>
      <c r="BF679" s="347">
        <v>63.03</v>
      </c>
      <c r="BG679" s="347" t="s">
        <v>352</v>
      </c>
      <c r="BH679" s="1790"/>
      <c r="BN679" s="345">
        <v>1103.6600000000001</v>
      </c>
      <c r="BO679" s="345" t="s">
        <v>310</v>
      </c>
      <c r="BT679" s="347">
        <v>11.03</v>
      </c>
      <c r="BU679" s="347" t="s">
        <v>325</v>
      </c>
      <c r="BW679" s="348" t="str">
        <f t="array" ref="BW679">IFERROR(IF($BW$11="Metro",INDEX($BN$13:$BN$4972,SMALL(IF((County=$BO$13:$BO$4972),MATCH(ROW($BO$13:$BO$4972),ROW($BO$13:$BO$4972)),""),ROWS($A$13:$A679))),INDEX($BQ$13:$BQ$212,SMALL(IF((County=$BR$13:$BR$212),MATCH(ROW($BR$13:$BR$212),ROW($BR$13:$BR$212)),""),ROWS($A$13:$A679)))),"")</f>
        <v/>
      </c>
      <c r="CD679" s="237">
        <v>19.170000000000002</v>
      </c>
      <c r="CE679" s="237" t="s">
        <v>344</v>
      </c>
      <c r="CJ679" s="347">
        <v>65.040000000000006</v>
      </c>
      <c r="CK679" s="347" t="s">
        <v>337</v>
      </c>
      <c r="CL679" s="1789"/>
      <c r="CR679" s="345"/>
      <c r="CS679" s="345"/>
      <c r="CX679" s="347"/>
      <c r="CY679" s="347"/>
      <c r="DA679" s="348"/>
      <c r="DH679" s="237"/>
      <c r="DI679" s="237"/>
      <c r="DN679" s="347"/>
      <c r="DO679" s="347"/>
      <c r="DP679" s="2505"/>
      <c r="DT679" s="663"/>
      <c r="DU679" s="663"/>
      <c r="DV679" s="663"/>
      <c r="DW679" s="663"/>
      <c r="DX679" s="663"/>
      <c r="DY679" s="663"/>
      <c r="DZ679" s="663"/>
      <c r="EA679" s="663"/>
      <c r="EB679" s="663"/>
      <c r="EC679" s="663"/>
      <c r="ED679" s="663"/>
    </row>
    <row r="680" spans="6:134">
      <c r="F680" s="345">
        <v>130.02000000000001</v>
      </c>
      <c r="G680" s="345" t="s">
        <v>365</v>
      </c>
      <c r="L680" s="347">
        <v>111.03</v>
      </c>
      <c r="M680" s="347" t="s">
        <v>337</v>
      </c>
      <c r="V680" s="345">
        <v>611</v>
      </c>
      <c r="W680" s="345" t="s">
        <v>310</v>
      </c>
      <c r="AB680" s="347">
        <v>79.09</v>
      </c>
      <c r="AC680" s="347" t="s">
        <v>361</v>
      </c>
      <c r="AD680" s="1138"/>
      <c r="AJ680" s="345">
        <v>306.02</v>
      </c>
      <c r="AK680" s="345" t="s">
        <v>362</v>
      </c>
      <c r="AP680" s="347">
        <v>27.01</v>
      </c>
      <c r="AQ680" s="347" t="s">
        <v>325</v>
      </c>
      <c r="AZ680" s="345">
        <v>310.06</v>
      </c>
      <c r="BA680" s="345" t="s">
        <v>362</v>
      </c>
      <c r="BF680" s="347">
        <v>63.04</v>
      </c>
      <c r="BG680" s="347" t="s">
        <v>352</v>
      </c>
      <c r="BH680" s="1790"/>
      <c r="BN680" s="345">
        <v>1103.67</v>
      </c>
      <c r="BO680" s="345" t="s">
        <v>310</v>
      </c>
      <c r="BT680" s="347">
        <v>11.04</v>
      </c>
      <c r="BU680" s="347" t="s">
        <v>325</v>
      </c>
      <c r="BW680" s="348" t="str">
        <f t="array" ref="BW680">IFERROR(IF($BW$11="Metro",INDEX($BN$13:$BN$4972,SMALL(IF((County=$BO$13:$BO$4972),MATCH(ROW($BO$13:$BO$4972),ROW($BO$13:$BO$4972)),""),ROWS($A$13:$A680))),INDEX($BQ$13:$BQ$212,SMALL(IF((County=$BR$13:$BR$212),MATCH(ROW($BR$13:$BR$212),ROW($BR$13:$BR$212)),""),ROWS($A$13:$A680)))),"")</f>
        <v/>
      </c>
      <c r="CD680" s="237">
        <v>19.170000000000002</v>
      </c>
      <c r="CE680" s="237" t="s">
        <v>361</v>
      </c>
      <c r="CJ680" s="347">
        <v>65.040000000000006</v>
      </c>
      <c r="CK680" s="347" t="s">
        <v>352</v>
      </c>
      <c r="CL680" s="1789"/>
      <c r="CR680" s="345"/>
      <c r="CS680" s="345"/>
      <c r="CX680" s="347"/>
      <c r="CY680" s="347"/>
      <c r="DA680" s="348"/>
      <c r="DH680" s="237"/>
      <c r="DI680" s="237"/>
      <c r="DN680" s="347"/>
      <c r="DO680" s="347"/>
      <c r="DP680" s="2505"/>
      <c r="DT680" s="663"/>
      <c r="DU680" s="663"/>
      <c r="DV680" s="663"/>
      <c r="DW680" s="663"/>
      <c r="DX680" s="663"/>
      <c r="DY680" s="663"/>
      <c r="DZ680" s="663"/>
      <c r="EA680" s="663"/>
      <c r="EB680" s="663"/>
      <c r="EC680" s="663"/>
      <c r="ED680" s="663"/>
    </row>
    <row r="681" spans="6:134">
      <c r="F681" s="345">
        <v>131.02000000000001</v>
      </c>
      <c r="G681" s="345" t="s">
        <v>365</v>
      </c>
      <c r="L681" s="347">
        <v>111.06</v>
      </c>
      <c r="M681" s="347" t="s">
        <v>337</v>
      </c>
      <c r="V681" s="345">
        <v>623.01</v>
      </c>
      <c r="W681" s="345" t="s">
        <v>309</v>
      </c>
      <c r="AB681" s="347">
        <v>79.099999999999994</v>
      </c>
      <c r="AC681" s="347" t="s">
        <v>361</v>
      </c>
      <c r="AD681" s="1138"/>
      <c r="AJ681" s="345">
        <v>308</v>
      </c>
      <c r="AK681" s="345" t="s">
        <v>362</v>
      </c>
      <c r="AP681" s="347">
        <v>28.02</v>
      </c>
      <c r="AQ681" s="347" t="s">
        <v>325</v>
      </c>
      <c r="AZ681" s="345">
        <v>310.07</v>
      </c>
      <c r="BA681" s="345" t="s">
        <v>362</v>
      </c>
      <c r="BF681" s="347">
        <v>64</v>
      </c>
      <c r="BG681" s="347" t="s">
        <v>337</v>
      </c>
      <c r="BH681" s="1790"/>
      <c r="BN681" s="345">
        <v>1103.68</v>
      </c>
      <c r="BO681" s="345" t="s">
        <v>310</v>
      </c>
      <c r="BT681" s="347">
        <v>12.01</v>
      </c>
      <c r="BU681" s="347" t="s">
        <v>325</v>
      </c>
      <c r="BW681" s="348" t="str">
        <f t="array" ref="BW681">IFERROR(IF($BW$11="Metro",INDEX($BN$13:$BN$4972,SMALL(IF((County=$BO$13:$BO$4972),MATCH(ROW($BO$13:$BO$4972),ROW($BO$13:$BO$4972)),""),ROWS($A$13:$A681))),INDEX($BQ$13:$BQ$212,SMALL(IF((County=$BR$13:$BR$212),MATCH(ROW($BR$13:$BR$212),ROW($BR$13:$BR$212)),""),ROWS($A$13:$A681)))),"")</f>
        <v/>
      </c>
      <c r="CD681" s="237">
        <v>19.18</v>
      </c>
      <c r="CE681" s="237" t="s">
        <v>344</v>
      </c>
      <c r="CJ681" s="347">
        <v>66</v>
      </c>
      <c r="CK681" s="347" t="s">
        <v>337</v>
      </c>
      <c r="CL681" s="1789"/>
      <c r="CR681" s="345"/>
      <c r="CS681" s="345"/>
      <c r="CX681" s="347"/>
      <c r="CY681" s="347"/>
      <c r="DA681" s="348"/>
      <c r="DH681" s="237"/>
      <c r="DI681" s="237"/>
      <c r="DN681" s="347"/>
      <c r="DO681" s="347"/>
      <c r="DP681" s="2505"/>
      <c r="DT681" s="663"/>
      <c r="DU681" s="663"/>
      <c r="DV681" s="663"/>
      <c r="DW681" s="663"/>
      <c r="DX681" s="663"/>
      <c r="DY681" s="663"/>
      <c r="DZ681" s="663"/>
      <c r="EA681" s="663"/>
      <c r="EB681" s="663"/>
      <c r="EC681" s="663"/>
      <c r="ED681" s="663"/>
    </row>
    <row r="682" spans="6:134">
      <c r="F682" s="345">
        <v>131.03</v>
      </c>
      <c r="G682" s="345" t="s">
        <v>365</v>
      </c>
      <c r="L682" s="347">
        <v>111.07</v>
      </c>
      <c r="M682" s="347" t="s">
        <v>337</v>
      </c>
      <c r="V682" s="345">
        <v>623.02</v>
      </c>
      <c r="W682" s="345" t="s">
        <v>309</v>
      </c>
      <c r="AB682" s="347">
        <v>79.12</v>
      </c>
      <c r="AC682" s="347" t="s">
        <v>361</v>
      </c>
      <c r="AD682" s="1138"/>
      <c r="AJ682" s="345">
        <v>309.01</v>
      </c>
      <c r="AK682" s="345" t="s">
        <v>362</v>
      </c>
      <c r="AP682" s="347">
        <v>28.04</v>
      </c>
      <c r="AQ682" s="347" t="s">
        <v>325</v>
      </c>
      <c r="AZ682" s="345">
        <v>310.08</v>
      </c>
      <c r="BA682" s="345" t="s">
        <v>362</v>
      </c>
      <c r="BF682" s="347">
        <v>64.010000000000005</v>
      </c>
      <c r="BG682" s="347" t="s">
        <v>361</v>
      </c>
      <c r="BH682" s="1790"/>
      <c r="BN682" s="345">
        <v>1104.02</v>
      </c>
      <c r="BO682" s="345" t="s">
        <v>310</v>
      </c>
      <c r="BT682" s="347">
        <v>14.01</v>
      </c>
      <c r="BU682" s="347" t="s">
        <v>325</v>
      </c>
      <c r="BW682" s="348" t="str">
        <f t="array" ref="BW682">IFERROR(IF($BW$11="Metro",INDEX($BN$13:$BN$4972,SMALL(IF((County=$BO$13:$BO$4972),MATCH(ROW($BO$13:$BO$4972),ROW($BO$13:$BO$4972)),""),ROWS($A$13:$A682))),INDEX($BQ$13:$BQ$212,SMALL(IF((County=$BR$13:$BR$212),MATCH(ROW($BR$13:$BR$212),ROW($BR$13:$BR$212)),""),ROWS($A$13:$A682)))),"")</f>
        <v/>
      </c>
      <c r="CD682" s="237">
        <v>19.18</v>
      </c>
      <c r="CE682" s="237" t="s">
        <v>361</v>
      </c>
      <c r="CJ682" s="347">
        <v>66.02</v>
      </c>
      <c r="CK682" s="347" t="s">
        <v>361</v>
      </c>
      <c r="CL682" s="1789"/>
      <c r="CR682" s="345"/>
      <c r="CS682" s="345"/>
      <c r="CX682" s="347"/>
      <c r="CY682" s="347"/>
      <c r="DA682" s="348"/>
      <c r="DH682" s="237"/>
      <c r="DI682" s="237"/>
      <c r="DN682" s="347"/>
      <c r="DO682" s="347"/>
      <c r="DP682" s="2505"/>
      <c r="DT682" s="663"/>
      <c r="DU682" s="663"/>
      <c r="DV682" s="663"/>
      <c r="DW682" s="663"/>
      <c r="DX682" s="663"/>
      <c r="DY682" s="663"/>
      <c r="DZ682" s="663"/>
      <c r="EA682" s="663"/>
      <c r="EB682" s="663"/>
      <c r="EC682" s="663"/>
      <c r="ED682" s="663"/>
    </row>
    <row r="683" spans="6:134">
      <c r="F683" s="345">
        <v>132</v>
      </c>
      <c r="G683" s="345" t="s">
        <v>365</v>
      </c>
      <c r="L683" s="347">
        <v>111.08</v>
      </c>
      <c r="M683" s="347" t="s">
        <v>337</v>
      </c>
      <c r="V683" s="345">
        <v>624</v>
      </c>
      <c r="W683" s="345" t="s">
        <v>309</v>
      </c>
      <c r="AB683" s="347">
        <v>80</v>
      </c>
      <c r="AC683" s="347" t="s">
        <v>352</v>
      </c>
      <c r="AD683" s="1138"/>
      <c r="AJ683" s="345">
        <v>310.05</v>
      </c>
      <c r="AK683" s="345" t="s">
        <v>362</v>
      </c>
      <c r="AP683" s="347">
        <v>33.01</v>
      </c>
      <c r="AQ683" s="347" t="s">
        <v>325</v>
      </c>
      <c r="AZ683" s="345">
        <v>310.08999999999997</v>
      </c>
      <c r="BA683" s="345" t="s">
        <v>362</v>
      </c>
      <c r="BF683" s="347">
        <v>64.02</v>
      </c>
      <c r="BG683" s="347" t="s">
        <v>352</v>
      </c>
      <c r="BH683" s="1790"/>
      <c r="BN683" s="345">
        <v>1104.03</v>
      </c>
      <c r="BO683" s="345" t="s">
        <v>310</v>
      </c>
      <c r="BT683" s="347">
        <v>23</v>
      </c>
      <c r="BU683" s="347" t="s">
        <v>325</v>
      </c>
      <c r="BW683" s="348" t="str">
        <f t="array" ref="BW683">IFERROR(IF($BW$11="Metro",INDEX($BN$13:$BN$4972,SMALL(IF((County=$BO$13:$BO$4972),MATCH(ROW($BO$13:$BO$4972),ROW($BO$13:$BO$4972)),""),ROWS($A$13:$A683))),INDEX($BQ$13:$BQ$212,SMALL(IF((County=$BR$13:$BR$212),MATCH(ROW($BR$13:$BR$212),ROW($BR$13:$BR$212)),""),ROWS($A$13:$A683)))),"")</f>
        <v/>
      </c>
      <c r="CD683" s="237">
        <v>19.190000000000001</v>
      </c>
      <c r="CE683" s="237" t="s">
        <v>344</v>
      </c>
      <c r="CJ683" s="347">
        <v>66.03</v>
      </c>
      <c r="CK683" s="347" t="s">
        <v>352</v>
      </c>
      <c r="CL683" s="1789"/>
      <c r="CR683" s="345"/>
      <c r="CS683" s="345"/>
      <c r="CX683" s="347"/>
      <c r="CY683" s="347"/>
      <c r="DA683" s="348"/>
      <c r="DH683" s="237"/>
      <c r="DI683" s="237"/>
      <c r="DN683" s="347"/>
      <c r="DO683" s="347"/>
      <c r="DP683" s="2505"/>
      <c r="DT683" s="663"/>
      <c r="DU683" s="663"/>
      <c r="DV683" s="663"/>
      <c r="DW683" s="663"/>
      <c r="DX683" s="663"/>
      <c r="DY683" s="663"/>
      <c r="DZ683" s="663"/>
      <c r="EA683" s="663"/>
      <c r="EB683" s="663"/>
      <c r="EC683" s="663"/>
      <c r="ED683" s="663"/>
    </row>
    <row r="684" spans="6:134">
      <c r="F684" s="345">
        <v>133</v>
      </c>
      <c r="G684" s="345" t="s">
        <v>365</v>
      </c>
      <c r="L684" s="347">
        <v>111.09</v>
      </c>
      <c r="M684" s="347" t="s">
        <v>337</v>
      </c>
      <c r="V684" s="345">
        <v>625</v>
      </c>
      <c r="W684" s="345" t="s">
        <v>309</v>
      </c>
      <c r="AB684" s="347">
        <v>81.010000000000005</v>
      </c>
      <c r="AC684" s="347" t="s">
        <v>352</v>
      </c>
      <c r="AD684" s="1138"/>
      <c r="AJ684" s="345">
        <v>310.06</v>
      </c>
      <c r="AK684" s="345" t="s">
        <v>362</v>
      </c>
      <c r="AP684" s="347">
        <v>33.049999999999997</v>
      </c>
      <c r="AQ684" s="347" t="s">
        <v>325</v>
      </c>
      <c r="AZ684" s="345">
        <v>310.10000000000002</v>
      </c>
      <c r="BA684" s="345" t="s">
        <v>362</v>
      </c>
      <c r="BF684" s="347">
        <v>64.02</v>
      </c>
      <c r="BG684" s="347" t="s">
        <v>361</v>
      </c>
      <c r="BH684" s="1790"/>
      <c r="BN684" s="345">
        <v>1104.04</v>
      </c>
      <c r="BO684" s="345" t="s">
        <v>310</v>
      </c>
      <c r="BT684" s="347">
        <v>24</v>
      </c>
      <c r="BU684" s="347" t="s">
        <v>325</v>
      </c>
      <c r="BW684" s="348" t="str">
        <f t="array" ref="BW684">IFERROR(IF($BW$11="Metro",INDEX($BN$13:$BN$4972,SMALL(IF((County=$BO$13:$BO$4972),MATCH(ROW($BO$13:$BO$4972),ROW($BO$13:$BO$4972)),""),ROWS($A$13:$A684))),INDEX($BQ$13:$BQ$212,SMALL(IF((County=$BR$13:$BR$212),MATCH(ROW($BR$13:$BR$212),ROW($BR$13:$BR$212)),""),ROWS($A$13:$A684)))),"")</f>
        <v/>
      </c>
      <c r="CD684" s="237">
        <v>19.190000000000001</v>
      </c>
      <c r="CE684" s="237" t="s">
        <v>361</v>
      </c>
      <c r="CJ684" s="347">
        <v>66.040000000000006</v>
      </c>
      <c r="CK684" s="347" t="s">
        <v>352</v>
      </c>
      <c r="CL684" s="1789"/>
      <c r="CR684" s="345"/>
      <c r="CS684" s="345"/>
      <c r="CX684" s="347"/>
      <c r="CY684" s="347"/>
      <c r="DA684" s="348"/>
      <c r="DH684" s="237"/>
      <c r="DI684" s="237"/>
      <c r="DN684" s="347"/>
      <c r="DO684" s="347"/>
      <c r="DP684" s="2505"/>
      <c r="DT684" s="663"/>
      <c r="DU684" s="663"/>
      <c r="DV684" s="663"/>
      <c r="DW684" s="663"/>
      <c r="DX684" s="663"/>
      <c r="DY684" s="663"/>
      <c r="DZ684" s="663"/>
      <c r="EA684" s="663"/>
      <c r="EB684" s="663"/>
      <c r="EC684" s="663"/>
      <c r="ED684" s="663"/>
    </row>
    <row r="685" spans="6:134">
      <c r="F685" s="345">
        <v>134</v>
      </c>
      <c r="G685" s="345" t="s">
        <v>365</v>
      </c>
      <c r="L685" s="347">
        <v>112.03</v>
      </c>
      <c r="M685" s="347" t="s">
        <v>337</v>
      </c>
      <c r="V685" s="345">
        <v>626</v>
      </c>
      <c r="W685" s="345" t="s">
        <v>309</v>
      </c>
      <c r="AB685" s="347">
        <v>81.02</v>
      </c>
      <c r="AC685" s="347" t="s">
        <v>352</v>
      </c>
      <c r="AD685" s="1138"/>
      <c r="AJ685" s="345">
        <v>310.07</v>
      </c>
      <c r="AK685" s="345" t="s">
        <v>362</v>
      </c>
      <c r="AP685" s="347">
        <v>33.1</v>
      </c>
      <c r="AQ685" s="347" t="s">
        <v>325</v>
      </c>
      <c r="AZ685" s="345">
        <v>310.11</v>
      </c>
      <c r="BA685" s="345" t="s">
        <v>362</v>
      </c>
      <c r="BF685" s="347">
        <v>65.010000000000005</v>
      </c>
      <c r="BG685" s="347" t="s">
        <v>352</v>
      </c>
      <c r="BH685" s="1790"/>
      <c r="BN685" s="345">
        <v>1105.01</v>
      </c>
      <c r="BO685" s="345" t="s">
        <v>310</v>
      </c>
      <c r="BT685" s="347">
        <v>25</v>
      </c>
      <c r="BU685" s="347" t="s">
        <v>325</v>
      </c>
      <c r="BW685" s="348" t="str">
        <f t="array" ref="BW685">IFERROR(IF($BW$11="Metro",INDEX($BN$13:$BN$4972,SMALL(IF((County=$BO$13:$BO$4972),MATCH(ROW($BO$13:$BO$4972),ROW($BO$13:$BO$4972)),""),ROWS($A$13:$A685))),INDEX($BQ$13:$BQ$212,SMALL(IF((County=$BR$13:$BR$212),MATCH(ROW($BR$13:$BR$212),ROW($BR$13:$BR$212)),""),ROWS($A$13:$A685)))),"")</f>
        <v/>
      </c>
      <c r="CD685" s="237">
        <v>19.2</v>
      </c>
      <c r="CE685" s="237" t="s">
        <v>344</v>
      </c>
      <c r="CJ685" s="347">
        <v>66.05</v>
      </c>
      <c r="CK685" s="347" t="s">
        <v>352</v>
      </c>
      <c r="CL685" s="1789"/>
      <c r="CR685" s="345"/>
      <c r="CS685" s="345"/>
      <c r="CX685" s="347"/>
      <c r="CY685" s="347"/>
      <c r="DA685" s="348"/>
      <c r="DH685" s="237"/>
      <c r="DI685" s="237"/>
      <c r="DN685" s="347"/>
      <c r="DO685" s="347"/>
      <c r="DP685" s="2505"/>
      <c r="DT685" s="663"/>
      <c r="DU685" s="663"/>
      <c r="DV685" s="663"/>
      <c r="DW685" s="663"/>
      <c r="DX685" s="663"/>
      <c r="DY685" s="663"/>
      <c r="DZ685" s="663"/>
      <c r="EA685" s="663"/>
      <c r="EB685" s="663"/>
      <c r="EC685" s="663"/>
      <c r="ED685" s="663"/>
    </row>
    <row r="686" spans="6:134">
      <c r="F686" s="345">
        <v>136</v>
      </c>
      <c r="G686" s="345" t="s">
        <v>365</v>
      </c>
      <c r="L686" s="347">
        <v>112.05</v>
      </c>
      <c r="M686" s="347" t="s">
        <v>337</v>
      </c>
      <c r="V686" s="345">
        <v>645</v>
      </c>
      <c r="W686" s="345" t="s">
        <v>309</v>
      </c>
      <c r="AB686" s="347">
        <v>82.02</v>
      </c>
      <c r="AC686" s="347" t="s">
        <v>352</v>
      </c>
      <c r="AD686" s="1138"/>
      <c r="AJ686" s="345">
        <v>310.08</v>
      </c>
      <c r="AK686" s="345" t="s">
        <v>362</v>
      </c>
      <c r="AP686" s="347">
        <v>33.11</v>
      </c>
      <c r="AQ686" s="347" t="s">
        <v>325</v>
      </c>
      <c r="AZ686" s="345">
        <v>312.06</v>
      </c>
      <c r="BA686" s="345" t="s">
        <v>362</v>
      </c>
      <c r="BF686" s="347">
        <v>65.02</v>
      </c>
      <c r="BG686" s="347" t="s">
        <v>361</v>
      </c>
      <c r="BH686" s="1790"/>
      <c r="BN686" s="345">
        <v>1105.02</v>
      </c>
      <c r="BO686" s="345" t="s">
        <v>310</v>
      </c>
      <c r="BT686" s="347">
        <v>26.01</v>
      </c>
      <c r="BU686" s="347" t="s">
        <v>325</v>
      </c>
      <c r="BW686" s="348" t="str">
        <f t="array" ref="BW686">IFERROR(IF($BW$11="Metro",INDEX($BN$13:$BN$4972,SMALL(IF((County=$BO$13:$BO$4972),MATCH(ROW($BO$13:$BO$4972),ROW($BO$13:$BO$4972)),""),ROWS($A$13:$A686))),INDEX($BQ$13:$BQ$212,SMALL(IF((County=$BR$13:$BR$212),MATCH(ROW($BR$13:$BR$212),ROW($BR$13:$BR$212)),""),ROWS($A$13:$A686)))),"")</f>
        <v/>
      </c>
      <c r="CD686" s="237">
        <v>19.2</v>
      </c>
      <c r="CE686" s="237" t="s">
        <v>361</v>
      </c>
      <c r="CJ686" s="347">
        <v>66.069999999999993</v>
      </c>
      <c r="CK686" s="347" t="s">
        <v>352</v>
      </c>
      <c r="CL686" s="1789"/>
      <c r="CR686" s="345"/>
      <c r="CS686" s="345"/>
      <c r="CX686" s="347"/>
      <c r="CY686" s="347"/>
      <c r="DA686" s="348"/>
      <c r="DH686" s="237"/>
      <c r="DI686" s="237"/>
      <c r="DN686" s="347"/>
      <c r="DO686" s="347"/>
      <c r="DP686" s="2505"/>
      <c r="DT686" s="663"/>
      <c r="DU686" s="663"/>
      <c r="DV686" s="663"/>
      <c r="DW686" s="663"/>
      <c r="DX686" s="663"/>
      <c r="DY686" s="663"/>
      <c r="DZ686" s="663"/>
      <c r="EA686" s="663"/>
      <c r="EB686" s="663"/>
      <c r="EC686" s="663"/>
      <c r="ED686" s="663"/>
    </row>
    <row r="687" spans="6:134">
      <c r="F687" s="345">
        <v>137.01</v>
      </c>
      <c r="G687" s="345" t="s">
        <v>365</v>
      </c>
      <c r="L687" s="347">
        <v>113.01</v>
      </c>
      <c r="M687" s="347" t="s">
        <v>337</v>
      </c>
      <c r="V687" s="345">
        <v>647</v>
      </c>
      <c r="W687" s="345" t="s">
        <v>309</v>
      </c>
      <c r="AB687" s="347">
        <v>82.05</v>
      </c>
      <c r="AC687" s="347" t="s">
        <v>352</v>
      </c>
      <c r="AD687" s="1138"/>
      <c r="AJ687" s="345">
        <v>310.08999999999997</v>
      </c>
      <c r="AK687" s="345" t="s">
        <v>362</v>
      </c>
      <c r="AP687" s="347">
        <v>35.06</v>
      </c>
      <c r="AQ687" s="347" t="s">
        <v>325</v>
      </c>
      <c r="AZ687" s="345">
        <v>314.06</v>
      </c>
      <c r="BA687" s="345" t="s">
        <v>362</v>
      </c>
      <c r="BF687" s="347">
        <v>65.03</v>
      </c>
      <c r="BG687" s="347" t="s">
        <v>337</v>
      </c>
      <c r="BH687" s="1790"/>
      <c r="BN687" s="345">
        <v>1106</v>
      </c>
      <c r="BO687" s="345" t="s">
        <v>310</v>
      </c>
      <c r="BT687" s="347">
        <v>26.02</v>
      </c>
      <c r="BU687" s="347" t="s">
        <v>325</v>
      </c>
      <c r="BW687" s="348" t="str">
        <f t="array" ref="BW687">IFERROR(IF($BW$11="Metro",INDEX($BN$13:$BN$4972,SMALL(IF((County=$BO$13:$BO$4972),MATCH(ROW($BO$13:$BO$4972),ROW($BO$13:$BO$4972)),""),ROWS($A$13:$A687))),INDEX($BQ$13:$BQ$212,SMALL(IF((County=$BR$13:$BR$212),MATCH(ROW($BR$13:$BR$212),ROW($BR$13:$BR$212)),""),ROWS($A$13:$A687)))),"")</f>
        <v/>
      </c>
      <c r="CD687" s="237">
        <v>19.21</v>
      </c>
      <c r="CE687" s="237" t="s">
        <v>344</v>
      </c>
      <c r="CJ687" s="347">
        <v>66.069999999999993</v>
      </c>
      <c r="CK687" s="347" t="s">
        <v>361</v>
      </c>
      <c r="CL687" s="1789"/>
      <c r="CR687" s="345"/>
      <c r="CS687" s="345"/>
      <c r="CX687" s="347"/>
      <c r="CY687" s="347"/>
      <c r="DA687" s="348"/>
      <c r="DH687" s="237"/>
      <c r="DI687" s="237"/>
      <c r="DN687" s="347"/>
      <c r="DO687" s="347"/>
      <c r="DP687" s="2505"/>
      <c r="DT687" s="663"/>
      <c r="DU687" s="663"/>
      <c r="DV687" s="663"/>
      <c r="DW687" s="663"/>
      <c r="DX687" s="663"/>
      <c r="DY687" s="663"/>
      <c r="DZ687" s="663"/>
      <c r="EA687" s="663"/>
      <c r="EB687" s="663"/>
      <c r="EC687" s="663"/>
      <c r="ED687" s="663"/>
    </row>
    <row r="688" spans="6:134">
      <c r="F688" s="345">
        <v>141.21</v>
      </c>
      <c r="G688" s="345" t="s">
        <v>365</v>
      </c>
      <c r="L688" s="347">
        <v>113.03</v>
      </c>
      <c r="M688" s="347" t="s">
        <v>337</v>
      </c>
      <c r="V688" s="345">
        <v>649.02</v>
      </c>
      <c r="W688" s="345" t="s">
        <v>309</v>
      </c>
      <c r="AB688" s="347">
        <v>82.06</v>
      </c>
      <c r="AC688" s="347" t="s">
        <v>352</v>
      </c>
      <c r="AD688" s="1138"/>
      <c r="AJ688" s="345">
        <v>310.10000000000002</v>
      </c>
      <c r="AK688" s="345" t="s">
        <v>362</v>
      </c>
      <c r="AP688" s="347">
        <v>35.07</v>
      </c>
      <c r="AQ688" s="347" t="s">
        <v>325</v>
      </c>
      <c r="AZ688" s="345">
        <v>314.12</v>
      </c>
      <c r="BA688" s="345" t="s">
        <v>362</v>
      </c>
      <c r="BF688" s="347">
        <v>65.03</v>
      </c>
      <c r="BG688" s="347" t="s">
        <v>352</v>
      </c>
      <c r="BH688" s="1790"/>
      <c r="BN688" s="345">
        <v>9800</v>
      </c>
      <c r="BO688" s="345" t="s">
        <v>310</v>
      </c>
      <c r="BT688" s="347">
        <v>26.04</v>
      </c>
      <c r="BU688" s="347" t="s">
        <v>325</v>
      </c>
      <c r="BW688" s="348" t="str">
        <f t="array" ref="BW688">IFERROR(IF($BW$11="Metro",INDEX($BN$13:$BN$4972,SMALL(IF((County=$BO$13:$BO$4972),MATCH(ROW($BO$13:$BO$4972),ROW($BO$13:$BO$4972)),""),ROWS($A$13:$A688))),INDEX($BQ$13:$BQ$212,SMALL(IF((County=$BR$13:$BR$212),MATCH(ROW($BR$13:$BR$212),ROW($BR$13:$BR$212)),""),ROWS($A$13:$A688)))),"")</f>
        <v/>
      </c>
      <c r="CD688" s="237">
        <v>19.21</v>
      </c>
      <c r="CE688" s="237" t="s">
        <v>361</v>
      </c>
      <c r="CJ688" s="347">
        <v>66.08</v>
      </c>
      <c r="CK688" s="347" t="s">
        <v>352</v>
      </c>
      <c r="CL688" s="1789"/>
      <c r="CR688" s="345"/>
      <c r="CS688" s="345"/>
      <c r="CX688" s="347"/>
      <c r="CY688" s="347"/>
      <c r="DA688" s="348"/>
      <c r="DH688" s="237"/>
      <c r="DI688" s="237"/>
      <c r="DN688" s="347"/>
      <c r="DO688" s="347"/>
      <c r="DP688" s="2505"/>
      <c r="DT688" s="663"/>
      <c r="DU688" s="663"/>
      <c r="DV688" s="663"/>
      <c r="DW688" s="663"/>
      <c r="DX688" s="663"/>
      <c r="DY688" s="663"/>
      <c r="DZ688" s="663"/>
      <c r="EA688" s="663"/>
      <c r="EB688" s="663"/>
      <c r="EC688" s="663"/>
      <c r="ED688" s="663"/>
    </row>
    <row r="689" spans="6:134">
      <c r="F689" s="345">
        <v>143.01</v>
      </c>
      <c r="G689" s="345" t="s">
        <v>365</v>
      </c>
      <c r="L689" s="347">
        <v>113.04</v>
      </c>
      <c r="M689" s="347" t="s">
        <v>337</v>
      </c>
      <c r="V689" s="345">
        <v>651.24</v>
      </c>
      <c r="W689" s="345" t="s">
        <v>309</v>
      </c>
      <c r="AB689" s="347">
        <v>82.07</v>
      </c>
      <c r="AC689" s="347" t="s">
        <v>352</v>
      </c>
      <c r="AD689" s="1138"/>
      <c r="AJ689" s="345">
        <v>310.11</v>
      </c>
      <c r="AK689" s="345" t="s">
        <v>362</v>
      </c>
      <c r="AP689" s="347">
        <v>35.090000000000003</v>
      </c>
      <c r="AQ689" s="347" t="s">
        <v>325</v>
      </c>
      <c r="AZ689" s="345">
        <v>317.02999999999997</v>
      </c>
      <c r="BA689" s="345" t="s">
        <v>362</v>
      </c>
      <c r="BF689" s="347">
        <v>65.040000000000006</v>
      </c>
      <c r="BG689" s="347" t="s">
        <v>337</v>
      </c>
      <c r="BH689" s="1790"/>
      <c r="BN689" s="345">
        <v>9900</v>
      </c>
      <c r="BO689" s="345" t="s">
        <v>310</v>
      </c>
      <c r="BT689" s="347">
        <v>26.05</v>
      </c>
      <c r="BU689" s="347" t="s">
        <v>325</v>
      </c>
      <c r="BW689" s="348" t="str">
        <f t="array" ref="BW689">IFERROR(IF($BW$11="Metro",INDEX($BN$13:$BN$4972,SMALL(IF((County=$BO$13:$BO$4972),MATCH(ROW($BO$13:$BO$4972),ROW($BO$13:$BO$4972)),""),ROWS($A$13:$A689))),INDEX($BQ$13:$BQ$212,SMALL(IF((County=$BR$13:$BR$212),MATCH(ROW($BR$13:$BR$212),ROW($BR$13:$BR$212)),""),ROWS($A$13:$A689)))),"")</f>
        <v/>
      </c>
      <c r="CD689" s="237">
        <v>19.22</v>
      </c>
      <c r="CE689" s="237" t="s">
        <v>344</v>
      </c>
      <c r="CJ689" s="347">
        <v>67</v>
      </c>
      <c r="CK689" s="347" t="s">
        <v>337</v>
      </c>
      <c r="CL689" s="1789"/>
      <c r="CR689" s="345"/>
      <c r="CS689" s="345"/>
      <c r="CX689" s="347"/>
      <c r="CY689" s="347"/>
      <c r="DA689" s="348"/>
      <c r="DH689" s="237"/>
      <c r="DI689" s="237"/>
      <c r="DN689" s="347"/>
      <c r="DO689" s="347"/>
      <c r="DP689" s="2505"/>
      <c r="DT689" s="663"/>
      <c r="DU689" s="663"/>
      <c r="DV689" s="663"/>
      <c r="DW689" s="663"/>
      <c r="DX689" s="663"/>
      <c r="DY689" s="663"/>
      <c r="DZ689" s="663"/>
      <c r="EA689" s="663"/>
      <c r="EB689" s="663"/>
      <c r="EC689" s="663"/>
      <c r="ED689" s="663"/>
    </row>
    <row r="690" spans="6:134">
      <c r="F690" s="345">
        <v>145.02000000000001</v>
      </c>
      <c r="G690" s="345" t="s">
        <v>365</v>
      </c>
      <c r="L690" s="347">
        <v>114.07</v>
      </c>
      <c r="M690" s="347" t="s">
        <v>337</v>
      </c>
      <c r="V690" s="345">
        <v>699.02</v>
      </c>
      <c r="W690" s="345" t="s">
        <v>309</v>
      </c>
      <c r="AB690" s="347">
        <v>82.08</v>
      </c>
      <c r="AC690" s="347" t="s">
        <v>352</v>
      </c>
      <c r="AD690" s="1138"/>
      <c r="AJ690" s="345">
        <v>312.06</v>
      </c>
      <c r="AK690" s="345" t="s">
        <v>362</v>
      </c>
      <c r="AP690" s="347">
        <v>35.11</v>
      </c>
      <c r="AQ690" s="347" t="s">
        <v>325</v>
      </c>
      <c r="AZ690" s="345">
        <v>318.06</v>
      </c>
      <c r="BA690" s="345" t="s">
        <v>362</v>
      </c>
      <c r="BF690" s="347">
        <v>65.040000000000006</v>
      </c>
      <c r="BG690" s="347" t="s">
        <v>352</v>
      </c>
      <c r="BH690" s="1790"/>
      <c r="BN690" s="345">
        <v>101</v>
      </c>
      <c r="BO690" s="345" t="s">
        <v>315</v>
      </c>
      <c r="BT690" s="347">
        <v>26.06</v>
      </c>
      <c r="BU690" s="347" t="s">
        <v>325</v>
      </c>
      <c r="BW690" s="348" t="str">
        <f t="array" ref="BW690">IFERROR(IF($BW$11="Metro",INDEX($BN$13:$BN$4972,SMALL(IF((County=$BO$13:$BO$4972),MATCH(ROW($BO$13:$BO$4972),ROW($BO$13:$BO$4972)),""),ROWS($A$13:$A690))),INDEX($BQ$13:$BQ$212,SMALL(IF((County=$BR$13:$BR$212),MATCH(ROW($BR$13:$BR$212),ROW($BR$13:$BR$212)),""),ROWS($A$13:$A690)))),"")</f>
        <v/>
      </c>
      <c r="CD690" s="237">
        <v>19.23</v>
      </c>
      <c r="CE690" s="237" t="s">
        <v>344</v>
      </c>
      <c r="CJ690" s="347">
        <v>67.05</v>
      </c>
      <c r="CK690" s="347" t="s">
        <v>352</v>
      </c>
      <c r="CL690" s="1789"/>
      <c r="CR690" s="345"/>
      <c r="CS690" s="345"/>
      <c r="CX690" s="347"/>
      <c r="CY690" s="347"/>
      <c r="DA690" s="348"/>
      <c r="DH690" s="237"/>
      <c r="DI690" s="237"/>
      <c r="DN690" s="347"/>
      <c r="DO690" s="347"/>
      <c r="DP690" s="2505"/>
      <c r="DT690" s="663"/>
      <c r="DU690" s="663"/>
      <c r="DV690" s="663"/>
      <c r="DW690" s="663"/>
      <c r="DX690" s="663"/>
      <c r="DY690" s="663"/>
      <c r="DZ690" s="663"/>
      <c r="EA690" s="663"/>
      <c r="EB690" s="663"/>
      <c r="EC690" s="663"/>
      <c r="ED690" s="663"/>
    </row>
    <row r="691" spans="6:134">
      <c r="F691" s="345">
        <v>149.02000000000001</v>
      </c>
      <c r="G691" s="345" t="s">
        <v>365</v>
      </c>
      <c r="L691" s="347">
        <v>114.08</v>
      </c>
      <c r="M691" s="347" t="s">
        <v>337</v>
      </c>
      <c r="V691" s="345">
        <v>805</v>
      </c>
      <c r="W691" s="345" t="s">
        <v>310</v>
      </c>
      <c r="AB691" s="347">
        <v>82.09</v>
      </c>
      <c r="AC691" s="347" t="s">
        <v>352</v>
      </c>
      <c r="AD691" s="1138"/>
      <c r="AJ691" s="345">
        <v>314.06</v>
      </c>
      <c r="AK691" s="345" t="s">
        <v>362</v>
      </c>
      <c r="AP691" s="347">
        <v>35.119999999999997</v>
      </c>
      <c r="AQ691" s="347" t="s">
        <v>325</v>
      </c>
      <c r="AZ691" s="345">
        <v>318.07</v>
      </c>
      <c r="BA691" s="345" t="s">
        <v>362</v>
      </c>
      <c r="BF691" s="347">
        <v>66</v>
      </c>
      <c r="BG691" s="347" t="s">
        <v>337</v>
      </c>
      <c r="BH691" s="1790"/>
      <c r="BN691" s="345">
        <v>102</v>
      </c>
      <c r="BO691" s="345" t="s">
        <v>315</v>
      </c>
      <c r="BT691" s="347">
        <v>26.07</v>
      </c>
      <c r="BU691" s="347" t="s">
        <v>325</v>
      </c>
      <c r="BW691" s="348" t="str">
        <f t="array" ref="BW691">IFERROR(IF($BW$11="Metro",INDEX($BN$13:$BN$4972,SMALL(IF((County=$BO$13:$BO$4972),MATCH(ROW($BO$13:$BO$4972),ROW($BO$13:$BO$4972)),""),ROWS($A$13:$A691))),INDEX($BQ$13:$BQ$212,SMALL(IF((County=$BR$13:$BR$212),MATCH(ROW($BR$13:$BR$212),ROW($BR$13:$BR$212)),""),ROWS($A$13:$A691)))),"")</f>
        <v/>
      </c>
      <c r="CD691" s="345">
        <v>20</v>
      </c>
      <c r="CE691" s="345" t="s">
        <v>306</v>
      </c>
      <c r="CJ691" s="347">
        <v>67.06</v>
      </c>
      <c r="CK691" s="347" t="s">
        <v>352</v>
      </c>
      <c r="CL691" s="1789"/>
      <c r="CR691" s="345"/>
      <c r="CS691" s="345"/>
      <c r="CX691" s="347"/>
      <c r="CY691" s="347"/>
      <c r="DA691" s="348"/>
      <c r="DH691" s="237"/>
      <c r="DI691" s="237"/>
      <c r="DN691" s="347"/>
      <c r="DO691" s="347"/>
      <c r="DP691" s="2505"/>
      <c r="DT691" s="663"/>
      <c r="DU691" s="663"/>
      <c r="DV691" s="663"/>
      <c r="DW691" s="663"/>
      <c r="DX691" s="663"/>
      <c r="DY691" s="663"/>
      <c r="DZ691" s="663"/>
      <c r="EA691" s="663"/>
      <c r="EB691" s="663"/>
      <c r="EC691" s="663"/>
      <c r="ED691" s="663"/>
    </row>
    <row r="692" spans="6:134">
      <c r="F692" s="345">
        <v>152</v>
      </c>
      <c r="G692" s="345" t="s">
        <v>365</v>
      </c>
      <c r="L692" s="347">
        <v>114.09</v>
      </c>
      <c r="M692" s="347" t="s">
        <v>337</v>
      </c>
      <c r="V692" s="345">
        <v>809.01</v>
      </c>
      <c r="W692" s="345" t="s">
        <v>376</v>
      </c>
      <c r="AB692" s="347">
        <v>83.05</v>
      </c>
      <c r="AC692" s="347" t="s">
        <v>352</v>
      </c>
      <c r="AD692" s="1138"/>
      <c r="AJ692" s="345">
        <v>314.12</v>
      </c>
      <c r="AK692" s="345" t="s">
        <v>362</v>
      </c>
      <c r="AP692" s="347">
        <v>36.03</v>
      </c>
      <c r="AQ692" s="347" t="s">
        <v>325</v>
      </c>
      <c r="AZ692" s="345">
        <v>324.02</v>
      </c>
      <c r="BA692" s="345" t="s">
        <v>362</v>
      </c>
      <c r="BF692" s="347">
        <v>66.02</v>
      </c>
      <c r="BG692" s="347" t="s">
        <v>361</v>
      </c>
      <c r="BH692" s="1790"/>
      <c r="BN692" s="345">
        <v>103.01</v>
      </c>
      <c r="BO692" s="345" t="s">
        <v>315</v>
      </c>
      <c r="BT692" s="347">
        <v>28.04</v>
      </c>
      <c r="BU692" s="347" t="s">
        <v>325</v>
      </c>
      <c r="BW692" s="348" t="str">
        <f t="array" ref="BW692">IFERROR(IF($BW$11="Metro",INDEX($BN$13:$BN$4972,SMALL(IF((County=$BO$13:$BO$4972),MATCH(ROW($BO$13:$BO$4972),ROW($BO$13:$BO$4972)),""),ROWS($A$13:$A692))),INDEX($BQ$13:$BQ$212,SMALL(IF((County=$BR$13:$BR$212),MATCH(ROW($BR$13:$BR$212),ROW($BR$13:$BR$212)),""),ROWS($A$13:$A692)))),"")</f>
        <v/>
      </c>
      <c r="CD692" s="237">
        <v>20</v>
      </c>
      <c r="CE692" s="237" t="s">
        <v>325</v>
      </c>
      <c r="CJ692" s="347">
        <v>67.069999999999993</v>
      </c>
      <c r="CK692" s="347" t="s">
        <v>352</v>
      </c>
      <c r="CL692" s="1789"/>
      <c r="CR692" s="345"/>
      <c r="CS692" s="345"/>
      <c r="CX692" s="347"/>
      <c r="CY692" s="347"/>
      <c r="DA692" s="348"/>
      <c r="DH692" s="237"/>
      <c r="DI692" s="237"/>
      <c r="DN692" s="347"/>
      <c r="DO692" s="347"/>
      <c r="DP692" s="2505"/>
      <c r="DT692" s="663"/>
      <c r="DU692" s="663"/>
      <c r="DV692" s="663"/>
      <c r="DW692" s="663"/>
      <c r="DX692" s="663"/>
      <c r="DY692" s="663"/>
      <c r="DZ692" s="663"/>
      <c r="EA692" s="663"/>
      <c r="EB692" s="663"/>
      <c r="EC692" s="663"/>
      <c r="ED692" s="663"/>
    </row>
    <row r="693" spans="6:134">
      <c r="F693" s="345">
        <v>154.05000000000001</v>
      </c>
      <c r="G693" s="345" t="s">
        <v>365</v>
      </c>
      <c r="L693" s="347">
        <v>114.1</v>
      </c>
      <c r="M693" s="347" t="s">
        <v>337</v>
      </c>
      <c r="V693" s="345">
        <v>809.02</v>
      </c>
      <c r="W693" s="345" t="s">
        <v>376</v>
      </c>
      <c r="AB693" s="347">
        <v>83.08</v>
      </c>
      <c r="AC693" s="347" t="s">
        <v>352</v>
      </c>
      <c r="AD693" s="1138"/>
      <c r="AJ693" s="345">
        <v>317.02999999999997</v>
      </c>
      <c r="AK693" s="345" t="s">
        <v>362</v>
      </c>
      <c r="AP693" s="347">
        <v>36.08</v>
      </c>
      <c r="AQ693" s="347" t="s">
        <v>325</v>
      </c>
      <c r="AZ693" s="345">
        <v>326.01</v>
      </c>
      <c r="BA693" s="345" t="s">
        <v>362</v>
      </c>
      <c r="BF693" s="347">
        <v>66.05</v>
      </c>
      <c r="BG693" s="347" t="s">
        <v>352</v>
      </c>
      <c r="BH693" s="1790"/>
      <c r="BN693" s="345">
        <v>103.02</v>
      </c>
      <c r="BO693" s="345" t="s">
        <v>315</v>
      </c>
      <c r="BT693" s="347">
        <v>32.04</v>
      </c>
      <c r="BU693" s="347" t="s">
        <v>325</v>
      </c>
      <c r="BW693" s="348" t="str">
        <f t="array" ref="BW693">IFERROR(IF($BW$11="Metro",INDEX($BN$13:$BN$4972,SMALL(IF((County=$BO$13:$BO$4972),MATCH(ROW($BO$13:$BO$4972),ROW($BO$13:$BO$4972)),""),ROWS($A$13:$A693))),INDEX($BQ$13:$BQ$212,SMALL(IF((County=$BR$13:$BR$212),MATCH(ROW($BR$13:$BR$212),ROW($BR$13:$BR$212)),""),ROWS($A$13:$A693)))),"")</f>
        <v/>
      </c>
      <c r="CD693" s="237">
        <v>20</v>
      </c>
      <c r="CE693" s="237" t="s">
        <v>337</v>
      </c>
      <c r="CJ693" s="347">
        <v>67.09</v>
      </c>
      <c r="CK693" s="347" t="s">
        <v>352</v>
      </c>
      <c r="CL693" s="1789"/>
      <c r="CR693" s="345"/>
      <c r="CS693" s="345"/>
      <c r="CX693" s="347"/>
      <c r="CY693" s="347"/>
      <c r="DA693" s="348"/>
      <c r="DH693" s="237"/>
      <c r="DI693" s="237"/>
      <c r="DN693" s="347"/>
      <c r="DO693" s="347"/>
      <c r="DP693" s="2505"/>
      <c r="DT693" s="663"/>
      <c r="DU693" s="663"/>
      <c r="DV693" s="663"/>
      <c r="DW693" s="663"/>
      <c r="DX693" s="663"/>
      <c r="DY693" s="663"/>
      <c r="DZ693" s="663"/>
      <c r="EA693" s="663"/>
      <c r="EB693" s="663"/>
      <c r="EC693" s="663"/>
      <c r="ED693" s="663"/>
    </row>
    <row r="694" spans="6:134">
      <c r="F694" s="345">
        <v>155</v>
      </c>
      <c r="G694" s="345" t="s">
        <v>365</v>
      </c>
      <c r="L694" s="347">
        <v>114.11</v>
      </c>
      <c r="M694" s="347" t="s">
        <v>337</v>
      </c>
      <c r="V694" s="345">
        <v>810</v>
      </c>
      <c r="W694" s="345" t="s">
        <v>376</v>
      </c>
      <c r="AB694" s="347">
        <v>84.05</v>
      </c>
      <c r="AC694" s="347" t="s">
        <v>352</v>
      </c>
      <c r="AD694" s="1138"/>
      <c r="AJ694" s="345">
        <v>318.06</v>
      </c>
      <c r="AK694" s="345" t="s">
        <v>362</v>
      </c>
      <c r="AP694" s="347">
        <v>36.090000000000003</v>
      </c>
      <c r="AQ694" s="347" t="s">
        <v>325</v>
      </c>
      <c r="AZ694" s="345">
        <v>326.02</v>
      </c>
      <c r="BA694" s="345" t="s">
        <v>362</v>
      </c>
      <c r="BF694" s="347">
        <v>66.06</v>
      </c>
      <c r="BG694" s="347" t="s">
        <v>361</v>
      </c>
      <c r="BH694" s="1790"/>
      <c r="BN694" s="345">
        <v>104.01</v>
      </c>
      <c r="BO694" s="345" t="s">
        <v>315</v>
      </c>
      <c r="BT694" s="347">
        <v>33.01</v>
      </c>
      <c r="BU694" s="347" t="s">
        <v>325</v>
      </c>
      <c r="BW694" s="348" t="str">
        <f t="array" ref="BW694">IFERROR(IF($BW$11="Metro",INDEX($BN$13:$BN$4972,SMALL(IF((County=$BO$13:$BO$4972),MATCH(ROW($BO$13:$BO$4972),ROW($BO$13:$BO$4972)),""),ROWS($A$13:$A694))),INDEX($BQ$13:$BQ$212,SMALL(IF((County=$BR$13:$BR$212),MATCH(ROW($BR$13:$BR$212),ROW($BR$13:$BR$212)),""),ROWS($A$13:$A694)))),"")</f>
        <v/>
      </c>
      <c r="CD694" s="345">
        <v>20.010000000000002</v>
      </c>
      <c r="CE694" s="345" t="s">
        <v>297</v>
      </c>
      <c r="CJ694" s="347">
        <v>67.13</v>
      </c>
      <c r="CK694" s="347" t="s">
        <v>352</v>
      </c>
      <c r="CL694" s="1789"/>
      <c r="CR694" s="345"/>
      <c r="CS694" s="345"/>
      <c r="CX694" s="347"/>
      <c r="CY694" s="347"/>
      <c r="DA694" s="348"/>
      <c r="DH694" s="237"/>
      <c r="DI694" s="237"/>
      <c r="DN694" s="347"/>
      <c r="DO694" s="347"/>
      <c r="DP694" s="2505"/>
      <c r="DT694" s="663"/>
      <c r="DU694" s="663"/>
      <c r="DV694" s="663"/>
      <c r="DW694" s="663"/>
      <c r="DX694" s="663"/>
      <c r="DY694" s="663"/>
      <c r="DZ694" s="663"/>
      <c r="EA694" s="663"/>
      <c r="EB694" s="663"/>
      <c r="EC694" s="663"/>
      <c r="ED694" s="663"/>
    </row>
    <row r="695" spans="6:134">
      <c r="F695" s="345">
        <v>158.02000000000001</v>
      </c>
      <c r="G695" s="345" t="s">
        <v>365</v>
      </c>
      <c r="L695" s="347">
        <v>114.12</v>
      </c>
      <c r="M695" s="347" t="s">
        <v>337</v>
      </c>
      <c r="V695" s="345">
        <v>812</v>
      </c>
      <c r="W695" s="345" t="s">
        <v>376</v>
      </c>
      <c r="AB695" s="347">
        <v>84.07</v>
      </c>
      <c r="AC695" s="347" t="s">
        <v>352</v>
      </c>
      <c r="AD695" s="1138"/>
      <c r="AJ695" s="345">
        <v>318.07</v>
      </c>
      <c r="AK695" s="345" t="s">
        <v>362</v>
      </c>
      <c r="AP695" s="347">
        <v>36.1</v>
      </c>
      <c r="AQ695" s="347" t="s">
        <v>325</v>
      </c>
      <c r="AZ695" s="345">
        <v>328.04</v>
      </c>
      <c r="BA695" s="345" t="s">
        <v>362</v>
      </c>
      <c r="BF695" s="347">
        <v>66.069999999999993</v>
      </c>
      <c r="BG695" s="347" t="s">
        <v>352</v>
      </c>
      <c r="BH695" s="1790"/>
      <c r="BN695" s="345">
        <v>104.02</v>
      </c>
      <c r="BO695" s="345" t="s">
        <v>315</v>
      </c>
      <c r="BT695" s="347">
        <v>33.049999999999997</v>
      </c>
      <c r="BU695" s="347" t="s">
        <v>325</v>
      </c>
      <c r="BW695" s="348" t="str">
        <f t="array" ref="BW695">IFERROR(IF($BW$11="Metro",INDEX($BN$13:$BN$4972,SMALL(IF((County=$BO$13:$BO$4972),MATCH(ROW($BO$13:$BO$4972),ROW($BO$13:$BO$4972)),""),ROWS($A$13:$A695))),INDEX($BQ$13:$BQ$212,SMALL(IF((County=$BR$13:$BR$212),MATCH(ROW($BR$13:$BR$212),ROW($BR$13:$BR$212)),""),ROWS($A$13:$A695)))),"")</f>
        <v/>
      </c>
      <c r="CD695" s="237">
        <v>20.010000000000002</v>
      </c>
      <c r="CE695" s="237" t="s">
        <v>350</v>
      </c>
      <c r="CJ695" s="347">
        <v>67.14</v>
      </c>
      <c r="CK695" s="347" t="s">
        <v>352</v>
      </c>
      <c r="CL695" s="1789"/>
      <c r="CR695" s="345"/>
      <c r="CS695" s="345"/>
      <c r="CX695" s="347"/>
      <c r="CY695" s="347"/>
      <c r="DA695" s="348"/>
      <c r="DH695" s="237"/>
      <c r="DI695" s="237"/>
      <c r="DN695" s="347"/>
      <c r="DO695" s="347"/>
      <c r="DP695" s="2505"/>
      <c r="DT695" s="663"/>
      <c r="DU695" s="663"/>
      <c r="DV695" s="663"/>
      <c r="DW695" s="663"/>
      <c r="DX695" s="663"/>
      <c r="DY695" s="663"/>
      <c r="DZ695" s="663"/>
      <c r="EA695" s="663"/>
      <c r="EB695" s="663"/>
      <c r="EC695" s="663"/>
      <c r="ED695" s="663"/>
    </row>
    <row r="696" spans="6:134">
      <c r="F696" s="345">
        <v>164</v>
      </c>
      <c r="G696" s="345" t="s">
        <v>365</v>
      </c>
      <c r="L696" s="347">
        <v>114.13</v>
      </c>
      <c r="M696" s="347" t="s">
        <v>337</v>
      </c>
      <c r="V696" s="345">
        <v>815</v>
      </c>
      <c r="W696" s="345" t="s">
        <v>376</v>
      </c>
      <c r="AB696" s="347">
        <v>84.09</v>
      </c>
      <c r="AC696" s="347" t="s">
        <v>352</v>
      </c>
      <c r="AD696" s="1138"/>
      <c r="AJ696" s="345">
        <v>324.02</v>
      </c>
      <c r="AK696" s="345" t="s">
        <v>362</v>
      </c>
      <c r="AP696" s="347">
        <v>36.11</v>
      </c>
      <c r="AQ696" s="347" t="s">
        <v>325</v>
      </c>
      <c r="AZ696" s="345">
        <v>329.01</v>
      </c>
      <c r="BA696" s="345" t="s">
        <v>362</v>
      </c>
      <c r="BF696" s="347">
        <v>66.069999999999993</v>
      </c>
      <c r="BG696" s="347" t="s">
        <v>361</v>
      </c>
      <c r="BH696" s="1790"/>
      <c r="BN696" s="345">
        <v>104.05</v>
      </c>
      <c r="BO696" s="345" t="s">
        <v>315</v>
      </c>
      <c r="BT696" s="347">
        <v>33.1</v>
      </c>
      <c r="BU696" s="347" t="s">
        <v>325</v>
      </c>
      <c r="BW696" s="348" t="str">
        <f t="array" ref="BW696">IFERROR(IF($BW$11="Metro",INDEX($BN$13:$BN$4972,SMALL(IF((County=$BO$13:$BO$4972),MATCH(ROW($BO$13:$BO$4972),ROW($BO$13:$BO$4972)),""),ROWS($A$13:$A696))),INDEX($BQ$13:$BQ$212,SMALL(IF((County=$BR$13:$BR$212),MATCH(ROW($BR$13:$BR$212),ROW($BR$13:$BR$212)),""),ROWS($A$13:$A696)))),"")</f>
        <v/>
      </c>
      <c r="CD696" s="237">
        <v>20.010000000000002</v>
      </c>
      <c r="CE696" s="237" t="s">
        <v>352</v>
      </c>
      <c r="CJ696" s="347">
        <v>67.150000000000006</v>
      </c>
      <c r="CK696" s="347" t="s">
        <v>352</v>
      </c>
      <c r="CL696" s="1789"/>
      <c r="CR696" s="345"/>
      <c r="CS696" s="345"/>
      <c r="CX696" s="347"/>
      <c r="CY696" s="347"/>
      <c r="DA696" s="348"/>
      <c r="DH696" s="237"/>
      <c r="DI696" s="237"/>
      <c r="DN696" s="347"/>
      <c r="DO696" s="347"/>
      <c r="DP696" s="2505"/>
      <c r="DT696" s="663"/>
      <c r="DU696" s="663"/>
      <c r="DV696" s="663"/>
      <c r="DW696" s="663"/>
      <c r="DX696" s="663"/>
      <c r="DY696" s="663"/>
      <c r="DZ696" s="663"/>
      <c r="EA696" s="663"/>
      <c r="EB696" s="663"/>
      <c r="EC696" s="663"/>
      <c r="ED696" s="663"/>
    </row>
    <row r="697" spans="6:134">
      <c r="F697" s="345">
        <v>107.05</v>
      </c>
      <c r="G697" s="345" t="s">
        <v>367</v>
      </c>
      <c r="L697" s="347">
        <v>114.14</v>
      </c>
      <c r="M697" s="347" t="s">
        <v>337</v>
      </c>
      <c r="V697" s="345">
        <v>817</v>
      </c>
      <c r="W697" s="345" t="s">
        <v>376</v>
      </c>
      <c r="AB697" s="347">
        <v>84.1</v>
      </c>
      <c r="AC697" s="347" t="s">
        <v>352</v>
      </c>
      <c r="AD697" s="1138"/>
      <c r="AJ697" s="345">
        <v>326.01</v>
      </c>
      <c r="AK697" s="345" t="s">
        <v>362</v>
      </c>
      <c r="AP697" s="347">
        <v>36.119999999999997</v>
      </c>
      <c r="AQ697" s="347" t="s">
        <v>325</v>
      </c>
      <c r="AZ697" s="345">
        <v>330.09</v>
      </c>
      <c r="BA697" s="345" t="s">
        <v>362</v>
      </c>
      <c r="BF697" s="347">
        <v>66.08</v>
      </c>
      <c r="BG697" s="347" t="s">
        <v>352</v>
      </c>
      <c r="BH697" s="1790"/>
      <c r="BN697" s="345">
        <v>105.03</v>
      </c>
      <c r="BO697" s="345" t="s">
        <v>315</v>
      </c>
      <c r="BT697" s="347">
        <v>33.11</v>
      </c>
      <c r="BU697" s="347" t="s">
        <v>325</v>
      </c>
      <c r="BW697" s="348" t="str">
        <f t="array" ref="BW697">IFERROR(IF($BW$11="Metro",INDEX($BN$13:$BN$4972,SMALL(IF((County=$BO$13:$BO$4972),MATCH(ROW($BO$13:$BO$4972),ROW($BO$13:$BO$4972)),""),ROWS($A$13:$A697))),INDEX($BQ$13:$BQ$212,SMALL(IF((County=$BR$13:$BR$212),MATCH(ROW($BR$13:$BR$212),ROW($BR$13:$BR$212)),""),ROWS($A$13:$A697)))),"")</f>
        <v/>
      </c>
      <c r="CD697" s="345">
        <v>20.02</v>
      </c>
      <c r="CE697" s="345" t="s">
        <v>297</v>
      </c>
      <c r="CJ697" s="347">
        <v>67.17</v>
      </c>
      <c r="CK697" s="347" t="s">
        <v>352</v>
      </c>
      <c r="CL697" s="1789"/>
      <c r="CR697" s="345"/>
      <c r="CS697" s="345"/>
      <c r="CX697" s="347"/>
      <c r="CY697" s="347"/>
      <c r="DA697" s="348"/>
      <c r="DH697" s="237"/>
      <c r="DI697" s="237"/>
      <c r="DN697" s="347"/>
      <c r="DO697" s="347"/>
      <c r="DP697" s="2505"/>
      <c r="DT697" s="663"/>
      <c r="DU697" s="663"/>
      <c r="DV697" s="663"/>
      <c r="DW697" s="663"/>
      <c r="DX697" s="663"/>
      <c r="DY697" s="663"/>
      <c r="DZ697" s="663"/>
      <c r="EA697" s="663"/>
      <c r="EB697" s="663"/>
      <c r="EC697" s="663"/>
      <c r="ED697" s="663"/>
    </row>
    <row r="698" spans="6:134">
      <c r="F698" s="345">
        <v>2</v>
      </c>
      <c r="G698" s="345" t="s">
        <v>368</v>
      </c>
      <c r="L698" s="347">
        <v>114.15</v>
      </c>
      <c r="M698" s="347" t="s">
        <v>337</v>
      </c>
      <c r="V698" s="345">
        <v>818</v>
      </c>
      <c r="W698" s="345" t="s">
        <v>376</v>
      </c>
      <c r="AB698" s="347">
        <v>84.12</v>
      </c>
      <c r="AC698" s="347" t="s">
        <v>352</v>
      </c>
      <c r="AD698" s="1138"/>
      <c r="AJ698" s="345">
        <v>326.02</v>
      </c>
      <c r="AK698" s="345" t="s">
        <v>362</v>
      </c>
      <c r="AP698" s="347">
        <v>36.130000000000003</v>
      </c>
      <c r="AQ698" s="347" t="s">
        <v>325</v>
      </c>
      <c r="AZ698" s="345">
        <v>330.12</v>
      </c>
      <c r="BA698" s="345" t="s">
        <v>362</v>
      </c>
      <c r="BF698" s="347">
        <v>67</v>
      </c>
      <c r="BG698" s="347" t="s">
        <v>337</v>
      </c>
      <c r="BH698" s="1790"/>
      <c r="BN698" s="345">
        <v>105.04</v>
      </c>
      <c r="BO698" s="345" t="s">
        <v>315</v>
      </c>
      <c r="BT698" s="347">
        <v>35.06</v>
      </c>
      <c r="BU698" s="347" t="s">
        <v>325</v>
      </c>
      <c r="BW698" s="348" t="str">
        <f t="array" ref="BW698">IFERROR(IF($BW$11="Metro",INDEX($BN$13:$BN$4972,SMALL(IF((County=$BO$13:$BO$4972),MATCH(ROW($BO$13:$BO$4972),ROW($BO$13:$BO$4972)),""),ROWS($A$13:$A698))),INDEX($BQ$13:$BQ$212,SMALL(IF((County=$BR$13:$BR$212),MATCH(ROW($BR$13:$BR$212),ROW($BR$13:$BR$212)),""),ROWS($A$13:$A698)))),"")</f>
        <v/>
      </c>
      <c r="CD698" s="237">
        <v>20.02</v>
      </c>
      <c r="CE698" s="237" t="s">
        <v>350</v>
      </c>
      <c r="CJ698" s="347">
        <v>67.180000000000007</v>
      </c>
      <c r="CK698" s="347" t="s">
        <v>352</v>
      </c>
      <c r="CL698" s="1789"/>
      <c r="CR698" s="345"/>
      <c r="CS698" s="345"/>
      <c r="CX698" s="347"/>
      <c r="CY698" s="347"/>
      <c r="DA698" s="348"/>
      <c r="DH698" s="237"/>
      <c r="DI698" s="237"/>
      <c r="DN698" s="347"/>
      <c r="DO698" s="347"/>
      <c r="DP698" s="2505"/>
      <c r="DT698" s="663"/>
      <c r="DU698" s="663"/>
      <c r="DV698" s="663"/>
      <c r="DW698" s="663"/>
      <c r="DX698" s="663"/>
      <c r="DY698" s="663"/>
      <c r="DZ698" s="663"/>
      <c r="EA698" s="663"/>
      <c r="EB698" s="663"/>
      <c r="EC698" s="663"/>
      <c r="ED698" s="663"/>
    </row>
    <row r="699" spans="6:134">
      <c r="F699" s="345">
        <v>3</v>
      </c>
      <c r="G699" s="345" t="s">
        <v>368</v>
      </c>
      <c r="L699" s="347">
        <v>114.16</v>
      </c>
      <c r="M699" s="347" t="s">
        <v>337</v>
      </c>
      <c r="V699" s="345">
        <v>819</v>
      </c>
      <c r="W699" s="345" t="s">
        <v>376</v>
      </c>
      <c r="AB699" s="347">
        <v>84.14</v>
      </c>
      <c r="AC699" s="347" t="s">
        <v>352</v>
      </c>
      <c r="AD699" s="1138"/>
      <c r="AJ699" s="345">
        <v>328.04</v>
      </c>
      <c r="AK699" s="345" t="s">
        <v>362</v>
      </c>
      <c r="AP699" s="347">
        <v>36.14</v>
      </c>
      <c r="AQ699" s="347" t="s">
        <v>325</v>
      </c>
      <c r="AZ699" s="345">
        <v>330.13</v>
      </c>
      <c r="BA699" s="345" t="s">
        <v>362</v>
      </c>
      <c r="BF699" s="347">
        <v>67.05</v>
      </c>
      <c r="BG699" s="347" t="s">
        <v>352</v>
      </c>
      <c r="BH699" s="1790"/>
      <c r="BN699" s="345">
        <v>105.05</v>
      </c>
      <c r="BO699" s="345" t="s">
        <v>315</v>
      </c>
      <c r="BT699" s="347">
        <v>35.07</v>
      </c>
      <c r="BU699" s="347" t="s">
        <v>325</v>
      </c>
      <c r="BW699" s="348" t="str">
        <f t="array" ref="BW699">IFERROR(IF($BW$11="Metro",INDEX($BN$13:$BN$4972,SMALL(IF((County=$BO$13:$BO$4972),MATCH(ROW($BO$13:$BO$4972),ROW($BO$13:$BO$4972)),""),ROWS($A$13:$A699))),INDEX($BQ$13:$BQ$212,SMALL(IF((County=$BR$13:$BR$212),MATCH(ROW($BR$13:$BR$212),ROW($BR$13:$BR$212)),""),ROWS($A$13:$A699)))),"")</f>
        <v/>
      </c>
      <c r="CD699" s="237">
        <v>20.03</v>
      </c>
      <c r="CE699" s="237" t="s">
        <v>345</v>
      </c>
      <c r="CJ699" s="347">
        <v>67.19</v>
      </c>
      <c r="CK699" s="347" t="s">
        <v>352</v>
      </c>
      <c r="CL699" s="1789"/>
      <c r="CR699" s="345"/>
      <c r="CS699" s="345"/>
      <c r="CX699" s="347"/>
      <c r="CY699" s="347"/>
      <c r="DA699" s="348"/>
      <c r="DH699" s="237"/>
      <c r="DI699" s="237"/>
      <c r="DN699" s="347"/>
      <c r="DO699" s="347"/>
      <c r="DP699" s="2505"/>
      <c r="DT699" s="663"/>
      <c r="DU699" s="663"/>
      <c r="DV699" s="663"/>
      <c r="DW699" s="663"/>
      <c r="DX699" s="663"/>
      <c r="DY699" s="663"/>
      <c r="DZ699" s="663"/>
      <c r="EA699" s="663"/>
      <c r="EB699" s="663"/>
      <c r="EC699" s="663"/>
      <c r="ED699" s="663"/>
    </row>
    <row r="700" spans="6:134">
      <c r="F700" s="345">
        <v>4.0599999999999996</v>
      </c>
      <c r="G700" s="345" t="s">
        <v>368</v>
      </c>
      <c r="L700" s="347">
        <v>114.17</v>
      </c>
      <c r="M700" s="347" t="s">
        <v>337</v>
      </c>
      <c r="V700" s="345">
        <v>820</v>
      </c>
      <c r="W700" s="345" t="s">
        <v>376</v>
      </c>
      <c r="AB700" s="347">
        <v>84.15</v>
      </c>
      <c r="AC700" s="347" t="s">
        <v>352</v>
      </c>
      <c r="AD700" s="1138"/>
      <c r="AJ700" s="345">
        <v>329.01</v>
      </c>
      <c r="AK700" s="345" t="s">
        <v>362</v>
      </c>
      <c r="AP700" s="347">
        <v>37</v>
      </c>
      <c r="AQ700" s="347" t="s">
        <v>325</v>
      </c>
      <c r="AZ700" s="345">
        <v>330.14</v>
      </c>
      <c r="BA700" s="345" t="s">
        <v>362</v>
      </c>
      <c r="BF700" s="347">
        <v>67.06</v>
      </c>
      <c r="BG700" s="347" t="s">
        <v>352</v>
      </c>
      <c r="BH700" s="1790"/>
      <c r="BN700" s="345">
        <v>105.06</v>
      </c>
      <c r="BO700" s="345" t="s">
        <v>315</v>
      </c>
      <c r="BT700" s="347">
        <v>35.090000000000003</v>
      </c>
      <c r="BU700" s="347" t="s">
        <v>325</v>
      </c>
      <c r="BW700" s="348" t="str">
        <f t="array" ref="BW700">IFERROR(IF($BW$11="Metro",INDEX($BN$13:$BN$4972,SMALL(IF((County=$BO$13:$BO$4972),MATCH(ROW($BO$13:$BO$4972),ROW($BO$13:$BO$4972)),""),ROWS($A$13:$A700))),INDEX($BQ$13:$BQ$212,SMALL(IF((County=$BR$13:$BR$212),MATCH(ROW($BR$13:$BR$212),ROW($BR$13:$BR$212)),""),ROWS($A$13:$A700)))),"")</f>
        <v/>
      </c>
      <c r="CD700" s="237">
        <v>20.03</v>
      </c>
      <c r="CE700" s="237" t="s">
        <v>349</v>
      </c>
      <c r="CJ700" s="347">
        <v>67.2</v>
      </c>
      <c r="CK700" s="347" t="s">
        <v>352</v>
      </c>
      <c r="CL700" s="1789"/>
      <c r="CR700" s="345"/>
      <c r="CS700" s="345"/>
      <c r="CX700" s="347"/>
      <c r="CY700" s="347"/>
      <c r="DA700" s="348"/>
      <c r="DH700" s="237"/>
      <c r="DI700" s="237"/>
      <c r="DN700" s="347"/>
      <c r="DO700" s="347"/>
      <c r="DP700" s="2505"/>
      <c r="DT700" s="663"/>
      <c r="DU700" s="663"/>
      <c r="DV700" s="663"/>
      <c r="DW700" s="663"/>
      <c r="DX700" s="663"/>
      <c r="DY700" s="663"/>
      <c r="DZ700" s="663"/>
      <c r="EA700" s="663"/>
      <c r="EB700" s="663"/>
      <c r="EC700" s="663"/>
      <c r="ED700" s="663"/>
    </row>
    <row r="701" spans="6:134">
      <c r="F701" s="345">
        <v>10</v>
      </c>
      <c r="G701" s="345" t="s">
        <v>368</v>
      </c>
      <c r="L701" s="347">
        <v>114.18</v>
      </c>
      <c r="M701" s="347" t="s">
        <v>337</v>
      </c>
      <c r="V701" s="345">
        <v>821</v>
      </c>
      <c r="W701" s="345" t="s">
        <v>376</v>
      </c>
      <c r="AB701" s="347">
        <v>84.16</v>
      </c>
      <c r="AC701" s="347" t="s">
        <v>352</v>
      </c>
      <c r="AD701" s="1138"/>
      <c r="AJ701" s="345">
        <v>330.09</v>
      </c>
      <c r="AK701" s="345" t="s">
        <v>362</v>
      </c>
      <c r="AP701" s="347">
        <v>38</v>
      </c>
      <c r="AQ701" s="347" t="s">
        <v>325</v>
      </c>
      <c r="AZ701" s="345">
        <v>401.09</v>
      </c>
      <c r="BA701" s="345" t="s">
        <v>344</v>
      </c>
      <c r="BF701" s="347">
        <v>67.069999999999993</v>
      </c>
      <c r="BG701" s="347" t="s">
        <v>352</v>
      </c>
      <c r="BH701" s="1790"/>
      <c r="BN701" s="345">
        <v>201.01</v>
      </c>
      <c r="BO701" s="345" t="s">
        <v>315</v>
      </c>
      <c r="BT701" s="347">
        <v>35.1</v>
      </c>
      <c r="BU701" s="347" t="s">
        <v>325</v>
      </c>
      <c r="BW701" s="348" t="str">
        <f t="array" ref="BW701">IFERROR(IF($BW$11="Metro",INDEX($BN$13:$BN$4972,SMALL(IF((County=$BO$13:$BO$4972),MATCH(ROW($BO$13:$BO$4972),ROW($BO$13:$BO$4972)),""),ROWS($A$13:$A701))),INDEX($BQ$13:$BQ$212,SMALL(IF((County=$BR$13:$BR$212),MATCH(ROW($BR$13:$BR$212),ROW($BR$13:$BR$212)),""),ROWS($A$13:$A701)))),"")</f>
        <v/>
      </c>
      <c r="CD701" s="237">
        <v>20.03</v>
      </c>
      <c r="CE701" s="237" t="s">
        <v>352</v>
      </c>
      <c r="CJ701" s="347">
        <v>67.209999999999994</v>
      </c>
      <c r="CK701" s="347" t="s">
        <v>352</v>
      </c>
      <c r="CL701" s="1789"/>
      <c r="CR701" s="345"/>
      <c r="CS701" s="345"/>
      <c r="CX701" s="347"/>
      <c r="CY701" s="347"/>
      <c r="DA701" s="348"/>
      <c r="DH701" s="237"/>
      <c r="DI701" s="237"/>
      <c r="DN701" s="347"/>
      <c r="DO701" s="347"/>
      <c r="DP701" s="2505"/>
      <c r="DT701" s="663"/>
      <c r="DU701" s="663"/>
      <c r="DV701" s="663"/>
      <c r="DW701" s="663"/>
      <c r="DX701" s="663"/>
      <c r="DY701" s="663"/>
      <c r="DZ701" s="663"/>
      <c r="EA701" s="663"/>
      <c r="EB701" s="663"/>
      <c r="EC701" s="663"/>
      <c r="ED701" s="663"/>
    </row>
    <row r="702" spans="6:134">
      <c r="F702" s="345">
        <v>11.02</v>
      </c>
      <c r="G702" s="345" t="s">
        <v>368</v>
      </c>
      <c r="L702" s="347">
        <v>115.04</v>
      </c>
      <c r="M702" s="347" t="s">
        <v>337</v>
      </c>
      <c r="V702" s="345">
        <v>822.01</v>
      </c>
      <c r="W702" s="345" t="s">
        <v>376</v>
      </c>
      <c r="AB702" s="347">
        <v>84.17</v>
      </c>
      <c r="AC702" s="347" t="s">
        <v>352</v>
      </c>
      <c r="AD702" s="1138"/>
      <c r="AJ702" s="345">
        <v>330.12</v>
      </c>
      <c r="AK702" s="345" t="s">
        <v>362</v>
      </c>
      <c r="AP702" s="347">
        <v>601.04</v>
      </c>
      <c r="AQ702" s="347" t="s">
        <v>326</v>
      </c>
      <c r="AZ702" s="345">
        <v>401.22</v>
      </c>
      <c r="BA702" s="345" t="s">
        <v>344</v>
      </c>
      <c r="BF702" s="347">
        <v>67.09</v>
      </c>
      <c r="BG702" s="347" t="s">
        <v>352</v>
      </c>
      <c r="BH702" s="1790"/>
      <c r="BN702" s="345">
        <v>201.03</v>
      </c>
      <c r="BO702" s="345" t="s">
        <v>315</v>
      </c>
      <c r="BT702" s="347">
        <v>35.11</v>
      </c>
      <c r="BU702" s="347" t="s">
        <v>325</v>
      </c>
      <c r="BW702" s="348" t="str">
        <f t="array" ref="BW702">IFERROR(IF($BW$11="Metro",INDEX($BN$13:$BN$4972,SMALL(IF((County=$BO$13:$BO$4972),MATCH(ROW($BO$13:$BO$4972),ROW($BO$13:$BO$4972)),""),ROWS($A$13:$A702))),INDEX($BQ$13:$BQ$212,SMALL(IF((County=$BR$13:$BR$212),MATCH(ROW($BR$13:$BR$212),ROW($BR$13:$BR$212)),""),ROWS($A$13:$A702)))),"")</f>
        <v/>
      </c>
      <c r="CD702" s="237">
        <v>20.03</v>
      </c>
      <c r="CE702" s="237" t="s">
        <v>368</v>
      </c>
      <c r="CJ702" s="347">
        <v>67.22</v>
      </c>
      <c r="CK702" s="347" t="s">
        <v>352</v>
      </c>
      <c r="CL702" s="1789"/>
      <c r="CR702" s="345"/>
      <c r="CS702" s="345"/>
      <c r="CX702" s="347"/>
      <c r="CY702" s="347"/>
      <c r="DA702" s="348"/>
      <c r="DH702" s="237"/>
      <c r="DI702" s="237"/>
      <c r="DN702" s="347"/>
      <c r="DO702" s="347"/>
      <c r="DP702" s="2505"/>
      <c r="DT702" s="663"/>
      <c r="DU702" s="663"/>
      <c r="DV702" s="663"/>
      <c r="DW702" s="663"/>
      <c r="DX702" s="663"/>
      <c r="DY702" s="663"/>
      <c r="DZ702" s="663"/>
      <c r="EA702" s="663"/>
      <c r="EB702" s="663"/>
      <c r="EC702" s="663"/>
      <c r="ED702" s="663"/>
    </row>
    <row r="703" spans="6:134">
      <c r="F703" s="345">
        <v>201.01</v>
      </c>
      <c r="G703" s="345" t="s">
        <v>369</v>
      </c>
      <c r="L703" s="347">
        <v>115.06</v>
      </c>
      <c r="M703" s="347" t="s">
        <v>337</v>
      </c>
      <c r="V703" s="345">
        <v>823.01</v>
      </c>
      <c r="W703" s="345" t="s">
        <v>376</v>
      </c>
      <c r="AB703" s="347">
        <v>84.18</v>
      </c>
      <c r="AC703" s="347" t="s">
        <v>352</v>
      </c>
      <c r="AD703" s="1138"/>
      <c r="AJ703" s="345">
        <v>330.13</v>
      </c>
      <c r="AK703" s="345" t="s">
        <v>362</v>
      </c>
      <c r="AP703" s="347">
        <v>601.04999999999995</v>
      </c>
      <c r="AQ703" s="347" t="s">
        <v>326</v>
      </c>
      <c r="AZ703" s="345">
        <v>403.04</v>
      </c>
      <c r="BA703" s="345" t="s">
        <v>344</v>
      </c>
      <c r="BF703" s="347">
        <v>67.13</v>
      </c>
      <c r="BG703" s="347" t="s">
        <v>352</v>
      </c>
      <c r="BH703" s="1790"/>
      <c r="BN703" s="345">
        <v>201.04</v>
      </c>
      <c r="BO703" s="345" t="s">
        <v>315</v>
      </c>
      <c r="BT703" s="347">
        <v>35.119999999999997</v>
      </c>
      <c r="BU703" s="347" t="s">
        <v>325</v>
      </c>
      <c r="BW703" s="348" t="str">
        <f t="array" ref="BW703">IFERROR(IF($BW$11="Metro",INDEX($BN$13:$BN$4972,SMALL(IF((County=$BO$13:$BO$4972),MATCH(ROW($BO$13:$BO$4972),ROW($BO$13:$BO$4972)),""),ROWS($A$13:$A703))),INDEX($BQ$13:$BQ$212,SMALL(IF((County=$BR$13:$BR$212),MATCH(ROW($BR$13:$BR$212),ROW($BR$13:$BR$212)),""),ROWS($A$13:$A703)))),"")</f>
        <v/>
      </c>
      <c r="CD703" s="237">
        <v>20.04</v>
      </c>
      <c r="CE703" s="237" t="s">
        <v>352</v>
      </c>
      <c r="CJ703" s="347">
        <v>68.010000000000005</v>
      </c>
      <c r="CK703" s="347" t="s">
        <v>337</v>
      </c>
      <c r="CL703" s="1789"/>
      <c r="CR703" s="345"/>
      <c r="CS703" s="345"/>
      <c r="CX703" s="347"/>
      <c r="CY703" s="347"/>
      <c r="DA703" s="348"/>
      <c r="DH703" s="237"/>
      <c r="DI703" s="237"/>
      <c r="DN703" s="347"/>
      <c r="DO703" s="347"/>
      <c r="DP703" s="2505"/>
      <c r="DT703" s="663"/>
      <c r="DU703" s="663"/>
      <c r="DV703" s="663"/>
      <c r="DW703" s="663"/>
      <c r="DX703" s="663"/>
      <c r="DY703" s="663"/>
      <c r="DZ703" s="663"/>
      <c r="EA703" s="663"/>
      <c r="EB703" s="663"/>
      <c r="EC703" s="663"/>
      <c r="ED703" s="663"/>
    </row>
    <row r="704" spans="6:134">
      <c r="F704" s="345">
        <v>205</v>
      </c>
      <c r="G704" s="345" t="s">
        <v>369</v>
      </c>
      <c r="L704" s="347">
        <v>115.07</v>
      </c>
      <c r="M704" s="347" t="s">
        <v>337</v>
      </c>
      <c r="V704" s="345">
        <v>824.01</v>
      </c>
      <c r="W704" s="345" t="s">
        <v>376</v>
      </c>
      <c r="AB704" s="347">
        <v>84.19</v>
      </c>
      <c r="AC704" s="347" t="s">
        <v>352</v>
      </c>
      <c r="AD704" s="1138"/>
      <c r="AJ704" s="345">
        <v>330.14</v>
      </c>
      <c r="AK704" s="345" t="s">
        <v>362</v>
      </c>
      <c r="AP704" s="347">
        <v>601.05999999999995</v>
      </c>
      <c r="AQ704" s="347" t="s">
        <v>326</v>
      </c>
      <c r="AZ704" s="345">
        <v>403.05</v>
      </c>
      <c r="BA704" s="345" t="s">
        <v>344</v>
      </c>
      <c r="BF704" s="347">
        <v>67.14</v>
      </c>
      <c r="BG704" s="347" t="s">
        <v>352</v>
      </c>
      <c r="BH704" s="1790"/>
      <c r="BN704" s="345">
        <v>202.03</v>
      </c>
      <c r="BO704" s="345" t="s">
        <v>315</v>
      </c>
      <c r="BT704" s="347">
        <v>36.03</v>
      </c>
      <c r="BU704" s="347" t="s">
        <v>325</v>
      </c>
      <c r="BW704" s="348" t="str">
        <f t="array" ref="BW704">IFERROR(IF($BW$11="Metro",INDEX($BN$13:$BN$4972,SMALL(IF((County=$BO$13:$BO$4972),MATCH(ROW($BO$13:$BO$4972),ROW($BO$13:$BO$4972)),""),ROWS($A$13:$A704))),INDEX($BQ$13:$BQ$212,SMALL(IF((County=$BR$13:$BR$212),MATCH(ROW($BR$13:$BR$212),ROW($BR$13:$BR$212)),""),ROWS($A$13:$A704)))),"")</f>
        <v/>
      </c>
      <c r="CD704" s="237">
        <v>20.04</v>
      </c>
      <c r="CE704" s="237" t="s">
        <v>368</v>
      </c>
      <c r="CJ704" s="347">
        <v>68.010000000000005</v>
      </c>
      <c r="CK704" s="347" t="s">
        <v>352</v>
      </c>
      <c r="CL704" s="1789"/>
      <c r="CR704" s="345"/>
      <c r="CS704" s="345"/>
      <c r="CX704" s="347"/>
      <c r="CY704" s="347"/>
      <c r="DA704" s="348"/>
      <c r="DH704" s="237"/>
      <c r="DI704" s="237"/>
      <c r="DN704" s="347"/>
      <c r="DO704" s="347"/>
      <c r="DP704" s="2505"/>
      <c r="DT704" s="663"/>
      <c r="DU704" s="663"/>
      <c r="DV704" s="663"/>
      <c r="DW704" s="663"/>
      <c r="DX704" s="663"/>
      <c r="DY704" s="663"/>
      <c r="DZ704" s="663"/>
      <c r="EA704" s="663"/>
      <c r="EB704" s="663"/>
      <c r="EC704" s="663"/>
      <c r="ED704" s="663"/>
    </row>
    <row r="705" spans="6:134">
      <c r="F705" s="345">
        <v>220.01</v>
      </c>
      <c r="G705" s="345" t="s">
        <v>369</v>
      </c>
      <c r="L705" s="347">
        <v>115.09</v>
      </c>
      <c r="M705" s="347" t="s">
        <v>337</v>
      </c>
      <c r="V705" s="345">
        <v>824.15</v>
      </c>
      <c r="W705" s="345" t="s">
        <v>376</v>
      </c>
      <c r="AB705" s="347">
        <v>85.01</v>
      </c>
      <c r="AC705" s="347" t="s">
        <v>352</v>
      </c>
      <c r="AD705" s="1138"/>
      <c r="AJ705" s="345">
        <v>201.09</v>
      </c>
      <c r="AK705" s="345" t="s">
        <v>363</v>
      </c>
      <c r="AP705" s="347">
        <v>601.07000000000005</v>
      </c>
      <c r="AQ705" s="347" t="s">
        <v>326</v>
      </c>
      <c r="AZ705" s="345">
        <v>403.11</v>
      </c>
      <c r="BA705" s="345" t="s">
        <v>344</v>
      </c>
      <c r="BF705" s="347">
        <v>67.150000000000006</v>
      </c>
      <c r="BG705" s="347" t="s">
        <v>352</v>
      </c>
      <c r="BH705" s="1790"/>
      <c r="BN705" s="345">
        <v>202.04</v>
      </c>
      <c r="BO705" s="345" t="s">
        <v>315</v>
      </c>
      <c r="BT705" s="347">
        <v>36.08</v>
      </c>
      <c r="BU705" s="347" t="s">
        <v>325</v>
      </c>
      <c r="BW705" s="348" t="str">
        <f t="array" ref="BW705">IFERROR(IF($BW$11="Metro",INDEX($BN$13:$BN$4972,SMALL(IF((County=$BO$13:$BO$4972),MATCH(ROW($BO$13:$BO$4972),ROW($BO$13:$BO$4972)),""),ROWS($A$13:$A705))),INDEX($BQ$13:$BQ$212,SMALL(IF((County=$BR$13:$BR$212),MATCH(ROW($BR$13:$BR$212),ROW($BR$13:$BR$212)),""),ROWS($A$13:$A705)))),"")</f>
        <v/>
      </c>
      <c r="CD705" s="237">
        <v>20.05</v>
      </c>
      <c r="CE705" s="237" t="s">
        <v>345</v>
      </c>
      <c r="CJ705" s="347">
        <v>68.02</v>
      </c>
      <c r="CK705" s="347" t="s">
        <v>337</v>
      </c>
      <c r="CL705" s="1789"/>
      <c r="CR705" s="345"/>
      <c r="CS705" s="345"/>
      <c r="CX705" s="347"/>
      <c r="CY705" s="347"/>
      <c r="DA705" s="348"/>
      <c r="DH705" s="237"/>
      <c r="DI705" s="237"/>
      <c r="DN705" s="347"/>
      <c r="DO705" s="347"/>
      <c r="DP705" s="2505"/>
      <c r="DT705" s="663"/>
      <c r="DU705" s="663"/>
      <c r="DV705" s="663"/>
      <c r="DW705" s="663"/>
      <c r="DX705" s="663"/>
      <c r="DY705" s="663"/>
      <c r="DZ705" s="663"/>
      <c r="EA705" s="663"/>
      <c r="EB705" s="663"/>
      <c r="EC705" s="663"/>
      <c r="ED705" s="663"/>
    </row>
    <row r="706" spans="6:134">
      <c r="F706" s="345">
        <v>221.01</v>
      </c>
      <c r="G706" s="345" t="s">
        <v>369</v>
      </c>
      <c r="L706" s="347">
        <v>115.1</v>
      </c>
      <c r="M706" s="347" t="s">
        <v>337</v>
      </c>
      <c r="V706" s="345">
        <v>903.01</v>
      </c>
      <c r="W706" s="345" t="s">
        <v>310</v>
      </c>
      <c r="AB706" s="347">
        <v>85.02</v>
      </c>
      <c r="AC706" s="347" t="s">
        <v>352</v>
      </c>
      <c r="AD706" s="1138"/>
      <c r="AJ706" s="345">
        <v>201.1</v>
      </c>
      <c r="AK706" s="345" t="s">
        <v>363</v>
      </c>
      <c r="AP706" s="347">
        <v>602.07000000000005</v>
      </c>
      <c r="AQ706" s="347" t="s">
        <v>326</v>
      </c>
      <c r="AZ706" s="345">
        <v>404</v>
      </c>
      <c r="BA706" s="345" t="s">
        <v>335</v>
      </c>
      <c r="BF706" s="347">
        <v>67.17</v>
      </c>
      <c r="BG706" s="347" t="s">
        <v>352</v>
      </c>
      <c r="BH706" s="1790"/>
      <c r="BN706" s="345">
        <v>202.05</v>
      </c>
      <c r="BO706" s="345" t="s">
        <v>315</v>
      </c>
      <c r="BT706" s="347">
        <v>36.090000000000003</v>
      </c>
      <c r="BU706" s="347" t="s">
        <v>325</v>
      </c>
      <c r="BW706" s="348" t="str">
        <f t="array" ref="BW706">IFERROR(IF($BW$11="Metro",INDEX($BN$13:$BN$4972,SMALL(IF((County=$BO$13:$BO$4972),MATCH(ROW($BO$13:$BO$4972),ROW($BO$13:$BO$4972)),""),ROWS($A$13:$A706))),INDEX($BQ$13:$BQ$212,SMALL(IF((County=$BR$13:$BR$212),MATCH(ROW($BR$13:$BR$212),ROW($BR$13:$BR$212)),""),ROWS($A$13:$A706)))),"")</f>
        <v/>
      </c>
      <c r="CD706" s="237">
        <v>20.05</v>
      </c>
      <c r="CE706" s="237" t="s">
        <v>349</v>
      </c>
      <c r="CJ706" s="347">
        <v>68.02</v>
      </c>
      <c r="CK706" s="347" t="s">
        <v>352</v>
      </c>
      <c r="CL706" s="1789"/>
      <c r="CR706" s="345"/>
      <c r="CS706" s="345"/>
      <c r="CX706" s="347"/>
      <c r="CY706" s="347"/>
      <c r="DA706" s="348"/>
      <c r="DH706" s="237"/>
      <c r="DI706" s="237"/>
      <c r="DN706" s="347"/>
      <c r="DO706" s="347"/>
      <c r="DP706" s="2505"/>
      <c r="DT706" s="663"/>
      <c r="DU706" s="663"/>
      <c r="DV706" s="663"/>
      <c r="DW706" s="663"/>
      <c r="DX706" s="663"/>
      <c r="DY706" s="663"/>
      <c r="DZ706" s="663"/>
      <c r="EA706" s="663"/>
      <c r="EB706" s="663"/>
      <c r="EC706" s="663"/>
      <c r="ED706" s="663"/>
    </row>
    <row r="707" spans="6:134">
      <c r="F707" s="345">
        <v>203</v>
      </c>
      <c r="G707" s="345" t="s">
        <v>370</v>
      </c>
      <c r="L707" s="347">
        <v>115.12</v>
      </c>
      <c r="M707" s="347" t="s">
        <v>337</v>
      </c>
      <c r="V707" s="345">
        <v>904.03</v>
      </c>
      <c r="W707" s="345" t="s">
        <v>310</v>
      </c>
      <c r="AB707" s="347">
        <v>86.01</v>
      </c>
      <c r="AC707" s="347" t="s">
        <v>352</v>
      </c>
      <c r="AD707" s="1138"/>
      <c r="AJ707" s="345">
        <v>205</v>
      </c>
      <c r="AK707" s="345" t="s">
        <v>363</v>
      </c>
      <c r="AP707" s="347">
        <v>602.08000000000004</v>
      </c>
      <c r="AQ707" s="347" t="s">
        <v>326</v>
      </c>
      <c r="AZ707" s="345">
        <v>405.01</v>
      </c>
      <c r="BA707" s="345" t="s">
        <v>335</v>
      </c>
      <c r="BF707" s="347">
        <v>67.2</v>
      </c>
      <c r="BG707" s="347" t="s">
        <v>352</v>
      </c>
      <c r="BH707" s="1790"/>
      <c r="BN707" s="345">
        <v>202.06</v>
      </c>
      <c r="BO707" s="345" t="s">
        <v>315</v>
      </c>
      <c r="BT707" s="347">
        <v>36.1</v>
      </c>
      <c r="BU707" s="347" t="s">
        <v>325</v>
      </c>
      <c r="BW707" s="348" t="str">
        <f t="array" ref="BW707">IFERROR(IF($BW$11="Metro",INDEX($BN$13:$BN$4972,SMALL(IF((County=$BO$13:$BO$4972),MATCH(ROW($BO$13:$BO$4972),ROW($BO$13:$BO$4972)),""),ROWS($A$13:$A707))),INDEX($BQ$13:$BQ$212,SMALL(IF((County=$BR$13:$BR$212),MATCH(ROW($BR$13:$BR$212),ROW($BR$13:$BR$212)),""),ROWS($A$13:$A707)))),"")</f>
        <v/>
      </c>
      <c r="CD707" s="237">
        <v>20.05</v>
      </c>
      <c r="CE707" s="237" t="s">
        <v>361</v>
      </c>
      <c r="CJ707" s="347">
        <v>69</v>
      </c>
      <c r="CK707" s="347" t="s">
        <v>337</v>
      </c>
      <c r="CL707" s="1789"/>
      <c r="CR707" s="345"/>
      <c r="CS707" s="345"/>
      <c r="CX707" s="347"/>
      <c r="CY707" s="347"/>
      <c r="DA707" s="348"/>
      <c r="DH707" s="237"/>
      <c r="DI707" s="237"/>
      <c r="DN707" s="347"/>
      <c r="DO707" s="347"/>
      <c r="DP707" s="2505"/>
      <c r="DT707" s="663"/>
      <c r="DU707" s="663"/>
      <c r="DV707" s="663"/>
      <c r="DW707" s="663"/>
      <c r="DX707" s="663"/>
      <c r="DY707" s="663"/>
      <c r="DZ707" s="663"/>
      <c r="EA707" s="663"/>
      <c r="EB707" s="663"/>
      <c r="EC707" s="663"/>
      <c r="ED707" s="663"/>
    </row>
    <row r="708" spans="6:134">
      <c r="F708" s="345">
        <v>204</v>
      </c>
      <c r="G708" s="345" t="s">
        <v>370</v>
      </c>
      <c r="L708" s="347">
        <v>115.14</v>
      </c>
      <c r="M708" s="347" t="s">
        <v>337</v>
      </c>
      <c r="V708" s="345">
        <v>905</v>
      </c>
      <c r="W708" s="345" t="s">
        <v>376</v>
      </c>
      <c r="AB708" s="347">
        <v>86.02</v>
      </c>
      <c r="AC708" s="347" t="s">
        <v>352</v>
      </c>
      <c r="AD708" s="1138"/>
      <c r="AJ708" s="345">
        <v>206</v>
      </c>
      <c r="AK708" s="345" t="s">
        <v>363</v>
      </c>
      <c r="AP708" s="347">
        <v>602.14</v>
      </c>
      <c r="AQ708" s="347" t="s">
        <v>326</v>
      </c>
      <c r="AZ708" s="345">
        <v>409.01</v>
      </c>
      <c r="BA708" s="345" t="s">
        <v>310</v>
      </c>
      <c r="BF708" s="347">
        <v>67.209999999999994</v>
      </c>
      <c r="BG708" s="347" t="s">
        <v>352</v>
      </c>
      <c r="BH708" s="1790"/>
      <c r="BN708" s="345">
        <v>203.01</v>
      </c>
      <c r="BO708" s="345" t="s">
        <v>315</v>
      </c>
      <c r="BT708" s="347">
        <v>36.11</v>
      </c>
      <c r="BU708" s="347" t="s">
        <v>325</v>
      </c>
      <c r="BW708" s="348" t="str">
        <f t="array" ref="BW708">IFERROR(IF($BW$11="Metro",INDEX($BN$13:$BN$4972,SMALL(IF((County=$BO$13:$BO$4972),MATCH(ROW($BO$13:$BO$4972),ROW($BO$13:$BO$4972)),""),ROWS($A$13:$A708))),INDEX($BQ$13:$BQ$212,SMALL(IF((County=$BR$13:$BR$212),MATCH(ROW($BR$13:$BR$212),ROW($BR$13:$BR$212)),""),ROWS($A$13:$A708)))),"")</f>
        <v/>
      </c>
      <c r="CD708" s="237">
        <v>20.059999999999999</v>
      </c>
      <c r="CE708" s="237" t="s">
        <v>345</v>
      </c>
      <c r="CJ708" s="347">
        <v>69.010000000000005</v>
      </c>
      <c r="CK708" s="347" t="s">
        <v>352</v>
      </c>
      <c r="CL708" s="1789"/>
      <c r="CR708" s="345"/>
      <c r="CS708" s="345"/>
      <c r="CX708" s="347"/>
      <c r="CY708" s="347"/>
      <c r="DA708" s="348"/>
      <c r="DH708" s="237"/>
      <c r="DI708" s="237"/>
      <c r="DN708" s="347"/>
      <c r="DO708" s="347"/>
      <c r="DP708" s="2505"/>
      <c r="DT708" s="663"/>
      <c r="DU708" s="663"/>
      <c r="DV708" s="663"/>
      <c r="DW708" s="663"/>
      <c r="DX708" s="663"/>
      <c r="DY708" s="663"/>
      <c r="DZ708" s="663"/>
      <c r="EA708" s="663"/>
      <c r="EB708" s="663"/>
      <c r="EC708" s="663"/>
      <c r="ED708" s="663"/>
    </row>
    <row r="709" spans="6:134">
      <c r="F709" s="345">
        <v>210.02</v>
      </c>
      <c r="G709" s="345" t="s">
        <v>370</v>
      </c>
      <c r="L709" s="347">
        <v>115.15</v>
      </c>
      <c r="M709" s="347" t="s">
        <v>337</v>
      </c>
      <c r="V709" s="345">
        <v>906</v>
      </c>
      <c r="W709" s="345" t="s">
        <v>376</v>
      </c>
      <c r="AB709" s="347">
        <v>87.01</v>
      </c>
      <c r="AC709" s="347" t="s">
        <v>352</v>
      </c>
      <c r="AD709" s="1138"/>
      <c r="AJ709" s="345">
        <v>207</v>
      </c>
      <c r="AK709" s="345" t="s">
        <v>363</v>
      </c>
      <c r="AP709" s="347">
        <v>602.16</v>
      </c>
      <c r="AQ709" s="347" t="s">
        <v>326</v>
      </c>
      <c r="AZ709" s="345">
        <v>409.02</v>
      </c>
      <c r="BA709" s="345" t="s">
        <v>310</v>
      </c>
      <c r="BF709" s="347">
        <v>67.22</v>
      </c>
      <c r="BG709" s="347" t="s">
        <v>352</v>
      </c>
      <c r="BH709" s="1790"/>
      <c r="BN709" s="345">
        <v>203.02</v>
      </c>
      <c r="BO709" s="345" t="s">
        <v>315</v>
      </c>
      <c r="BT709" s="347">
        <v>36.119999999999997</v>
      </c>
      <c r="BU709" s="347" t="s">
        <v>325</v>
      </c>
      <c r="BW709" s="348" t="str">
        <f t="array" ref="BW709">IFERROR(IF($BW$11="Metro",INDEX($BN$13:$BN$4972,SMALL(IF((County=$BO$13:$BO$4972),MATCH(ROW($BO$13:$BO$4972),ROW($BO$13:$BO$4972)),""),ROWS($A$13:$A709))),INDEX($BQ$13:$BQ$212,SMALL(IF((County=$BR$13:$BR$212),MATCH(ROW($BR$13:$BR$212),ROW($BR$13:$BR$212)),""),ROWS($A$13:$A709)))),"")</f>
        <v/>
      </c>
      <c r="CD709" s="237">
        <v>20.059999999999999</v>
      </c>
      <c r="CE709" s="237" t="s">
        <v>361</v>
      </c>
      <c r="CJ709" s="347">
        <v>69.02</v>
      </c>
      <c r="CK709" s="347" t="s">
        <v>352</v>
      </c>
      <c r="CL709" s="1789"/>
      <c r="CR709" s="345"/>
      <c r="CS709" s="345"/>
      <c r="CX709" s="347"/>
      <c r="CY709" s="347"/>
      <c r="DA709" s="348"/>
      <c r="DH709" s="237"/>
      <c r="DI709" s="237"/>
      <c r="DN709" s="347"/>
      <c r="DO709" s="347"/>
      <c r="DP709" s="2505"/>
      <c r="DT709" s="663"/>
      <c r="DU709" s="663"/>
      <c r="DV709" s="663"/>
      <c r="DW709" s="663"/>
      <c r="DX709" s="663"/>
      <c r="DY709" s="663"/>
      <c r="DZ709" s="663"/>
      <c r="EA709" s="663"/>
      <c r="EB709" s="663"/>
      <c r="EC709" s="663"/>
      <c r="ED709" s="663"/>
    </row>
    <row r="710" spans="6:134">
      <c r="F710" s="345">
        <v>3801</v>
      </c>
      <c r="G710" s="345" t="s">
        <v>371</v>
      </c>
      <c r="L710" s="347">
        <v>115.16</v>
      </c>
      <c r="M710" s="347" t="s">
        <v>337</v>
      </c>
      <c r="V710" s="345">
        <v>910.25</v>
      </c>
      <c r="W710" s="345" t="s">
        <v>376</v>
      </c>
      <c r="AB710" s="347">
        <v>87.02</v>
      </c>
      <c r="AC710" s="347" t="s">
        <v>352</v>
      </c>
      <c r="AD710" s="1138"/>
      <c r="AJ710" s="345">
        <v>208</v>
      </c>
      <c r="AK710" s="345" t="s">
        <v>363</v>
      </c>
      <c r="AP710" s="347">
        <v>602.16999999999996</v>
      </c>
      <c r="AQ710" s="347" t="s">
        <v>326</v>
      </c>
      <c r="AZ710" s="345">
        <v>410</v>
      </c>
      <c r="BA710" s="345" t="s">
        <v>310</v>
      </c>
      <c r="BF710" s="347">
        <v>68.010000000000005</v>
      </c>
      <c r="BG710" s="347" t="s">
        <v>337</v>
      </c>
      <c r="BH710" s="1790"/>
      <c r="BN710" s="345">
        <v>203.03</v>
      </c>
      <c r="BO710" s="345" t="s">
        <v>315</v>
      </c>
      <c r="BT710" s="347">
        <v>36.130000000000003</v>
      </c>
      <c r="BU710" s="347" t="s">
        <v>325</v>
      </c>
      <c r="BW710" s="348" t="str">
        <f t="array" ref="BW710">IFERROR(IF($BW$11="Metro",INDEX($BN$13:$BN$4972,SMALL(IF((County=$BO$13:$BO$4972),MATCH(ROW($BO$13:$BO$4972),ROW($BO$13:$BO$4972)),""),ROWS($A$13:$A710))),INDEX($BQ$13:$BQ$212,SMALL(IF((County=$BR$13:$BR$212),MATCH(ROW($BR$13:$BR$212),ROW($BR$13:$BR$212)),""),ROWS($A$13:$A710)))),"")</f>
        <v/>
      </c>
      <c r="CD710" s="237">
        <v>20.07</v>
      </c>
      <c r="CE710" s="237" t="s">
        <v>345</v>
      </c>
      <c r="CJ710" s="347">
        <v>69.06</v>
      </c>
      <c r="CK710" s="347" t="s">
        <v>361</v>
      </c>
      <c r="CL710" s="1789"/>
      <c r="CR710" s="345"/>
      <c r="CS710" s="345"/>
      <c r="CX710" s="347"/>
      <c r="CY710" s="347"/>
      <c r="DA710" s="348"/>
      <c r="DH710" s="237"/>
      <c r="DI710" s="237"/>
      <c r="DN710" s="347"/>
      <c r="DO710" s="347"/>
      <c r="DP710" s="2505"/>
      <c r="DT710" s="663"/>
      <c r="DU710" s="663"/>
      <c r="DV710" s="663"/>
      <c r="DW710" s="663"/>
      <c r="DX710" s="663"/>
      <c r="DY710" s="663"/>
      <c r="DZ710" s="663"/>
      <c r="EA710" s="663"/>
      <c r="EB710" s="663"/>
      <c r="EC710" s="663"/>
      <c r="ED710" s="663"/>
    </row>
    <row r="711" spans="6:134">
      <c r="F711" s="345">
        <v>3802</v>
      </c>
      <c r="G711" s="345" t="s">
        <v>371</v>
      </c>
      <c r="L711" s="347">
        <v>115.17</v>
      </c>
      <c r="M711" s="347" t="s">
        <v>337</v>
      </c>
      <c r="V711" s="345">
        <v>925</v>
      </c>
      <c r="W711" s="345" t="s">
        <v>376</v>
      </c>
      <c r="AB711" s="347">
        <v>88.03</v>
      </c>
      <c r="AC711" s="347" t="s">
        <v>352</v>
      </c>
      <c r="AD711" s="1138"/>
      <c r="AJ711" s="345">
        <v>212</v>
      </c>
      <c r="AK711" s="345" t="s">
        <v>363</v>
      </c>
      <c r="AP711" s="347">
        <v>602.17999999999995</v>
      </c>
      <c r="AQ711" s="347" t="s">
        <v>326</v>
      </c>
      <c r="AZ711" s="345">
        <v>412</v>
      </c>
      <c r="BA711" s="345" t="s">
        <v>310</v>
      </c>
      <c r="BF711" s="347">
        <v>68.010000000000005</v>
      </c>
      <c r="BG711" s="347" t="s">
        <v>352</v>
      </c>
      <c r="BH711" s="1790"/>
      <c r="BN711" s="345">
        <v>204.01</v>
      </c>
      <c r="BO711" s="345" t="s">
        <v>315</v>
      </c>
      <c r="BT711" s="347">
        <v>37</v>
      </c>
      <c r="BU711" s="347" t="s">
        <v>325</v>
      </c>
      <c r="BW711" s="348" t="str">
        <f t="array" ref="BW711">IFERROR(IF($BW$11="Metro",INDEX($BN$13:$BN$4972,SMALL(IF((County=$BO$13:$BO$4972),MATCH(ROW($BO$13:$BO$4972),ROW($BO$13:$BO$4972)),""),ROWS($A$13:$A711))),INDEX($BQ$13:$BQ$212,SMALL(IF((County=$BR$13:$BR$212),MATCH(ROW($BR$13:$BR$212),ROW($BR$13:$BR$212)),""),ROWS($A$13:$A711)))),"")</f>
        <v/>
      </c>
      <c r="CD711" s="237">
        <v>20.07</v>
      </c>
      <c r="CE711" s="237" t="s">
        <v>368</v>
      </c>
      <c r="CJ711" s="347">
        <v>69.069999999999993</v>
      </c>
      <c r="CK711" s="347" t="s">
        <v>361</v>
      </c>
      <c r="CL711" s="1789"/>
      <c r="CR711" s="345"/>
      <c r="CS711" s="345"/>
      <c r="CX711" s="347"/>
      <c r="CY711" s="347"/>
      <c r="DA711" s="348"/>
      <c r="DH711" s="237"/>
      <c r="DI711" s="237"/>
      <c r="DN711" s="347"/>
      <c r="DO711" s="347"/>
      <c r="DP711" s="2505"/>
      <c r="DT711" s="663"/>
      <c r="DU711" s="663"/>
      <c r="DV711" s="663"/>
      <c r="DW711" s="663"/>
      <c r="DX711" s="663"/>
      <c r="DY711" s="663"/>
      <c r="DZ711" s="663"/>
      <c r="EA711" s="663"/>
      <c r="EB711" s="663"/>
      <c r="EC711" s="663"/>
      <c r="ED711" s="663"/>
    </row>
    <row r="712" spans="6:134">
      <c r="F712" s="345">
        <v>3803</v>
      </c>
      <c r="G712" s="345" t="s">
        <v>371</v>
      </c>
      <c r="L712" s="347">
        <v>115.18</v>
      </c>
      <c r="M712" s="347" t="s">
        <v>337</v>
      </c>
      <c r="V712" s="345">
        <v>1004</v>
      </c>
      <c r="W712" s="345" t="s">
        <v>310</v>
      </c>
      <c r="AB712" s="347">
        <v>88.04</v>
      </c>
      <c r="AC712" s="347" t="s">
        <v>352</v>
      </c>
      <c r="AD712" s="1138"/>
      <c r="AJ712" s="345">
        <v>216</v>
      </c>
      <c r="AK712" s="345" t="s">
        <v>363</v>
      </c>
      <c r="AP712" s="347">
        <v>602.19000000000005</v>
      </c>
      <c r="AQ712" s="347" t="s">
        <v>326</v>
      </c>
      <c r="AZ712" s="345">
        <v>412.04</v>
      </c>
      <c r="BA712" s="345" t="s">
        <v>335</v>
      </c>
      <c r="BF712" s="347">
        <v>68.02</v>
      </c>
      <c r="BG712" s="347" t="s">
        <v>337</v>
      </c>
      <c r="BH712" s="1790"/>
      <c r="BN712" s="345">
        <v>204.02</v>
      </c>
      <c r="BO712" s="345" t="s">
        <v>315</v>
      </c>
      <c r="BT712" s="347">
        <v>601.04999999999995</v>
      </c>
      <c r="BU712" s="347" t="s">
        <v>326</v>
      </c>
      <c r="BW712" s="348" t="str">
        <f t="array" ref="BW712">IFERROR(IF($BW$11="Metro",INDEX($BN$13:$BN$4972,SMALL(IF((County=$BO$13:$BO$4972),MATCH(ROW($BO$13:$BO$4972),ROW($BO$13:$BO$4972)),""),ROWS($A$13:$A712))),INDEX($BQ$13:$BQ$212,SMALL(IF((County=$BR$13:$BR$212),MATCH(ROW($BR$13:$BR$212),ROW($BR$13:$BR$212)),""),ROWS($A$13:$A712)))),"")</f>
        <v/>
      </c>
      <c r="CD712" s="237">
        <v>20.079999999999998</v>
      </c>
      <c r="CE712" s="237" t="s">
        <v>345</v>
      </c>
      <c r="CJ712" s="347">
        <v>69.12</v>
      </c>
      <c r="CK712" s="347" t="s">
        <v>361</v>
      </c>
      <c r="CL712" s="1789"/>
      <c r="CR712" s="345"/>
      <c r="CS712" s="345"/>
      <c r="CX712" s="347"/>
      <c r="CY712" s="347"/>
      <c r="DA712" s="348"/>
      <c r="DH712" s="237"/>
      <c r="DI712" s="237"/>
      <c r="DN712" s="347"/>
      <c r="DO712" s="347"/>
      <c r="DP712" s="2505"/>
      <c r="DT712" s="663"/>
      <c r="DU712" s="663"/>
      <c r="DV712" s="663"/>
      <c r="DW712" s="663"/>
      <c r="DX712" s="663"/>
      <c r="DY712" s="663"/>
      <c r="DZ712" s="663"/>
      <c r="EA712" s="663"/>
      <c r="EB712" s="663"/>
      <c r="EC712" s="663"/>
      <c r="ED712" s="663"/>
    </row>
    <row r="713" spans="6:134">
      <c r="F713" s="345">
        <v>3804</v>
      </c>
      <c r="G713" s="345" t="s">
        <v>371</v>
      </c>
      <c r="L713" s="347">
        <v>115.19</v>
      </c>
      <c r="M713" s="347" t="s">
        <v>337</v>
      </c>
      <c r="V713" s="345">
        <v>1005.02</v>
      </c>
      <c r="W713" s="345" t="s">
        <v>310</v>
      </c>
      <c r="AB713" s="347">
        <v>89.01</v>
      </c>
      <c r="AC713" s="347" t="s">
        <v>352</v>
      </c>
      <c r="AD713" s="1138"/>
      <c r="AJ713" s="345">
        <v>245.1</v>
      </c>
      <c r="AK713" s="345" t="s">
        <v>363</v>
      </c>
      <c r="AP713" s="347">
        <v>603.01</v>
      </c>
      <c r="AQ713" s="347" t="s">
        <v>326</v>
      </c>
      <c r="AZ713" s="345">
        <v>413</v>
      </c>
      <c r="BA713" s="345" t="s">
        <v>310</v>
      </c>
      <c r="BF713" s="347">
        <v>68.02</v>
      </c>
      <c r="BG713" s="347" t="s">
        <v>352</v>
      </c>
      <c r="BH713" s="1790"/>
      <c r="BN713" s="345">
        <v>205.01</v>
      </c>
      <c r="BO713" s="345" t="s">
        <v>315</v>
      </c>
      <c r="BT713" s="347">
        <v>601.05999999999995</v>
      </c>
      <c r="BU713" s="347" t="s">
        <v>326</v>
      </c>
      <c r="BW713" s="348" t="str">
        <f t="array" ref="BW713">IFERROR(IF($BW$11="Metro",INDEX($BN$13:$BN$4972,SMALL(IF((County=$BO$13:$BO$4972),MATCH(ROW($BO$13:$BO$4972),ROW($BO$13:$BO$4972)),""),ROWS($A$13:$A713))),INDEX($BQ$13:$BQ$212,SMALL(IF((County=$BR$13:$BR$212),MATCH(ROW($BR$13:$BR$212),ROW($BR$13:$BR$212)),""),ROWS($A$13:$A713)))),"")</f>
        <v/>
      </c>
      <c r="CD713" s="237">
        <v>20.079999999999998</v>
      </c>
      <c r="CE713" s="237" t="s">
        <v>349</v>
      </c>
      <c r="CJ713" s="347">
        <v>70.010000000000005</v>
      </c>
      <c r="CK713" s="347" t="s">
        <v>337</v>
      </c>
      <c r="CL713" s="1789"/>
      <c r="CR713" s="345"/>
      <c r="CS713" s="345"/>
      <c r="CX713" s="347"/>
      <c r="CY713" s="347"/>
      <c r="DA713" s="348"/>
      <c r="DH713" s="237"/>
      <c r="DI713" s="237"/>
      <c r="DN713" s="347"/>
      <c r="DO713" s="347"/>
      <c r="DP713" s="2505"/>
      <c r="DT713" s="663"/>
      <c r="DU713" s="663"/>
      <c r="DV713" s="663"/>
      <c r="DW713" s="663"/>
      <c r="DX713" s="663"/>
      <c r="DY713" s="663"/>
      <c r="DZ713" s="663"/>
      <c r="EA713" s="663"/>
      <c r="EB713" s="663"/>
      <c r="EC713" s="663"/>
      <c r="ED713" s="663"/>
    </row>
    <row r="714" spans="6:134">
      <c r="F714" s="345">
        <v>3805</v>
      </c>
      <c r="G714" s="345" t="s">
        <v>371</v>
      </c>
      <c r="L714" s="347">
        <v>115.2</v>
      </c>
      <c r="M714" s="347" t="s">
        <v>337</v>
      </c>
      <c r="V714" s="345">
        <v>1007</v>
      </c>
      <c r="W714" s="345" t="s">
        <v>310</v>
      </c>
      <c r="AB714" s="347">
        <v>89.02</v>
      </c>
      <c r="AC714" s="347" t="s">
        <v>352</v>
      </c>
      <c r="AD714" s="1138"/>
      <c r="AJ714" s="345">
        <v>246.03</v>
      </c>
      <c r="AK714" s="345" t="s">
        <v>363</v>
      </c>
      <c r="AP714" s="347">
        <v>603.02</v>
      </c>
      <c r="AQ714" s="347" t="s">
        <v>326</v>
      </c>
      <c r="AZ714" s="345">
        <v>414</v>
      </c>
      <c r="BA714" s="345" t="s">
        <v>310</v>
      </c>
      <c r="BF714" s="347">
        <v>69</v>
      </c>
      <c r="BG714" s="347" t="s">
        <v>337</v>
      </c>
      <c r="BH714" s="1790"/>
      <c r="BN714" s="345">
        <v>205.02</v>
      </c>
      <c r="BO714" s="345" t="s">
        <v>315</v>
      </c>
      <c r="BT714" s="347">
        <v>601.07000000000005</v>
      </c>
      <c r="BU714" s="347" t="s">
        <v>326</v>
      </c>
      <c r="BW714" s="348" t="str">
        <f t="array" ref="BW714">IFERROR(IF($BW$11="Metro",INDEX($BN$13:$BN$4972,SMALL(IF((County=$BO$13:$BO$4972),MATCH(ROW($BO$13:$BO$4972),ROW($BO$13:$BO$4972)),""),ROWS($A$13:$A714))),INDEX($BQ$13:$BQ$212,SMALL(IF((County=$BR$13:$BR$212),MATCH(ROW($BR$13:$BR$212),ROW($BR$13:$BR$212)),""),ROWS($A$13:$A714)))),"")</f>
        <v/>
      </c>
      <c r="CD714" s="237">
        <v>20.079999999999998</v>
      </c>
      <c r="CE714" s="237" t="s">
        <v>368</v>
      </c>
      <c r="CJ714" s="347">
        <v>70.02</v>
      </c>
      <c r="CK714" s="347" t="s">
        <v>337</v>
      </c>
      <c r="CL714" s="1789"/>
      <c r="CR714" s="345"/>
      <c r="CS714" s="345"/>
      <c r="CX714" s="347"/>
      <c r="CY714" s="347"/>
      <c r="DA714" s="348"/>
      <c r="DH714" s="237"/>
      <c r="DI714" s="237"/>
      <c r="DN714" s="347"/>
      <c r="DO714" s="347"/>
      <c r="DP714" s="2505"/>
      <c r="DT714" s="663"/>
      <c r="DU714" s="663"/>
      <c r="DV714" s="663"/>
      <c r="DW714" s="663"/>
      <c r="DX714" s="663"/>
      <c r="DY714" s="663"/>
      <c r="DZ714" s="663"/>
      <c r="EA714" s="663"/>
      <c r="EB714" s="663"/>
      <c r="EC714" s="663"/>
      <c r="ED714" s="663"/>
    </row>
    <row r="715" spans="6:134">
      <c r="F715" s="345">
        <v>3806</v>
      </c>
      <c r="G715" s="345" t="s">
        <v>371</v>
      </c>
      <c r="L715" s="347">
        <v>115.21</v>
      </c>
      <c r="M715" s="347" t="s">
        <v>337</v>
      </c>
      <c r="V715" s="345">
        <v>1008.01</v>
      </c>
      <c r="W715" s="345" t="s">
        <v>310</v>
      </c>
      <c r="AB715" s="347">
        <v>89.06</v>
      </c>
      <c r="AC715" s="347" t="s">
        <v>352</v>
      </c>
      <c r="AD715" s="1138"/>
      <c r="AJ715" s="345">
        <v>246.04</v>
      </c>
      <c r="AK715" s="345" t="s">
        <v>363</v>
      </c>
      <c r="AP715" s="347">
        <v>603.03</v>
      </c>
      <c r="AQ715" s="347" t="s">
        <v>326</v>
      </c>
      <c r="AZ715" s="345">
        <v>414.01</v>
      </c>
      <c r="BA715" s="345" t="s">
        <v>335</v>
      </c>
      <c r="BF715" s="347">
        <v>69.010000000000005</v>
      </c>
      <c r="BG715" s="347" t="s">
        <v>352</v>
      </c>
      <c r="BH715" s="1790"/>
      <c r="BN715" s="345">
        <v>206.01</v>
      </c>
      <c r="BO715" s="345" t="s">
        <v>315</v>
      </c>
      <c r="BT715" s="347">
        <v>602.07000000000005</v>
      </c>
      <c r="BU715" s="347" t="s">
        <v>326</v>
      </c>
      <c r="BW715" s="348" t="str">
        <f t="array" ref="BW715">IFERROR(IF($BW$11="Metro",INDEX($BN$13:$BN$4972,SMALL(IF((County=$BO$13:$BO$4972),MATCH(ROW($BO$13:$BO$4972),ROW($BO$13:$BO$4972)),""),ROWS($A$13:$A715))),INDEX($BQ$13:$BQ$212,SMALL(IF((County=$BR$13:$BR$212),MATCH(ROW($BR$13:$BR$212),ROW($BR$13:$BR$212)),""),ROWS($A$13:$A715)))),"")</f>
        <v/>
      </c>
      <c r="CD715" s="237">
        <v>20.100000000000001</v>
      </c>
      <c r="CE715" s="237" t="s">
        <v>349</v>
      </c>
      <c r="CJ715" s="347">
        <v>70.03</v>
      </c>
      <c r="CK715" s="347" t="s">
        <v>352</v>
      </c>
      <c r="CL715" s="1789"/>
      <c r="CR715" s="345"/>
      <c r="CS715" s="345"/>
      <c r="CX715" s="347"/>
      <c r="CY715" s="347"/>
      <c r="DA715" s="348"/>
      <c r="DH715" s="237"/>
      <c r="DI715" s="237"/>
      <c r="DN715" s="347"/>
      <c r="DO715" s="347"/>
      <c r="DP715" s="2505"/>
      <c r="DT715" s="663"/>
      <c r="DU715" s="663"/>
      <c r="DV715" s="663"/>
      <c r="DW715" s="663"/>
      <c r="DX715" s="663"/>
      <c r="DY715" s="663"/>
      <c r="DZ715" s="663"/>
      <c r="EA715" s="663"/>
      <c r="EB715" s="663"/>
      <c r="EC715" s="663"/>
      <c r="ED715" s="663"/>
    </row>
    <row r="716" spans="6:134">
      <c r="F716" s="345">
        <v>3809.01</v>
      </c>
      <c r="G716" s="345" t="s">
        <v>371</v>
      </c>
      <c r="L716" s="347">
        <v>115.22</v>
      </c>
      <c r="M716" s="347" t="s">
        <v>337</v>
      </c>
      <c r="V716" s="345">
        <v>1103.3399999999999</v>
      </c>
      <c r="W716" s="345" t="s">
        <v>310</v>
      </c>
      <c r="AB716" s="347">
        <v>89.07</v>
      </c>
      <c r="AC716" s="347" t="s">
        <v>352</v>
      </c>
      <c r="AD716" s="1138"/>
      <c r="AJ716" s="345">
        <v>247.01</v>
      </c>
      <c r="AK716" s="345" t="s">
        <v>363</v>
      </c>
      <c r="AP716" s="347">
        <v>603.04</v>
      </c>
      <c r="AQ716" s="347" t="s">
        <v>326</v>
      </c>
      <c r="AZ716" s="345">
        <v>415</v>
      </c>
      <c r="BA716" s="345" t="s">
        <v>310</v>
      </c>
      <c r="BF716" s="347">
        <v>69.02</v>
      </c>
      <c r="BG716" s="347" t="s">
        <v>352</v>
      </c>
      <c r="BH716" s="1790"/>
      <c r="BN716" s="345">
        <v>206.02</v>
      </c>
      <c r="BO716" s="345" t="s">
        <v>315</v>
      </c>
      <c r="BT716" s="347">
        <v>602.08000000000004</v>
      </c>
      <c r="BU716" s="347" t="s">
        <v>326</v>
      </c>
      <c r="BW716" s="348" t="str">
        <f t="array" ref="BW716">IFERROR(IF($BW$11="Metro",INDEX($BN$13:$BN$4972,SMALL(IF((County=$BO$13:$BO$4972),MATCH(ROW($BO$13:$BO$4972),ROW($BO$13:$BO$4972)),""),ROWS($A$13:$A716))),INDEX($BQ$13:$BQ$212,SMALL(IF((County=$BR$13:$BR$212),MATCH(ROW($BR$13:$BR$212),ROW($BR$13:$BR$212)),""),ROWS($A$13:$A716)))),"")</f>
        <v/>
      </c>
      <c r="CD716" s="237">
        <v>20.11</v>
      </c>
      <c r="CE716" s="237" t="s">
        <v>349</v>
      </c>
      <c r="CJ716" s="347">
        <v>70.040000000000006</v>
      </c>
      <c r="CK716" s="347" t="s">
        <v>352</v>
      </c>
      <c r="CL716" s="1789"/>
      <c r="CR716" s="345"/>
      <c r="CS716" s="345"/>
      <c r="CX716" s="347"/>
      <c r="CY716" s="347"/>
      <c r="DA716" s="348"/>
      <c r="DH716" s="237"/>
      <c r="DI716" s="237"/>
      <c r="DN716" s="347"/>
      <c r="DO716" s="347"/>
      <c r="DP716" s="2505"/>
      <c r="DT716" s="663"/>
      <c r="DU716" s="663"/>
      <c r="DV716" s="663"/>
      <c r="DW716" s="663"/>
      <c r="DX716" s="663"/>
      <c r="DY716" s="663"/>
      <c r="DZ716" s="663"/>
      <c r="EA716" s="663"/>
      <c r="EB716" s="663"/>
      <c r="EC716" s="663"/>
      <c r="ED716" s="663"/>
    </row>
    <row r="717" spans="6:134">
      <c r="F717" s="345">
        <v>3809.02</v>
      </c>
      <c r="G717" s="345" t="s">
        <v>371</v>
      </c>
      <c r="L717" s="347">
        <v>115.23</v>
      </c>
      <c r="M717" s="347" t="s">
        <v>337</v>
      </c>
      <c r="V717" s="345">
        <v>1103.3499999999999</v>
      </c>
      <c r="W717" s="345" t="s">
        <v>310</v>
      </c>
      <c r="AB717" s="347">
        <v>90.06</v>
      </c>
      <c r="AC717" s="347" t="s">
        <v>352</v>
      </c>
      <c r="AD717" s="1138"/>
      <c r="AJ717" s="345">
        <v>248.04</v>
      </c>
      <c r="AK717" s="345" t="s">
        <v>363</v>
      </c>
      <c r="AP717" s="347">
        <v>9701.02</v>
      </c>
      <c r="AQ717" s="347" t="s">
        <v>327</v>
      </c>
      <c r="AZ717" s="345">
        <v>416</v>
      </c>
      <c r="BA717" s="345" t="s">
        <v>360</v>
      </c>
      <c r="BF717" s="347">
        <v>69.06</v>
      </c>
      <c r="BG717" s="347" t="s">
        <v>361</v>
      </c>
      <c r="BH717" s="1790"/>
      <c r="BN717" s="345">
        <v>207</v>
      </c>
      <c r="BO717" s="345" t="s">
        <v>315</v>
      </c>
      <c r="BT717" s="347">
        <v>602.14</v>
      </c>
      <c r="BU717" s="347" t="s">
        <v>326</v>
      </c>
      <c r="BW717" s="348" t="str">
        <f t="array" ref="BW717">IFERROR(IF($BW$11="Metro",INDEX($BN$13:$BN$4972,SMALL(IF((County=$BO$13:$BO$4972),MATCH(ROW($BO$13:$BO$4972),ROW($BO$13:$BO$4972)),""),ROWS($A$13:$A717))),INDEX($BQ$13:$BQ$212,SMALL(IF((County=$BR$13:$BR$212),MATCH(ROW($BR$13:$BR$212),ROW($BR$13:$BR$212)),""),ROWS($A$13:$A717)))),"")</f>
        <v/>
      </c>
      <c r="CD717" s="237">
        <v>20.11</v>
      </c>
      <c r="CE717" s="237" t="s">
        <v>368</v>
      </c>
      <c r="CJ717" s="347">
        <v>70.05</v>
      </c>
      <c r="CK717" s="347" t="s">
        <v>361</v>
      </c>
      <c r="CL717" s="1789"/>
      <c r="CR717" s="345"/>
      <c r="CS717" s="345"/>
      <c r="CX717" s="347"/>
      <c r="CY717" s="347"/>
      <c r="DA717" s="348"/>
      <c r="DH717" s="237"/>
      <c r="DI717" s="237"/>
      <c r="DN717" s="347"/>
      <c r="DO717" s="347"/>
      <c r="DP717" s="2505"/>
      <c r="DT717" s="663"/>
      <c r="DU717" s="663"/>
      <c r="DV717" s="663"/>
      <c r="DW717" s="663"/>
      <c r="DX717" s="663"/>
      <c r="DY717" s="663"/>
      <c r="DZ717" s="663"/>
      <c r="EA717" s="663"/>
      <c r="EB717" s="663"/>
      <c r="EC717" s="663"/>
      <c r="ED717" s="663"/>
    </row>
    <row r="718" spans="6:134">
      <c r="F718" s="345">
        <v>3814.01</v>
      </c>
      <c r="G718" s="345" t="s">
        <v>371</v>
      </c>
      <c r="L718" s="347">
        <v>115.24</v>
      </c>
      <c r="M718" s="347" t="s">
        <v>337</v>
      </c>
      <c r="V718" s="345">
        <v>3801</v>
      </c>
      <c r="W718" s="345" t="s">
        <v>371</v>
      </c>
      <c r="AB718" s="347">
        <v>90.1</v>
      </c>
      <c r="AC718" s="347" t="s">
        <v>352</v>
      </c>
      <c r="AD718" s="1138"/>
      <c r="AJ718" s="345">
        <v>250.17</v>
      </c>
      <c r="AK718" s="345" t="s">
        <v>363</v>
      </c>
      <c r="AP718" s="347">
        <v>9703.02</v>
      </c>
      <c r="AQ718" s="347" t="s">
        <v>327</v>
      </c>
      <c r="AZ718" s="345">
        <v>416.01</v>
      </c>
      <c r="BA718" s="345" t="s">
        <v>310</v>
      </c>
      <c r="BF718" s="347">
        <v>69.069999999999993</v>
      </c>
      <c r="BG718" s="347" t="s">
        <v>361</v>
      </c>
      <c r="BH718" s="1790"/>
      <c r="BN718" s="345">
        <v>208</v>
      </c>
      <c r="BO718" s="345" t="s">
        <v>315</v>
      </c>
      <c r="BT718" s="347">
        <v>602.15</v>
      </c>
      <c r="BU718" s="347" t="s">
        <v>326</v>
      </c>
      <c r="BW718" s="348" t="str">
        <f t="array" ref="BW718">IFERROR(IF($BW$11="Metro",INDEX($BN$13:$BN$4972,SMALL(IF((County=$BO$13:$BO$4972),MATCH(ROW($BO$13:$BO$4972),ROW($BO$13:$BO$4972)),""),ROWS($A$13:$A718))),INDEX($BQ$13:$BQ$212,SMALL(IF((County=$BR$13:$BR$212),MATCH(ROW($BR$13:$BR$212),ROW($BR$13:$BR$212)),""),ROWS($A$13:$A718)))),"")</f>
        <v/>
      </c>
      <c r="CD718" s="237">
        <v>20.12</v>
      </c>
      <c r="CE718" s="237" t="s">
        <v>349</v>
      </c>
      <c r="CJ718" s="347">
        <v>70.06</v>
      </c>
      <c r="CK718" s="347" t="s">
        <v>361</v>
      </c>
      <c r="CL718" s="1789"/>
      <c r="CR718" s="345"/>
      <c r="CS718" s="345"/>
      <c r="CX718" s="347"/>
      <c r="CY718" s="347"/>
      <c r="DA718" s="348"/>
      <c r="DH718" s="237"/>
      <c r="DI718" s="237"/>
      <c r="DN718" s="347"/>
      <c r="DO718" s="347"/>
      <c r="DP718" s="2505"/>
      <c r="DT718" s="663"/>
      <c r="DU718" s="663"/>
      <c r="DV718" s="663"/>
      <c r="DW718" s="663"/>
      <c r="DX718" s="663"/>
      <c r="DY718" s="663"/>
      <c r="DZ718" s="663"/>
      <c r="EA718" s="663"/>
      <c r="EB718" s="663"/>
      <c r="EC718" s="663"/>
      <c r="ED718" s="663"/>
    </row>
    <row r="719" spans="6:134">
      <c r="F719" s="345">
        <v>809.01</v>
      </c>
      <c r="G719" s="345" t="s">
        <v>376</v>
      </c>
      <c r="L719" s="347">
        <v>116.06</v>
      </c>
      <c r="M719" s="347" t="s">
        <v>337</v>
      </c>
      <c r="V719" s="345">
        <v>3802</v>
      </c>
      <c r="W719" s="345" t="s">
        <v>371</v>
      </c>
      <c r="AB719" s="347">
        <v>90.14</v>
      </c>
      <c r="AC719" s="347" t="s">
        <v>352</v>
      </c>
      <c r="AD719" s="1138"/>
      <c r="AJ719" s="345">
        <v>251.15</v>
      </c>
      <c r="AK719" s="345" t="s">
        <v>363</v>
      </c>
      <c r="AP719" s="347">
        <v>9703.0400000000009</v>
      </c>
      <c r="AQ719" s="347" t="s">
        <v>327</v>
      </c>
      <c r="AZ719" s="345">
        <v>416.02</v>
      </c>
      <c r="BA719" s="345" t="s">
        <v>310</v>
      </c>
      <c r="BF719" s="347">
        <v>69.12</v>
      </c>
      <c r="BG719" s="347" t="s">
        <v>361</v>
      </c>
      <c r="BH719" s="1790"/>
      <c r="BN719" s="345">
        <v>209</v>
      </c>
      <c r="BO719" s="345" t="s">
        <v>315</v>
      </c>
      <c r="BT719" s="347">
        <v>602.16</v>
      </c>
      <c r="BU719" s="347" t="s">
        <v>326</v>
      </c>
      <c r="BW719" s="348" t="str">
        <f t="array" ref="BW719">IFERROR(IF($BW$11="Metro",INDEX($BN$13:$BN$4972,SMALL(IF((County=$BO$13:$BO$4972),MATCH(ROW($BO$13:$BO$4972),ROW($BO$13:$BO$4972)),""),ROWS($A$13:$A719))),INDEX($BQ$13:$BQ$212,SMALL(IF((County=$BR$13:$BR$212),MATCH(ROW($BR$13:$BR$212),ROW($BR$13:$BR$212)),""),ROWS($A$13:$A719)))),"")</f>
        <v/>
      </c>
      <c r="CD719" s="237">
        <v>20.12</v>
      </c>
      <c r="CE719" s="237" t="s">
        <v>368</v>
      </c>
      <c r="CJ719" s="347">
        <v>70.069999999999993</v>
      </c>
      <c r="CK719" s="347" t="s">
        <v>352</v>
      </c>
      <c r="CL719" s="1789"/>
      <c r="CR719" s="345"/>
      <c r="CS719" s="345"/>
      <c r="CX719" s="347"/>
      <c r="CY719" s="347"/>
      <c r="DA719" s="348"/>
      <c r="DH719" s="237"/>
      <c r="DI719" s="237"/>
      <c r="DN719" s="347"/>
      <c r="DO719" s="347"/>
      <c r="DP719" s="2505"/>
      <c r="DT719" s="663"/>
      <c r="DU719" s="663"/>
      <c r="DV719" s="663"/>
      <c r="DW719" s="663"/>
      <c r="DX719" s="663"/>
      <c r="DY719" s="663"/>
      <c r="DZ719" s="663"/>
      <c r="EA719" s="663"/>
      <c r="EB719" s="663"/>
      <c r="EC719" s="663"/>
      <c r="ED719" s="663"/>
    </row>
    <row r="720" spans="6:134">
      <c r="F720" s="345">
        <v>809.02</v>
      </c>
      <c r="G720" s="345" t="s">
        <v>376</v>
      </c>
      <c r="L720" s="347">
        <v>116.08</v>
      </c>
      <c r="M720" s="347" t="s">
        <v>337</v>
      </c>
      <c r="V720" s="345">
        <v>3803</v>
      </c>
      <c r="W720" s="345" t="s">
        <v>371</v>
      </c>
      <c r="AB720" s="347">
        <v>90.15</v>
      </c>
      <c r="AC720" s="347" t="s">
        <v>352</v>
      </c>
      <c r="AD720" s="1138"/>
      <c r="AJ720" s="345">
        <v>253.05</v>
      </c>
      <c r="AK720" s="345" t="s">
        <v>363</v>
      </c>
      <c r="AP720" s="347">
        <v>201.01</v>
      </c>
      <c r="AQ720" s="347" t="s">
        <v>328</v>
      </c>
      <c r="AZ720" s="345">
        <v>417</v>
      </c>
      <c r="BA720" s="345" t="s">
        <v>310</v>
      </c>
      <c r="BF720" s="347">
        <v>70.03</v>
      </c>
      <c r="BG720" s="347" t="s">
        <v>352</v>
      </c>
      <c r="BH720" s="1790"/>
      <c r="BN720" s="345">
        <v>210.01</v>
      </c>
      <c r="BO720" s="345" t="s">
        <v>315</v>
      </c>
      <c r="BT720" s="347">
        <v>602.20000000000005</v>
      </c>
      <c r="BU720" s="347" t="s">
        <v>326</v>
      </c>
      <c r="BW720" s="348" t="str">
        <f t="array" ref="BW720">IFERROR(IF($BW$11="Metro",INDEX($BN$13:$BN$4972,SMALL(IF((County=$BO$13:$BO$4972),MATCH(ROW($BO$13:$BO$4972),ROW($BO$13:$BO$4972)),""),ROWS($A$13:$A720))),INDEX($BQ$13:$BQ$212,SMALL(IF((County=$BR$13:$BR$212),MATCH(ROW($BR$13:$BR$212),ROW($BR$13:$BR$212)),""),ROWS($A$13:$A720)))),"")</f>
        <v/>
      </c>
      <c r="CD720" s="237">
        <v>20.13</v>
      </c>
      <c r="CE720" s="237" t="s">
        <v>368</v>
      </c>
      <c r="CJ720" s="347">
        <v>70.069999999999993</v>
      </c>
      <c r="CK720" s="347" t="s">
        <v>361</v>
      </c>
      <c r="CL720" s="1789"/>
      <c r="CR720" s="345"/>
      <c r="CS720" s="345"/>
      <c r="CX720" s="347"/>
      <c r="CY720" s="347"/>
      <c r="DA720" s="348"/>
      <c r="DH720" s="237"/>
      <c r="DI720" s="237"/>
      <c r="DN720" s="347"/>
      <c r="DO720" s="347"/>
      <c r="DP720" s="2505"/>
      <c r="DT720" s="663"/>
      <c r="DU720" s="663"/>
      <c r="DV720" s="663"/>
      <c r="DW720" s="663"/>
      <c r="DX720" s="663"/>
      <c r="DY720" s="663"/>
      <c r="DZ720" s="663"/>
      <c r="EA720" s="663"/>
      <c r="EB720" s="663"/>
      <c r="EC720" s="663"/>
      <c r="ED720" s="663"/>
    </row>
    <row r="721" spans="6:134">
      <c r="F721" s="345">
        <v>810</v>
      </c>
      <c r="G721" s="345" t="s">
        <v>376</v>
      </c>
      <c r="L721" s="347">
        <v>116.12</v>
      </c>
      <c r="M721" s="347" t="s">
        <v>337</v>
      </c>
      <c r="V721" s="345">
        <v>3804</v>
      </c>
      <c r="W721" s="345" t="s">
        <v>371</v>
      </c>
      <c r="AB721" s="347">
        <v>90.19</v>
      </c>
      <c r="AC721" s="347" t="s">
        <v>352</v>
      </c>
      <c r="AD721" s="1138"/>
      <c r="AJ721" s="345">
        <v>255.05</v>
      </c>
      <c r="AK721" s="345" t="s">
        <v>363</v>
      </c>
      <c r="AP721" s="347">
        <v>201.03</v>
      </c>
      <c r="AQ721" s="347" t="s">
        <v>328</v>
      </c>
      <c r="AZ721" s="345">
        <v>418</v>
      </c>
      <c r="BA721" s="345" t="s">
        <v>360</v>
      </c>
      <c r="BF721" s="347">
        <v>70.040000000000006</v>
      </c>
      <c r="BG721" s="347" t="s">
        <v>352</v>
      </c>
      <c r="BH721" s="1790"/>
      <c r="BN721" s="345">
        <v>210.02</v>
      </c>
      <c r="BO721" s="345" t="s">
        <v>315</v>
      </c>
      <c r="BT721" s="347">
        <v>603.01</v>
      </c>
      <c r="BU721" s="347" t="s">
        <v>326</v>
      </c>
      <c r="BW721" s="348" t="str">
        <f t="array" ref="BW721">IFERROR(IF($BW$11="Metro",INDEX($BN$13:$BN$4972,SMALL(IF((County=$BO$13:$BO$4972),MATCH(ROW($BO$13:$BO$4972),ROW($BO$13:$BO$4972)),""),ROWS($A$13:$A721))),INDEX($BQ$13:$BQ$212,SMALL(IF((County=$BR$13:$BR$212),MATCH(ROW($BR$13:$BR$212),ROW($BR$13:$BR$212)),""),ROWS($A$13:$A721)))),"")</f>
        <v/>
      </c>
      <c r="CD721" s="237">
        <v>20.14</v>
      </c>
      <c r="CE721" s="237" t="s">
        <v>349</v>
      </c>
      <c r="CJ721" s="347">
        <v>70.08</v>
      </c>
      <c r="CK721" s="347" t="s">
        <v>361</v>
      </c>
      <c r="CL721" s="1789"/>
      <c r="CR721" s="345"/>
      <c r="CS721" s="345"/>
      <c r="CX721" s="347"/>
      <c r="CY721" s="347"/>
      <c r="DA721" s="348"/>
      <c r="DH721" s="237"/>
      <c r="DI721" s="237"/>
      <c r="DN721" s="347"/>
      <c r="DO721" s="347"/>
      <c r="DP721" s="2505"/>
      <c r="DT721" s="663"/>
      <c r="DU721" s="663"/>
      <c r="DV721" s="663"/>
      <c r="DW721" s="663"/>
      <c r="DX721" s="663"/>
      <c r="DY721" s="663"/>
      <c r="DZ721" s="663"/>
      <c r="EA721" s="663"/>
      <c r="EB721" s="663"/>
      <c r="EC721" s="663"/>
      <c r="ED721" s="663"/>
    </row>
    <row r="722" spans="6:134">
      <c r="F722" s="345">
        <v>812</v>
      </c>
      <c r="G722" s="345" t="s">
        <v>376</v>
      </c>
      <c r="L722" s="347">
        <v>117.06</v>
      </c>
      <c r="M722" s="347" t="s">
        <v>337</v>
      </c>
      <c r="V722" s="345">
        <v>3805</v>
      </c>
      <c r="W722" s="345" t="s">
        <v>371</v>
      </c>
      <c r="AB722" s="347">
        <v>90.23</v>
      </c>
      <c r="AC722" s="347" t="s">
        <v>352</v>
      </c>
      <c r="AD722" s="1138"/>
      <c r="AJ722" s="345">
        <v>256.02</v>
      </c>
      <c r="AK722" s="345" t="s">
        <v>363</v>
      </c>
      <c r="AP722" s="347">
        <v>201.04</v>
      </c>
      <c r="AQ722" s="347" t="s">
        <v>328</v>
      </c>
      <c r="AZ722" s="345">
        <v>419</v>
      </c>
      <c r="BA722" s="345" t="s">
        <v>360</v>
      </c>
      <c r="BF722" s="347">
        <v>70.05</v>
      </c>
      <c r="BG722" s="347" t="s">
        <v>361</v>
      </c>
      <c r="BH722" s="1790"/>
      <c r="BN722" s="345">
        <v>210.03</v>
      </c>
      <c r="BO722" s="345" t="s">
        <v>315</v>
      </c>
      <c r="BT722" s="347">
        <v>603.02</v>
      </c>
      <c r="BU722" s="347" t="s">
        <v>326</v>
      </c>
      <c r="BW722" s="348" t="str">
        <f t="array" ref="BW722">IFERROR(IF($BW$11="Metro",INDEX($BN$13:$BN$4972,SMALL(IF((County=$BO$13:$BO$4972),MATCH(ROW($BO$13:$BO$4972),ROW($BO$13:$BO$4972)),""),ROWS($A$13:$A722))),INDEX($BQ$13:$BQ$212,SMALL(IF((County=$BR$13:$BR$212),MATCH(ROW($BR$13:$BR$212),ROW($BR$13:$BR$212)),""),ROWS($A$13:$A722)))),"")</f>
        <v/>
      </c>
      <c r="CD722" s="237">
        <v>20.14</v>
      </c>
      <c r="CE722" s="237" t="s">
        <v>368</v>
      </c>
      <c r="CJ722" s="347">
        <v>70.09</v>
      </c>
      <c r="CK722" s="347" t="s">
        <v>361</v>
      </c>
      <c r="CL722" s="1789"/>
      <c r="CR722" s="345"/>
      <c r="CS722" s="345"/>
      <c r="CX722" s="347"/>
      <c r="CY722" s="347"/>
      <c r="DA722" s="348"/>
      <c r="DH722" s="237"/>
      <c r="DI722" s="237"/>
      <c r="DN722" s="347"/>
      <c r="DO722" s="347"/>
      <c r="DP722" s="2505"/>
      <c r="DT722" s="663"/>
      <c r="DU722" s="663"/>
      <c r="DV722" s="663"/>
      <c r="DW722" s="663"/>
      <c r="DX722" s="663"/>
      <c r="DY722" s="663"/>
      <c r="DZ722" s="663"/>
      <c r="EA722" s="663"/>
      <c r="EB722" s="663"/>
      <c r="EC722" s="663"/>
      <c r="ED722" s="663"/>
    </row>
    <row r="723" spans="6:134">
      <c r="F723" s="345">
        <v>815</v>
      </c>
      <c r="G723" s="345" t="s">
        <v>376</v>
      </c>
      <c r="L723" s="347">
        <v>117.08</v>
      </c>
      <c r="M723" s="347" t="s">
        <v>337</v>
      </c>
      <c r="V723" s="345">
        <v>3806</v>
      </c>
      <c r="W723" s="345" t="s">
        <v>371</v>
      </c>
      <c r="AB723" s="347">
        <v>90.24</v>
      </c>
      <c r="AC723" s="347" t="s">
        <v>352</v>
      </c>
      <c r="AD723" s="1138"/>
      <c r="AJ723" s="345">
        <v>258</v>
      </c>
      <c r="AK723" s="345" t="s">
        <v>363</v>
      </c>
      <c r="AP723" s="347">
        <v>204</v>
      </c>
      <c r="AQ723" s="347" t="s">
        <v>328</v>
      </c>
      <c r="AZ723" s="345">
        <v>420</v>
      </c>
      <c r="BA723" s="345" t="s">
        <v>360</v>
      </c>
      <c r="BF723" s="347">
        <v>70.06</v>
      </c>
      <c r="BG723" s="347" t="s">
        <v>352</v>
      </c>
      <c r="BH723" s="1790"/>
      <c r="BN723" s="345">
        <v>301.01</v>
      </c>
      <c r="BO723" s="345" t="s">
        <v>315</v>
      </c>
      <c r="BT723" s="347">
        <v>603.03</v>
      </c>
      <c r="BU723" s="347" t="s">
        <v>326</v>
      </c>
      <c r="BW723" s="1788" t="s">
        <v>2595</v>
      </c>
      <c r="CD723" s="237">
        <v>20.149999999999999</v>
      </c>
      <c r="CE723" s="237" t="s">
        <v>368</v>
      </c>
      <c r="CJ723" s="347">
        <v>70.099999999999994</v>
      </c>
      <c r="CK723" s="347" t="s">
        <v>361</v>
      </c>
      <c r="CL723" s="1789"/>
      <c r="CR723" s="345"/>
      <c r="CS723" s="345"/>
      <c r="CX723" s="347"/>
      <c r="CY723" s="347"/>
      <c r="DA723" s="348"/>
      <c r="DH723" s="237"/>
      <c r="DI723" s="237"/>
      <c r="DN723" s="347"/>
      <c r="DO723" s="347"/>
      <c r="DP723" s="2505"/>
      <c r="DT723" s="663"/>
      <c r="DU723" s="663"/>
      <c r="DV723" s="663"/>
      <c r="DW723" s="663"/>
      <c r="DX723" s="663"/>
      <c r="DY723" s="663"/>
      <c r="DZ723" s="663"/>
      <c r="EA723" s="663"/>
      <c r="EB723" s="663"/>
      <c r="EC723" s="663"/>
      <c r="ED723" s="663"/>
    </row>
    <row r="724" spans="6:134">
      <c r="F724" s="345">
        <v>817</v>
      </c>
      <c r="G724" s="345" t="s">
        <v>376</v>
      </c>
      <c r="L724" s="347">
        <v>117.09</v>
      </c>
      <c r="M724" s="347" t="s">
        <v>337</v>
      </c>
      <c r="V724" s="345">
        <v>3809.01</v>
      </c>
      <c r="W724" s="345" t="s">
        <v>371</v>
      </c>
      <c r="AB724" s="347">
        <v>90.28</v>
      </c>
      <c r="AC724" s="347" t="s">
        <v>352</v>
      </c>
      <c r="AD724" s="1138"/>
      <c r="AJ724" s="345">
        <v>259.01</v>
      </c>
      <c r="AK724" s="345" t="s">
        <v>363</v>
      </c>
      <c r="AP724" s="347">
        <v>205</v>
      </c>
      <c r="AQ724" s="347" t="s">
        <v>328</v>
      </c>
      <c r="AZ724" s="345">
        <v>421</v>
      </c>
      <c r="BA724" s="345" t="s">
        <v>360</v>
      </c>
      <c r="BF724" s="347">
        <v>70.06</v>
      </c>
      <c r="BG724" s="347" t="s">
        <v>361</v>
      </c>
      <c r="BH724" s="1790"/>
      <c r="BN724" s="345">
        <v>301.02</v>
      </c>
      <c r="BO724" s="345" t="s">
        <v>315</v>
      </c>
      <c r="BT724" s="347">
        <v>603.04</v>
      </c>
      <c r="BU724" s="347" t="s">
        <v>326</v>
      </c>
      <c r="CD724" s="237">
        <v>20.16</v>
      </c>
      <c r="CE724" s="237" t="s">
        <v>349</v>
      </c>
      <c r="CJ724" s="347">
        <v>70.11</v>
      </c>
      <c r="CK724" s="347" t="s">
        <v>361</v>
      </c>
      <c r="CL724" s="1789"/>
      <c r="CR724" s="345"/>
      <c r="CS724" s="345"/>
      <c r="CX724" s="347"/>
      <c r="CY724" s="347"/>
      <c r="DA724" s="348"/>
      <c r="DH724" s="237"/>
      <c r="DI724" s="237"/>
      <c r="DN724" s="347"/>
      <c r="DO724" s="347"/>
      <c r="DP724" s="2505"/>
      <c r="DT724" s="663"/>
      <c r="DU724" s="663"/>
      <c r="DV724" s="663"/>
      <c r="DW724" s="663"/>
      <c r="DX724" s="663"/>
      <c r="DY724" s="663"/>
      <c r="DZ724" s="663"/>
      <c r="EA724" s="663"/>
      <c r="EB724" s="663"/>
      <c r="EC724" s="663"/>
      <c r="ED724" s="663"/>
    </row>
    <row r="725" spans="6:134">
      <c r="F725" s="345">
        <v>818</v>
      </c>
      <c r="G725" s="345" t="s">
        <v>376</v>
      </c>
      <c r="L725" s="347">
        <v>117.1</v>
      </c>
      <c r="M725" s="347" t="s">
        <v>337</v>
      </c>
      <c r="V725" s="345">
        <v>3809.02</v>
      </c>
      <c r="W725" s="345" t="s">
        <v>371</v>
      </c>
      <c r="AB725" s="347">
        <v>90.29</v>
      </c>
      <c r="AC725" s="347" t="s">
        <v>352</v>
      </c>
      <c r="AD725" s="1138"/>
      <c r="AJ725" s="345">
        <v>259.02</v>
      </c>
      <c r="AK725" s="345" t="s">
        <v>363</v>
      </c>
      <c r="AP725" s="347">
        <v>206</v>
      </c>
      <c r="AQ725" s="347" t="s">
        <v>328</v>
      </c>
      <c r="AZ725" s="345">
        <v>422.02</v>
      </c>
      <c r="BA725" s="345" t="s">
        <v>360</v>
      </c>
      <c r="BF725" s="347">
        <v>70.069999999999993</v>
      </c>
      <c r="BG725" s="347" t="s">
        <v>352</v>
      </c>
      <c r="BH725" s="1790"/>
      <c r="BN725" s="345">
        <v>302.01</v>
      </c>
      <c r="BO725" s="345" t="s">
        <v>315</v>
      </c>
      <c r="BT725" s="347">
        <v>9701.02</v>
      </c>
      <c r="BU725" s="347" t="s">
        <v>327</v>
      </c>
      <c r="CD725" s="237">
        <v>20.16</v>
      </c>
      <c r="CE725" s="237" t="s">
        <v>368</v>
      </c>
      <c r="CJ725" s="347">
        <v>70.12</v>
      </c>
      <c r="CK725" s="347" t="s">
        <v>361</v>
      </c>
      <c r="CL725" s="1789"/>
      <c r="CR725" s="345"/>
      <c r="CS725" s="345"/>
      <c r="CX725" s="347"/>
      <c r="CY725" s="347"/>
      <c r="DA725" s="348"/>
      <c r="DH725" s="237"/>
      <c r="DI725" s="237"/>
      <c r="DN725" s="347"/>
      <c r="DO725" s="347"/>
      <c r="DP725" s="2505"/>
      <c r="DT725" s="663"/>
      <c r="DU725" s="663"/>
      <c r="DV725" s="663"/>
      <c r="DW725" s="663"/>
      <c r="DX725" s="663"/>
      <c r="DY725" s="663"/>
      <c r="DZ725" s="663"/>
      <c r="EA725" s="663"/>
      <c r="EB725" s="663"/>
      <c r="EC725" s="663"/>
      <c r="ED725" s="663"/>
    </row>
    <row r="726" spans="6:134">
      <c r="F726" s="345">
        <v>819</v>
      </c>
      <c r="G726" s="345" t="s">
        <v>376</v>
      </c>
      <c r="L726" s="347">
        <v>117.12</v>
      </c>
      <c r="M726" s="347" t="s">
        <v>337</v>
      </c>
      <c r="V726" s="345">
        <v>3814.01</v>
      </c>
      <c r="W726" s="345" t="s">
        <v>371</v>
      </c>
      <c r="AB726" s="347">
        <v>90.3</v>
      </c>
      <c r="AC726" s="347" t="s">
        <v>352</v>
      </c>
      <c r="AD726" s="1138"/>
      <c r="AJ726" s="345">
        <v>261.01</v>
      </c>
      <c r="AK726" s="345" t="s">
        <v>363</v>
      </c>
      <c r="AP726" s="347">
        <v>208</v>
      </c>
      <c r="AQ726" s="347" t="s">
        <v>328</v>
      </c>
      <c r="AZ726" s="345">
        <v>423</v>
      </c>
      <c r="BA726" s="345" t="s">
        <v>360</v>
      </c>
      <c r="BF726" s="347">
        <v>70.069999999999993</v>
      </c>
      <c r="BG726" s="347" t="s">
        <v>361</v>
      </c>
      <c r="BH726" s="1790"/>
      <c r="BN726" s="345">
        <v>302.02</v>
      </c>
      <c r="BO726" s="345" t="s">
        <v>315</v>
      </c>
      <c r="BT726" s="347">
        <v>9703.0400000000009</v>
      </c>
      <c r="BU726" s="347" t="s">
        <v>327</v>
      </c>
      <c r="CD726" s="237">
        <v>20.170000000000002</v>
      </c>
      <c r="CE726" s="237" t="s">
        <v>349</v>
      </c>
      <c r="CJ726" s="347">
        <v>70.13</v>
      </c>
      <c r="CK726" s="347" t="s">
        <v>361</v>
      </c>
      <c r="CL726" s="1789"/>
      <c r="CR726" s="345"/>
      <c r="CS726" s="345"/>
      <c r="CX726" s="347"/>
      <c r="CY726" s="347"/>
      <c r="DA726" s="348"/>
      <c r="DH726" s="237"/>
      <c r="DI726" s="237"/>
      <c r="DN726" s="347"/>
      <c r="DO726" s="347"/>
      <c r="DP726" s="2505"/>
      <c r="DT726" s="663"/>
      <c r="DU726" s="663"/>
      <c r="DV726" s="663"/>
      <c r="DW726" s="663"/>
      <c r="DX726" s="663"/>
      <c r="DY726" s="663"/>
      <c r="DZ726" s="663"/>
      <c r="EA726" s="663"/>
      <c r="EB726" s="663"/>
      <c r="EC726" s="663"/>
      <c r="ED726" s="663"/>
    </row>
    <row r="727" spans="6:134">
      <c r="F727" s="345">
        <v>820</v>
      </c>
      <c r="G727" s="345" t="s">
        <v>376</v>
      </c>
      <c r="L727" s="347">
        <v>121.08</v>
      </c>
      <c r="M727" s="347" t="s">
        <v>337</v>
      </c>
      <c r="V727" s="345">
        <v>4502.0200000000004</v>
      </c>
      <c r="W727" s="345" t="s">
        <v>316</v>
      </c>
      <c r="AB727" s="347">
        <v>90.31</v>
      </c>
      <c r="AC727" s="347" t="s">
        <v>352</v>
      </c>
      <c r="AD727" s="1138"/>
      <c r="AJ727" s="345">
        <v>262</v>
      </c>
      <c r="AK727" s="345" t="s">
        <v>363</v>
      </c>
      <c r="AP727" s="347">
        <v>9502.01</v>
      </c>
      <c r="AQ727" s="347" t="s">
        <v>329</v>
      </c>
      <c r="AZ727" s="345">
        <v>427</v>
      </c>
      <c r="BA727" s="345" t="s">
        <v>310</v>
      </c>
      <c r="BF727" s="347">
        <v>70.08</v>
      </c>
      <c r="BG727" s="347" t="s">
        <v>361</v>
      </c>
      <c r="BH727" s="1790"/>
      <c r="BN727" s="345">
        <v>303.01</v>
      </c>
      <c r="BO727" s="345" t="s">
        <v>315</v>
      </c>
      <c r="BT727" s="347">
        <v>201.01</v>
      </c>
      <c r="BU727" s="347" t="s">
        <v>328</v>
      </c>
      <c r="CD727" s="237">
        <v>20.18</v>
      </c>
      <c r="CE727" s="237" t="s">
        <v>349</v>
      </c>
      <c r="CJ727" s="347">
        <v>71.02</v>
      </c>
      <c r="CK727" s="347" t="s">
        <v>337</v>
      </c>
      <c r="CL727" s="1789"/>
      <c r="CR727" s="345"/>
      <c r="CS727" s="345"/>
      <c r="CX727" s="347"/>
      <c r="CY727" s="347"/>
      <c r="DA727" s="348"/>
      <c r="DH727" s="237"/>
      <c r="DI727" s="237"/>
      <c r="DN727" s="347"/>
      <c r="DO727" s="347"/>
      <c r="DP727" s="2505"/>
      <c r="DT727" s="663"/>
      <c r="DU727" s="663"/>
      <c r="DV727" s="663"/>
      <c r="DW727" s="663"/>
      <c r="DX727" s="663"/>
      <c r="DY727" s="663"/>
      <c r="DZ727" s="663"/>
      <c r="EA727" s="663"/>
      <c r="EB727" s="663"/>
      <c r="EC727" s="663"/>
      <c r="ED727" s="663"/>
    </row>
    <row r="728" spans="6:134">
      <c r="F728" s="345">
        <v>821</v>
      </c>
      <c r="G728" s="345" t="s">
        <v>376</v>
      </c>
      <c r="L728" s="347">
        <v>122.06</v>
      </c>
      <c r="M728" s="347" t="s">
        <v>337</v>
      </c>
      <c r="V728" s="345">
        <v>4503.03</v>
      </c>
      <c r="W728" s="345" t="s">
        <v>316</v>
      </c>
      <c r="AB728" s="347">
        <v>90.34</v>
      </c>
      <c r="AC728" s="347" t="s">
        <v>352</v>
      </c>
      <c r="AD728" s="1138"/>
      <c r="AJ728" s="345">
        <v>263</v>
      </c>
      <c r="AK728" s="345" t="s">
        <v>363</v>
      </c>
      <c r="AP728" s="347">
        <v>9502.02</v>
      </c>
      <c r="AQ728" s="347" t="s">
        <v>329</v>
      </c>
      <c r="AZ728" s="345">
        <v>427.02</v>
      </c>
      <c r="BA728" s="345" t="s">
        <v>360</v>
      </c>
      <c r="BF728" s="347">
        <v>70.09</v>
      </c>
      <c r="BG728" s="347" t="s">
        <v>361</v>
      </c>
      <c r="BH728" s="1790"/>
      <c r="BN728" s="345">
        <v>303.02</v>
      </c>
      <c r="BO728" s="345" t="s">
        <v>315</v>
      </c>
      <c r="BT728" s="347">
        <v>201.03</v>
      </c>
      <c r="BU728" s="347" t="s">
        <v>328</v>
      </c>
      <c r="CD728" s="237">
        <v>20.190000000000001</v>
      </c>
      <c r="CE728" s="237" t="s">
        <v>349</v>
      </c>
      <c r="CJ728" s="347">
        <v>71.03</v>
      </c>
      <c r="CK728" s="347" t="s">
        <v>337</v>
      </c>
      <c r="CL728" s="1789"/>
      <c r="CR728" s="345"/>
      <c r="CS728" s="345"/>
      <c r="CX728" s="347"/>
      <c r="CY728" s="347"/>
      <c r="DA728" s="348"/>
      <c r="DH728" s="237"/>
      <c r="DI728" s="237"/>
      <c r="DN728" s="347"/>
      <c r="DO728" s="347"/>
      <c r="DP728" s="2505"/>
      <c r="DT728" s="663"/>
      <c r="DU728" s="663"/>
      <c r="DV728" s="663"/>
      <c r="DW728" s="663"/>
      <c r="DX728" s="663"/>
      <c r="DY728" s="663"/>
      <c r="DZ728" s="663"/>
      <c r="EA728" s="663"/>
      <c r="EB728" s="663"/>
      <c r="EC728" s="663"/>
      <c r="ED728" s="663"/>
    </row>
    <row r="729" spans="6:134">
      <c r="F729" s="345">
        <v>822.01</v>
      </c>
      <c r="G729" s="345" t="s">
        <v>376</v>
      </c>
      <c r="L729" s="347">
        <v>122.07</v>
      </c>
      <c r="M729" s="347" t="s">
        <v>337</v>
      </c>
      <c r="V729" s="345">
        <v>4508</v>
      </c>
      <c r="W729" s="345" t="s">
        <v>316</v>
      </c>
      <c r="AB729" s="347">
        <v>90.35</v>
      </c>
      <c r="AC729" s="347" t="s">
        <v>352</v>
      </c>
      <c r="AD729" s="1138"/>
      <c r="AJ729" s="345">
        <v>264.02</v>
      </c>
      <c r="AK729" s="345" t="s">
        <v>363</v>
      </c>
      <c r="AP729" s="347">
        <v>9502.0300000000007</v>
      </c>
      <c r="AQ729" s="347" t="s">
        <v>329</v>
      </c>
      <c r="AZ729" s="345">
        <v>428.01</v>
      </c>
      <c r="BA729" s="345" t="s">
        <v>310</v>
      </c>
      <c r="BF729" s="347">
        <v>70.099999999999994</v>
      </c>
      <c r="BG729" s="347" t="s">
        <v>361</v>
      </c>
      <c r="BH729" s="1790"/>
      <c r="BN729" s="345">
        <v>304.01</v>
      </c>
      <c r="BO729" s="345" t="s">
        <v>315</v>
      </c>
      <c r="BT729" s="347">
        <v>201.04</v>
      </c>
      <c r="BU729" s="347" t="s">
        <v>328</v>
      </c>
      <c r="CD729" s="237">
        <v>20.2</v>
      </c>
      <c r="CE729" s="237" t="s">
        <v>349</v>
      </c>
      <c r="CJ729" s="347">
        <v>71.03</v>
      </c>
      <c r="CK729" s="347" t="s">
        <v>352</v>
      </c>
      <c r="CL729" s="1789"/>
      <c r="CR729" s="345"/>
      <c r="CS729" s="345"/>
      <c r="CX729" s="347"/>
      <c r="CY729" s="347"/>
      <c r="DA729" s="348"/>
      <c r="DH729" s="237"/>
      <c r="DI729" s="237"/>
      <c r="DN729" s="347"/>
      <c r="DO729" s="347"/>
      <c r="DP729" s="2505"/>
      <c r="DT729" s="663"/>
      <c r="DU729" s="663"/>
      <c r="DV729" s="663"/>
      <c r="DW729" s="663"/>
      <c r="DX729" s="663"/>
      <c r="DY729" s="663"/>
      <c r="DZ729" s="663"/>
      <c r="EA729" s="663"/>
      <c r="EB729" s="663"/>
      <c r="EC729" s="663"/>
      <c r="ED729" s="663"/>
    </row>
    <row r="730" spans="6:134">
      <c r="F730" s="345">
        <v>823.01</v>
      </c>
      <c r="G730" s="345" t="s">
        <v>376</v>
      </c>
      <c r="L730" s="347">
        <v>122.08</v>
      </c>
      <c r="M730" s="347" t="s">
        <v>337</v>
      </c>
      <c r="V730" s="345">
        <v>4514</v>
      </c>
      <c r="W730" s="345" t="s">
        <v>316</v>
      </c>
      <c r="AB730" s="347">
        <v>90.36</v>
      </c>
      <c r="AC730" s="347" t="s">
        <v>352</v>
      </c>
      <c r="AD730" s="1138"/>
      <c r="AJ730" s="345">
        <v>269.08999999999997</v>
      </c>
      <c r="AK730" s="345" t="s">
        <v>363</v>
      </c>
      <c r="AP730" s="347">
        <v>2.0099999999999998</v>
      </c>
      <c r="AQ730" s="347" t="s">
        <v>330</v>
      </c>
      <c r="AZ730" s="345">
        <v>428.02</v>
      </c>
      <c r="BA730" s="345" t="s">
        <v>310</v>
      </c>
      <c r="BF730" s="347">
        <v>70.11</v>
      </c>
      <c r="BG730" s="347" t="s">
        <v>361</v>
      </c>
      <c r="BH730" s="1790"/>
      <c r="BN730" s="345">
        <v>304.02</v>
      </c>
      <c r="BO730" s="345" t="s">
        <v>315</v>
      </c>
      <c r="BT730" s="347">
        <v>205</v>
      </c>
      <c r="BU730" s="347" t="s">
        <v>328</v>
      </c>
      <c r="CD730" s="237">
        <v>20.21</v>
      </c>
      <c r="CE730" s="237" t="s">
        <v>349</v>
      </c>
      <c r="CJ730" s="347">
        <v>71.040000000000006</v>
      </c>
      <c r="CK730" s="347" t="s">
        <v>352</v>
      </c>
      <c r="CL730" s="1789"/>
      <c r="CR730" s="345"/>
      <c r="CS730" s="345"/>
      <c r="CX730" s="347"/>
      <c r="CY730" s="347"/>
      <c r="DA730" s="348"/>
      <c r="DH730" s="237"/>
      <c r="DI730" s="237"/>
      <c r="DN730" s="347"/>
      <c r="DO730" s="347"/>
      <c r="DP730" s="2505"/>
      <c r="DT730" s="663"/>
      <c r="DU730" s="663"/>
      <c r="DV730" s="663"/>
      <c r="DW730" s="663"/>
      <c r="DX730" s="663"/>
      <c r="DY730" s="663"/>
      <c r="DZ730" s="663"/>
      <c r="EA730" s="663"/>
      <c r="EB730" s="663"/>
      <c r="EC730" s="663"/>
      <c r="ED730" s="663"/>
    </row>
    <row r="731" spans="6:134">
      <c r="F731" s="345">
        <v>824.01</v>
      </c>
      <c r="G731" s="345" t="s">
        <v>376</v>
      </c>
      <c r="L731" s="347">
        <v>122.09</v>
      </c>
      <c r="M731" s="347" t="s">
        <v>337</v>
      </c>
      <c r="V731" s="345">
        <v>9503.01</v>
      </c>
      <c r="W731" s="345" t="s">
        <v>378</v>
      </c>
      <c r="AB731" s="347">
        <v>90.38</v>
      </c>
      <c r="AC731" s="347" t="s">
        <v>352</v>
      </c>
      <c r="AD731" s="1138"/>
      <c r="AJ731" s="345">
        <v>271.07</v>
      </c>
      <c r="AK731" s="345" t="s">
        <v>363</v>
      </c>
      <c r="AP731" s="347">
        <v>2.02</v>
      </c>
      <c r="AQ731" s="347" t="s">
        <v>330</v>
      </c>
      <c r="AZ731" s="345">
        <v>434</v>
      </c>
      <c r="BA731" s="345" t="s">
        <v>360</v>
      </c>
      <c r="BF731" s="347">
        <v>70.12</v>
      </c>
      <c r="BG731" s="347" t="s">
        <v>361</v>
      </c>
      <c r="BH731" s="1790"/>
      <c r="BN731" s="345">
        <v>305.01</v>
      </c>
      <c r="BO731" s="345" t="s">
        <v>315</v>
      </c>
      <c r="BT731" s="347">
        <v>206</v>
      </c>
      <c r="BU731" s="347" t="s">
        <v>328</v>
      </c>
      <c r="CD731" s="237">
        <v>20.22</v>
      </c>
      <c r="CE731" s="237" t="s">
        <v>349</v>
      </c>
      <c r="CJ731" s="347">
        <v>72</v>
      </c>
      <c r="CK731" s="347" t="s">
        <v>337</v>
      </c>
      <c r="CL731" s="1789"/>
      <c r="CR731" s="345"/>
      <c r="CS731" s="345"/>
      <c r="CX731" s="347"/>
      <c r="CY731" s="347"/>
      <c r="DA731" s="348"/>
      <c r="DH731" s="237"/>
      <c r="DI731" s="237"/>
      <c r="DN731" s="347"/>
      <c r="DO731" s="347"/>
      <c r="DP731" s="2505"/>
      <c r="DT731" s="663"/>
      <c r="DU731" s="663"/>
      <c r="DV731" s="663"/>
      <c r="DW731" s="663"/>
      <c r="DX731" s="663"/>
      <c r="DY731" s="663"/>
      <c r="DZ731" s="663"/>
      <c r="EA731" s="663"/>
      <c r="EB731" s="663"/>
      <c r="EC731" s="663"/>
      <c r="ED731" s="663"/>
    </row>
    <row r="732" spans="6:134">
      <c r="F732" s="345">
        <v>824.15</v>
      </c>
      <c r="G732" s="345" t="s">
        <v>376</v>
      </c>
      <c r="L732" s="347">
        <v>122.12</v>
      </c>
      <c r="M732" s="347" t="s">
        <v>337</v>
      </c>
      <c r="V732" s="345">
        <v>9504</v>
      </c>
      <c r="W732" s="345" t="s">
        <v>378</v>
      </c>
      <c r="AB732" s="347">
        <v>90.39</v>
      </c>
      <c r="AC732" s="347" t="s">
        <v>352</v>
      </c>
      <c r="AD732" s="1138"/>
      <c r="AJ732" s="345">
        <v>271.08</v>
      </c>
      <c r="AK732" s="345" t="s">
        <v>363</v>
      </c>
      <c r="AP732" s="347">
        <v>3</v>
      </c>
      <c r="AQ732" s="347" t="s">
        <v>330</v>
      </c>
      <c r="AZ732" s="345">
        <v>502.08</v>
      </c>
      <c r="BA732" s="345" t="s">
        <v>310</v>
      </c>
      <c r="BF732" s="347">
        <v>70.13</v>
      </c>
      <c r="BG732" s="347" t="s">
        <v>361</v>
      </c>
      <c r="BH732" s="1790"/>
      <c r="BN732" s="345">
        <v>305.04000000000002</v>
      </c>
      <c r="BO732" s="345" t="s">
        <v>315</v>
      </c>
      <c r="BT732" s="347">
        <v>208</v>
      </c>
      <c r="BU732" s="347" t="s">
        <v>328</v>
      </c>
      <c r="CD732" s="237">
        <v>20.23</v>
      </c>
      <c r="CE732" s="237" t="s">
        <v>349</v>
      </c>
      <c r="CJ732" s="347">
        <v>72.02</v>
      </c>
      <c r="CK732" s="347" t="s">
        <v>361</v>
      </c>
      <c r="CL732" s="1789"/>
      <c r="CR732" s="345"/>
      <c r="CS732" s="345"/>
      <c r="CX732" s="347"/>
      <c r="CY732" s="347"/>
      <c r="DA732" s="348"/>
      <c r="DH732" s="237"/>
      <c r="DI732" s="237"/>
      <c r="DN732" s="347"/>
      <c r="DO732" s="347"/>
      <c r="DP732" s="2505"/>
      <c r="DT732" s="663"/>
      <c r="DU732" s="663"/>
      <c r="DV732" s="663"/>
      <c r="DW732" s="663"/>
      <c r="DX732" s="663"/>
      <c r="DY732" s="663"/>
      <c r="DZ732" s="663"/>
      <c r="EA732" s="663"/>
      <c r="EB732" s="663"/>
      <c r="EC732" s="663"/>
      <c r="ED732" s="663"/>
    </row>
    <row r="733" spans="6:134">
      <c r="F733" s="345">
        <v>905</v>
      </c>
      <c r="G733" s="345" t="s">
        <v>376</v>
      </c>
      <c r="L733" s="347">
        <v>122.13</v>
      </c>
      <c r="M733" s="347" t="s">
        <v>337</v>
      </c>
      <c r="V733" s="345">
        <v>9603</v>
      </c>
      <c r="W733" s="345" t="s">
        <v>336</v>
      </c>
      <c r="AB733" s="347">
        <v>90.4</v>
      </c>
      <c r="AC733" s="347" t="s">
        <v>352</v>
      </c>
      <c r="AD733" s="1138"/>
      <c r="AJ733" s="345">
        <v>287</v>
      </c>
      <c r="AK733" s="345" t="s">
        <v>363</v>
      </c>
      <c r="AP733" s="347">
        <v>9601.01</v>
      </c>
      <c r="AQ733" s="347" t="s">
        <v>331</v>
      </c>
      <c r="AZ733" s="345">
        <v>503.03</v>
      </c>
      <c r="BA733" s="345" t="s">
        <v>339</v>
      </c>
      <c r="BF733" s="347">
        <v>71.02</v>
      </c>
      <c r="BG733" s="347" t="s">
        <v>337</v>
      </c>
      <c r="BH733" s="1790"/>
      <c r="BN733" s="345">
        <v>305.05</v>
      </c>
      <c r="BO733" s="345" t="s">
        <v>315</v>
      </c>
      <c r="BT733" s="347">
        <v>9502.01</v>
      </c>
      <c r="BU733" s="347" t="s">
        <v>329</v>
      </c>
      <c r="CD733" s="237">
        <v>20.239999999999998</v>
      </c>
      <c r="CE733" s="237" t="s">
        <v>349</v>
      </c>
      <c r="CJ733" s="347">
        <v>72.06</v>
      </c>
      <c r="CK733" s="347" t="s">
        <v>361</v>
      </c>
      <c r="CL733" s="1789"/>
      <c r="CR733" s="345"/>
      <c r="CS733" s="345"/>
      <c r="CX733" s="347"/>
      <c r="CY733" s="347"/>
      <c r="DA733" s="348"/>
      <c r="DH733" s="237"/>
      <c r="DI733" s="237"/>
      <c r="DN733" s="347"/>
      <c r="DO733" s="347"/>
      <c r="DP733" s="2505"/>
      <c r="DT733" s="663"/>
      <c r="DU733" s="663"/>
      <c r="DV733" s="663"/>
      <c r="DW733" s="663"/>
      <c r="DX733" s="663"/>
      <c r="DY733" s="663"/>
      <c r="DZ733" s="663"/>
      <c r="EA733" s="663"/>
      <c r="EB733" s="663"/>
      <c r="EC733" s="663"/>
      <c r="ED733" s="663"/>
    </row>
    <row r="734" spans="6:134">
      <c r="F734" s="345">
        <v>906</v>
      </c>
      <c r="G734" s="345" t="s">
        <v>376</v>
      </c>
      <c r="L734" s="347">
        <v>125.03</v>
      </c>
      <c r="M734" s="347" t="s">
        <v>337</v>
      </c>
      <c r="V734" s="345">
        <v>9608</v>
      </c>
      <c r="W734" s="345" t="s">
        <v>336</v>
      </c>
      <c r="AB734" s="347">
        <v>90.43</v>
      </c>
      <c r="AC734" s="347" t="s">
        <v>352</v>
      </c>
      <c r="AD734" s="1138"/>
      <c r="AJ734" s="345">
        <v>103</v>
      </c>
      <c r="AK734" s="345" t="s">
        <v>365</v>
      </c>
      <c r="AP734" s="347">
        <v>9602</v>
      </c>
      <c r="AQ734" s="347" t="s">
        <v>331</v>
      </c>
      <c r="AZ734" s="345">
        <v>503.04</v>
      </c>
      <c r="BA734" s="345" t="s">
        <v>339</v>
      </c>
      <c r="BF734" s="347">
        <v>71.03</v>
      </c>
      <c r="BG734" s="347" t="s">
        <v>337</v>
      </c>
      <c r="BH734" s="1790"/>
      <c r="BN734" s="345">
        <v>305.06</v>
      </c>
      <c r="BO734" s="345" t="s">
        <v>315</v>
      </c>
      <c r="BT734" s="347">
        <v>9502.02</v>
      </c>
      <c r="BU734" s="347" t="s">
        <v>329</v>
      </c>
      <c r="CD734" s="237">
        <v>20.25</v>
      </c>
      <c r="CE734" s="237" t="s">
        <v>349</v>
      </c>
      <c r="CJ734" s="347">
        <v>72.08</v>
      </c>
      <c r="CK734" s="347" t="s">
        <v>361</v>
      </c>
      <c r="CL734" s="1789"/>
      <c r="CR734" s="345"/>
      <c r="CS734" s="345"/>
      <c r="CX734" s="347"/>
      <c r="CY734" s="347"/>
      <c r="DA734" s="348"/>
      <c r="DH734" s="237"/>
      <c r="DI734" s="237"/>
      <c r="DN734" s="347"/>
      <c r="DO734" s="347"/>
      <c r="DP734" s="2505"/>
      <c r="DT734" s="663"/>
      <c r="DU734" s="663"/>
      <c r="DV734" s="663"/>
      <c r="DW734" s="663"/>
      <c r="DX734" s="663"/>
      <c r="DY734" s="663"/>
      <c r="DZ734" s="663"/>
      <c r="EA734" s="663"/>
      <c r="EB734" s="663"/>
      <c r="EC734" s="663"/>
      <c r="ED734" s="663"/>
    </row>
    <row r="735" spans="6:134">
      <c r="F735" s="345">
        <v>910.25</v>
      </c>
      <c r="G735" s="345" t="s">
        <v>376</v>
      </c>
      <c r="L735" s="347">
        <v>130.01</v>
      </c>
      <c r="M735" s="347" t="s">
        <v>337</v>
      </c>
      <c r="V735" s="345">
        <v>9609</v>
      </c>
      <c r="W735" s="345" t="s">
        <v>336</v>
      </c>
      <c r="AB735" s="347">
        <v>90.44</v>
      </c>
      <c r="AC735" s="347" t="s">
        <v>352</v>
      </c>
      <c r="AD735" s="1138"/>
      <c r="AJ735" s="345">
        <v>109</v>
      </c>
      <c r="AK735" s="345" t="s">
        <v>365</v>
      </c>
      <c r="AP735" s="347">
        <v>9603.01</v>
      </c>
      <c r="AQ735" s="347" t="s">
        <v>331</v>
      </c>
      <c r="AZ735" s="345">
        <v>503.08</v>
      </c>
      <c r="BA735" s="345" t="s">
        <v>310</v>
      </c>
      <c r="BF735" s="347">
        <v>71.040000000000006</v>
      </c>
      <c r="BG735" s="347" t="s">
        <v>352</v>
      </c>
      <c r="BH735" s="1790"/>
      <c r="BN735" s="345">
        <v>305.07</v>
      </c>
      <c r="BO735" s="345" t="s">
        <v>315</v>
      </c>
      <c r="BT735" s="347">
        <v>9502.0300000000007</v>
      </c>
      <c r="BU735" s="347" t="s">
        <v>329</v>
      </c>
      <c r="CD735" s="237">
        <v>21</v>
      </c>
      <c r="CE735" s="237" t="s">
        <v>325</v>
      </c>
      <c r="CJ735" s="347">
        <v>73</v>
      </c>
      <c r="CK735" s="347" t="s">
        <v>337</v>
      </c>
      <c r="CL735" s="1789"/>
      <c r="CR735" s="345"/>
      <c r="CS735" s="345"/>
      <c r="CX735" s="347"/>
      <c r="CY735" s="347"/>
      <c r="DA735" s="348"/>
      <c r="DH735" s="237"/>
      <c r="DI735" s="237"/>
      <c r="DN735" s="347"/>
      <c r="DO735" s="347"/>
      <c r="DP735" s="2505"/>
      <c r="DT735" s="663"/>
      <c r="DU735" s="663"/>
      <c r="DV735" s="663"/>
      <c r="DW735" s="663"/>
      <c r="DX735" s="663"/>
      <c r="DY735" s="663"/>
      <c r="DZ735" s="663"/>
      <c r="EA735" s="663"/>
      <c r="EB735" s="663"/>
      <c r="EC735" s="663"/>
      <c r="ED735" s="663"/>
    </row>
    <row r="736" spans="6:134">
      <c r="F736" s="345">
        <v>925</v>
      </c>
      <c r="G736" s="345" t="s">
        <v>376</v>
      </c>
      <c r="L736" s="347">
        <v>130.04</v>
      </c>
      <c r="M736" s="347" t="s">
        <v>337</v>
      </c>
      <c r="V736" s="345">
        <v>9611</v>
      </c>
      <c r="W736" s="345" t="s">
        <v>336</v>
      </c>
      <c r="AB736" s="347">
        <v>90.46</v>
      </c>
      <c r="AC736" s="347" t="s">
        <v>352</v>
      </c>
      <c r="AD736" s="1138"/>
      <c r="AJ736" s="345">
        <v>110</v>
      </c>
      <c r="AK736" s="345" t="s">
        <v>365</v>
      </c>
      <c r="AP736" s="347">
        <v>9603.02</v>
      </c>
      <c r="AQ736" s="347" t="s">
        <v>331</v>
      </c>
      <c r="AZ736" s="345">
        <v>503.09</v>
      </c>
      <c r="BA736" s="345" t="s">
        <v>310</v>
      </c>
      <c r="BF736" s="347">
        <v>72</v>
      </c>
      <c r="BG736" s="347" t="s">
        <v>337</v>
      </c>
      <c r="BH736" s="1790"/>
      <c r="BN736" s="345">
        <v>9900</v>
      </c>
      <c r="BO736" s="345" t="s">
        <v>315</v>
      </c>
      <c r="BT736" s="347">
        <v>2.02</v>
      </c>
      <c r="BU736" s="347" t="s">
        <v>330</v>
      </c>
      <c r="CD736" s="237">
        <v>21</v>
      </c>
      <c r="CE736" s="237" t="s">
        <v>337</v>
      </c>
      <c r="CJ736" s="347">
        <v>73</v>
      </c>
      <c r="CK736" s="347" t="s">
        <v>352</v>
      </c>
      <c r="CL736" s="1789"/>
      <c r="CR736" s="345"/>
      <c r="CS736" s="345"/>
      <c r="CX736" s="347"/>
      <c r="CY736" s="347"/>
      <c r="DA736" s="348"/>
      <c r="DH736" s="237"/>
      <c r="DI736" s="237"/>
      <c r="DN736" s="347"/>
      <c r="DO736" s="347"/>
      <c r="DP736" s="2505"/>
      <c r="DT736" s="663"/>
      <c r="DU736" s="663"/>
      <c r="DV736" s="663"/>
      <c r="DW736" s="663"/>
      <c r="DX736" s="663"/>
      <c r="DY736" s="663"/>
      <c r="DZ736" s="663"/>
      <c r="EA736" s="663"/>
      <c r="EB736" s="663"/>
      <c r="EC736" s="663"/>
      <c r="ED736" s="663"/>
    </row>
    <row r="737" spans="6:134">
      <c r="F737" s="345">
        <v>9503.01</v>
      </c>
      <c r="G737" s="345" t="s">
        <v>378</v>
      </c>
      <c r="L737" s="347">
        <v>132.03</v>
      </c>
      <c r="M737" s="347" t="s">
        <v>337</v>
      </c>
      <c r="V737" s="345">
        <v>9616.0300000000007</v>
      </c>
      <c r="W737" s="345" t="s">
        <v>336</v>
      </c>
      <c r="AB737" s="347">
        <v>90.47</v>
      </c>
      <c r="AC737" s="347" t="s">
        <v>352</v>
      </c>
      <c r="AD737" s="1138"/>
      <c r="AJ737" s="345">
        <v>111</v>
      </c>
      <c r="AK737" s="345" t="s">
        <v>365</v>
      </c>
      <c r="AP737" s="347">
        <v>9601.02</v>
      </c>
      <c r="AQ737" s="347" t="s">
        <v>332</v>
      </c>
      <c r="AZ737" s="345">
        <v>503.11</v>
      </c>
      <c r="BA737" s="345" t="s">
        <v>310</v>
      </c>
      <c r="BF737" s="347">
        <v>72.02</v>
      </c>
      <c r="BG737" s="347" t="s">
        <v>361</v>
      </c>
      <c r="BH737" s="1790"/>
      <c r="BN737" s="345">
        <v>4501.03</v>
      </c>
      <c r="BO737" s="345" t="s">
        <v>316</v>
      </c>
      <c r="BT737" s="347">
        <v>3</v>
      </c>
      <c r="BU737" s="347" t="s">
        <v>330</v>
      </c>
      <c r="CD737" s="237">
        <v>21</v>
      </c>
      <c r="CE737" s="237" t="s">
        <v>350</v>
      </c>
      <c r="CJ737" s="347">
        <v>73.010000000000005</v>
      </c>
      <c r="CK737" s="347" t="s">
        <v>361</v>
      </c>
      <c r="CL737" s="1789"/>
      <c r="CR737" s="345"/>
      <c r="CS737" s="345"/>
      <c r="CX737" s="347"/>
      <c r="CY737" s="347"/>
      <c r="DA737" s="348"/>
      <c r="DH737" s="237"/>
      <c r="DI737" s="237"/>
      <c r="DN737" s="347"/>
      <c r="DO737" s="347"/>
      <c r="DP737" s="2505"/>
      <c r="DT737" s="663"/>
      <c r="DU737" s="663"/>
      <c r="DV737" s="663"/>
      <c r="DW737" s="663"/>
      <c r="DX737" s="663"/>
      <c r="DY737" s="663"/>
      <c r="DZ737" s="663"/>
      <c r="EA737" s="663"/>
      <c r="EB737" s="663"/>
      <c r="EC737" s="663"/>
      <c r="ED737" s="663"/>
    </row>
    <row r="738" spans="6:134">
      <c r="F738" s="345">
        <v>9504</v>
      </c>
      <c r="G738" s="345" t="s">
        <v>378</v>
      </c>
      <c r="L738" s="347">
        <v>132.05000000000001</v>
      </c>
      <c r="M738" s="347" t="s">
        <v>337</v>
      </c>
      <c r="V738" s="345">
        <v>9807</v>
      </c>
      <c r="W738" s="345" t="s">
        <v>352</v>
      </c>
      <c r="AB738" s="347">
        <v>92</v>
      </c>
      <c r="AC738" s="347" t="s">
        <v>352</v>
      </c>
      <c r="AD738" s="1138"/>
      <c r="AJ738" s="345">
        <v>112.02</v>
      </c>
      <c r="AK738" s="345" t="s">
        <v>365</v>
      </c>
      <c r="AP738" s="347">
        <v>9603</v>
      </c>
      <c r="AQ738" s="347" t="s">
        <v>332</v>
      </c>
      <c r="AZ738" s="345">
        <v>503.12</v>
      </c>
      <c r="BA738" s="345" t="s">
        <v>310</v>
      </c>
      <c r="BF738" s="347">
        <v>72.06</v>
      </c>
      <c r="BG738" s="347" t="s">
        <v>361</v>
      </c>
      <c r="BH738" s="1790"/>
      <c r="BN738" s="345">
        <v>4501.04</v>
      </c>
      <c r="BO738" s="345" t="s">
        <v>316</v>
      </c>
      <c r="BT738" s="347">
        <v>9602</v>
      </c>
      <c r="BU738" s="347" t="s">
        <v>331</v>
      </c>
      <c r="CD738" s="237">
        <v>21</v>
      </c>
      <c r="CE738" s="237" t="s">
        <v>352</v>
      </c>
      <c r="CJ738" s="347">
        <v>74.010000000000005</v>
      </c>
      <c r="CK738" s="347" t="s">
        <v>352</v>
      </c>
      <c r="CL738" s="1789"/>
      <c r="CR738" s="345"/>
      <c r="CS738" s="345"/>
      <c r="CX738" s="347"/>
      <c r="CY738" s="347"/>
      <c r="DA738" s="348"/>
      <c r="DH738" s="237"/>
      <c r="DI738" s="237"/>
      <c r="DN738" s="347"/>
      <c r="DO738" s="347"/>
      <c r="DP738" s="2505"/>
      <c r="DT738" s="663"/>
      <c r="DU738" s="663"/>
      <c r="DV738" s="663"/>
      <c r="DW738" s="663"/>
      <c r="DX738" s="663"/>
      <c r="DY738" s="663"/>
      <c r="DZ738" s="663"/>
      <c r="EA738" s="663"/>
      <c r="EB738" s="663"/>
      <c r="EC738" s="663"/>
      <c r="ED738" s="663"/>
    </row>
    <row r="739" spans="6:134">
      <c r="F739" s="2831" t="s">
        <v>2308</v>
      </c>
      <c r="G739" s="2832"/>
      <c r="L739" s="347">
        <v>132.06</v>
      </c>
      <c r="M739" s="347" t="s">
        <v>337</v>
      </c>
      <c r="V739" s="2831" t="s">
        <v>2308</v>
      </c>
      <c r="W739" s="2832"/>
      <c r="AB739" s="347">
        <v>93.05</v>
      </c>
      <c r="AC739" s="347" t="s">
        <v>352</v>
      </c>
      <c r="AD739" s="1138"/>
      <c r="AJ739" s="345">
        <v>112.03</v>
      </c>
      <c r="AK739" s="345" t="s">
        <v>365</v>
      </c>
      <c r="AP739" s="347">
        <v>9702.02</v>
      </c>
      <c r="AQ739" s="347" t="s">
        <v>333</v>
      </c>
      <c r="AZ739" s="345">
        <v>503.13</v>
      </c>
      <c r="BA739" s="345" t="s">
        <v>310</v>
      </c>
      <c r="BF739" s="347">
        <v>72.069999999999993</v>
      </c>
      <c r="BG739" s="347" t="s">
        <v>361</v>
      </c>
      <c r="BH739" s="1790"/>
      <c r="BN739" s="345">
        <v>4501.05</v>
      </c>
      <c r="BO739" s="345" t="s">
        <v>316</v>
      </c>
      <c r="BT739" s="347">
        <v>9603.01</v>
      </c>
      <c r="BU739" s="347" t="s">
        <v>331</v>
      </c>
      <c r="CD739" s="237">
        <v>21</v>
      </c>
      <c r="CE739" s="237" t="s">
        <v>361</v>
      </c>
      <c r="CJ739" s="347">
        <v>74.02</v>
      </c>
      <c r="CK739" s="347" t="s">
        <v>352</v>
      </c>
      <c r="CL739" s="1789"/>
      <c r="CR739" s="345"/>
      <c r="CS739" s="345"/>
      <c r="CX739" s="347"/>
      <c r="CY739" s="347"/>
      <c r="DA739" s="348"/>
      <c r="DH739" s="237"/>
      <c r="DI739" s="237"/>
      <c r="DN739" s="347"/>
      <c r="DO739" s="347"/>
      <c r="DP739" s="2505"/>
      <c r="DT739" s="663"/>
      <c r="DU739" s="663"/>
      <c r="DV739" s="663"/>
      <c r="DW739" s="663"/>
      <c r="DX739" s="663"/>
      <c r="DY739" s="663"/>
      <c r="DZ739" s="663"/>
      <c r="EA739" s="663"/>
      <c r="EB739" s="663"/>
      <c r="EC739" s="663"/>
      <c r="ED739" s="663"/>
    </row>
    <row r="740" spans="6:134">
      <c r="L740" s="347">
        <v>132.07</v>
      </c>
      <c r="M740" s="347" t="s">
        <v>337</v>
      </c>
      <c r="AB740" s="347">
        <v>93.12</v>
      </c>
      <c r="AC740" s="347" t="s">
        <v>352</v>
      </c>
      <c r="AD740" s="1138"/>
      <c r="AJ740" s="345">
        <v>112.04</v>
      </c>
      <c r="AK740" s="345" t="s">
        <v>365</v>
      </c>
      <c r="AP740" s="347">
        <v>9703.01</v>
      </c>
      <c r="AQ740" s="347" t="s">
        <v>333</v>
      </c>
      <c r="AZ740" s="345">
        <v>503.14</v>
      </c>
      <c r="BA740" s="345" t="s">
        <v>310</v>
      </c>
      <c r="BF740" s="347">
        <v>72.08</v>
      </c>
      <c r="BG740" s="347" t="s">
        <v>361</v>
      </c>
      <c r="BH740" s="1790"/>
      <c r="BN740" s="345">
        <v>4501.0600000000004</v>
      </c>
      <c r="BO740" s="345" t="s">
        <v>316</v>
      </c>
      <c r="BT740" s="347">
        <v>9603.02</v>
      </c>
      <c r="BU740" s="347" t="s">
        <v>331</v>
      </c>
      <c r="CD740" s="345">
        <v>21.01</v>
      </c>
      <c r="CE740" s="345" t="s">
        <v>297</v>
      </c>
      <c r="CJ740" s="347">
        <v>74.03</v>
      </c>
      <c r="CK740" s="347" t="s">
        <v>352</v>
      </c>
      <c r="CL740" s="1789"/>
      <c r="CR740" s="345"/>
      <c r="CS740" s="345"/>
      <c r="CX740" s="347"/>
      <c r="CY740" s="347"/>
      <c r="DA740" s="348"/>
      <c r="DH740" s="237"/>
      <c r="DI740" s="237"/>
      <c r="DN740" s="347"/>
      <c r="DO740" s="347"/>
      <c r="DP740" s="2505"/>
      <c r="DT740" s="663"/>
      <c r="DU740" s="663"/>
      <c r="DV740" s="663"/>
      <c r="DW740" s="663"/>
      <c r="DX740" s="663"/>
      <c r="DY740" s="663"/>
      <c r="DZ740" s="663"/>
      <c r="EA740" s="663"/>
      <c r="EB740" s="663"/>
      <c r="EC740" s="663"/>
      <c r="ED740" s="663"/>
    </row>
    <row r="741" spans="6:134">
      <c r="L741" s="347">
        <v>132.08000000000001</v>
      </c>
      <c r="M741" s="347" t="s">
        <v>337</v>
      </c>
      <c r="AB741" s="347">
        <v>93.13</v>
      </c>
      <c r="AC741" s="347" t="s">
        <v>352</v>
      </c>
      <c r="AD741" s="1138"/>
      <c r="AJ741" s="345">
        <v>113</v>
      </c>
      <c r="AK741" s="345" t="s">
        <v>365</v>
      </c>
      <c r="AP741" s="347">
        <v>9704.02</v>
      </c>
      <c r="AQ741" s="347" t="s">
        <v>333</v>
      </c>
      <c r="AZ741" s="345">
        <v>504.01</v>
      </c>
      <c r="BA741" s="345" t="s">
        <v>339</v>
      </c>
      <c r="BF741" s="347">
        <v>73</v>
      </c>
      <c r="BG741" s="347" t="s">
        <v>352</v>
      </c>
      <c r="BH741" s="1790"/>
      <c r="BN741" s="345">
        <v>4502.01</v>
      </c>
      <c r="BO741" s="345" t="s">
        <v>316</v>
      </c>
      <c r="BT741" s="347">
        <v>9601.02</v>
      </c>
      <c r="BU741" s="347" t="s">
        <v>332</v>
      </c>
      <c r="CD741" s="237">
        <v>21.01</v>
      </c>
      <c r="CE741" s="237" t="s">
        <v>323</v>
      </c>
      <c r="CJ741" s="347">
        <v>74.069999999999993</v>
      </c>
      <c r="CK741" s="347" t="s">
        <v>361</v>
      </c>
      <c r="CL741" s="1789"/>
      <c r="CR741" s="345"/>
      <c r="CS741" s="345"/>
      <c r="CX741" s="347"/>
      <c r="CY741" s="347"/>
      <c r="DA741" s="348"/>
      <c r="DH741" s="237"/>
      <c r="DI741" s="237"/>
      <c r="DN741" s="347"/>
      <c r="DO741" s="347"/>
      <c r="DP741" s="2505"/>
      <c r="DT741" s="663"/>
      <c r="DU741" s="663"/>
      <c r="DV741" s="663"/>
      <c r="DW741" s="663"/>
      <c r="DX741" s="663"/>
      <c r="DY741" s="663"/>
      <c r="DZ741" s="663"/>
      <c r="EA741" s="663"/>
      <c r="EB741" s="663"/>
      <c r="EC741" s="663"/>
      <c r="ED741" s="663"/>
    </row>
    <row r="742" spans="6:134">
      <c r="L742" s="347">
        <v>133.05000000000001</v>
      </c>
      <c r="M742" s="347" t="s">
        <v>337</v>
      </c>
      <c r="AB742" s="347">
        <v>97.03</v>
      </c>
      <c r="AC742" s="347" t="s">
        <v>352</v>
      </c>
      <c r="AD742" s="1138"/>
      <c r="AJ742" s="345">
        <v>114</v>
      </c>
      <c r="AK742" s="345" t="s">
        <v>365</v>
      </c>
      <c r="AP742" s="347">
        <v>1.01</v>
      </c>
      <c r="AQ742" s="347" t="s">
        <v>334</v>
      </c>
      <c r="AZ742" s="345">
        <v>507.02</v>
      </c>
      <c r="BA742" s="345" t="s">
        <v>310</v>
      </c>
      <c r="BF742" s="347">
        <v>73.010000000000005</v>
      </c>
      <c r="BG742" s="347" t="s">
        <v>361</v>
      </c>
      <c r="BH742" s="1790"/>
      <c r="BN742" s="345">
        <v>4502.0200000000004</v>
      </c>
      <c r="BO742" s="345" t="s">
        <v>316</v>
      </c>
      <c r="BT742" s="347">
        <v>9603</v>
      </c>
      <c r="BU742" s="347" t="s">
        <v>332</v>
      </c>
      <c r="CD742" s="237">
        <v>21.01</v>
      </c>
      <c r="CE742" s="237" t="s">
        <v>345</v>
      </c>
      <c r="CJ742" s="347">
        <v>74.099999999999994</v>
      </c>
      <c r="CK742" s="347" t="s">
        <v>361</v>
      </c>
      <c r="CL742" s="1789"/>
      <c r="CR742" s="345"/>
      <c r="CS742" s="345"/>
      <c r="CX742" s="347"/>
      <c r="CY742" s="347"/>
      <c r="DA742" s="348"/>
      <c r="DH742" s="237"/>
      <c r="DI742" s="237"/>
      <c r="DN742" s="347"/>
      <c r="DO742" s="347"/>
      <c r="DP742" s="2505"/>
      <c r="DT742" s="663"/>
      <c r="DU742" s="663"/>
      <c r="DV742" s="663"/>
      <c r="DW742" s="663"/>
      <c r="DX742" s="663"/>
      <c r="DY742" s="663"/>
      <c r="DZ742" s="663"/>
      <c r="EA742" s="663"/>
      <c r="EB742" s="663"/>
      <c r="EC742" s="663"/>
      <c r="ED742" s="663"/>
    </row>
    <row r="743" spans="6:134">
      <c r="L743" s="347">
        <v>133.07</v>
      </c>
      <c r="M743" s="347" t="s">
        <v>337</v>
      </c>
      <c r="AB743" s="347">
        <v>97.04</v>
      </c>
      <c r="AC743" s="347" t="s">
        <v>352</v>
      </c>
      <c r="AD743" s="1138"/>
      <c r="AJ743" s="345">
        <v>115.01</v>
      </c>
      <c r="AK743" s="345" t="s">
        <v>365</v>
      </c>
      <c r="AP743" s="347">
        <v>1.02</v>
      </c>
      <c r="AQ743" s="347" t="s">
        <v>334</v>
      </c>
      <c r="AZ743" s="345">
        <v>508</v>
      </c>
      <c r="BA743" s="345" t="s">
        <v>310</v>
      </c>
      <c r="BF743" s="347">
        <v>74.010000000000005</v>
      </c>
      <c r="BG743" s="347" t="s">
        <v>352</v>
      </c>
      <c r="BH743" s="1790"/>
      <c r="BN743" s="345">
        <v>4503.05</v>
      </c>
      <c r="BO743" s="345" t="s">
        <v>316</v>
      </c>
      <c r="BT743" s="347">
        <v>9702.02</v>
      </c>
      <c r="BU743" s="347" t="s">
        <v>333</v>
      </c>
      <c r="CD743" s="237">
        <v>21.01</v>
      </c>
      <c r="CE743" s="237" t="s">
        <v>368</v>
      </c>
      <c r="CJ743" s="347">
        <v>74.12</v>
      </c>
      <c r="CK743" s="347" t="s">
        <v>361</v>
      </c>
      <c r="CL743" s="1789"/>
      <c r="CR743" s="345"/>
      <c r="CS743" s="345"/>
      <c r="CX743" s="347"/>
      <c r="CY743" s="347"/>
      <c r="DA743" s="348"/>
      <c r="DH743" s="237"/>
      <c r="DI743" s="237"/>
      <c r="DN743" s="347"/>
      <c r="DO743" s="347"/>
      <c r="DP743" s="2505"/>
      <c r="DT743" s="663"/>
      <c r="DU743" s="663"/>
      <c r="DV743" s="663"/>
      <c r="DW743" s="663"/>
      <c r="DX743" s="663"/>
      <c r="DY743" s="663"/>
      <c r="DZ743" s="663"/>
      <c r="EA743" s="663"/>
      <c r="EB743" s="663"/>
      <c r="EC743" s="663"/>
      <c r="ED743" s="663"/>
    </row>
    <row r="744" spans="6:134">
      <c r="L744" s="347">
        <v>133.1</v>
      </c>
      <c r="M744" s="347" t="s">
        <v>337</v>
      </c>
      <c r="AB744" s="347">
        <v>97.05</v>
      </c>
      <c r="AC744" s="347" t="s">
        <v>352</v>
      </c>
      <c r="AD744" s="1138"/>
      <c r="AJ744" s="345">
        <v>116.04</v>
      </c>
      <c r="AK744" s="345" t="s">
        <v>365</v>
      </c>
      <c r="AP744" s="347">
        <v>2</v>
      </c>
      <c r="AQ744" s="347" t="s">
        <v>334</v>
      </c>
      <c r="AZ744" s="345">
        <v>602.03</v>
      </c>
      <c r="BA744" s="345" t="s">
        <v>310</v>
      </c>
      <c r="BF744" s="347">
        <v>74.02</v>
      </c>
      <c r="BG744" s="347" t="s">
        <v>352</v>
      </c>
      <c r="BH744" s="1790"/>
      <c r="BN744" s="345">
        <v>4503.0600000000004</v>
      </c>
      <c r="BO744" s="345" t="s">
        <v>316</v>
      </c>
      <c r="BT744" s="347">
        <v>9703.01</v>
      </c>
      <c r="BU744" s="347" t="s">
        <v>333</v>
      </c>
      <c r="CD744" s="345">
        <v>21.02</v>
      </c>
      <c r="CE744" s="345" t="s">
        <v>297</v>
      </c>
      <c r="CJ744" s="347">
        <v>74.14</v>
      </c>
      <c r="CK744" s="347" t="s">
        <v>361</v>
      </c>
      <c r="CL744" s="1789"/>
      <c r="CR744" s="345"/>
      <c r="CS744" s="345"/>
      <c r="CX744" s="347"/>
      <c r="CY744" s="347"/>
      <c r="DA744" s="348"/>
      <c r="DH744" s="237"/>
      <c r="DI744" s="237"/>
      <c r="DN744" s="347"/>
      <c r="DO744" s="347"/>
      <c r="DP744" s="2505"/>
      <c r="DT744" s="663"/>
      <c r="DU744" s="663"/>
      <c r="DV744" s="663"/>
      <c r="DW744" s="663"/>
      <c r="DX744" s="663"/>
      <c r="DY744" s="663"/>
      <c r="DZ744" s="663"/>
      <c r="EA744" s="663"/>
      <c r="EB744" s="663"/>
      <c r="EC744" s="663"/>
      <c r="ED744" s="663"/>
    </row>
    <row r="745" spans="6:134">
      <c r="L745" s="347">
        <v>133.11000000000001</v>
      </c>
      <c r="M745" s="347" t="s">
        <v>337</v>
      </c>
      <c r="AB745" s="347">
        <v>97.06</v>
      </c>
      <c r="AC745" s="347" t="s">
        <v>352</v>
      </c>
      <c r="AD745" s="1138"/>
      <c r="AJ745" s="345">
        <v>117.04</v>
      </c>
      <c r="AK745" s="345" t="s">
        <v>365</v>
      </c>
      <c r="AP745" s="347">
        <v>4.01</v>
      </c>
      <c r="AQ745" s="347" t="s">
        <v>334</v>
      </c>
      <c r="AZ745" s="345">
        <v>603.02</v>
      </c>
      <c r="BA745" s="345" t="s">
        <v>310</v>
      </c>
      <c r="BF745" s="347">
        <v>74.03</v>
      </c>
      <c r="BG745" s="347" t="s">
        <v>352</v>
      </c>
      <c r="BH745" s="1790"/>
      <c r="BN745" s="345">
        <v>4503.07</v>
      </c>
      <c r="BO745" s="345" t="s">
        <v>316</v>
      </c>
      <c r="BT745" s="347">
        <v>9704.02</v>
      </c>
      <c r="BU745" s="347" t="s">
        <v>333</v>
      </c>
      <c r="CD745" s="237">
        <v>21.02</v>
      </c>
      <c r="CE745" s="237" t="s">
        <v>323</v>
      </c>
      <c r="CJ745" s="347">
        <v>74.2</v>
      </c>
      <c r="CK745" s="347" t="s">
        <v>361</v>
      </c>
      <c r="CL745" s="1789"/>
      <c r="CR745" s="345"/>
      <c r="CS745" s="345"/>
      <c r="CX745" s="347"/>
      <c r="CY745" s="347"/>
      <c r="DA745" s="348"/>
      <c r="DH745" s="237"/>
      <c r="DI745" s="237"/>
      <c r="DN745" s="347"/>
      <c r="DO745" s="347"/>
      <c r="DP745" s="2505"/>
      <c r="DT745" s="663"/>
      <c r="DU745" s="663"/>
      <c r="DV745" s="663"/>
      <c r="DW745" s="663"/>
      <c r="DX745" s="663"/>
      <c r="DY745" s="663"/>
      <c r="DZ745" s="663"/>
      <c r="EA745" s="663"/>
      <c r="EB745" s="663"/>
      <c r="EC745" s="663"/>
      <c r="ED745" s="663"/>
    </row>
    <row r="746" spans="6:134">
      <c r="L746" s="347">
        <v>133.12</v>
      </c>
      <c r="M746" s="347" t="s">
        <v>337</v>
      </c>
      <c r="AB746" s="347">
        <v>98.03</v>
      </c>
      <c r="AC746" s="347" t="s">
        <v>352</v>
      </c>
      <c r="AD746" s="1138"/>
      <c r="AJ746" s="345">
        <v>117.22</v>
      </c>
      <c r="AK746" s="345" t="s">
        <v>365</v>
      </c>
      <c r="AP746" s="347">
        <v>4.03</v>
      </c>
      <c r="AQ746" s="347" t="s">
        <v>334</v>
      </c>
      <c r="AZ746" s="345">
        <v>603.03</v>
      </c>
      <c r="BA746" s="345" t="s">
        <v>310</v>
      </c>
      <c r="BF746" s="347">
        <v>74.069999999999993</v>
      </c>
      <c r="BG746" s="347" t="s">
        <v>361</v>
      </c>
      <c r="BH746" s="1790"/>
      <c r="BN746" s="345">
        <v>4503.08</v>
      </c>
      <c r="BO746" s="345" t="s">
        <v>316</v>
      </c>
      <c r="BT746" s="347">
        <v>1.02</v>
      </c>
      <c r="BU746" s="347" t="s">
        <v>334</v>
      </c>
      <c r="CD746" s="237">
        <v>21.02</v>
      </c>
      <c r="CE746" s="237" t="s">
        <v>368</v>
      </c>
      <c r="CJ746" s="347">
        <v>74.209999999999994</v>
      </c>
      <c r="CK746" s="347" t="s">
        <v>361</v>
      </c>
      <c r="CL746" s="1789"/>
      <c r="CR746" s="345"/>
      <c r="CS746" s="345"/>
      <c r="CX746" s="347"/>
      <c r="CY746" s="347"/>
      <c r="DA746" s="348"/>
      <c r="DH746" s="237"/>
      <c r="DI746" s="237"/>
      <c r="DN746" s="347"/>
      <c r="DO746" s="347"/>
      <c r="DP746" s="2505"/>
      <c r="DT746" s="663"/>
      <c r="DU746" s="663"/>
      <c r="DV746" s="663"/>
      <c r="DW746" s="663"/>
      <c r="DX746" s="663"/>
      <c r="DY746" s="663"/>
      <c r="DZ746" s="663"/>
      <c r="EA746" s="663"/>
      <c r="EB746" s="663"/>
      <c r="EC746" s="663"/>
      <c r="ED746" s="663"/>
    </row>
    <row r="747" spans="6:134">
      <c r="L747" s="347">
        <v>133.13</v>
      </c>
      <c r="M747" s="347" t="s">
        <v>337</v>
      </c>
      <c r="AB747" s="347">
        <v>98.04</v>
      </c>
      <c r="AC747" s="347" t="s">
        <v>352</v>
      </c>
      <c r="AD747" s="1138"/>
      <c r="AJ747" s="345">
        <v>117.31</v>
      </c>
      <c r="AK747" s="345" t="s">
        <v>365</v>
      </c>
      <c r="AP747" s="347">
        <v>402.02</v>
      </c>
      <c r="AQ747" s="347" t="s">
        <v>335</v>
      </c>
      <c r="AZ747" s="345">
        <v>603.04</v>
      </c>
      <c r="BA747" s="345" t="s">
        <v>310</v>
      </c>
      <c r="BF747" s="347">
        <v>74.099999999999994</v>
      </c>
      <c r="BG747" s="347" t="s">
        <v>361</v>
      </c>
      <c r="BH747" s="1790"/>
      <c r="BN747" s="345">
        <v>4503.09</v>
      </c>
      <c r="BO747" s="345" t="s">
        <v>316</v>
      </c>
      <c r="BT747" s="347">
        <v>2</v>
      </c>
      <c r="BU747" s="347" t="s">
        <v>334</v>
      </c>
      <c r="CD747" s="237">
        <v>21.03</v>
      </c>
      <c r="CE747" s="237" t="s">
        <v>345</v>
      </c>
      <c r="CJ747" s="347">
        <v>75.010000000000005</v>
      </c>
      <c r="CK747" s="347" t="s">
        <v>352</v>
      </c>
      <c r="CL747" s="1789"/>
      <c r="CR747" s="345"/>
      <c r="CS747" s="345"/>
      <c r="CX747" s="347"/>
      <c r="CY747" s="347"/>
      <c r="DA747" s="348"/>
      <c r="DH747" s="237"/>
      <c r="DI747" s="237"/>
      <c r="DN747" s="347"/>
      <c r="DO747" s="347"/>
      <c r="DP747" s="2505"/>
      <c r="DT747" s="663"/>
      <c r="DU747" s="663"/>
      <c r="DV747" s="663"/>
      <c r="DW747" s="663"/>
      <c r="DX747" s="663"/>
      <c r="DY747" s="663"/>
      <c r="DZ747" s="663"/>
      <c r="EA747" s="663"/>
      <c r="EB747" s="663"/>
      <c r="EC747" s="663"/>
      <c r="ED747" s="663"/>
    </row>
    <row r="748" spans="6:134">
      <c r="L748" s="347">
        <v>133.13999999999999</v>
      </c>
      <c r="M748" s="347" t="s">
        <v>337</v>
      </c>
      <c r="AB748" s="347">
        <v>98.07</v>
      </c>
      <c r="AC748" s="347" t="s">
        <v>352</v>
      </c>
      <c r="AD748" s="1138"/>
      <c r="AJ748" s="345">
        <v>117.32</v>
      </c>
      <c r="AK748" s="345" t="s">
        <v>365</v>
      </c>
      <c r="AP748" s="347">
        <v>403.01</v>
      </c>
      <c r="AQ748" s="347" t="s">
        <v>335</v>
      </c>
      <c r="AZ748" s="345">
        <v>604.01</v>
      </c>
      <c r="BA748" s="345" t="s">
        <v>310</v>
      </c>
      <c r="BF748" s="347">
        <v>74.12</v>
      </c>
      <c r="BG748" s="347" t="s">
        <v>361</v>
      </c>
      <c r="BH748" s="1790"/>
      <c r="BN748" s="345">
        <v>4503.1000000000004</v>
      </c>
      <c r="BO748" s="345" t="s">
        <v>316</v>
      </c>
      <c r="BT748" s="347">
        <v>4.01</v>
      </c>
      <c r="BU748" s="347" t="s">
        <v>334</v>
      </c>
      <c r="CD748" s="237">
        <v>21.05</v>
      </c>
      <c r="CE748" s="237" t="s">
        <v>345</v>
      </c>
      <c r="CJ748" s="347">
        <v>75.010000000000005</v>
      </c>
      <c r="CK748" s="347" t="s">
        <v>361</v>
      </c>
      <c r="CL748" s="1789"/>
      <c r="CR748" s="345"/>
      <c r="CS748" s="345"/>
      <c r="CX748" s="347"/>
      <c r="CY748" s="347"/>
      <c r="DA748" s="348"/>
      <c r="DH748" s="237"/>
      <c r="DI748" s="237"/>
      <c r="DN748" s="347"/>
      <c r="DO748" s="347"/>
      <c r="DP748" s="2505"/>
      <c r="DT748" s="663"/>
      <c r="DU748" s="663"/>
      <c r="DV748" s="663"/>
      <c r="DW748" s="663"/>
      <c r="DX748" s="663"/>
      <c r="DY748" s="663"/>
      <c r="DZ748" s="663"/>
      <c r="EA748" s="663"/>
      <c r="EB748" s="663"/>
      <c r="EC748" s="663"/>
      <c r="ED748" s="663"/>
    </row>
    <row r="749" spans="6:134">
      <c r="L749" s="347">
        <v>133.15</v>
      </c>
      <c r="M749" s="347" t="s">
        <v>337</v>
      </c>
      <c r="AB749" s="347">
        <v>99.01</v>
      </c>
      <c r="AC749" s="347" t="s">
        <v>352</v>
      </c>
      <c r="AD749" s="1138"/>
      <c r="AJ749" s="345">
        <v>123.07</v>
      </c>
      <c r="AK749" s="345" t="s">
        <v>365</v>
      </c>
      <c r="AP749" s="347">
        <v>403.02</v>
      </c>
      <c r="AQ749" s="347" t="s">
        <v>335</v>
      </c>
      <c r="AZ749" s="345">
        <v>607</v>
      </c>
      <c r="BA749" s="345" t="s">
        <v>309</v>
      </c>
      <c r="BF749" s="347">
        <v>74.14</v>
      </c>
      <c r="BG749" s="347" t="s">
        <v>361</v>
      </c>
      <c r="BH749" s="1790"/>
      <c r="BN749" s="345">
        <v>4504.01</v>
      </c>
      <c r="BO749" s="345" t="s">
        <v>316</v>
      </c>
      <c r="BT749" s="347">
        <v>4.03</v>
      </c>
      <c r="BU749" s="347" t="s">
        <v>334</v>
      </c>
      <c r="CD749" s="237">
        <v>21.06</v>
      </c>
      <c r="CE749" s="237" t="s">
        <v>345</v>
      </c>
      <c r="CJ749" s="347">
        <v>75.03</v>
      </c>
      <c r="CK749" s="347" t="s">
        <v>352</v>
      </c>
      <c r="CL749" s="1789"/>
      <c r="CR749" s="345"/>
      <c r="CS749" s="345"/>
      <c r="CX749" s="347"/>
      <c r="CY749" s="347"/>
      <c r="DA749" s="348"/>
      <c r="DH749" s="237"/>
      <c r="DI749" s="237"/>
      <c r="DN749" s="347"/>
      <c r="DO749" s="347"/>
      <c r="DP749" s="2505"/>
      <c r="DT749" s="663"/>
      <c r="DU749" s="663"/>
      <c r="DV749" s="663"/>
      <c r="DW749" s="663"/>
      <c r="DX749" s="663"/>
      <c r="DY749" s="663"/>
      <c r="DZ749" s="663"/>
      <c r="EA749" s="663"/>
      <c r="EB749" s="663"/>
      <c r="EC749" s="663"/>
      <c r="ED749" s="663"/>
    </row>
    <row r="750" spans="6:134">
      <c r="L750" s="347">
        <v>133.16999999999999</v>
      </c>
      <c r="M750" s="347" t="s">
        <v>337</v>
      </c>
      <c r="AB750" s="347">
        <v>99.03</v>
      </c>
      <c r="AC750" s="347" t="s">
        <v>352</v>
      </c>
      <c r="AD750" s="1138"/>
      <c r="AJ750" s="345">
        <v>126.01</v>
      </c>
      <c r="AK750" s="345" t="s">
        <v>365</v>
      </c>
      <c r="AP750" s="347">
        <v>403.03</v>
      </c>
      <c r="AQ750" s="347" t="s">
        <v>335</v>
      </c>
      <c r="AZ750" s="345">
        <v>611</v>
      </c>
      <c r="BA750" s="345" t="s">
        <v>310</v>
      </c>
      <c r="BF750" s="347">
        <v>74.2</v>
      </c>
      <c r="BG750" s="347" t="s">
        <v>361</v>
      </c>
      <c r="BH750" s="1790"/>
      <c r="BN750" s="345">
        <v>4504.0200000000004</v>
      </c>
      <c r="BO750" s="345" t="s">
        <v>316</v>
      </c>
      <c r="BT750" s="347">
        <v>4.04</v>
      </c>
      <c r="BU750" s="347" t="s">
        <v>334</v>
      </c>
      <c r="CD750" s="345">
        <v>22</v>
      </c>
      <c r="CE750" s="345" t="s">
        <v>306</v>
      </c>
      <c r="CJ750" s="347">
        <v>75.040000000000006</v>
      </c>
      <c r="CK750" s="347" t="s">
        <v>361</v>
      </c>
      <c r="CL750" s="1789"/>
      <c r="CR750" s="345"/>
      <c r="CS750" s="345"/>
      <c r="CX750" s="347"/>
      <c r="CY750" s="347"/>
      <c r="DA750" s="348"/>
      <c r="DH750" s="237"/>
      <c r="DI750" s="237"/>
      <c r="DN750" s="347"/>
      <c r="DO750" s="347"/>
      <c r="DP750" s="2505"/>
      <c r="DT750" s="663"/>
      <c r="DU750" s="663"/>
      <c r="DV750" s="663"/>
      <c r="DW750" s="663"/>
      <c r="DX750" s="663"/>
      <c r="DY750" s="663"/>
      <c r="DZ750" s="663"/>
      <c r="EA750" s="663"/>
      <c r="EB750" s="663"/>
      <c r="EC750" s="663"/>
      <c r="ED750" s="663"/>
    </row>
    <row r="751" spans="6:134">
      <c r="L751" s="347">
        <v>133.18</v>
      </c>
      <c r="M751" s="347" t="s">
        <v>337</v>
      </c>
      <c r="AB751" s="347">
        <v>100.09</v>
      </c>
      <c r="AC751" s="347" t="s">
        <v>352</v>
      </c>
      <c r="AD751" s="1138"/>
      <c r="AJ751" s="345">
        <v>126.02</v>
      </c>
      <c r="AK751" s="345" t="s">
        <v>365</v>
      </c>
      <c r="AP751" s="347">
        <v>407.01</v>
      </c>
      <c r="AQ751" s="347" t="s">
        <v>335</v>
      </c>
      <c r="AZ751" s="345">
        <v>623.02</v>
      </c>
      <c r="BA751" s="345" t="s">
        <v>309</v>
      </c>
      <c r="BF751" s="347">
        <v>74.209999999999994</v>
      </c>
      <c r="BG751" s="347" t="s">
        <v>361</v>
      </c>
      <c r="BH751" s="1790"/>
      <c r="BN751" s="345">
        <v>4505.01</v>
      </c>
      <c r="BO751" s="345" t="s">
        <v>316</v>
      </c>
      <c r="BT751" s="347">
        <v>401.02</v>
      </c>
      <c r="BU751" s="347" t="s">
        <v>335</v>
      </c>
      <c r="CD751" s="237">
        <v>22</v>
      </c>
      <c r="CE751" s="237" t="s">
        <v>323</v>
      </c>
      <c r="CJ751" s="347">
        <v>75.05</v>
      </c>
      <c r="CK751" s="347" t="s">
        <v>361</v>
      </c>
      <c r="CL751" s="1789"/>
      <c r="CR751" s="345"/>
      <c r="CS751" s="345"/>
      <c r="CX751" s="347"/>
      <c r="CY751" s="347"/>
      <c r="DA751" s="1788" t="s">
        <v>2595</v>
      </c>
      <c r="DH751" s="237"/>
      <c r="DI751" s="237"/>
      <c r="DN751" s="347"/>
      <c r="DO751" s="347"/>
      <c r="DP751" s="2505"/>
      <c r="DT751" s="663"/>
      <c r="DU751" s="663"/>
      <c r="DV751" s="663"/>
      <c r="DW751" s="663"/>
      <c r="DX751" s="663"/>
      <c r="DY751" s="663"/>
      <c r="DZ751" s="663"/>
      <c r="EA751" s="663"/>
      <c r="EB751" s="663"/>
      <c r="EC751" s="663"/>
      <c r="ED751" s="663"/>
    </row>
    <row r="752" spans="6:134">
      <c r="L752" s="347">
        <v>133.19</v>
      </c>
      <c r="M752" s="347" t="s">
        <v>337</v>
      </c>
      <c r="AB752" s="347">
        <v>101</v>
      </c>
      <c r="AC752" s="347" t="s">
        <v>313</v>
      </c>
      <c r="AD752" s="1138"/>
      <c r="AJ752" s="345">
        <v>130.02000000000001</v>
      </c>
      <c r="AK752" s="345" t="s">
        <v>365</v>
      </c>
      <c r="AP752" s="347">
        <v>407.02</v>
      </c>
      <c r="AQ752" s="347" t="s">
        <v>335</v>
      </c>
      <c r="AZ752" s="345">
        <v>624.01</v>
      </c>
      <c r="BA752" s="345" t="s">
        <v>309</v>
      </c>
      <c r="BF752" s="347">
        <v>75.010000000000005</v>
      </c>
      <c r="BG752" s="347" t="s">
        <v>352</v>
      </c>
      <c r="BH752" s="1790"/>
      <c r="BN752" s="345">
        <v>4505.0200000000004</v>
      </c>
      <c r="BO752" s="345" t="s">
        <v>316</v>
      </c>
      <c r="BT752" s="347">
        <v>403.01</v>
      </c>
      <c r="BU752" s="347" t="s">
        <v>335</v>
      </c>
      <c r="CD752" s="237">
        <v>22</v>
      </c>
      <c r="CE752" s="237" t="s">
        <v>325</v>
      </c>
      <c r="CJ752" s="347">
        <v>76.010000000000005</v>
      </c>
      <c r="CK752" s="347" t="s">
        <v>352</v>
      </c>
      <c r="CL752" s="1789"/>
      <c r="CR752" s="345"/>
      <c r="CS752" s="345"/>
      <c r="CX752" s="347"/>
      <c r="CY752" s="347"/>
      <c r="DH752" s="237"/>
      <c r="DI752" s="237"/>
      <c r="DN752" s="347"/>
      <c r="DO752" s="347"/>
      <c r="DP752" s="2505"/>
      <c r="DT752" s="663"/>
      <c r="DU752" s="663"/>
      <c r="DV752" s="663"/>
      <c r="DW752" s="663"/>
      <c r="DX752" s="663"/>
      <c r="DY752" s="663"/>
      <c r="DZ752" s="663"/>
      <c r="EA752" s="663"/>
      <c r="EB752" s="663"/>
      <c r="EC752" s="663"/>
      <c r="ED752" s="663"/>
    </row>
    <row r="753" spans="12:134">
      <c r="L753" s="347">
        <v>133.19999999999999</v>
      </c>
      <c r="M753" s="347" t="s">
        <v>337</v>
      </c>
      <c r="AB753" s="347">
        <v>101</v>
      </c>
      <c r="AC753" s="347" t="s">
        <v>377</v>
      </c>
      <c r="AD753" s="1138"/>
      <c r="AJ753" s="345">
        <v>131.02000000000001</v>
      </c>
      <c r="AK753" s="345" t="s">
        <v>365</v>
      </c>
      <c r="AP753" s="347">
        <v>409.06</v>
      </c>
      <c r="AQ753" s="347" t="s">
        <v>335</v>
      </c>
      <c r="AZ753" s="345">
        <v>624.02</v>
      </c>
      <c r="BA753" s="345" t="s">
        <v>309</v>
      </c>
      <c r="BF753" s="347">
        <v>75.010000000000005</v>
      </c>
      <c r="BG753" s="347" t="s">
        <v>361</v>
      </c>
      <c r="BH753" s="1790"/>
      <c r="BN753" s="345">
        <v>4506.01</v>
      </c>
      <c r="BO753" s="345" t="s">
        <v>316</v>
      </c>
      <c r="BT753" s="347">
        <v>403.03</v>
      </c>
      <c r="BU753" s="347" t="s">
        <v>335</v>
      </c>
      <c r="CD753" s="237">
        <v>22</v>
      </c>
      <c r="CE753" s="237" t="s">
        <v>337</v>
      </c>
      <c r="CJ753" s="347">
        <v>76.03</v>
      </c>
      <c r="CK753" s="347" t="s">
        <v>361</v>
      </c>
      <c r="CL753" s="1789"/>
      <c r="CR753" s="345"/>
      <c r="CS753" s="345"/>
      <c r="CX753" s="347"/>
      <c r="CY753" s="347"/>
      <c r="DH753" s="237"/>
      <c r="DI753" s="237"/>
      <c r="DN753" s="347"/>
      <c r="DO753" s="347"/>
      <c r="DP753" s="2505"/>
      <c r="DT753" s="663"/>
      <c r="DU753" s="663"/>
      <c r="DV753" s="663"/>
      <c r="DW753" s="663"/>
      <c r="DX753" s="663"/>
      <c r="DY753" s="663"/>
      <c r="DZ753" s="663"/>
      <c r="EA753" s="663"/>
      <c r="EB753" s="663"/>
      <c r="EC753" s="663"/>
      <c r="ED753" s="663"/>
    </row>
    <row r="754" spans="12:134">
      <c r="L754" s="347">
        <v>133.21</v>
      </c>
      <c r="M754" s="347" t="s">
        <v>337</v>
      </c>
      <c r="AB754" s="347">
        <v>101.01</v>
      </c>
      <c r="AC754" s="347" t="s">
        <v>321</v>
      </c>
      <c r="AD754" s="1138"/>
      <c r="AJ754" s="345">
        <v>131.03</v>
      </c>
      <c r="AK754" s="345" t="s">
        <v>365</v>
      </c>
      <c r="AP754" s="347">
        <v>409.07</v>
      </c>
      <c r="AQ754" s="347" t="s">
        <v>335</v>
      </c>
      <c r="AZ754" s="345">
        <v>625</v>
      </c>
      <c r="BA754" s="345" t="s">
        <v>309</v>
      </c>
      <c r="BF754" s="347">
        <v>75.03</v>
      </c>
      <c r="BG754" s="347" t="s">
        <v>352</v>
      </c>
      <c r="BH754" s="1790"/>
      <c r="BN754" s="345">
        <v>4506.0200000000004</v>
      </c>
      <c r="BO754" s="345" t="s">
        <v>316</v>
      </c>
      <c r="BT754" s="347">
        <v>404</v>
      </c>
      <c r="BU754" s="347" t="s">
        <v>335</v>
      </c>
      <c r="CD754" s="237">
        <v>22</v>
      </c>
      <c r="CE754" s="237" t="s">
        <v>361</v>
      </c>
      <c r="CJ754" s="347">
        <v>76.040000000000006</v>
      </c>
      <c r="CK754" s="347" t="s">
        <v>361</v>
      </c>
      <c r="CL754" s="1789"/>
      <c r="CR754" s="345"/>
      <c r="CS754" s="345"/>
      <c r="CX754" s="347"/>
      <c r="CY754" s="347"/>
      <c r="DH754" s="237"/>
      <c r="DI754" s="237"/>
      <c r="DN754" s="347"/>
      <c r="DO754" s="347"/>
      <c r="DP754" s="2505"/>
      <c r="DT754" s="663"/>
      <c r="DU754" s="663"/>
      <c r="DV754" s="663"/>
      <c r="DW754" s="663"/>
      <c r="DX754" s="663"/>
      <c r="DY754" s="663"/>
      <c r="DZ754" s="663"/>
      <c r="EA754" s="663"/>
      <c r="EB754" s="663"/>
      <c r="EC754" s="663"/>
      <c r="ED754" s="663"/>
    </row>
    <row r="755" spans="12:134">
      <c r="L755" s="347">
        <v>133.22</v>
      </c>
      <c r="M755" s="347" t="s">
        <v>337</v>
      </c>
      <c r="AB755" s="347">
        <v>101.02</v>
      </c>
      <c r="AC755" s="347" t="s">
        <v>310</v>
      </c>
      <c r="AD755" s="1138"/>
      <c r="AJ755" s="345">
        <v>132</v>
      </c>
      <c r="AK755" s="345" t="s">
        <v>365</v>
      </c>
      <c r="AP755" s="347">
        <v>409.08</v>
      </c>
      <c r="AQ755" s="347" t="s">
        <v>335</v>
      </c>
      <c r="AZ755" s="345">
        <v>626</v>
      </c>
      <c r="BA755" s="345" t="s">
        <v>309</v>
      </c>
      <c r="BF755" s="347">
        <v>75.040000000000006</v>
      </c>
      <c r="BG755" s="347" t="s">
        <v>361</v>
      </c>
      <c r="BH755" s="1790"/>
      <c r="BN755" s="345">
        <v>4507.03</v>
      </c>
      <c r="BO755" s="345" t="s">
        <v>316</v>
      </c>
      <c r="BT755" s="347">
        <v>407.01</v>
      </c>
      <c r="BU755" s="347" t="s">
        <v>335</v>
      </c>
      <c r="CD755" s="345">
        <v>22.01</v>
      </c>
      <c r="CE755" s="345" t="s">
        <v>297</v>
      </c>
      <c r="CJ755" s="347">
        <v>76.05</v>
      </c>
      <c r="CK755" s="347" t="s">
        <v>352</v>
      </c>
      <c r="CL755" s="1789"/>
      <c r="CR755" s="345"/>
      <c r="CS755" s="345"/>
      <c r="CX755" s="347"/>
      <c r="CY755" s="347"/>
      <c r="DH755" s="237"/>
      <c r="DI755" s="237"/>
      <c r="DN755" s="347"/>
      <c r="DO755" s="347"/>
      <c r="DP755" s="2505"/>
      <c r="DT755" s="663"/>
      <c r="DU755" s="663"/>
      <c r="DV755" s="663"/>
      <c r="DW755" s="663"/>
      <c r="DX755" s="663"/>
      <c r="DY755" s="663"/>
      <c r="DZ755" s="663"/>
      <c r="EA755" s="663"/>
      <c r="EB755" s="663"/>
      <c r="EC755" s="663"/>
      <c r="ED755" s="663"/>
    </row>
    <row r="756" spans="12:134">
      <c r="L756" s="347">
        <v>134.07</v>
      </c>
      <c r="M756" s="347" t="s">
        <v>337</v>
      </c>
      <c r="AB756" s="347">
        <v>101.02</v>
      </c>
      <c r="AC756" s="347" t="s">
        <v>318</v>
      </c>
      <c r="AD756" s="1138"/>
      <c r="AJ756" s="345">
        <v>133</v>
      </c>
      <c r="AK756" s="345" t="s">
        <v>365</v>
      </c>
      <c r="AP756" s="347">
        <v>409.09</v>
      </c>
      <c r="AQ756" s="347" t="s">
        <v>335</v>
      </c>
      <c r="AZ756" s="345">
        <v>642.02</v>
      </c>
      <c r="BA756" s="345" t="s">
        <v>309</v>
      </c>
      <c r="BF756" s="347">
        <v>75.05</v>
      </c>
      <c r="BG756" s="347" t="s">
        <v>361</v>
      </c>
      <c r="BH756" s="1790"/>
      <c r="BN756" s="345">
        <v>4507.04</v>
      </c>
      <c r="BO756" s="345" t="s">
        <v>316</v>
      </c>
      <c r="BT756" s="347">
        <v>407.02</v>
      </c>
      <c r="BU756" s="347" t="s">
        <v>335</v>
      </c>
      <c r="CD756" s="237">
        <v>22.01</v>
      </c>
      <c r="CE756" s="237" t="s">
        <v>345</v>
      </c>
      <c r="CJ756" s="347">
        <v>76.05</v>
      </c>
      <c r="CK756" s="347" t="s">
        <v>361</v>
      </c>
      <c r="CL756" s="1789"/>
      <c r="CR756" s="345"/>
      <c r="CS756" s="345"/>
      <c r="CX756" s="347"/>
      <c r="CY756" s="347"/>
      <c r="DH756" s="237"/>
      <c r="DI756" s="237"/>
      <c r="DN756" s="347"/>
      <c r="DO756" s="347"/>
      <c r="DP756" s="2505"/>
      <c r="DT756" s="663"/>
      <c r="DU756" s="663"/>
      <c r="DV756" s="663"/>
      <c r="DW756" s="663"/>
      <c r="DX756" s="663"/>
      <c r="DY756" s="663"/>
      <c r="DZ756" s="663"/>
      <c r="EA756" s="663"/>
      <c r="EB756" s="663"/>
      <c r="EC756" s="663"/>
      <c r="ED756" s="663"/>
    </row>
    <row r="757" spans="12:134">
      <c r="L757" s="347">
        <v>134.09</v>
      </c>
      <c r="M757" s="347" t="s">
        <v>337</v>
      </c>
      <c r="AB757" s="347">
        <v>101.02</v>
      </c>
      <c r="AC757" s="347" t="s">
        <v>321</v>
      </c>
      <c r="AD757" s="1138"/>
      <c r="AJ757" s="345">
        <v>134</v>
      </c>
      <c r="AK757" s="345" t="s">
        <v>365</v>
      </c>
      <c r="AP757" s="347">
        <v>409.1</v>
      </c>
      <c r="AQ757" s="347" t="s">
        <v>335</v>
      </c>
      <c r="AZ757" s="345">
        <v>645</v>
      </c>
      <c r="BA757" s="345" t="s">
        <v>309</v>
      </c>
      <c r="BF757" s="347">
        <v>76.010000000000005</v>
      </c>
      <c r="BG757" s="347" t="s">
        <v>352</v>
      </c>
      <c r="BH757" s="1790"/>
      <c r="BN757" s="345">
        <v>4507.05</v>
      </c>
      <c r="BO757" s="345" t="s">
        <v>316</v>
      </c>
      <c r="BT757" s="347">
        <v>409.06</v>
      </c>
      <c r="BU757" s="347" t="s">
        <v>335</v>
      </c>
      <c r="CD757" s="237">
        <v>22.01</v>
      </c>
      <c r="CE757" s="237" t="s">
        <v>350</v>
      </c>
      <c r="CJ757" s="347">
        <v>76.069999999999993</v>
      </c>
      <c r="CK757" s="347" t="s">
        <v>352</v>
      </c>
      <c r="CL757" s="1789"/>
      <c r="CR757" s="345"/>
      <c r="CS757" s="345"/>
      <c r="CX757" s="347"/>
      <c r="CY757" s="347"/>
      <c r="DH757" s="237"/>
      <c r="DI757" s="237"/>
      <c r="DN757" s="347"/>
      <c r="DO757" s="347"/>
      <c r="DP757" s="2505"/>
      <c r="DT757" s="663"/>
      <c r="DU757" s="663"/>
      <c r="DV757" s="663"/>
      <c r="DW757" s="663"/>
      <c r="DX757" s="663"/>
      <c r="DY757" s="663"/>
      <c r="DZ757" s="663"/>
      <c r="EA757" s="663"/>
      <c r="EB757" s="663"/>
      <c r="EC757" s="663"/>
      <c r="ED757" s="663"/>
    </row>
    <row r="758" spans="12:134">
      <c r="L758" s="347">
        <v>134.1</v>
      </c>
      <c r="M758" s="347" t="s">
        <v>337</v>
      </c>
      <c r="AB758" s="347">
        <v>101.02</v>
      </c>
      <c r="AC758" s="347" t="s">
        <v>323</v>
      </c>
      <c r="AD758" s="1138"/>
      <c r="AJ758" s="345">
        <v>136.01</v>
      </c>
      <c r="AK758" s="345" t="s">
        <v>365</v>
      </c>
      <c r="AP758" s="347">
        <v>409.11</v>
      </c>
      <c r="AQ758" s="347" t="s">
        <v>335</v>
      </c>
      <c r="AZ758" s="345">
        <v>648</v>
      </c>
      <c r="BA758" s="345" t="s">
        <v>309</v>
      </c>
      <c r="BF758" s="347">
        <v>76.03</v>
      </c>
      <c r="BG758" s="347" t="s">
        <v>352</v>
      </c>
      <c r="BH758" s="1790"/>
      <c r="BN758" s="345">
        <v>4507.0600000000004</v>
      </c>
      <c r="BO758" s="345" t="s">
        <v>316</v>
      </c>
      <c r="BT758" s="347">
        <v>409.07</v>
      </c>
      <c r="BU758" s="347" t="s">
        <v>335</v>
      </c>
      <c r="CD758" s="237">
        <v>22.01</v>
      </c>
      <c r="CE758" s="237" t="s">
        <v>352</v>
      </c>
      <c r="CJ758" s="347">
        <v>76.08</v>
      </c>
      <c r="CK758" s="347" t="s">
        <v>352</v>
      </c>
      <c r="CL758" s="1789"/>
      <c r="CR758" s="345"/>
      <c r="CS758" s="345"/>
      <c r="CX758" s="347"/>
      <c r="CY758" s="347"/>
      <c r="DH758" s="237"/>
      <c r="DI758" s="237"/>
      <c r="DN758" s="347"/>
      <c r="DO758" s="347"/>
      <c r="DP758" s="2505"/>
      <c r="DT758" s="663"/>
      <c r="DU758" s="663"/>
      <c r="DV758" s="663"/>
      <c r="DW758" s="663"/>
      <c r="DX758" s="663"/>
      <c r="DY758" s="663"/>
      <c r="DZ758" s="663"/>
      <c r="EA758" s="663"/>
      <c r="EB758" s="663"/>
      <c r="EC758" s="663"/>
      <c r="ED758" s="663"/>
    </row>
    <row r="759" spans="12:134">
      <c r="L759" s="347">
        <v>134.12</v>
      </c>
      <c r="M759" s="347" t="s">
        <v>337</v>
      </c>
      <c r="AB759" s="347">
        <v>101.02</v>
      </c>
      <c r="AC759" s="347" t="s">
        <v>344</v>
      </c>
      <c r="AD759" s="1138"/>
      <c r="AJ759" s="345">
        <v>136.02000000000001</v>
      </c>
      <c r="AK759" s="345" t="s">
        <v>365</v>
      </c>
      <c r="AP759" s="347">
        <v>409.12</v>
      </c>
      <c r="AQ759" s="347" t="s">
        <v>335</v>
      </c>
      <c r="AZ759" s="345">
        <v>649.02</v>
      </c>
      <c r="BA759" s="345" t="s">
        <v>309</v>
      </c>
      <c r="BF759" s="347">
        <v>76.03</v>
      </c>
      <c r="BG759" s="347" t="s">
        <v>361</v>
      </c>
      <c r="BH759" s="1790"/>
      <c r="BN759" s="345">
        <v>4508</v>
      </c>
      <c r="BO759" s="345" t="s">
        <v>316</v>
      </c>
      <c r="BT759" s="347">
        <v>409.08</v>
      </c>
      <c r="BU759" s="347" t="s">
        <v>335</v>
      </c>
      <c r="CD759" s="237">
        <v>22.01</v>
      </c>
      <c r="CE759" s="237" t="s">
        <v>368</v>
      </c>
      <c r="CJ759" s="347">
        <v>76.09</v>
      </c>
      <c r="CK759" s="347" t="s">
        <v>352</v>
      </c>
      <c r="CL759" s="1789"/>
      <c r="CR759" s="345"/>
      <c r="CS759" s="345"/>
      <c r="CX759" s="347"/>
      <c r="CY759" s="347"/>
      <c r="DH759" s="237"/>
      <c r="DI759" s="237"/>
      <c r="DN759" s="347"/>
      <c r="DO759" s="347"/>
      <c r="DP759" s="2505"/>
      <c r="DT759" s="663"/>
      <c r="DU759" s="663"/>
      <c r="DV759" s="663"/>
      <c r="DW759" s="663"/>
      <c r="DX759" s="663"/>
      <c r="DY759" s="663"/>
      <c r="DZ759" s="663"/>
      <c r="EA759" s="663"/>
      <c r="EB759" s="663"/>
      <c r="EC759" s="663"/>
      <c r="ED759" s="663"/>
    </row>
    <row r="760" spans="12:134">
      <c r="L760" s="347">
        <v>134.13</v>
      </c>
      <c r="M760" s="347" t="s">
        <v>337</v>
      </c>
      <c r="AB760" s="347">
        <v>101.03</v>
      </c>
      <c r="AC760" s="347" t="s">
        <v>310</v>
      </c>
      <c r="AD760" s="1138"/>
      <c r="AJ760" s="345">
        <v>137.01</v>
      </c>
      <c r="AK760" s="345" t="s">
        <v>365</v>
      </c>
      <c r="AP760" s="347">
        <v>409.13</v>
      </c>
      <c r="AQ760" s="347" t="s">
        <v>335</v>
      </c>
      <c r="AZ760" s="345">
        <v>651.24</v>
      </c>
      <c r="BA760" s="345" t="s">
        <v>309</v>
      </c>
      <c r="BF760" s="347">
        <v>76.040000000000006</v>
      </c>
      <c r="BG760" s="347" t="s">
        <v>361</v>
      </c>
      <c r="BH760" s="1790"/>
      <c r="BN760" s="345">
        <v>4509.01</v>
      </c>
      <c r="BO760" s="345" t="s">
        <v>316</v>
      </c>
      <c r="BT760" s="347">
        <v>409.09</v>
      </c>
      <c r="BU760" s="347" t="s">
        <v>335</v>
      </c>
      <c r="CD760" s="345">
        <v>22.02</v>
      </c>
      <c r="CE760" s="345" t="s">
        <v>297</v>
      </c>
      <c r="CJ760" s="347">
        <v>76.099999999999994</v>
      </c>
      <c r="CK760" s="347" t="s">
        <v>352</v>
      </c>
      <c r="CL760" s="1789"/>
      <c r="CR760" s="345"/>
      <c r="CS760" s="345"/>
      <c r="CX760" s="347"/>
      <c r="CY760" s="347"/>
      <c r="DH760" s="237"/>
      <c r="DI760" s="237"/>
      <c r="DN760" s="347"/>
      <c r="DO760" s="347"/>
      <c r="DP760" s="2505"/>
      <c r="DT760" s="663"/>
      <c r="DU760" s="663"/>
      <c r="DV760" s="663"/>
      <c r="DW760" s="663"/>
      <c r="DX760" s="663"/>
      <c r="DY760" s="663"/>
      <c r="DZ760" s="663"/>
      <c r="EA760" s="663"/>
      <c r="EB760" s="663"/>
      <c r="EC760" s="663"/>
      <c r="ED760" s="663"/>
    </row>
    <row r="761" spans="12:134">
      <c r="L761" s="347">
        <v>134.13999999999999</v>
      </c>
      <c r="M761" s="347" t="s">
        <v>337</v>
      </c>
      <c r="AB761" s="347">
        <v>101.03</v>
      </c>
      <c r="AC761" s="347" t="s">
        <v>323</v>
      </c>
      <c r="AD761" s="1138"/>
      <c r="AJ761" s="345">
        <v>141.21</v>
      </c>
      <c r="AK761" s="345" t="s">
        <v>365</v>
      </c>
      <c r="AP761" s="347">
        <v>410.04</v>
      </c>
      <c r="AQ761" s="347" t="s">
        <v>335</v>
      </c>
      <c r="AZ761" s="345">
        <v>699.06</v>
      </c>
      <c r="BA761" s="345" t="s">
        <v>309</v>
      </c>
      <c r="BF761" s="347">
        <v>76.05</v>
      </c>
      <c r="BG761" s="347" t="s">
        <v>352</v>
      </c>
      <c r="BH761" s="1790"/>
      <c r="BN761" s="345">
        <v>4509.0200000000004</v>
      </c>
      <c r="BO761" s="345" t="s">
        <v>316</v>
      </c>
      <c r="BT761" s="347">
        <v>409.1</v>
      </c>
      <c r="BU761" s="347" t="s">
        <v>335</v>
      </c>
      <c r="CD761" s="237">
        <v>22.02</v>
      </c>
      <c r="CE761" s="237" t="s">
        <v>350</v>
      </c>
      <c r="CJ761" s="347">
        <v>76.099999999999994</v>
      </c>
      <c r="CK761" s="347" t="s">
        <v>361</v>
      </c>
      <c r="CL761" s="1789"/>
      <c r="CR761" s="345"/>
      <c r="CS761" s="345"/>
      <c r="CX761" s="347"/>
      <c r="CY761" s="347"/>
      <c r="DH761" s="237"/>
      <c r="DI761" s="237"/>
      <c r="DN761" s="347"/>
      <c r="DO761" s="347"/>
      <c r="DP761" s="2505"/>
      <c r="DT761" s="663"/>
      <c r="DU761" s="663"/>
      <c r="DV761" s="663"/>
      <c r="DW761" s="663"/>
      <c r="DX761" s="663"/>
      <c r="DY761" s="663"/>
      <c r="DZ761" s="663"/>
      <c r="EA761" s="663"/>
      <c r="EB761" s="663"/>
      <c r="EC761" s="663"/>
      <c r="ED761" s="663"/>
    </row>
    <row r="762" spans="12:134">
      <c r="L762" s="347">
        <v>134.15</v>
      </c>
      <c r="M762" s="347" t="s">
        <v>337</v>
      </c>
      <c r="AB762" s="347">
        <v>101.04</v>
      </c>
      <c r="AC762" s="347" t="s">
        <v>310</v>
      </c>
      <c r="AD762" s="1138"/>
      <c r="AJ762" s="345">
        <v>142.01</v>
      </c>
      <c r="AK762" s="345" t="s">
        <v>365</v>
      </c>
      <c r="AP762" s="347">
        <v>410.05</v>
      </c>
      <c r="AQ762" s="347" t="s">
        <v>335</v>
      </c>
      <c r="AZ762" s="345">
        <v>699.07</v>
      </c>
      <c r="BA762" s="345" t="s">
        <v>309</v>
      </c>
      <c r="BF762" s="347">
        <v>76.05</v>
      </c>
      <c r="BG762" s="347" t="s">
        <v>361</v>
      </c>
      <c r="BH762" s="1790"/>
      <c r="BN762" s="345">
        <v>4510.01</v>
      </c>
      <c r="BO762" s="345" t="s">
        <v>316</v>
      </c>
      <c r="BT762" s="347">
        <v>409.11</v>
      </c>
      <c r="BU762" s="347" t="s">
        <v>335</v>
      </c>
      <c r="CD762" s="237">
        <v>22.02</v>
      </c>
      <c r="CE762" s="237" t="s">
        <v>352</v>
      </c>
      <c r="CJ762" s="347">
        <v>76.12</v>
      </c>
      <c r="CK762" s="347" t="s">
        <v>361</v>
      </c>
      <c r="CL762" s="1789"/>
      <c r="CR762" s="345"/>
      <c r="CS762" s="345"/>
      <c r="CX762" s="347"/>
      <c r="CY762" s="347"/>
      <c r="DH762" s="237"/>
      <c r="DI762" s="237"/>
      <c r="DN762" s="347"/>
      <c r="DO762" s="347"/>
      <c r="DP762" s="2505"/>
      <c r="DT762" s="663"/>
      <c r="DU762" s="663"/>
      <c r="DV762" s="663"/>
      <c r="DW762" s="663"/>
      <c r="DX762" s="663"/>
      <c r="DY762" s="663"/>
      <c r="DZ762" s="663"/>
      <c r="EA762" s="663"/>
      <c r="EB762" s="663"/>
      <c r="EC762" s="663"/>
      <c r="ED762" s="663"/>
    </row>
    <row r="763" spans="12:134">
      <c r="L763" s="347">
        <v>137.02000000000001</v>
      </c>
      <c r="M763" s="347" t="s">
        <v>337</v>
      </c>
      <c r="AB763" s="347">
        <v>101.04</v>
      </c>
      <c r="AC763" s="347" t="s">
        <v>344</v>
      </c>
      <c r="AD763" s="1138"/>
      <c r="AJ763" s="345">
        <v>142.03</v>
      </c>
      <c r="AK763" s="345" t="s">
        <v>365</v>
      </c>
      <c r="AP763" s="347">
        <v>410.06</v>
      </c>
      <c r="AQ763" s="347" t="s">
        <v>335</v>
      </c>
      <c r="AZ763" s="345">
        <v>805</v>
      </c>
      <c r="BA763" s="345" t="s">
        <v>310</v>
      </c>
      <c r="BF763" s="347">
        <v>76.069999999999993</v>
      </c>
      <c r="BG763" s="347" t="s">
        <v>352</v>
      </c>
      <c r="BH763" s="1790"/>
      <c r="BN763" s="345">
        <v>4510.0200000000004</v>
      </c>
      <c r="BO763" s="345" t="s">
        <v>316</v>
      </c>
      <c r="BT763" s="347">
        <v>409.12</v>
      </c>
      <c r="BU763" s="347" t="s">
        <v>335</v>
      </c>
      <c r="CD763" s="237">
        <v>22.03</v>
      </c>
      <c r="CE763" s="237" t="s">
        <v>350</v>
      </c>
      <c r="CJ763" s="347">
        <v>76.13</v>
      </c>
      <c r="CK763" s="347" t="s">
        <v>361</v>
      </c>
      <c r="CL763" s="1789"/>
      <c r="CR763" s="345"/>
      <c r="CS763" s="345"/>
      <c r="CX763" s="347"/>
      <c r="CY763" s="347"/>
      <c r="DH763" s="237"/>
      <c r="DI763" s="237"/>
      <c r="DN763" s="347"/>
      <c r="DO763" s="347"/>
      <c r="DP763" s="2505"/>
      <c r="DT763" s="663"/>
      <c r="DU763" s="663"/>
      <c r="DV763" s="663"/>
      <c r="DW763" s="663"/>
      <c r="DX763" s="663"/>
      <c r="DY763" s="663"/>
      <c r="DZ763" s="663"/>
      <c r="EA763" s="663"/>
      <c r="EB763" s="663"/>
      <c r="EC763" s="663"/>
      <c r="ED763" s="663"/>
    </row>
    <row r="764" spans="12:134">
      <c r="L764" s="347">
        <v>137.03</v>
      </c>
      <c r="M764" s="347" t="s">
        <v>337</v>
      </c>
      <c r="AB764" s="347">
        <v>101.05</v>
      </c>
      <c r="AC764" s="347" t="s">
        <v>318</v>
      </c>
      <c r="AD764" s="1138"/>
      <c r="AJ764" s="345">
        <v>143.01</v>
      </c>
      <c r="AK764" s="345" t="s">
        <v>365</v>
      </c>
      <c r="AP764" s="347">
        <v>411.04</v>
      </c>
      <c r="AQ764" s="347" t="s">
        <v>335</v>
      </c>
      <c r="AZ764" s="345">
        <v>809.01</v>
      </c>
      <c r="BA764" s="345" t="s">
        <v>376</v>
      </c>
      <c r="BF764" s="347">
        <v>76.08</v>
      </c>
      <c r="BG764" s="347" t="s">
        <v>352</v>
      </c>
      <c r="BH764" s="1790"/>
      <c r="BN764" s="345">
        <v>4511.01</v>
      </c>
      <c r="BO764" s="345" t="s">
        <v>316</v>
      </c>
      <c r="BT764" s="347">
        <v>409.13</v>
      </c>
      <c r="BU764" s="347" t="s">
        <v>335</v>
      </c>
      <c r="CD764" s="237">
        <v>22.03</v>
      </c>
      <c r="CE764" s="237" t="s">
        <v>368</v>
      </c>
      <c r="CJ764" s="347">
        <v>76.14</v>
      </c>
      <c r="CK764" s="347" t="s">
        <v>361</v>
      </c>
      <c r="CL764" s="1789"/>
      <c r="CR764" s="345"/>
      <c r="CS764" s="345"/>
      <c r="CX764" s="347"/>
      <c r="CY764" s="347"/>
      <c r="DH764" s="237"/>
      <c r="DI764" s="237"/>
      <c r="DN764" s="347"/>
      <c r="DO764" s="347"/>
      <c r="DP764" s="2505"/>
      <c r="DT764" s="663"/>
      <c r="DU764" s="663"/>
      <c r="DV764" s="663"/>
      <c r="DW764" s="663"/>
      <c r="DX764" s="663"/>
      <c r="DY764" s="663"/>
      <c r="DZ764" s="663"/>
      <c r="EA764" s="663"/>
      <c r="EB764" s="663"/>
      <c r="EC764" s="663"/>
      <c r="ED764" s="663"/>
    </row>
    <row r="765" spans="12:134">
      <c r="L765" s="347">
        <v>137.04</v>
      </c>
      <c r="M765" s="347" t="s">
        <v>337</v>
      </c>
      <c r="AB765" s="347">
        <v>101.05</v>
      </c>
      <c r="AC765" s="347" t="s">
        <v>344</v>
      </c>
      <c r="AD765" s="1138"/>
      <c r="AJ765" s="345">
        <v>145.02000000000001</v>
      </c>
      <c r="AK765" s="345" t="s">
        <v>365</v>
      </c>
      <c r="AP765" s="347">
        <v>411.06</v>
      </c>
      <c r="AQ765" s="347" t="s">
        <v>335</v>
      </c>
      <c r="AZ765" s="345">
        <v>809.02</v>
      </c>
      <c r="BA765" s="345" t="s">
        <v>376</v>
      </c>
      <c r="BF765" s="347">
        <v>76.09</v>
      </c>
      <c r="BG765" s="347" t="s">
        <v>352</v>
      </c>
      <c r="BH765" s="1790"/>
      <c r="BN765" s="345">
        <v>4511.03</v>
      </c>
      <c r="BO765" s="345" t="s">
        <v>316</v>
      </c>
      <c r="BT765" s="347">
        <v>410.04</v>
      </c>
      <c r="BU765" s="347" t="s">
        <v>335</v>
      </c>
      <c r="CD765" s="345">
        <v>22.04</v>
      </c>
      <c r="CE765" s="345" t="s">
        <v>297</v>
      </c>
      <c r="CJ765" s="347">
        <v>76.16</v>
      </c>
      <c r="CK765" s="347" t="s">
        <v>361</v>
      </c>
      <c r="CL765" s="1789"/>
      <c r="CR765" s="345"/>
      <c r="CS765" s="345"/>
      <c r="CX765" s="347"/>
      <c r="CY765" s="347"/>
      <c r="DH765" s="237"/>
      <c r="DI765" s="237"/>
      <c r="DN765" s="347"/>
      <c r="DO765" s="347"/>
      <c r="DP765" s="2505"/>
      <c r="DT765" s="663"/>
      <c r="DU765" s="663"/>
      <c r="DV765" s="663"/>
      <c r="DW765" s="663"/>
      <c r="DX765" s="663"/>
      <c r="DY765" s="663"/>
      <c r="DZ765" s="663"/>
      <c r="EA765" s="663"/>
      <c r="EB765" s="663"/>
      <c r="EC765" s="663"/>
      <c r="ED765" s="663"/>
    </row>
    <row r="766" spans="12:134">
      <c r="L766" s="347">
        <v>138.02000000000001</v>
      </c>
      <c r="M766" s="347" t="s">
        <v>337</v>
      </c>
      <c r="AB766" s="347">
        <v>101.06</v>
      </c>
      <c r="AC766" s="347" t="s">
        <v>318</v>
      </c>
      <c r="AD766" s="1138"/>
      <c r="AJ766" s="345">
        <v>149.03</v>
      </c>
      <c r="AK766" s="345" t="s">
        <v>365</v>
      </c>
      <c r="AP766" s="347">
        <v>412.03</v>
      </c>
      <c r="AQ766" s="347" t="s">
        <v>335</v>
      </c>
      <c r="AZ766" s="345">
        <v>812.01</v>
      </c>
      <c r="BA766" s="345" t="s">
        <v>376</v>
      </c>
      <c r="BF766" s="347">
        <v>76.099999999999994</v>
      </c>
      <c r="BG766" s="347" t="s">
        <v>352</v>
      </c>
      <c r="BH766" s="1790"/>
      <c r="BN766" s="345">
        <v>4511.04</v>
      </c>
      <c r="BO766" s="345" t="s">
        <v>316</v>
      </c>
      <c r="BT766" s="347">
        <v>410.05</v>
      </c>
      <c r="BU766" s="347" t="s">
        <v>335</v>
      </c>
      <c r="CD766" s="237">
        <v>22.04</v>
      </c>
      <c r="CE766" s="237" t="s">
        <v>368</v>
      </c>
      <c r="CJ766" s="347">
        <v>76.209999999999994</v>
      </c>
      <c r="CK766" s="347" t="s">
        <v>361</v>
      </c>
      <c r="CL766" s="1789"/>
      <c r="CR766" s="345"/>
      <c r="CS766" s="345"/>
      <c r="CX766" s="347"/>
      <c r="CY766" s="347"/>
      <c r="DH766" s="237"/>
      <c r="DI766" s="237"/>
      <c r="DN766" s="347"/>
      <c r="DO766" s="347"/>
      <c r="DP766" s="2505"/>
      <c r="DT766" s="663"/>
      <c r="DU766" s="663"/>
      <c r="DV766" s="663"/>
      <c r="DW766" s="663"/>
      <c r="DX766" s="663"/>
      <c r="DY766" s="663"/>
      <c r="DZ766" s="663"/>
      <c r="EA766" s="663"/>
      <c r="EB766" s="663"/>
      <c r="EC766" s="663"/>
      <c r="ED766" s="663"/>
    </row>
    <row r="767" spans="12:134">
      <c r="L767" s="347">
        <v>138.06</v>
      </c>
      <c r="M767" s="347" t="s">
        <v>337</v>
      </c>
      <c r="AB767" s="347">
        <v>101.06</v>
      </c>
      <c r="AC767" s="347" t="s">
        <v>337</v>
      </c>
      <c r="AD767" s="1138"/>
      <c r="AJ767" s="345">
        <v>149.04</v>
      </c>
      <c r="AK767" s="345" t="s">
        <v>365</v>
      </c>
      <c r="AP767" s="347">
        <v>413.03</v>
      </c>
      <c r="AQ767" s="347" t="s">
        <v>335</v>
      </c>
      <c r="AZ767" s="345">
        <v>812.02</v>
      </c>
      <c r="BA767" s="345" t="s">
        <v>376</v>
      </c>
      <c r="BF767" s="347">
        <v>76.099999999999994</v>
      </c>
      <c r="BG767" s="347" t="s">
        <v>361</v>
      </c>
      <c r="BH767" s="1790"/>
      <c r="BN767" s="345">
        <v>4512</v>
      </c>
      <c r="BO767" s="345" t="s">
        <v>316</v>
      </c>
      <c r="BT767" s="347">
        <v>410.06</v>
      </c>
      <c r="BU767" s="347" t="s">
        <v>335</v>
      </c>
      <c r="CD767" s="237">
        <v>22.05</v>
      </c>
      <c r="CE767" s="237" t="s">
        <v>345</v>
      </c>
      <c r="CJ767" s="347">
        <v>76.23</v>
      </c>
      <c r="CK767" s="347" t="s">
        <v>361</v>
      </c>
      <c r="CL767" s="1789"/>
      <c r="CR767" s="345"/>
      <c r="CS767" s="345"/>
      <c r="CX767" s="347"/>
      <c r="CY767" s="347"/>
      <c r="DH767" s="237"/>
      <c r="DI767" s="237"/>
      <c r="DN767" s="347"/>
      <c r="DO767" s="347"/>
      <c r="DP767" s="2505"/>
      <c r="DT767" s="663"/>
      <c r="DU767" s="663"/>
      <c r="DV767" s="663"/>
      <c r="DW767" s="663"/>
      <c r="DX767" s="663"/>
      <c r="DY767" s="663"/>
      <c r="DZ767" s="663"/>
      <c r="EA767" s="663"/>
      <c r="EB767" s="663"/>
      <c r="EC767" s="663"/>
      <c r="ED767" s="663"/>
    </row>
    <row r="768" spans="12:134">
      <c r="L768" s="347">
        <v>138.07</v>
      </c>
      <c r="M768" s="347" t="s">
        <v>337</v>
      </c>
      <c r="AB768" s="347">
        <v>101.07</v>
      </c>
      <c r="AC768" s="347" t="s">
        <v>318</v>
      </c>
      <c r="AD768" s="1138"/>
      <c r="AJ768" s="345">
        <v>152</v>
      </c>
      <c r="AK768" s="345" t="s">
        <v>365</v>
      </c>
      <c r="AP768" s="347">
        <v>414.02</v>
      </c>
      <c r="AQ768" s="347" t="s">
        <v>335</v>
      </c>
      <c r="AZ768" s="345">
        <v>815</v>
      </c>
      <c r="BA768" s="345" t="s">
        <v>376</v>
      </c>
      <c r="BF768" s="347">
        <v>76.12</v>
      </c>
      <c r="BG768" s="347" t="s">
        <v>361</v>
      </c>
      <c r="BH768" s="1790"/>
      <c r="BN768" s="345">
        <v>4513</v>
      </c>
      <c r="BO768" s="345" t="s">
        <v>316</v>
      </c>
      <c r="BT768" s="347">
        <v>411.04</v>
      </c>
      <c r="BU768" s="347" t="s">
        <v>335</v>
      </c>
      <c r="CD768" s="237">
        <v>22.05</v>
      </c>
      <c r="CE768" s="237" t="s">
        <v>368</v>
      </c>
      <c r="CJ768" s="347">
        <v>76.239999999999995</v>
      </c>
      <c r="CK768" s="347" t="s">
        <v>361</v>
      </c>
      <c r="CL768" s="1789"/>
      <c r="CR768" s="345"/>
      <c r="CS768" s="345"/>
      <c r="CX768" s="347"/>
      <c r="CY768" s="347"/>
      <c r="DH768" s="237"/>
      <c r="DI768" s="237"/>
      <c r="DN768" s="347"/>
      <c r="DO768" s="347"/>
      <c r="DP768" s="2505"/>
      <c r="DT768" s="663"/>
      <c r="DU768" s="663"/>
      <c r="DV768" s="663"/>
      <c r="DW768" s="663"/>
      <c r="DX768" s="663"/>
      <c r="DY768" s="663"/>
      <c r="DZ768" s="663"/>
      <c r="EA768" s="663"/>
      <c r="EB768" s="663"/>
      <c r="EC768" s="663"/>
      <c r="ED768" s="663"/>
    </row>
    <row r="769" spans="12:134">
      <c r="L769" s="347">
        <v>139.03</v>
      </c>
      <c r="M769" s="347" t="s">
        <v>337</v>
      </c>
      <c r="AB769" s="347">
        <v>101.08</v>
      </c>
      <c r="AC769" s="347" t="s">
        <v>318</v>
      </c>
      <c r="AD769" s="1138"/>
      <c r="AJ769" s="345">
        <v>154.05000000000001</v>
      </c>
      <c r="AK769" s="345" t="s">
        <v>365</v>
      </c>
      <c r="AP769" s="347">
        <v>415.01</v>
      </c>
      <c r="AQ769" s="347" t="s">
        <v>335</v>
      </c>
      <c r="AZ769" s="345">
        <v>816</v>
      </c>
      <c r="BA769" s="345" t="s">
        <v>376</v>
      </c>
      <c r="BF769" s="347">
        <v>76.14</v>
      </c>
      <c r="BG769" s="347" t="s">
        <v>361</v>
      </c>
      <c r="BH769" s="1790"/>
      <c r="BN769" s="345">
        <v>4514</v>
      </c>
      <c r="BO769" s="345" t="s">
        <v>316</v>
      </c>
      <c r="BT769" s="347">
        <v>412.01</v>
      </c>
      <c r="BU769" s="347" t="s">
        <v>335</v>
      </c>
      <c r="CD769" s="237">
        <v>22.06</v>
      </c>
      <c r="CE769" s="237" t="s">
        <v>345</v>
      </c>
      <c r="CJ769" s="347">
        <v>77.040000000000006</v>
      </c>
      <c r="CK769" s="347" t="s">
        <v>352</v>
      </c>
      <c r="CL769" s="1789"/>
      <c r="CR769" s="345"/>
      <c r="CS769" s="345"/>
      <c r="CX769" s="347"/>
      <c r="CY769" s="347"/>
      <c r="DH769" s="237"/>
      <c r="DI769" s="237"/>
      <c r="DN769" s="347"/>
      <c r="DO769" s="347"/>
      <c r="DP769" s="2505"/>
      <c r="DT769" s="663"/>
      <c r="DU769" s="663"/>
      <c r="DV769" s="663"/>
      <c r="DW769" s="663"/>
      <c r="DX769" s="663"/>
      <c r="DY769" s="663"/>
      <c r="DZ769" s="663"/>
      <c r="EA769" s="663"/>
      <c r="EB769" s="663"/>
      <c r="EC769" s="663"/>
      <c r="ED769" s="663"/>
    </row>
    <row r="770" spans="12:134">
      <c r="L770" s="347">
        <v>139.07</v>
      </c>
      <c r="M770" s="347" t="s">
        <v>337</v>
      </c>
      <c r="AB770" s="347">
        <v>101.08</v>
      </c>
      <c r="AC770" s="347" t="s">
        <v>337</v>
      </c>
      <c r="AD770" s="1138"/>
      <c r="AJ770" s="345">
        <v>155</v>
      </c>
      <c r="AK770" s="345" t="s">
        <v>365</v>
      </c>
      <c r="AP770" s="347">
        <v>416.01</v>
      </c>
      <c r="AQ770" s="347" t="s">
        <v>335</v>
      </c>
      <c r="AZ770" s="345">
        <v>818</v>
      </c>
      <c r="BA770" s="345" t="s">
        <v>376</v>
      </c>
      <c r="BF770" s="347">
        <v>76.16</v>
      </c>
      <c r="BG770" s="347" t="s">
        <v>361</v>
      </c>
      <c r="BH770" s="1790"/>
      <c r="BN770" s="345">
        <v>4515.01</v>
      </c>
      <c r="BO770" s="345" t="s">
        <v>316</v>
      </c>
      <c r="BT770" s="347">
        <v>412.03</v>
      </c>
      <c r="BU770" s="347" t="s">
        <v>335</v>
      </c>
      <c r="CD770" s="345">
        <v>22.07</v>
      </c>
      <c r="CE770" s="345" t="s">
        <v>297</v>
      </c>
      <c r="CJ770" s="347">
        <v>77.05</v>
      </c>
      <c r="CK770" s="347" t="s">
        <v>352</v>
      </c>
      <c r="CL770" s="1789"/>
      <c r="CR770" s="345"/>
      <c r="CS770" s="345"/>
      <c r="CX770" s="347"/>
      <c r="CY770" s="347"/>
      <c r="DH770" s="237"/>
      <c r="DI770" s="237"/>
      <c r="DN770" s="347"/>
      <c r="DO770" s="347"/>
      <c r="DP770" s="2505"/>
      <c r="DT770" s="663"/>
      <c r="DU770" s="663"/>
      <c r="DV770" s="663"/>
      <c r="DW770" s="663"/>
      <c r="DX770" s="663"/>
      <c r="DY770" s="663"/>
      <c r="DZ770" s="663"/>
      <c r="EA770" s="663"/>
      <c r="EB770" s="663"/>
      <c r="EC770" s="663"/>
      <c r="ED770" s="663"/>
    </row>
    <row r="771" spans="12:134">
      <c r="L771" s="347">
        <v>139.08000000000001</v>
      </c>
      <c r="M771" s="347" t="s">
        <v>337</v>
      </c>
      <c r="AB771" s="347">
        <v>101.09</v>
      </c>
      <c r="AC771" s="347" t="s">
        <v>318</v>
      </c>
      <c r="AD771" s="1138"/>
      <c r="AJ771" s="345">
        <v>158.02000000000001</v>
      </c>
      <c r="AK771" s="345" t="s">
        <v>365</v>
      </c>
      <c r="AP771" s="347">
        <v>9601.01</v>
      </c>
      <c r="AQ771" s="347" t="s">
        <v>336</v>
      </c>
      <c r="AZ771" s="345">
        <v>819</v>
      </c>
      <c r="BA771" s="345" t="s">
        <v>376</v>
      </c>
      <c r="BF771" s="347">
        <v>76.209999999999994</v>
      </c>
      <c r="BG771" s="347" t="s">
        <v>361</v>
      </c>
      <c r="BH771" s="1790"/>
      <c r="BN771" s="345">
        <v>4515.0200000000004</v>
      </c>
      <c r="BO771" s="345" t="s">
        <v>316</v>
      </c>
      <c r="BT771" s="347">
        <v>413.03</v>
      </c>
      <c r="BU771" s="347" t="s">
        <v>335</v>
      </c>
      <c r="CD771" s="237">
        <v>22.07</v>
      </c>
      <c r="CE771" s="237" t="s">
        <v>345</v>
      </c>
      <c r="CJ771" s="347">
        <v>77.05</v>
      </c>
      <c r="CK771" s="347" t="s">
        <v>361</v>
      </c>
      <c r="CL771" s="1789"/>
      <c r="CR771" s="345"/>
      <c r="CS771" s="345"/>
      <c r="CX771" s="347"/>
      <c r="CY771" s="347"/>
      <c r="DH771" s="237"/>
      <c r="DI771" s="237"/>
      <c r="DN771" s="347"/>
      <c r="DO771" s="347"/>
      <c r="DP771" s="2505"/>
      <c r="DT771" s="663"/>
      <c r="DU771" s="663"/>
      <c r="DV771" s="663"/>
      <c r="DW771" s="663"/>
      <c r="DX771" s="663"/>
      <c r="DY771" s="663"/>
      <c r="DZ771" s="663"/>
      <c r="EA771" s="663"/>
      <c r="EB771" s="663"/>
      <c r="EC771" s="663"/>
      <c r="ED771" s="663"/>
    </row>
    <row r="772" spans="12:134">
      <c r="L772" s="347">
        <v>139.13999999999999</v>
      </c>
      <c r="M772" s="347" t="s">
        <v>337</v>
      </c>
      <c r="AB772" s="347">
        <v>101.93</v>
      </c>
      <c r="AC772" s="347" t="s">
        <v>352</v>
      </c>
      <c r="AD772" s="1138"/>
      <c r="AJ772" s="345">
        <v>164</v>
      </c>
      <c r="AK772" s="345" t="s">
        <v>365</v>
      </c>
      <c r="AP772" s="347">
        <v>9601.02</v>
      </c>
      <c r="AQ772" s="347" t="s">
        <v>336</v>
      </c>
      <c r="AZ772" s="345">
        <v>820</v>
      </c>
      <c r="BA772" s="345" t="s">
        <v>376</v>
      </c>
      <c r="BF772" s="347">
        <v>76.23</v>
      </c>
      <c r="BG772" s="347" t="s">
        <v>361</v>
      </c>
      <c r="BH772" s="1790"/>
      <c r="BN772" s="345">
        <v>4516.03</v>
      </c>
      <c r="BO772" s="345" t="s">
        <v>316</v>
      </c>
      <c r="BT772" s="347">
        <v>415.01</v>
      </c>
      <c r="BU772" s="347" t="s">
        <v>335</v>
      </c>
      <c r="CD772" s="345">
        <v>22.08</v>
      </c>
      <c r="CE772" s="345" t="s">
        <v>297</v>
      </c>
      <c r="CJ772" s="347">
        <v>77.06</v>
      </c>
      <c r="CK772" s="347" t="s">
        <v>352</v>
      </c>
      <c r="CL772" s="1789"/>
      <c r="CR772" s="345"/>
      <c r="CS772" s="345"/>
      <c r="CX772" s="347"/>
      <c r="CY772" s="347"/>
      <c r="DH772" s="237"/>
      <c r="DI772" s="237"/>
      <c r="DN772" s="347"/>
      <c r="DO772" s="347"/>
      <c r="DP772" s="2505"/>
      <c r="DT772" s="663"/>
      <c r="DU772" s="663"/>
      <c r="DV772" s="663"/>
      <c r="DW772" s="663"/>
      <c r="DX772" s="663"/>
      <c r="DY772" s="663"/>
      <c r="DZ772" s="663"/>
      <c r="EA772" s="663"/>
      <c r="EB772" s="663"/>
      <c r="EC772" s="663"/>
      <c r="ED772" s="663"/>
    </row>
    <row r="773" spans="12:134">
      <c r="L773" s="347">
        <v>139.15</v>
      </c>
      <c r="M773" s="347" t="s">
        <v>337</v>
      </c>
      <c r="AB773" s="347">
        <v>101.98</v>
      </c>
      <c r="AC773" s="347" t="s">
        <v>352</v>
      </c>
      <c r="AD773" s="1138"/>
      <c r="AJ773" s="345">
        <v>107.05</v>
      </c>
      <c r="AK773" s="345" t="s">
        <v>367</v>
      </c>
      <c r="AP773" s="347">
        <v>9601.0400000000009</v>
      </c>
      <c r="AQ773" s="347" t="s">
        <v>336</v>
      </c>
      <c r="AZ773" s="345">
        <v>821</v>
      </c>
      <c r="BA773" s="345" t="s">
        <v>376</v>
      </c>
      <c r="BF773" s="347">
        <v>76.239999999999995</v>
      </c>
      <c r="BG773" s="347" t="s">
        <v>361</v>
      </c>
      <c r="BH773" s="1790"/>
      <c r="BN773" s="345">
        <v>4516.04</v>
      </c>
      <c r="BO773" s="345" t="s">
        <v>316</v>
      </c>
      <c r="BT773" s="347">
        <v>415.02</v>
      </c>
      <c r="BU773" s="347" t="s">
        <v>335</v>
      </c>
      <c r="CD773" s="237">
        <v>22.08</v>
      </c>
      <c r="CE773" s="237" t="s">
        <v>345</v>
      </c>
      <c r="CJ773" s="347">
        <v>77.069999999999993</v>
      </c>
      <c r="CK773" s="347" t="s">
        <v>352</v>
      </c>
      <c r="CL773" s="1789"/>
      <c r="CR773" s="345"/>
      <c r="CS773" s="345"/>
      <c r="CX773" s="347"/>
      <c r="CY773" s="347"/>
      <c r="DH773" s="237"/>
      <c r="DI773" s="237"/>
      <c r="DN773" s="347"/>
      <c r="DO773" s="347"/>
      <c r="DP773" s="2505"/>
      <c r="DT773" s="663"/>
      <c r="DU773" s="663"/>
      <c r="DV773" s="663"/>
      <c r="DW773" s="663"/>
      <c r="DX773" s="663"/>
      <c r="DY773" s="663"/>
      <c r="DZ773" s="663"/>
      <c r="EA773" s="663"/>
      <c r="EB773" s="663"/>
      <c r="EC773" s="663"/>
      <c r="ED773" s="663"/>
    </row>
    <row r="774" spans="12:134">
      <c r="L774" s="347">
        <v>139.16</v>
      </c>
      <c r="M774" s="347" t="s">
        <v>337</v>
      </c>
      <c r="AB774" s="347">
        <v>102</v>
      </c>
      <c r="AC774" s="347" t="s">
        <v>321</v>
      </c>
      <c r="AD774" s="1138"/>
      <c r="AJ774" s="345">
        <v>2</v>
      </c>
      <c r="AK774" s="345" t="s">
        <v>368</v>
      </c>
      <c r="AP774" s="347">
        <v>9601.0499999999993</v>
      </c>
      <c r="AQ774" s="347" t="s">
        <v>336</v>
      </c>
      <c r="AZ774" s="345">
        <v>822.01</v>
      </c>
      <c r="BA774" s="345" t="s">
        <v>376</v>
      </c>
      <c r="BF774" s="347">
        <v>77.040000000000006</v>
      </c>
      <c r="BG774" s="347" t="s">
        <v>352</v>
      </c>
      <c r="BH774" s="1790"/>
      <c r="BN774" s="345">
        <v>4516.05</v>
      </c>
      <c r="BO774" s="345" t="s">
        <v>316</v>
      </c>
      <c r="BT774" s="347">
        <v>416.01</v>
      </c>
      <c r="BU774" s="347" t="s">
        <v>335</v>
      </c>
      <c r="CD774" s="345">
        <v>22.09</v>
      </c>
      <c r="CE774" s="345" t="s">
        <v>297</v>
      </c>
      <c r="CJ774" s="347">
        <v>77.08</v>
      </c>
      <c r="CK774" s="347" t="s">
        <v>352</v>
      </c>
      <c r="CL774" s="1789"/>
      <c r="CR774" s="345"/>
      <c r="CS774" s="345"/>
      <c r="CX774" s="347"/>
      <c r="CY774" s="347"/>
      <c r="DH774" s="237"/>
      <c r="DI774" s="237"/>
      <c r="DN774" s="347"/>
      <c r="DO774" s="347"/>
      <c r="DP774" s="2505"/>
      <c r="DT774" s="663"/>
      <c r="DU774" s="663"/>
      <c r="DV774" s="663"/>
      <c r="DW774" s="663"/>
      <c r="DX774" s="663"/>
      <c r="DY774" s="663"/>
      <c r="DZ774" s="663"/>
      <c r="EA774" s="663"/>
      <c r="EB774" s="663"/>
      <c r="EC774" s="663"/>
      <c r="ED774" s="663"/>
    </row>
    <row r="775" spans="12:134">
      <c r="L775" s="347">
        <v>139.16999999999999</v>
      </c>
      <c r="M775" s="347" t="s">
        <v>337</v>
      </c>
      <c r="AB775" s="347">
        <v>102</v>
      </c>
      <c r="AC775" s="347" t="s">
        <v>359</v>
      </c>
      <c r="AD775" s="1138"/>
      <c r="AJ775" s="345">
        <v>3</v>
      </c>
      <c r="AK775" s="345" t="s">
        <v>368</v>
      </c>
      <c r="AP775" s="347">
        <v>9604.02</v>
      </c>
      <c r="AQ775" s="347" t="s">
        <v>336</v>
      </c>
      <c r="AZ775" s="345">
        <v>823.02</v>
      </c>
      <c r="BA775" s="345" t="s">
        <v>376</v>
      </c>
      <c r="BF775" s="347">
        <v>77.05</v>
      </c>
      <c r="BG775" s="347" t="s">
        <v>352</v>
      </c>
      <c r="BH775" s="1790"/>
      <c r="BN775" s="345">
        <v>4516.0600000000004</v>
      </c>
      <c r="BO775" s="345" t="s">
        <v>316</v>
      </c>
      <c r="BT775" s="347">
        <v>9601.01</v>
      </c>
      <c r="BU775" s="347" t="s">
        <v>336</v>
      </c>
      <c r="CD775" s="345">
        <v>22.1</v>
      </c>
      <c r="CE775" s="345" t="s">
        <v>297</v>
      </c>
      <c r="CJ775" s="347">
        <v>77.09</v>
      </c>
      <c r="CK775" s="347" t="s">
        <v>352</v>
      </c>
      <c r="CL775" s="1789"/>
      <c r="CR775" s="345"/>
      <c r="CS775" s="345"/>
      <c r="CX775" s="347"/>
      <c r="CY775" s="347"/>
      <c r="DH775" s="237"/>
      <c r="DI775" s="237"/>
      <c r="DN775" s="347"/>
      <c r="DO775" s="347"/>
      <c r="DP775" s="2505"/>
      <c r="DT775" s="663"/>
      <c r="DU775" s="663"/>
      <c r="DV775" s="663"/>
      <c r="DW775" s="663"/>
      <c r="DX775" s="663"/>
      <c r="DY775" s="663"/>
      <c r="DZ775" s="663"/>
      <c r="EA775" s="663"/>
      <c r="EB775" s="663"/>
      <c r="EC775" s="663"/>
      <c r="ED775" s="663"/>
    </row>
    <row r="776" spans="12:134">
      <c r="L776" s="347">
        <v>139.19</v>
      </c>
      <c r="M776" s="347" t="s">
        <v>337</v>
      </c>
      <c r="AB776" s="347">
        <v>102.01</v>
      </c>
      <c r="AC776" s="347" t="s">
        <v>352</v>
      </c>
      <c r="AD776" s="1138"/>
      <c r="AJ776" s="345">
        <v>5.03</v>
      </c>
      <c r="AK776" s="345" t="s">
        <v>368</v>
      </c>
      <c r="AP776" s="347">
        <v>9605.0300000000007</v>
      </c>
      <c r="AQ776" s="347" t="s">
        <v>336</v>
      </c>
      <c r="AZ776" s="345">
        <v>823.03</v>
      </c>
      <c r="BA776" s="345" t="s">
        <v>376</v>
      </c>
      <c r="BF776" s="347">
        <v>77.05</v>
      </c>
      <c r="BG776" s="347" t="s">
        <v>361</v>
      </c>
      <c r="BH776" s="1790"/>
      <c r="BN776" s="345">
        <v>4517.01</v>
      </c>
      <c r="BO776" s="345" t="s">
        <v>316</v>
      </c>
      <c r="BT776" s="347">
        <v>9601.02</v>
      </c>
      <c r="BU776" s="347" t="s">
        <v>336</v>
      </c>
      <c r="CD776" s="345">
        <v>22.17</v>
      </c>
      <c r="CE776" s="345" t="s">
        <v>297</v>
      </c>
      <c r="CJ776" s="347">
        <v>77.099999999999994</v>
      </c>
      <c r="CK776" s="347" t="s">
        <v>361</v>
      </c>
      <c r="CL776" s="1789"/>
      <c r="CR776" s="345"/>
      <c r="CS776" s="345"/>
      <c r="CX776" s="347"/>
      <c r="CY776" s="347"/>
      <c r="DH776" s="237"/>
      <c r="DI776" s="237"/>
      <c r="DN776" s="347"/>
      <c r="DO776" s="347"/>
      <c r="DP776" s="2505"/>
      <c r="DT776" s="663"/>
      <c r="DU776" s="663"/>
      <c r="DV776" s="663"/>
      <c r="DW776" s="663"/>
      <c r="DX776" s="663"/>
      <c r="DY776" s="663"/>
      <c r="DZ776" s="663"/>
      <c r="EA776" s="663"/>
      <c r="EB776" s="663"/>
      <c r="EC776" s="663"/>
      <c r="ED776" s="663"/>
    </row>
    <row r="777" spans="12:134">
      <c r="L777" s="347">
        <v>139.19999999999999</v>
      </c>
      <c r="M777" s="347" t="s">
        <v>337</v>
      </c>
      <c r="AB777" s="347">
        <v>102.01</v>
      </c>
      <c r="AC777" s="347" t="s">
        <v>377</v>
      </c>
      <c r="AD777" s="1138"/>
      <c r="AJ777" s="345">
        <v>10</v>
      </c>
      <c r="AK777" s="345" t="s">
        <v>368</v>
      </c>
      <c r="AP777" s="347">
        <v>9605.0400000000009</v>
      </c>
      <c r="AQ777" s="347" t="s">
        <v>336</v>
      </c>
      <c r="AZ777" s="345">
        <v>824.01</v>
      </c>
      <c r="BA777" s="345" t="s">
        <v>376</v>
      </c>
      <c r="BF777" s="347">
        <v>77.06</v>
      </c>
      <c r="BG777" s="347" t="s">
        <v>352</v>
      </c>
      <c r="BH777" s="1790"/>
      <c r="BN777" s="345">
        <v>4517.0200000000004</v>
      </c>
      <c r="BO777" s="345" t="s">
        <v>316</v>
      </c>
      <c r="BT777" s="347">
        <v>9601.0400000000009</v>
      </c>
      <c r="BU777" s="347" t="s">
        <v>336</v>
      </c>
      <c r="CD777" s="345">
        <v>22.18</v>
      </c>
      <c r="CE777" s="345" t="s">
        <v>297</v>
      </c>
      <c r="CJ777" s="347">
        <v>77.16</v>
      </c>
      <c r="CK777" s="347" t="s">
        <v>361</v>
      </c>
      <c r="CL777" s="1789"/>
      <c r="CR777" s="345"/>
      <c r="CS777" s="345"/>
      <c r="CX777" s="347"/>
      <c r="CY777" s="347"/>
      <c r="DH777" s="237"/>
      <c r="DI777" s="237"/>
      <c r="DN777" s="347"/>
      <c r="DO777" s="347"/>
      <c r="DP777" s="2505"/>
      <c r="DT777" s="663"/>
      <c r="DU777" s="663"/>
      <c r="DV777" s="663"/>
      <c r="DW777" s="663"/>
      <c r="DX777" s="663"/>
      <c r="DY777" s="663"/>
      <c r="DZ777" s="663"/>
      <c r="EA777" s="663"/>
      <c r="EB777" s="663"/>
      <c r="EC777" s="663"/>
      <c r="ED777" s="663"/>
    </row>
    <row r="778" spans="12:134">
      <c r="L778" s="347">
        <v>139.21</v>
      </c>
      <c r="M778" s="347" t="s">
        <v>337</v>
      </c>
      <c r="AB778" s="347">
        <v>102.02</v>
      </c>
      <c r="AC778" s="347" t="s">
        <v>323</v>
      </c>
      <c r="AD778" s="1138"/>
      <c r="AJ778" s="345">
        <v>11.02</v>
      </c>
      <c r="AK778" s="345" t="s">
        <v>368</v>
      </c>
      <c r="AP778" s="347">
        <v>9606.01</v>
      </c>
      <c r="AQ778" s="347" t="s">
        <v>336</v>
      </c>
      <c r="AZ778" s="345">
        <v>825.11</v>
      </c>
      <c r="BA778" s="345" t="s">
        <v>376</v>
      </c>
      <c r="BF778" s="347">
        <v>77.069999999999993</v>
      </c>
      <c r="BG778" s="347" t="s">
        <v>352</v>
      </c>
      <c r="BH778" s="1790"/>
      <c r="BN778" s="345">
        <v>9900</v>
      </c>
      <c r="BO778" s="345" t="s">
        <v>316</v>
      </c>
      <c r="BT778" s="347">
        <v>9604.02</v>
      </c>
      <c r="BU778" s="347" t="s">
        <v>336</v>
      </c>
      <c r="CD778" s="345">
        <v>22.19</v>
      </c>
      <c r="CE778" s="345" t="s">
        <v>297</v>
      </c>
      <c r="CJ778" s="347">
        <v>77.209999999999994</v>
      </c>
      <c r="CK778" s="347" t="s">
        <v>361</v>
      </c>
      <c r="CL778" s="1789"/>
      <c r="CR778" s="345"/>
      <c r="CS778" s="345"/>
      <c r="CX778" s="347"/>
      <c r="CY778" s="347"/>
      <c r="DH778" s="237"/>
      <c r="DI778" s="237"/>
      <c r="DN778" s="347"/>
      <c r="DO778" s="347"/>
      <c r="DP778" s="2505"/>
      <c r="DT778" s="663"/>
      <c r="DU778" s="663"/>
      <c r="DV778" s="663"/>
      <c r="DW778" s="663"/>
      <c r="DX778" s="663"/>
      <c r="DY778" s="663"/>
      <c r="DZ778" s="663"/>
      <c r="EA778" s="663"/>
      <c r="EB778" s="663"/>
      <c r="EC778" s="663"/>
      <c r="ED778" s="663"/>
    </row>
    <row r="779" spans="12:134">
      <c r="L779" s="347">
        <v>139.22</v>
      </c>
      <c r="M779" s="347" t="s">
        <v>337</v>
      </c>
      <c r="AB779" s="347">
        <v>102.04</v>
      </c>
      <c r="AC779" s="347" t="s">
        <v>337</v>
      </c>
      <c r="AD779" s="1138"/>
      <c r="AJ779" s="345">
        <v>201.01</v>
      </c>
      <c r="AK779" s="345" t="s">
        <v>369</v>
      </c>
      <c r="AP779" s="347">
        <v>9606.02</v>
      </c>
      <c r="AQ779" s="347" t="s">
        <v>336</v>
      </c>
      <c r="AZ779" s="345">
        <v>825.13</v>
      </c>
      <c r="BA779" s="345" t="s">
        <v>376</v>
      </c>
      <c r="BF779" s="347">
        <v>77.08</v>
      </c>
      <c r="BG779" s="347" t="s">
        <v>352</v>
      </c>
      <c r="BH779" s="1790"/>
      <c r="BN779" s="345">
        <v>301.02999999999997</v>
      </c>
      <c r="BO779" s="345" t="s">
        <v>317</v>
      </c>
      <c r="BT779" s="347">
        <v>9605.0300000000007</v>
      </c>
      <c r="BU779" s="347" t="s">
        <v>336</v>
      </c>
      <c r="CD779" s="345">
        <v>22.2</v>
      </c>
      <c r="CE779" s="345" t="s">
        <v>297</v>
      </c>
      <c r="CJ779" s="347">
        <v>77.23</v>
      </c>
      <c r="CK779" s="347" t="s">
        <v>361</v>
      </c>
      <c r="CL779" s="1789"/>
      <c r="CR779" s="345"/>
      <c r="CS779" s="345"/>
      <c r="CX779" s="347"/>
      <c r="CY779" s="347"/>
      <c r="DH779" s="237"/>
      <c r="DI779" s="237"/>
      <c r="DN779" s="347"/>
      <c r="DO779" s="347"/>
      <c r="DP779" s="2505"/>
      <c r="DT779" s="663"/>
      <c r="DU779" s="663"/>
      <c r="DV779" s="663"/>
      <c r="DW779" s="663"/>
      <c r="DX779" s="663"/>
      <c r="DY779" s="663"/>
      <c r="DZ779" s="663"/>
      <c r="EA779" s="663"/>
      <c r="EB779" s="663"/>
      <c r="EC779" s="663"/>
      <c r="ED779" s="663"/>
    </row>
    <row r="780" spans="12:134">
      <c r="L780" s="347">
        <v>139.22999999999999</v>
      </c>
      <c r="M780" s="347" t="s">
        <v>337</v>
      </c>
      <c r="AB780" s="347">
        <v>102.05</v>
      </c>
      <c r="AC780" s="347" t="s">
        <v>318</v>
      </c>
      <c r="AD780" s="1138"/>
      <c r="AJ780" s="345">
        <v>202.01</v>
      </c>
      <c r="AK780" s="345" t="s">
        <v>369</v>
      </c>
      <c r="AP780" s="347">
        <v>9607</v>
      </c>
      <c r="AQ780" s="347" t="s">
        <v>336</v>
      </c>
      <c r="AZ780" s="345">
        <v>903.01</v>
      </c>
      <c r="BA780" s="345" t="s">
        <v>310</v>
      </c>
      <c r="BF780" s="347">
        <v>77.09</v>
      </c>
      <c r="BG780" s="347" t="s">
        <v>352</v>
      </c>
      <c r="BH780" s="1790"/>
      <c r="BN780" s="345">
        <v>301.04000000000002</v>
      </c>
      <c r="BO780" s="345" t="s">
        <v>317</v>
      </c>
      <c r="BT780" s="347">
        <v>9606.01</v>
      </c>
      <c r="BU780" s="347" t="s">
        <v>336</v>
      </c>
      <c r="CD780" s="345">
        <v>22.21</v>
      </c>
      <c r="CE780" s="345" t="s">
        <v>297</v>
      </c>
      <c r="CJ780" s="347">
        <v>77.239999999999995</v>
      </c>
      <c r="CK780" s="347" t="s">
        <v>361</v>
      </c>
      <c r="CL780" s="1789"/>
      <c r="CR780" s="345"/>
      <c r="CS780" s="345"/>
      <c r="CX780" s="347"/>
      <c r="CY780" s="347"/>
      <c r="DH780" s="237"/>
      <c r="DI780" s="237"/>
      <c r="DN780" s="347"/>
      <c r="DO780" s="347"/>
      <c r="DP780" s="2505"/>
      <c r="DT780" s="663"/>
      <c r="DU780" s="663"/>
      <c r="DV780" s="663"/>
      <c r="DW780" s="663"/>
      <c r="DX780" s="663"/>
      <c r="DY780" s="663"/>
      <c r="DZ780" s="663"/>
      <c r="EA780" s="663"/>
      <c r="EB780" s="663"/>
      <c r="EC780" s="663"/>
      <c r="ED780" s="663"/>
    </row>
    <row r="781" spans="12:134">
      <c r="L781" s="347">
        <v>140.03</v>
      </c>
      <c r="M781" s="347" t="s">
        <v>337</v>
      </c>
      <c r="AB781" s="347">
        <v>102.05</v>
      </c>
      <c r="AC781" s="347" t="s">
        <v>337</v>
      </c>
      <c r="AD781" s="1138"/>
      <c r="AJ781" s="345">
        <v>205</v>
      </c>
      <c r="AK781" s="345" t="s">
        <v>369</v>
      </c>
      <c r="AP781" s="347">
        <v>9610</v>
      </c>
      <c r="AQ781" s="347" t="s">
        <v>336</v>
      </c>
      <c r="AZ781" s="345">
        <v>904.03</v>
      </c>
      <c r="BA781" s="345" t="s">
        <v>310</v>
      </c>
      <c r="BF781" s="347">
        <v>77.099999999999994</v>
      </c>
      <c r="BG781" s="347" t="s">
        <v>361</v>
      </c>
      <c r="BH781" s="1790"/>
      <c r="BN781" s="345">
        <v>301.05</v>
      </c>
      <c r="BO781" s="345" t="s">
        <v>317</v>
      </c>
      <c r="BT781" s="347">
        <v>9606.02</v>
      </c>
      <c r="BU781" s="347" t="s">
        <v>336</v>
      </c>
      <c r="CD781" s="345">
        <v>22.22</v>
      </c>
      <c r="CE781" s="345" t="s">
        <v>297</v>
      </c>
      <c r="CJ781" s="347">
        <v>77.3</v>
      </c>
      <c r="CK781" s="347" t="s">
        <v>361</v>
      </c>
      <c r="CL781" s="1789"/>
      <c r="CR781" s="345"/>
      <c r="CS781" s="345"/>
      <c r="CX781" s="347"/>
      <c r="CY781" s="347"/>
      <c r="DH781" s="237"/>
      <c r="DI781" s="237"/>
      <c r="DN781" s="347"/>
      <c r="DO781" s="347"/>
      <c r="DP781" s="2505"/>
      <c r="DT781" s="663"/>
      <c r="DU781" s="663"/>
      <c r="DV781" s="663"/>
      <c r="DW781" s="663"/>
      <c r="DX781" s="663"/>
      <c r="DY781" s="663"/>
      <c r="DZ781" s="663"/>
      <c r="EA781" s="663"/>
      <c r="EB781" s="663"/>
      <c r="EC781" s="663"/>
      <c r="ED781" s="663"/>
    </row>
    <row r="782" spans="12:134">
      <c r="L782" s="347">
        <v>140.07</v>
      </c>
      <c r="M782" s="347" t="s">
        <v>337</v>
      </c>
      <c r="AB782" s="347">
        <v>102.08</v>
      </c>
      <c r="AC782" s="347" t="s">
        <v>318</v>
      </c>
      <c r="AD782" s="1138"/>
      <c r="AJ782" s="345">
        <v>220.01</v>
      </c>
      <c r="AK782" s="345" t="s">
        <v>369</v>
      </c>
      <c r="AP782" s="347">
        <v>9613.01</v>
      </c>
      <c r="AQ782" s="347" t="s">
        <v>336</v>
      </c>
      <c r="AZ782" s="345">
        <v>905</v>
      </c>
      <c r="BA782" s="345" t="s">
        <v>376</v>
      </c>
      <c r="BF782" s="347">
        <v>77.16</v>
      </c>
      <c r="BG782" s="347" t="s">
        <v>361</v>
      </c>
      <c r="BH782" s="1790"/>
      <c r="BN782" s="345">
        <v>301.06</v>
      </c>
      <c r="BO782" s="345" t="s">
        <v>317</v>
      </c>
      <c r="BT782" s="347">
        <v>9607</v>
      </c>
      <c r="BU782" s="347" t="s">
        <v>336</v>
      </c>
      <c r="CD782" s="345">
        <v>23</v>
      </c>
      <c r="CE782" s="345" t="s">
        <v>306</v>
      </c>
      <c r="CJ782" s="347">
        <v>77.31</v>
      </c>
      <c r="CK782" s="347" t="s">
        <v>361</v>
      </c>
      <c r="CL782" s="1789"/>
      <c r="CR782" s="345"/>
      <c r="CS782" s="345"/>
      <c r="CX782" s="347"/>
      <c r="CY782" s="347"/>
      <c r="DH782" s="237"/>
      <c r="DI782" s="237"/>
      <c r="DN782" s="347"/>
      <c r="DO782" s="347"/>
      <c r="DP782" s="2505"/>
      <c r="DT782" s="663"/>
      <c r="DU782" s="663"/>
      <c r="DV782" s="663"/>
      <c r="DW782" s="663"/>
      <c r="DX782" s="663"/>
      <c r="DY782" s="663"/>
      <c r="DZ782" s="663"/>
      <c r="EA782" s="663"/>
      <c r="EB782" s="663"/>
      <c r="EC782" s="663"/>
      <c r="ED782" s="663"/>
    </row>
    <row r="783" spans="12:134">
      <c r="L783" s="347">
        <v>140.08000000000001</v>
      </c>
      <c r="M783" s="347" t="s">
        <v>337</v>
      </c>
      <c r="AB783" s="347">
        <v>102.09</v>
      </c>
      <c r="AC783" s="347" t="s">
        <v>318</v>
      </c>
      <c r="AD783" s="1138"/>
      <c r="AJ783" s="345">
        <v>221.01</v>
      </c>
      <c r="AK783" s="345" t="s">
        <v>369</v>
      </c>
      <c r="AP783" s="347">
        <v>9613.0400000000009</v>
      </c>
      <c r="AQ783" s="347" t="s">
        <v>336</v>
      </c>
      <c r="AZ783" s="345">
        <v>906</v>
      </c>
      <c r="BA783" s="345" t="s">
        <v>376</v>
      </c>
      <c r="BF783" s="347">
        <v>77.209999999999994</v>
      </c>
      <c r="BG783" s="347" t="s">
        <v>361</v>
      </c>
      <c r="BH783" s="1790"/>
      <c r="BN783" s="345">
        <v>302.04000000000002</v>
      </c>
      <c r="BO783" s="345" t="s">
        <v>317</v>
      </c>
      <c r="BT783" s="347">
        <v>9610</v>
      </c>
      <c r="BU783" s="347" t="s">
        <v>336</v>
      </c>
      <c r="CD783" s="237">
        <v>23</v>
      </c>
      <c r="CE783" s="237" t="s">
        <v>323</v>
      </c>
      <c r="CJ783" s="347">
        <v>77.349999999999994</v>
      </c>
      <c r="CK783" s="347" t="s">
        <v>361</v>
      </c>
      <c r="CL783" s="1789"/>
      <c r="CR783" s="345"/>
      <c r="CS783" s="345"/>
      <c r="CX783" s="347"/>
      <c r="CY783" s="347"/>
      <c r="DH783" s="237"/>
      <c r="DI783" s="237"/>
      <c r="DN783" s="347"/>
      <c r="DO783" s="347"/>
      <c r="DP783" s="2505"/>
      <c r="DT783" s="663"/>
      <c r="DU783" s="663"/>
      <c r="DV783" s="663"/>
      <c r="DW783" s="663"/>
      <c r="DX783" s="663"/>
      <c r="DY783" s="663"/>
      <c r="DZ783" s="663"/>
      <c r="EA783" s="663"/>
      <c r="EB783" s="663"/>
      <c r="EC783" s="663"/>
      <c r="ED783" s="663"/>
    </row>
    <row r="784" spans="12:134">
      <c r="L784" s="347">
        <v>140.09</v>
      </c>
      <c r="M784" s="347" t="s">
        <v>337</v>
      </c>
      <c r="AB784" s="347">
        <v>102.09</v>
      </c>
      <c r="AC784" s="347" t="s">
        <v>337</v>
      </c>
      <c r="AD784" s="1138"/>
      <c r="AJ784" s="345">
        <v>203</v>
      </c>
      <c r="AK784" s="345" t="s">
        <v>370</v>
      </c>
      <c r="AP784" s="347">
        <v>9614.01</v>
      </c>
      <c r="AQ784" s="347" t="s">
        <v>336</v>
      </c>
      <c r="AZ784" s="345">
        <v>1003.02</v>
      </c>
      <c r="BA784" s="345" t="s">
        <v>310</v>
      </c>
      <c r="BF784" s="347">
        <v>77.23</v>
      </c>
      <c r="BG784" s="347" t="s">
        <v>361</v>
      </c>
      <c r="BH784" s="1790"/>
      <c r="BN784" s="345">
        <v>302.05</v>
      </c>
      <c r="BO784" s="345" t="s">
        <v>317</v>
      </c>
      <c r="BT784" s="347">
        <v>9613.01</v>
      </c>
      <c r="BU784" s="347" t="s">
        <v>336</v>
      </c>
      <c r="CD784" s="237">
        <v>23</v>
      </c>
      <c r="CE784" s="237" t="s">
        <v>325</v>
      </c>
      <c r="CJ784" s="347">
        <v>77.36</v>
      </c>
      <c r="CK784" s="347" t="s">
        <v>361</v>
      </c>
      <c r="CL784" s="1789"/>
      <c r="CR784" s="345"/>
      <c r="CS784" s="345"/>
      <c r="CX784" s="347"/>
      <c r="CY784" s="347"/>
      <c r="DH784" s="237"/>
      <c r="DI784" s="237"/>
      <c r="DN784" s="347"/>
      <c r="DO784" s="347"/>
      <c r="DP784" s="2505"/>
      <c r="DT784" s="663"/>
      <c r="DU784" s="663"/>
      <c r="DV784" s="663"/>
      <c r="DW784" s="663"/>
      <c r="DX784" s="663"/>
      <c r="DY784" s="663"/>
      <c r="DZ784" s="663"/>
      <c r="EA784" s="663"/>
      <c r="EB784" s="663"/>
      <c r="EC784" s="663"/>
      <c r="ED784" s="663"/>
    </row>
    <row r="785" spans="12:134">
      <c r="L785" s="347">
        <v>140.11000000000001</v>
      </c>
      <c r="M785" s="347" t="s">
        <v>337</v>
      </c>
      <c r="AB785" s="347">
        <v>102.09</v>
      </c>
      <c r="AC785" s="347" t="s">
        <v>352</v>
      </c>
      <c r="AD785" s="1138"/>
      <c r="AJ785" s="345">
        <v>204</v>
      </c>
      <c r="AK785" s="345" t="s">
        <v>370</v>
      </c>
      <c r="AP785" s="347">
        <v>9615</v>
      </c>
      <c r="AQ785" s="347" t="s">
        <v>336</v>
      </c>
      <c r="AZ785" s="345">
        <v>1004</v>
      </c>
      <c r="BA785" s="345" t="s">
        <v>310</v>
      </c>
      <c r="BF785" s="347">
        <v>77.239999999999995</v>
      </c>
      <c r="BG785" s="347" t="s">
        <v>361</v>
      </c>
      <c r="BH785" s="1790"/>
      <c r="BN785" s="345">
        <v>302.06</v>
      </c>
      <c r="BO785" s="345" t="s">
        <v>317</v>
      </c>
      <c r="BT785" s="347">
        <v>9613.0400000000009</v>
      </c>
      <c r="BU785" s="347" t="s">
        <v>336</v>
      </c>
      <c r="CD785" s="237">
        <v>23</v>
      </c>
      <c r="CE785" s="237" t="s">
        <v>337</v>
      </c>
      <c r="CJ785" s="347">
        <v>77.38</v>
      </c>
      <c r="CK785" s="347" t="s">
        <v>361</v>
      </c>
      <c r="CL785" s="1789"/>
      <c r="CR785" s="345"/>
      <c r="CS785" s="345"/>
      <c r="CX785" s="347"/>
      <c r="CY785" s="347"/>
      <c r="DH785" s="237"/>
      <c r="DI785" s="237"/>
      <c r="DN785" s="347"/>
      <c r="DO785" s="347"/>
      <c r="DP785" s="2505"/>
      <c r="DT785" s="663"/>
      <c r="DU785" s="663"/>
      <c r="DV785" s="663"/>
      <c r="DW785" s="663"/>
      <c r="DX785" s="663"/>
      <c r="DY785" s="663"/>
      <c r="DZ785" s="663"/>
      <c r="EA785" s="663"/>
      <c r="EB785" s="663"/>
      <c r="EC785" s="663"/>
      <c r="ED785" s="663"/>
    </row>
    <row r="786" spans="12:134">
      <c r="L786" s="347">
        <v>140.12</v>
      </c>
      <c r="M786" s="347" t="s">
        <v>337</v>
      </c>
      <c r="AB786" s="347">
        <v>102.1</v>
      </c>
      <c r="AC786" s="347" t="s">
        <v>318</v>
      </c>
      <c r="AD786" s="1138"/>
      <c r="AJ786" s="345">
        <v>210.02</v>
      </c>
      <c r="AK786" s="345" t="s">
        <v>370</v>
      </c>
      <c r="AP786" s="347">
        <v>9616.01</v>
      </c>
      <c r="AQ786" s="347" t="s">
        <v>336</v>
      </c>
      <c r="AZ786" s="345">
        <v>1005.01</v>
      </c>
      <c r="BA786" s="345" t="s">
        <v>310</v>
      </c>
      <c r="BF786" s="347">
        <v>77.25</v>
      </c>
      <c r="BG786" s="347" t="s">
        <v>361</v>
      </c>
      <c r="BH786" s="1790"/>
      <c r="BN786" s="345">
        <v>302.07</v>
      </c>
      <c r="BO786" s="345" t="s">
        <v>317</v>
      </c>
      <c r="BT786" s="347">
        <v>9614.01</v>
      </c>
      <c r="BU786" s="347" t="s">
        <v>336</v>
      </c>
      <c r="CD786" s="237">
        <v>23</v>
      </c>
      <c r="CE786" s="237" t="s">
        <v>352</v>
      </c>
      <c r="CJ786" s="347">
        <v>77.39</v>
      </c>
      <c r="CK786" s="347" t="s">
        <v>361</v>
      </c>
      <c r="CL786" s="1789"/>
      <c r="CR786" s="345"/>
      <c r="CS786" s="345"/>
      <c r="CX786" s="347"/>
      <c r="CY786" s="347"/>
      <c r="DH786" s="237"/>
      <c r="DI786" s="237"/>
      <c r="DN786" s="347"/>
      <c r="DO786" s="347"/>
      <c r="DP786" s="2505"/>
      <c r="DT786" s="663"/>
      <c r="DU786" s="663"/>
      <c r="DV786" s="663"/>
      <c r="DW786" s="663"/>
      <c r="DX786" s="663"/>
      <c r="DY786" s="663"/>
      <c r="DZ786" s="663"/>
      <c r="EA786" s="663"/>
      <c r="EB786" s="663"/>
      <c r="EC786" s="663"/>
      <c r="ED786" s="663"/>
    </row>
    <row r="787" spans="12:134">
      <c r="L787" s="347">
        <v>140.15</v>
      </c>
      <c r="M787" s="347" t="s">
        <v>337</v>
      </c>
      <c r="AB787" s="347">
        <v>102.1</v>
      </c>
      <c r="AC787" s="347" t="s">
        <v>337</v>
      </c>
      <c r="AD787" s="1138"/>
      <c r="AJ787" s="345">
        <v>3801</v>
      </c>
      <c r="AK787" s="345" t="s">
        <v>371</v>
      </c>
      <c r="AP787" s="347">
        <v>9616.02</v>
      </c>
      <c r="AQ787" s="347" t="s">
        <v>336</v>
      </c>
      <c r="AZ787" s="345">
        <v>1005.02</v>
      </c>
      <c r="BA787" s="345" t="s">
        <v>310</v>
      </c>
      <c r="BF787" s="347">
        <v>77.3</v>
      </c>
      <c r="BG787" s="347" t="s">
        <v>361</v>
      </c>
      <c r="BH787" s="1790"/>
      <c r="BN787" s="345">
        <v>302.08</v>
      </c>
      <c r="BO787" s="345" t="s">
        <v>317</v>
      </c>
      <c r="BT787" s="347">
        <v>9615</v>
      </c>
      <c r="BU787" s="347" t="s">
        <v>336</v>
      </c>
      <c r="CD787" s="237">
        <v>23</v>
      </c>
      <c r="CE787" s="237" t="s">
        <v>361</v>
      </c>
      <c r="CJ787" s="347">
        <v>77.400000000000006</v>
      </c>
      <c r="CK787" s="347" t="s">
        <v>361</v>
      </c>
      <c r="CL787" s="1789"/>
      <c r="CR787" s="345"/>
      <c r="CS787" s="345"/>
      <c r="CX787" s="347"/>
      <c r="CY787" s="347"/>
      <c r="DH787" s="237"/>
      <c r="DI787" s="237"/>
      <c r="DN787" s="347"/>
      <c r="DO787" s="347"/>
      <c r="DP787" s="2505"/>
      <c r="DT787" s="663"/>
      <c r="DU787" s="663"/>
      <c r="DV787" s="663"/>
      <c r="DW787" s="663"/>
      <c r="DX787" s="663"/>
      <c r="DY787" s="663"/>
      <c r="DZ787" s="663"/>
      <c r="EA787" s="663"/>
      <c r="EB787" s="663"/>
      <c r="EC787" s="663"/>
      <c r="ED787" s="663"/>
    </row>
    <row r="788" spans="12:134">
      <c r="L788" s="347">
        <v>140.16</v>
      </c>
      <c r="M788" s="347" t="s">
        <v>337</v>
      </c>
      <c r="AB788" s="347">
        <v>102.11</v>
      </c>
      <c r="AC788" s="347" t="s">
        <v>318</v>
      </c>
      <c r="AD788" s="1138"/>
      <c r="AJ788" s="345">
        <v>3802</v>
      </c>
      <c r="AK788" s="345" t="s">
        <v>371</v>
      </c>
      <c r="AP788" s="347">
        <v>9616.0499999999993</v>
      </c>
      <c r="AQ788" s="347" t="s">
        <v>336</v>
      </c>
      <c r="AZ788" s="345">
        <v>1007</v>
      </c>
      <c r="BA788" s="345" t="s">
        <v>310</v>
      </c>
      <c r="BF788" s="347">
        <v>77.31</v>
      </c>
      <c r="BG788" s="347" t="s">
        <v>361</v>
      </c>
      <c r="BH788" s="1790"/>
      <c r="BN788" s="345">
        <v>302.08999999999997</v>
      </c>
      <c r="BO788" s="345" t="s">
        <v>317</v>
      </c>
      <c r="BT788" s="347">
        <v>9616.01</v>
      </c>
      <c r="BU788" s="347" t="s">
        <v>336</v>
      </c>
      <c r="CD788" s="237">
        <v>23.02</v>
      </c>
      <c r="CE788" s="237" t="s">
        <v>345</v>
      </c>
      <c r="CJ788" s="347">
        <v>77.41</v>
      </c>
      <c r="CK788" s="347" t="s">
        <v>361</v>
      </c>
      <c r="CL788" s="1789"/>
      <c r="CR788" s="345"/>
      <c r="CS788" s="345"/>
      <c r="CX788" s="347"/>
      <c r="CY788" s="347"/>
      <c r="DH788" s="237"/>
      <c r="DI788" s="237"/>
      <c r="DN788" s="347"/>
      <c r="DO788" s="347"/>
      <c r="DP788" s="2505"/>
      <c r="DT788" s="663"/>
      <c r="DU788" s="663"/>
      <c r="DV788" s="663"/>
      <c r="DW788" s="663"/>
      <c r="DX788" s="663"/>
      <c r="DY788" s="663"/>
      <c r="DZ788" s="663"/>
      <c r="EA788" s="663"/>
      <c r="EB788" s="663"/>
      <c r="EC788" s="663"/>
      <c r="ED788" s="663"/>
    </row>
    <row r="789" spans="12:134">
      <c r="L789" s="347">
        <v>141.09</v>
      </c>
      <c r="M789" s="347" t="s">
        <v>337</v>
      </c>
      <c r="AB789" s="347">
        <v>102.11</v>
      </c>
      <c r="AC789" s="347" t="s">
        <v>337</v>
      </c>
      <c r="AD789" s="1138"/>
      <c r="AJ789" s="345">
        <v>3803</v>
      </c>
      <c r="AK789" s="345" t="s">
        <v>371</v>
      </c>
      <c r="AP789" s="347">
        <v>5</v>
      </c>
      <c r="AQ789" s="347" t="s">
        <v>337</v>
      </c>
      <c r="AZ789" s="345">
        <v>1008.01</v>
      </c>
      <c r="BA789" s="345" t="s">
        <v>310</v>
      </c>
      <c r="BF789" s="347">
        <v>77.349999999999994</v>
      </c>
      <c r="BG789" s="347" t="s">
        <v>361</v>
      </c>
      <c r="BH789" s="1790"/>
      <c r="BN789" s="345">
        <v>302.10000000000002</v>
      </c>
      <c r="BO789" s="345" t="s">
        <v>317</v>
      </c>
      <c r="BT789" s="347">
        <v>9616.02</v>
      </c>
      <c r="BU789" s="347" t="s">
        <v>336</v>
      </c>
      <c r="CD789" s="237">
        <v>23.02</v>
      </c>
      <c r="CE789" s="237" t="s">
        <v>350</v>
      </c>
      <c r="CJ789" s="347">
        <v>77.430000000000007</v>
      </c>
      <c r="CK789" s="347" t="s">
        <v>361</v>
      </c>
      <c r="CL789" s="1789"/>
      <c r="CR789" s="345"/>
      <c r="CS789" s="345"/>
      <c r="CX789" s="347"/>
      <c r="CY789" s="347"/>
      <c r="DH789" s="237"/>
      <c r="DI789" s="237"/>
      <c r="DN789" s="347"/>
      <c r="DO789" s="347"/>
      <c r="DP789" s="2505"/>
      <c r="DT789" s="663"/>
      <c r="DU789" s="663"/>
      <c r="DV789" s="663"/>
      <c r="DW789" s="663"/>
      <c r="DX789" s="663"/>
      <c r="DY789" s="663"/>
      <c r="DZ789" s="663"/>
      <c r="EA789" s="663"/>
      <c r="EB789" s="663"/>
      <c r="EC789" s="663"/>
      <c r="ED789" s="663"/>
    </row>
    <row r="790" spans="12:134">
      <c r="L790" s="347">
        <v>141.16999999999999</v>
      </c>
      <c r="M790" s="347" t="s">
        <v>337</v>
      </c>
      <c r="AB790" s="347">
        <v>102.12</v>
      </c>
      <c r="AC790" s="347" t="s">
        <v>318</v>
      </c>
      <c r="AD790" s="1138"/>
      <c r="AJ790" s="345">
        <v>3804</v>
      </c>
      <c r="AK790" s="345" t="s">
        <v>371</v>
      </c>
      <c r="AP790" s="347">
        <v>11</v>
      </c>
      <c r="AQ790" s="347" t="s">
        <v>337</v>
      </c>
      <c r="AZ790" s="345">
        <v>1103.3399999999999</v>
      </c>
      <c r="BA790" s="345" t="s">
        <v>310</v>
      </c>
      <c r="BF790" s="347">
        <v>77.38</v>
      </c>
      <c r="BG790" s="347" t="s">
        <v>361</v>
      </c>
      <c r="BH790" s="1790"/>
      <c r="BN790" s="345">
        <v>303.02999999999997</v>
      </c>
      <c r="BO790" s="345" t="s">
        <v>317</v>
      </c>
      <c r="BT790" s="347">
        <v>9616.0400000000009</v>
      </c>
      <c r="BU790" s="347" t="s">
        <v>336</v>
      </c>
      <c r="CD790" s="237">
        <v>23.02</v>
      </c>
      <c r="CE790" s="237" t="s">
        <v>368</v>
      </c>
      <c r="CJ790" s="347">
        <v>77.48</v>
      </c>
      <c r="CK790" s="347" t="s">
        <v>361</v>
      </c>
      <c r="CL790" s="1789"/>
      <c r="CR790" s="345"/>
      <c r="CS790" s="345"/>
      <c r="CX790" s="347"/>
      <c r="CY790" s="347"/>
      <c r="DH790" s="237"/>
      <c r="DI790" s="237"/>
      <c r="DN790" s="347"/>
      <c r="DO790" s="347"/>
      <c r="DP790" s="2505"/>
      <c r="DT790" s="663"/>
      <c r="DU790" s="663"/>
      <c r="DV790" s="663"/>
      <c r="DW790" s="663"/>
      <c r="DX790" s="663"/>
      <c r="DY790" s="663"/>
      <c r="DZ790" s="663"/>
      <c r="EA790" s="663"/>
      <c r="EB790" s="663"/>
      <c r="EC790" s="663"/>
      <c r="ED790" s="663"/>
    </row>
    <row r="791" spans="12:134">
      <c r="L791" s="347">
        <v>141.18</v>
      </c>
      <c r="M791" s="347" t="s">
        <v>337</v>
      </c>
      <c r="AB791" s="347">
        <v>102.12</v>
      </c>
      <c r="AC791" s="347" t="s">
        <v>337</v>
      </c>
      <c r="AD791" s="1138"/>
      <c r="AJ791" s="345">
        <v>3805</v>
      </c>
      <c r="AK791" s="345" t="s">
        <v>371</v>
      </c>
      <c r="AP791" s="347">
        <v>15</v>
      </c>
      <c r="AQ791" s="347" t="s">
        <v>337</v>
      </c>
      <c r="AZ791" s="345">
        <v>1103.54</v>
      </c>
      <c r="BA791" s="345" t="s">
        <v>310</v>
      </c>
      <c r="BF791" s="347">
        <v>77.39</v>
      </c>
      <c r="BG791" s="347" t="s">
        <v>361</v>
      </c>
      <c r="BH791" s="1790"/>
      <c r="BN791" s="345">
        <v>303.04000000000002</v>
      </c>
      <c r="BO791" s="345" t="s">
        <v>317</v>
      </c>
      <c r="BT791" s="347">
        <v>9616.0499999999993</v>
      </c>
      <c r="BU791" s="347" t="s">
        <v>336</v>
      </c>
      <c r="CD791" s="237">
        <v>23.03</v>
      </c>
      <c r="CE791" s="237" t="s">
        <v>345</v>
      </c>
      <c r="CJ791" s="347">
        <v>77.489999999999995</v>
      </c>
      <c r="CK791" s="347" t="s">
        <v>361</v>
      </c>
      <c r="CL791" s="1789"/>
      <c r="CR791" s="345"/>
      <c r="CS791" s="345"/>
      <c r="CX791" s="347"/>
      <c r="CY791" s="347"/>
      <c r="DH791" s="237"/>
      <c r="DI791" s="237"/>
      <c r="DN791" s="347"/>
      <c r="DO791" s="347"/>
      <c r="DP791" s="2505"/>
      <c r="DT791" s="663"/>
      <c r="DU791" s="663"/>
      <c r="DV791" s="663"/>
      <c r="DW791" s="663"/>
      <c r="DX791" s="663"/>
      <c r="DY791" s="663"/>
      <c r="DZ791" s="663"/>
      <c r="EA791" s="663"/>
      <c r="EB791" s="663"/>
      <c r="EC791" s="663"/>
      <c r="ED791" s="663"/>
    </row>
    <row r="792" spans="12:134">
      <c r="L792" s="347">
        <v>141.19</v>
      </c>
      <c r="M792" s="347" t="s">
        <v>337</v>
      </c>
      <c r="AB792" s="347">
        <v>102.13</v>
      </c>
      <c r="AC792" s="347" t="s">
        <v>318</v>
      </c>
      <c r="AD792" s="1138"/>
      <c r="AJ792" s="345">
        <v>3806</v>
      </c>
      <c r="AK792" s="345" t="s">
        <v>371</v>
      </c>
      <c r="AP792" s="347">
        <v>16</v>
      </c>
      <c r="AQ792" s="347" t="s">
        <v>337</v>
      </c>
      <c r="AZ792" s="345">
        <v>1103.55</v>
      </c>
      <c r="BA792" s="345" t="s">
        <v>310</v>
      </c>
      <c r="BF792" s="347">
        <v>77.400000000000006</v>
      </c>
      <c r="BG792" s="347" t="s">
        <v>361</v>
      </c>
      <c r="BH792" s="1790"/>
      <c r="BN792" s="345">
        <v>303.05</v>
      </c>
      <c r="BO792" s="345" t="s">
        <v>317</v>
      </c>
      <c r="BT792" s="347">
        <v>5</v>
      </c>
      <c r="BU792" s="347" t="s">
        <v>337</v>
      </c>
      <c r="CD792" s="237">
        <v>23.03</v>
      </c>
      <c r="CE792" s="237" t="s">
        <v>350</v>
      </c>
      <c r="CJ792" s="347">
        <v>77.510000000000005</v>
      </c>
      <c r="CK792" s="347" t="s">
        <v>361</v>
      </c>
      <c r="CL792" s="1789"/>
      <c r="CR792" s="345"/>
      <c r="CS792" s="345"/>
      <c r="CX792" s="347"/>
      <c r="CY792" s="347"/>
      <c r="DH792" s="237"/>
      <c r="DI792" s="237"/>
      <c r="DN792" s="347"/>
      <c r="DO792" s="347"/>
      <c r="DP792" s="2505"/>
      <c r="DT792" s="663"/>
      <c r="DU792" s="663"/>
      <c r="DV792" s="663"/>
      <c r="DW792" s="663"/>
      <c r="DX792" s="663"/>
      <c r="DY792" s="663"/>
      <c r="DZ792" s="663"/>
      <c r="EA792" s="663"/>
      <c r="EB792" s="663"/>
      <c r="EC792" s="663"/>
      <c r="ED792" s="663"/>
    </row>
    <row r="793" spans="12:134">
      <c r="L793" s="347">
        <v>141.21</v>
      </c>
      <c r="M793" s="347" t="s">
        <v>337</v>
      </c>
      <c r="AB793" s="347">
        <v>102.15</v>
      </c>
      <c r="AC793" s="347" t="s">
        <v>318</v>
      </c>
      <c r="AD793" s="1138"/>
      <c r="AJ793" s="345">
        <v>3809.02</v>
      </c>
      <c r="AK793" s="345" t="s">
        <v>371</v>
      </c>
      <c r="AP793" s="347">
        <v>17</v>
      </c>
      <c r="AQ793" s="347" t="s">
        <v>337</v>
      </c>
      <c r="AZ793" s="345">
        <v>3801</v>
      </c>
      <c r="BA793" s="345" t="s">
        <v>371</v>
      </c>
      <c r="BF793" s="347">
        <v>77.41</v>
      </c>
      <c r="BG793" s="347" t="s">
        <v>361</v>
      </c>
      <c r="BH793" s="1790"/>
      <c r="BN793" s="345">
        <v>303.06</v>
      </c>
      <c r="BO793" s="345" t="s">
        <v>317</v>
      </c>
      <c r="BT793" s="347">
        <v>11</v>
      </c>
      <c r="BU793" s="347" t="s">
        <v>337</v>
      </c>
      <c r="CD793" s="237">
        <v>23.04</v>
      </c>
      <c r="CE793" s="237" t="s">
        <v>345</v>
      </c>
      <c r="CJ793" s="347">
        <v>77.52</v>
      </c>
      <c r="CK793" s="347" t="s">
        <v>361</v>
      </c>
      <c r="CL793" s="1789"/>
      <c r="CR793" s="345"/>
      <c r="CS793" s="345"/>
      <c r="CX793" s="347"/>
      <c r="CY793" s="347"/>
      <c r="DH793" s="237"/>
      <c r="DI793" s="237"/>
      <c r="DN793" s="347"/>
      <c r="DO793" s="347"/>
      <c r="DP793" s="2505"/>
      <c r="DT793" s="663"/>
      <c r="DU793" s="663"/>
      <c r="DV793" s="663"/>
      <c r="DW793" s="663"/>
      <c r="DX793" s="663"/>
      <c r="DY793" s="663"/>
      <c r="DZ793" s="663"/>
      <c r="EA793" s="663"/>
      <c r="EB793" s="663"/>
      <c r="EC793" s="663"/>
      <c r="ED793" s="663"/>
    </row>
    <row r="794" spans="12:134">
      <c r="L794" s="347">
        <v>141.22</v>
      </c>
      <c r="M794" s="347" t="s">
        <v>337</v>
      </c>
      <c r="AB794" s="347">
        <v>103</v>
      </c>
      <c r="AC794" s="347" t="s">
        <v>352</v>
      </c>
      <c r="AD794" s="1138"/>
      <c r="AJ794" s="345">
        <v>3814.01</v>
      </c>
      <c r="AK794" s="345" t="s">
        <v>371</v>
      </c>
      <c r="AP794" s="347">
        <v>22</v>
      </c>
      <c r="AQ794" s="347" t="s">
        <v>337</v>
      </c>
      <c r="AZ794" s="345">
        <v>3802</v>
      </c>
      <c r="BA794" s="345" t="s">
        <v>371</v>
      </c>
      <c r="BF794" s="347">
        <v>77.430000000000007</v>
      </c>
      <c r="BG794" s="347" t="s">
        <v>361</v>
      </c>
      <c r="BH794" s="1790"/>
      <c r="BN794" s="345">
        <v>304</v>
      </c>
      <c r="BO794" s="345" t="s">
        <v>317</v>
      </c>
      <c r="BT794" s="347">
        <v>15</v>
      </c>
      <c r="BU794" s="347" t="s">
        <v>337</v>
      </c>
      <c r="CD794" s="237">
        <v>23.04</v>
      </c>
      <c r="CE794" s="237" t="s">
        <v>350</v>
      </c>
      <c r="CJ794" s="347">
        <v>77.540000000000006</v>
      </c>
      <c r="CK794" s="347" t="s">
        <v>361</v>
      </c>
      <c r="CL794" s="1789"/>
      <c r="CR794" s="345"/>
      <c r="CS794" s="345"/>
      <c r="CX794" s="347"/>
      <c r="CY794" s="347"/>
      <c r="DH794" s="237"/>
      <c r="DI794" s="237"/>
      <c r="DN794" s="347"/>
      <c r="DO794" s="347"/>
      <c r="DP794" s="2505"/>
      <c r="DT794" s="663"/>
      <c r="DU794" s="663"/>
      <c r="DV794" s="663"/>
      <c r="DW794" s="663"/>
      <c r="DX794" s="663"/>
      <c r="DY794" s="663"/>
      <c r="DZ794" s="663"/>
      <c r="EA794" s="663"/>
      <c r="EB794" s="663"/>
      <c r="EC794" s="663"/>
      <c r="ED794" s="663"/>
    </row>
    <row r="795" spans="12:134">
      <c r="L795" s="347">
        <v>9602</v>
      </c>
      <c r="M795" s="347" t="s">
        <v>338</v>
      </c>
      <c r="AB795" s="347">
        <v>103</v>
      </c>
      <c r="AC795" s="347" t="s">
        <v>359</v>
      </c>
      <c r="AD795" s="1138"/>
      <c r="AJ795" s="345">
        <v>3820.1</v>
      </c>
      <c r="AK795" s="345" t="s">
        <v>371</v>
      </c>
      <c r="AP795" s="347">
        <v>23</v>
      </c>
      <c r="AQ795" s="347" t="s">
        <v>337</v>
      </c>
      <c r="AZ795" s="345">
        <v>3803</v>
      </c>
      <c r="BA795" s="345" t="s">
        <v>371</v>
      </c>
      <c r="BF795" s="347">
        <v>77.48</v>
      </c>
      <c r="BG795" s="347" t="s">
        <v>361</v>
      </c>
      <c r="BH795" s="1790"/>
      <c r="BN795" s="345">
        <v>305</v>
      </c>
      <c r="BO795" s="345" t="s">
        <v>317</v>
      </c>
      <c r="BT795" s="347">
        <v>16</v>
      </c>
      <c r="BU795" s="347" t="s">
        <v>337</v>
      </c>
      <c r="CD795" s="237">
        <v>23.04</v>
      </c>
      <c r="CE795" s="237" t="s">
        <v>368</v>
      </c>
      <c r="CJ795" s="347">
        <v>77.569999999999993</v>
      </c>
      <c r="CK795" s="347" t="s">
        <v>361</v>
      </c>
      <c r="CL795" s="1789"/>
      <c r="CR795" s="345"/>
      <c r="CS795" s="345"/>
      <c r="CX795" s="347"/>
      <c r="CY795" s="347"/>
      <c r="DH795" s="237"/>
      <c r="DI795" s="237"/>
      <c r="DN795" s="347"/>
      <c r="DO795" s="347"/>
      <c r="DP795" s="2505"/>
      <c r="DT795" s="663"/>
      <c r="DU795" s="663"/>
      <c r="DV795" s="663"/>
      <c r="DW795" s="663"/>
      <c r="DX795" s="663"/>
      <c r="DY795" s="663"/>
      <c r="DZ795" s="663"/>
      <c r="EA795" s="663"/>
      <c r="EB795" s="663"/>
      <c r="EC795" s="663"/>
      <c r="ED795" s="663"/>
    </row>
    <row r="796" spans="12:134">
      <c r="L796" s="347">
        <v>502</v>
      </c>
      <c r="M796" s="347" t="s">
        <v>748</v>
      </c>
      <c r="AB796" s="347">
        <v>103</v>
      </c>
      <c r="AC796" s="347" t="s">
        <v>367</v>
      </c>
      <c r="AD796" s="1138"/>
      <c r="AJ796" s="345">
        <v>809.01</v>
      </c>
      <c r="AK796" s="345" t="s">
        <v>376</v>
      </c>
      <c r="AP796" s="347">
        <v>24</v>
      </c>
      <c r="AQ796" s="347" t="s">
        <v>337</v>
      </c>
      <c r="AZ796" s="345">
        <v>3804</v>
      </c>
      <c r="BA796" s="345" t="s">
        <v>371</v>
      </c>
      <c r="BF796" s="347">
        <v>77.489999999999995</v>
      </c>
      <c r="BG796" s="347" t="s">
        <v>361</v>
      </c>
      <c r="BH796" s="1790"/>
      <c r="BN796" s="345">
        <v>306</v>
      </c>
      <c r="BO796" s="345" t="s">
        <v>317</v>
      </c>
      <c r="BT796" s="347">
        <v>17</v>
      </c>
      <c r="BU796" s="347" t="s">
        <v>337</v>
      </c>
      <c r="CD796" s="237">
        <v>23.05</v>
      </c>
      <c r="CE796" s="237" t="s">
        <v>368</v>
      </c>
      <c r="CJ796" s="347">
        <v>77.59</v>
      </c>
      <c r="CK796" s="347" t="s">
        <v>361</v>
      </c>
      <c r="CL796" s="1789"/>
      <c r="CR796" s="345"/>
      <c r="CS796" s="345"/>
      <c r="CX796" s="347"/>
      <c r="CY796" s="347"/>
      <c r="DH796" s="237"/>
      <c r="DI796" s="237"/>
      <c r="DN796" s="347"/>
      <c r="DO796" s="347"/>
      <c r="DP796" s="2505"/>
      <c r="DT796" s="663"/>
      <c r="DU796" s="663"/>
      <c r="DV796" s="663"/>
      <c r="DW796" s="663"/>
      <c r="DX796" s="663"/>
      <c r="DY796" s="663"/>
      <c r="DZ796" s="663"/>
      <c r="EA796" s="663"/>
      <c r="EB796" s="663"/>
      <c r="EC796" s="663"/>
      <c r="ED796" s="663"/>
    </row>
    <row r="797" spans="12:134">
      <c r="L797" s="347">
        <v>503.01</v>
      </c>
      <c r="M797" s="347" t="s">
        <v>748</v>
      </c>
      <c r="AB797" s="347">
        <v>103.01</v>
      </c>
      <c r="AC797" s="347" t="s">
        <v>315</v>
      </c>
      <c r="AD797" s="1138"/>
      <c r="AJ797" s="345">
        <v>809.02</v>
      </c>
      <c r="AK797" s="345" t="s">
        <v>376</v>
      </c>
      <c r="AP797" s="347">
        <v>28</v>
      </c>
      <c r="AQ797" s="347" t="s">
        <v>337</v>
      </c>
      <c r="AZ797" s="345">
        <v>3805</v>
      </c>
      <c r="BA797" s="345" t="s">
        <v>371</v>
      </c>
      <c r="BF797" s="347">
        <v>77.510000000000005</v>
      </c>
      <c r="BG797" s="347" t="s">
        <v>361</v>
      </c>
      <c r="BH797" s="1790"/>
      <c r="BN797" s="345">
        <v>307.01</v>
      </c>
      <c r="BO797" s="345" t="s">
        <v>317</v>
      </c>
      <c r="BT797" s="347">
        <v>22</v>
      </c>
      <c r="BU797" s="347" t="s">
        <v>337</v>
      </c>
      <c r="CD797" s="237">
        <v>23.06</v>
      </c>
      <c r="CE797" s="237" t="s">
        <v>368</v>
      </c>
      <c r="CJ797" s="347">
        <v>77.63</v>
      </c>
      <c r="CK797" s="347" t="s">
        <v>361</v>
      </c>
      <c r="CL797" s="1789"/>
      <c r="CR797" s="345"/>
      <c r="CS797" s="345"/>
      <c r="CX797" s="347"/>
      <c r="CY797" s="347"/>
      <c r="DH797" s="237"/>
      <c r="DI797" s="237"/>
      <c r="DN797" s="347"/>
      <c r="DO797" s="347"/>
      <c r="DP797" s="2505"/>
      <c r="DT797" s="663"/>
      <c r="DU797" s="663"/>
      <c r="DV797" s="663"/>
      <c r="DW797" s="663"/>
      <c r="DX797" s="663"/>
      <c r="DY797" s="663"/>
      <c r="DZ797" s="663"/>
      <c r="EA797" s="663"/>
      <c r="EB797" s="663"/>
      <c r="EC797" s="663"/>
      <c r="ED797" s="663"/>
    </row>
    <row r="798" spans="12:134">
      <c r="L798" s="347">
        <v>504.02</v>
      </c>
      <c r="M798" s="347" t="s">
        <v>748</v>
      </c>
      <c r="AB798" s="347">
        <v>103.04</v>
      </c>
      <c r="AC798" s="347" t="s">
        <v>323</v>
      </c>
      <c r="AD798" s="1138"/>
      <c r="AJ798" s="345">
        <v>812.01</v>
      </c>
      <c r="AK798" s="345" t="s">
        <v>376</v>
      </c>
      <c r="AP798" s="347">
        <v>46.01</v>
      </c>
      <c r="AQ798" s="347" t="s">
        <v>337</v>
      </c>
      <c r="AZ798" s="345">
        <v>3806</v>
      </c>
      <c r="BA798" s="345" t="s">
        <v>371</v>
      </c>
      <c r="BF798" s="347">
        <v>77.52</v>
      </c>
      <c r="BG798" s="347" t="s">
        <v>361</v>
      </c>
      <c r="BH798" s="1790"/>
      <c r="BN798" s="345">
        <v>307.04000000000002</v>
      </c>
      <c r="BO798" s="345" t="s">
        <v>317</v>
      </c>
      <c r="BT798" s="347">
        <v>23</v>
      </c>
      <c r="BU798" s="347" t="s">
        <v>337</v>
      </c>
      <c r="CD798" s="237">
        <v>23.07</v>
      </c>
      <c r="CE798" s="237" t="s">
        <v>368</v>
      </c>
      <c r="CJ798" s="347">
        <v>77.64</v>
      </c>
      <c r="CK798" s="347" t="s">
        <v>361</v>
      </c>
      <c r="CL798" s="1789"/>
      <c r="CR798" s="345"/>
      <c r="CS798" s="345"/>
      <c r="CX798" s="347"/>
      <c r="CY798" s="347"/>
      <c r="DH798" s="237"/>
      <c r="DI798" s="237"/>
      <c r="DN798" s="347"/>
      <c r="DO798" s="347"/>
      <c r="DP798" s="2505"/>
      <c r="DT798" s="663"/>
      <c r="DU798" s="663"/>
      <c r="DV798" s="663"/>
      <c r="DW798" s="663"/>
      <c r="DX798" s="663"/>
      <c r="DY798" s="663"/>
      <c r="DZ798" s="663"/>
      <c r="EA798" s="663"/>
      <c r="EB798" s="663"/>
      <c r="EC798" s="663"/>
      <c r="ED798" s="663"/>
    </row>
    <row r="799" spans="12:134">
      <c r="L799" s="347">
        <v>505.01</v>
      </c>
      <c r="M799" s="347" t="s">
        <v>748</v>
      </c>
      <c r="AB799" s="347">
        <v>103.04</v>
      </c>
      <c r="AC799" s="347" t="s">
        <v>344</v>
      </c>
      <c r="AD799" s="1138"/>
      <c r="AJ799" s="345">
        <v>812.02</v>
      </c>
      <c r="AK799" s="345" t="s">
        <v>376</v>
      </c>
      <c r="AP799" s="347">
        <v>46.02</v>
      </c>
      <c r="AQ799" s="347" t="s">
        <v>337</v>
      </c>
      <c r="AZ799" s="345">
        <v>3809.02</v>
      </c>
      <c r="BA799" s="345" t="s">
        <v>371</v>
      </c>
      <c r="BF799" s="347">
        <v>77.540000000000006</v>
      </c>
      <c r="BG799" s="347" t="s">
        <v>361</v>
      </c>
      <c r="BH799" s="1790"/>
      <c r="BN799" s="345">
        <v>307.05</v>
      </c>
      <c r="BO799" s="345" t="s">
        <v>317</v>
      </c>
      <c r="BT799" s="347">
        <v>24</v>
      </c>
      <c r="BU799" s="347" t="s">
        <v>337</v>
      </c>
      <c r="CD799" s="345">
        <v>24</v>
      </c>
      <c r="CE799" s="345" t="s">
        <v>306</v>
      </c>
      <c r="CJ799" s="347">
        <v>77.680000000000007</v>
      </c>
      <c r="CK799" s="347" t="s">
        <v>361</v>
      </c>
      <c r="CL799" s="1789"/>
      <c r="CR799" s="345"/>
      <c r="CS799" s="345"/>
      <c r="CX799" s="347"/>
      <c r="CY799" s="347"/>
      <c r="DH799" s="237"/>
      <c r="DI799" s="237"/>
      <c r="DN799" s="347"/>
      <c r="DO799" s="347"/>
      <c r="DP799" s="2505"/>
      <c r="DT799" s="663"/>
      <c r="DU799" s="663"/>
      <c r="DV799" s="663"/>
      <c r="DW799" s="663"/>
      <c r="DX799" s="663"/>
      <c r="DY799" s="663"/>
      <c r="DZ799" s="663"/>
      <c r="EA799" s="663"/>
      <c r="EB799" s="663"/>
      <c r="EC799" s="663"/>
      <c r="ED799" s="663"/>
    </row>
    <row r="800" spans="12:134">
      <c r="L800" s="347">
        <v>505.03</v>
      </c>
      <c r="M800" s="347" t="s">
        <v>748</v>
      </c>
      <c r="AB800" s="347">
        <v>103.05</v>
      </c>
      <c r="AC800" s="347" t="s">
        <v>344</v>
      </c>
      <c r="AD800" s="1138"/>
      <c r="AJ800" s="345">
        <v>815</v>
      </c>
      <c r="AK800" s="345" t="s">
        <v>376</v>
      </c>
      <c r="AP800" s="347">
        <v>47</v>
      </c>
      <c r="AQ800" s="347" t="s">
        <v>337</v>
      </c>
      <c r="AZ800" s="345">
        <v>3814.01</v>
      </c>
      <c r="BA800" s="345" t="s">
        <v>371</v>
      </c>
      <c r="BF800" s="347">
        <v>77.569999999999993</v>
      </c>
      <c r="BG800" s="347" t="s">
        <v>361</v>
      </c>
      <c r="BH800" s="1790"/>
      <c r="BN800" s="345">
        <v>307.06</v>
      </c>
      <c r="BO800" s="345" t="s">
        <v>317</v>
      </c>
      <c r="BT800" s="347">
        <v>28</v>
      </c>
      <c r="BU800" s="347" t="s">
        <v>337</v>
      </c>
      <c r="CD800" s="237">
        <v>24</v>
      </c>
      <c r="CE800" s="237" t="s">
        <v>323</v>
      </c>
      <c r="CJ800" s="347">
        <v>77.7</v>
      </c>
      <c r="CK800" s="347" t="s">
        <v>361</v>
      </c>
      <c r="CL800" s="1789"/>
      <c r="CR800" s="345"/>
      <c r="CS800" s="345"/>
      <c r="CX800" s="347"/>
      <c r="CY800" s="347"/>
      <c r="DH800" s="237"/>
      <c r="DI800" s="237"/>
      <c r="DN800" s="347"/>
      <c r="DO800" s="347"/>
      <c r="DP800" s="2505"/>
      <c r="DT800" s="663"/>
      <c r="DU800" s="663"/>
      <c r="DV800" s="663"/>
      <c r="DW800" s="663"/>
      <c r="DX800" s="663"/>
      <c r="DY800" s="663"/>
      <c r="DZ800" s="663"/>
      <c r="EA800" s="663"/>
      <c r="EB800" s="663"/>
      <c r="EC800" s="663"/>
      <c r="ED800" s="663"/>
    </row>
    <row r="801" spans="12:134">
      <c r="L801" s="347">
        <v>505.04</v>
      </c>
      <c r="M801" s="347" t="s">
        <v>748</v>
      </c>
      <c r="AB801" s="347">
        <v>103.08</v>
      </c>
      <c r="AC801" s="347" t="s">
        <v>310</v>
      </c>
      <c r="AD801" s="1138"/>
      <c r="AJ801" s="345">
        <v>816</v>
      </c>
      <c r="AK801" s="345" t="s">
        <v>376</v>
      </c>
      <c r="AP801" s="347">
        <v>48</v>
      </c>
      <c r="AQ801" s="347" t="s">
        <v>337</v>
      </c>
      <c r="AZ801" s="345">
        <v>3820.1</v>
      </c>
      <c r="BA801" s="345" t="s">
        <v>371</v>
      </c>
      <c r="BF801" s="347">
        <v>77.58</v>
      </c>
      <c r="BG801" s="347" t="s">
        <v>361</v>
      </c>
      <c r="BH801" s="1790"/>
      <c r="BN801" s="345">
        <v>307.07</v>
      </c>
      <c r="BO801" s="345" t="s">
        <v>317</v>
      </c>
      <c r="BT801" s="347">
        <v>46.01</v>
      </c>
      <c r="BU801" s="347" t="s">
        <v>337</v>
      </c>
      <c r="CD801" s="237">
        <v>24</v>
      </c>
      <c r="CE801" s="237" t="s">
        <v>325</v>
      </c>
      <c r="CJ801" s="347">
        <v>77.709999999999994</v>
      </c>
      <c r="CK801" s="347" t="s">
        <v>361</v>
      </c>
      <c r="CL801" s="1789"/>
      <c r="CR801" s="345"/>
      <c r="CS801" s="345"/>
      <c r="CX801" s="347"/>
      <c r="CY801" s="347"/>
      <c r="DH801" s="237"/>
      <c r="DI801" s="237"/>
      <c r="DN801" s="347"/>
      <c r="DO801" s="347"/>
      <c r="DP801" s="2505"/>
      <c r="DT801" s="663"/>
      <c r="DU801" s="663"/>
      <c r="DV801" s="663"/>
      <c r="DW801" s="663"/>
      <c r="DX801" s="663"/>
      <c r="DY801" s="663"/>
      <c r="DZ801" s="663"/>
      <c r="EA801" s="663"/>
      <c r="EB801" s="663"/>
      <c r="EC801" s="663"/>
      <c r="ED801" s="663"/>
    </row>
    <row r="802" spans="12:134">
      <c r="L802" s="347">
        <v>505.05</v>
      </c>
      <c r="M802" s="347" t="s">
        <v>748</v>
      </c>
      <c r="AB802" s="347">
        <v>104.01</v>
      </c>
      <c r="AC802" s="347" t="s">
        <v>310</v>
      </c>
      <c r="AD802" s="1138"/>
      <c r="AJ802" s="345">
        <v>818</v>
      </c>
      <c r="AK802" s="345" t="s">
        <v>376</v>
      </c>
      <c r="AP802" s="347">
        <v>49.01</v>
      </c>
      <c r="AQ802" s="347" t="s">
        <v>337</v>
      </c>
      <c r="AZ802" s="345">
        <v>4502.0200000000004</v>
      </c>
      <c r="BA802" s="345" t="s">
        <v>316</v>
      </c>
      <c r="BF802" s="347">
        <v>77.59</v>
      </c>
      <c r="BG802" s="347" t="s">
        <v>361</v>
      </c>
      <c r="BH802" s="1790"/>
      <c r="BN802" s="345">
        <v>307.08</v>
      </c>
      <c r="BO802" s="345" t="s">
        <v>317</v>
      </c>
      <c r="BT802" s="347">
        <v>46.02</v>
      </c>
      <c r="BU802" s="347" t="s">
        <v>337</v>
      </c>
      <c r="CD802" s="237">
        <v>24</v>
      </c>
      <c r="CE802" s="237" t="s">
        <v>337</v>
      </c>
      <c r="CJ802" s="347">
        <v>77.72</v>
      </c>
      <c r="CK802" s="347" t="s">
        <v>361</v>
      </c>
      <c r="CL802" s="1789"/>
      <c r="CR802" s="345"/>
      <c r="CS802" s="345"/>
      <c r="CX802" s="347"/>
      <c r="CY802" s="347"/>
      <c r="DH802" s="237"/>
      <c r="DI802" s="237"/>
      <c r="DN802" s="347"/>
      <c r="DO802" s="347"/>
      <c r="DP802" s="2505"/>
      <c r="DT802" s="663"/>
      <c r="DU802" s="663"/>
      <c r="DV802" s="663"/>
      <c r="DW802" s="663"/>
      <c r="DX802" s="663"/>
      <c r="DY802" s="663"/>
      <c r="DZ802" s="663"/>
      <c r="EA802" s="663"/>
      <c r="EB802" s="663"/>
      <c r="EC802" s="663"/>
      <c r="ED802" s="663"/>
    </row>
    <row r="803" spans="12:134">
      <c r="L803" s="347">
        <v>506.02</v>
      </c>
      <c r="M803" s="347" t="s">
        <v>748</v>
      </c>
      <c r="AB803" s="347">
        <v>104.01</v>
      </c>
      <c r="AC803" s="347" t="s">
        <v>315</v>
      </c>
      <c r="AD803" s="1138"/>
      <c r="AJ803" s="345">
        <v>819</v>
      </c>
      <c r="AK803" s="345" t="s">
        <v>376</v>
      </c>
      <c r="AP803" s="347">
        <v>49.02</v>
      </c>
      <c r="AQ803" s="347" t="s">
        <v>337</v>
      </c>
      <c r="AZ803" s="345">
        <v>4503.05</v>
      </c>
      <c r="BA803" s="345" t="s">
        <v>316</v>
      </c>
      <c r="BF803" s="347">
        <v>77.63</v>
      </c>
      <c r="BG803" s="347" t="s">
        <v>361</v>
      </c>
      <c r="BH803" s="1790"/>
      <c r="BN803" s="345">
        <v>308.01</v>
      </c>
      <c r="BO803" s="345" t="s">
        <v>317</v>
      </c>
      <c r="BT803" s="347">
        <v>47</v>
      </c>
      <c r="BU803" s="347" t="s">
        <v>337</v>
      </c>
      <c r="CD803" s="237">
        <v>24</v>
      </c>
      <c r="CE803" s="237" t="s">
        <v>361</v>
      </c>
      <c r="CJ803" s="347">
        <v>77.73</v>
      </c>
      <c r="CK803" s="347" t="s">
        <v>361</v>
      </c>
      <c r="CL803" s="1789"/>
      <c r="CR803" s="345"/>
      <c r="CS803" s="345"/>
      <c r="CX803" s="347"/>
      <c r="CY803" s="347"/>
      <c r="DH803" s="237"/>
      <c r="DI803" s="237"/>
      <c r="DN803" s="347"/>
      <c r="DO803" s="347"/>
      <c r="DP803" s="2505"/>
      <c r="DT803" s="663"/>
      <c r="DU803" s="663"/>
      <c r="DV803" s="663"/>
      <c r="DW803" s="663"/>
      <c r="DX803" s="663"/>
      <c r="DY803" s="663"/>
      <c r="DZ803" s="663"/>
      <c r="EA803" s="663"/>
      <c r="EB803" s="663"/>
      <c r="EC803" s="663"/>
      <c r="ED803" s="663"/>
    </row>
    <row r="804" spans="12:134">
      <c r="L804" s="347">
        <v>506.04</v>
      </c>
      <c r="M804" s="347" t="s">
        <v>748</v>
      </c>
      <c r="AB804" s="347">
        <v>104.01</v>
      </c>
      <c r="AC804" s="347" t="s">
        <v>318</v>
      </c>
      <c r="AD804" s="1138"/>
      <c r="AJ804" s="345">
        <v>820</v>
      </c>
      <c r="AK804" s="345" t="s">
        <v>376</v>
      </c>
      <c r="AP804" s="347">
        <v>51.01</v>
      </c>
      <c r="AQ804" s="347" t="s">
        <v>337</v>
      </c>
      <c r="AZ804" s="345">
        <v>4503.0600000000004</v>
      </c>
      <c r="BA804" s="345" t="s">
        <v>316</v>
      </c>
      <c r="BF804" s="347">
        <v>77.64</v>
      </c>
      <c r="BG804" s="347" t="s">
        <v>361</v>
      </c>
      <c r="BH804" s="1790"/>
      <c r="BN804" s="345">
        <v>308.02</v>
      </c>
      <c r="BO804" s="345" t="s">
        <v>317</v>
      </c>
      <c r="BT804" s="347">
        <v>48</v>
      </c>
      <c r="BU804" s="347" t="s">
        <v>337</v>
      </c>
      <c r="CD804" s="237">
        <v>24.01</v>
      </c>
      <c r="CE804" s="237" t="s">
        <v>350</v>
      </c>
      <c r="CJ804" s="347">
        <v>77.739999999999995</v>
      </c>
      <c r="CK804" s="347" t="s">
        <v>361</v>
      </c>
      <c r="CL804" s="1789"/>
      <c r="CR804" s="345"/>
      <c r="CS804" s="345"/>
      <c r="CX804" s="347"/>
      <c r="CY804" s="347"/>
      <c r="DH804" s="237"/>
      <c r="DI804" s="237"/>
      <c r="DN804" s="347"/>
      <c r="DO804" s="347"/>
      <c r="DP804" s="2505"/>
      <c r="DT804" s="663"/>
      <c r="DU804" s="663"/>
      <c r="DV804" s="663"/>
      <c r="DW804" s="663"/>
      <c r="DX804" s="663"/>
      <c r="DY804" s="663"/>
      <c r="DZ804" s="663"/>
      <c r="EA804" s="663"/>
      <c r="EB804" s="663"/>
      <c r="EC804" s="663"/>
      <c r="ED804" s="663"/>
    </row>
    <row r="805" spans="12:134">
      <c r="L805" s="347">
        <v>506.05</v>
      </c>
      <c r="M805" s="347" t="s">
        <v>748</v>
      </c>
      <c r="AB805" s="347">
        <v>104.01</v>
      </c>
      <c r="AC805" s="347" t="s">
        <v>337</v>
      </c>
      <c r="AD805" s="1138"/>
      <c r="AJ805" s="345">
        <v>821</v>
      </c>
      <c r="AK805" s="345" t="s">
        <v>376</v>
      </c>
      <c r="AP805" s="347">
        <v>51.02</v>
      </c>
      <c r="AQ805" s="347" t="s">
        <v>337</v>
      </c>
      <c r="AZ805" s="345">
        <v>4508</v>
      </c>
      <c r="BA805" s="345" t="s">
        <v>316</v>
      </c>
      <c r="BF805" s="347">
        <v>77.680000000000007</v>
      </c>
      <c r="BG805" s="347" t="s">
        <v>361</v>
      </c>
      <c r="BH805" s="1790"/>
      <c r="BN805" s="345">
        <v>309.02999999999997</v>
      </c>
      <c r="BO805" s="345" t="s">
        <v>317</v>
      </c>
      <c r="BT805" s="347">
        <v>49.01</v>
      </c>
      <c r="BU805" s="347" t="s">
        <v>337</v>
      </c>
      <c r="CD805" s="237">
        <v>24.01</v>
      </c>
      <c r="CE805" s="237" t="s">
        <v>368</v>
      </c>
      <c r="CJ805" s="347">
        <v>77.75</v>
      </c>
      <c r="CK805" s="347" t="s">
        <v>361</v>
      </c>
      <c r="CL805" s="1789"/>
      <c r="CR805" s="345"/>
      <c r="CS805" s="345"/>
      <c r="CX805" s="347"/>
      <c r="CY805" s="347"/>
      <c r="DH805" s="237"/>
      <c r="DI805" s="237"/>
      <c r="DN805" s="347"/>
      <c r="DO805" s="347"/>
      <c r="DP805" s="2505"/>
      <c r="DT805" s="663"/>
      <c r="DU805" s="663"/>
      <c r="DV805" s="663"/>
      <c r="DW805" s="663"/>
      <c r="DX805" s="663"/>
      <c r="DY805" s="663"/>
      <c r="DZ805" s="663"/>
      <c r="EA805" s="663"/>
      <c r="EB805" s="663"/>
      <c r="EC805" s="663"/>
      <c r="ED805" s="663"/>
    </row>
    <row r="806" spans="12:134">
      <c r="L806" s="347">
        <v>507.02</v>
      </c>
      <c r="M806" s="347" t="s">
        <v>748</v>
      </c>
      <c r="AB806" s="347">
        <v>104.02</v>
      </c>
      <c r="AC806" s="347" t="s">
        <v>315</v>
      </c>
      <c r="AD806" s="1138"/>
      <c r="AJ806" s="345">
        <v>822.01</v>
      </c>
      <c r="AK806" s="345" t="s">
        <v>376</v>
      </c>
      <c r="AP806" s="347">
        <v>53.01</v>
      </c>
      <c r="AQ806" s="347" t="s">
        <v>337</v>
      </c>
      <c r="AZ806" s="345">
        <v>4514</v>
      </c>
      <c r="BA806" s="345" t="s">
        <v>316</v>
      </c>
      <c r="BF806" s="347">
        <v>77.7</v>
      </c>
      <c r="BG806" s="347" t="s">
        <v>361</v>
      </c>
      <c r="BH806" s="1790"/>
      <c r="BN806" s="345">
        <v>309.04000000000002</v>
      </c>
      <c r="BO806" s="345" t="s">
        <v>317</v>
      </c>
      <c r="BT806" s="347">
        <v>49.02</v>
      </c>
      <c r="BU806" s="347" t="s">
        <v>337</v>
      </c>
      <c r="CD806" s="237">
        <v>24.02</v>
      </c>
      <c r="CE806" s="237" t="s">
        <v>350</v>
      </c>
      <c r="CJ806" s="347">
        <v>77.760000000000005</v>
      </c>
      <c r="CK806" s="347" t="s">
        <v>361</v>
      </c>
      <c r="CL806" s="1789"/>
      <c r="CR806" s="345"/>
      <c r="CS806" s="345"/>
      <c r="CX806" s="347"/>
      <c r="CY806" s="347"/>
      <c r="DH806" s="237"/>
      <c r="DI806" s="237"/>
      <c r="DN806" s="347"/>
      <c r="DO806" s="347"/>
      <c r="DP806" s="2505"/>
      <c r="DT806" s="663"/>
      <c r="DU806" s="663"/>
      <c r="DV806" s="663"/>
      <c r="DW806" s="663"/>
      <c r="DX806" s="663"/>
      <c r="DY806" s="663"/>
      <c r="DZ806" s="663"/>
      <c r="EA806" s="663"/>
      <c r="EB806" s="663"/>
      <c r="EC806" s="663"/>
      <c r="ED806" s="663"/>
    </row>
    <row r="807" spans="12:134">
      <c r="L807" s="347">
        <v>507.03</v>
      </c>
      <c r="M807" s="347" t="s">
        <v>748</v>
      </c>
      <c r="AB807" s="347">
        <v>104.02</v>
      </c>
      <c r="AC807" s="347" t="s">
        <v>365</v>
      </c>
      <c r="AD807" s="1138"/>
      <c r="AJ807" s="345">
        <v>823.02</v>
      </c>
      <c r="AK807" s="345" t="s">
        <v>376</v>
      </c>
      <c r="AP807" s="347">
        <v>54.01</v>
      </c>
      <c r="AQ807" s="347" t="s">
        <v>337</v>
      </c>
      <c r="AZ807" s="345">
        <v>9503.0400000000009</v>
      </c>
      <c r="BA807" s="345" t="s">
        <v>378</v>
      </c>
      <c r="BF807" s="347">
        <v>77.709999999999994</v>
      </c>
      <c r="BG807" s="347" t="s">
        <v>361</v>
      </c>
      <c r="BH807" s="1790"/>
      <c r="BN807" s="345">
        <v>309.05</v>
      </c>
      <c r="BO807" s="345" t="s">
        <v>317</v>
      </c>
      <c r="BT807" s="347">
        <v>51.01</v>
      </c>
      <c r="BU807" s="347" t="s">
        <v>337</v>
      </c>
      <c r="CD807" s="237">
        <v>24.02</v>
      </c>
      <c r="CE807" s="237" t="s">
        <v>352</v>
      </c>
      <c r="CJ807" s="347">
        <v>77.77</v>
      </c>
      <c r="CK807" s="347" t="s">
        <v>361</v>
      </c>
      <c r="CL807" s="1789"/>
      <c r="CR807" s="345"/>
      <c r="CS807" s="345"/>
      <c r="CX807" s="347"/>
      <c r="CY807" s="347"/>
      <c r="DH807" s="237"/>
      <c r="DI807" s="237"/>
      <c r="DN807" s="347"/>
      <c r="DO807" s="347"/>
      <c r="DP807" s="2505"/>
      <c r="DT807" s="663"/>
      <c r="DU807" s="663"/>
      <c r="DV807" s="663"/>
      <c r="DW807" s="663"/>
      <c r="DX807" s="663"/>
      <c r="DY807" s="663"/>
      <c r="DZ807" s="663"/>
      <c r="EA807" s="663"/>
      <c r="EB807" s="663"/>
      <c r="EC807" s="663"/>
      <c r="ED807" s="663"/>
    </row>
    <row r="808" spans="12:134">
      <c r="L808" s="347">
        <v>507.05</v>
      </c>
      <c r="M808" s="347" t="s">
        <v>748</v>
      </c>
      <c r="AB808" s="347">
        <v>104.03</v>
      </c>
      <c r="AC808" s="347" t="s">
        <v>315</v>
      </c>
      <c r="AD808" s="1138"/>
      <c r="AJ808" s="345">
        <v>823.03</v>
      </c>
      <c r="AK808" s="345" t="s">
        <v>376</v>
      </c>
      <c r="AP808" s="347">
        <v>55</v>
      </c>
      <c r="AQ808" s="347" t="s">
        <v>337</v>
      </c>
      <c r="AZ808" s="345">
        <v>9603</v>
      </c>
      <c r="BA808" s="345" t="s">
        <v>336</v>
      </c>
      <c r="BF808" s="347">
        <v>77.72</v>
      </c>
      <c r="BG808" s="347" t="s">
        <v>361</v>
      </c>
      <c r="BH808" s="1790"/>
      <c r="BN808" s="345">
        <v>309.06</v>
      </c>
      <c r="BO808" s="345" t="s">
        <v>317</v>
      </c>
      <c r="BT808" s="347">
        <v>51.02</v>
      </c>
      <c r="BU808" s="347" t="s">
        <v>337</v>
      </c>
      <c r="CD808" s="237">
        <v>24.03</v>
      </c>
      <c r="CE808" s="237" t="s">
        <v>345</v>
      </c>
      <c r="CJ808" s="347">
        <v>77.78</v>
      </c>
      <c r="CK808" s="347" t="s">
        <v>361</v>
      </c>
      <c r="CL808" s="1789"/>
      <c r="CR808" s="345"/>
      <c r="CS808" s="345"/>
      <c r="CX808" s="347"/>
      <c r="CY808" s="347"/>
      <c r="DH808" s="237"/>
      <c r="DI808" s="237"/>
      <c r="DN808" s="347"/>
      <c r="DO808" s="347"/>
      <c r="DP808" s="2505"/>
      <c r="DT808" s="663"/>
      <c r="DU808" s="663"/>
      <c r="DV808" s="663"/>
      <c r="DW808" s="663"/>
      <c r="DX808" s="663"/>
      <c r="DY808" s="663"/>
      <c r="DZ808" s="663"/>
      <c r="EA808" s="663"/>
      <c r="EB808" s="663"/>
      <c r="EC808" s="663"/>
      <c r="ED808" s="663"/>
    </row>
    <row r="809" spans="12:134">
      <c r="L809" s="347">
        <v>508.02</v>
      </c>
      <c r="M809" s="347" t="s">
        <v>748</v>
      </c>
      <c r="AB809" s="347">
        <v>104.03</v>
      </c>
      <c r="AC809" s="347" t="s">
        <v>321</v>
      </c>
      <c r="AD809" s="1138"/>
      <c r="AJ809" s="345">
        <v>824.01</v>
      </c>
      <c r="AK809" s="345" t="s">
        <v>376</v>
      </c>
      <c r="AP809" s="347">
        <v>58</v>
      </c>
      <c r="AQ809" s="347" t="s">
        <v>337</v>
      </c>
      <c r="AZ809" s="345">
        <v>9608</v>
      </c>
      <c r="BA809" s="345" t="s">
        <v>336</v>
      </c>
      <c r="BF809" s="347">
        <v>77.73</v>
      </c>
      <c r="BG809" s="347" t="s">
        <v>361</v>
      </c>
      <c r="BH809" s="1790"/>
      <c r="BN809" s="345">
        <v>311.01</v>
      </c>
      <c r="BO809" s="345" t="s">
        <v>317</v>
      </c>
      <c r="BT809" s="347">
        <v>53.01</v>
      </c>
      <c r="BU809" s="347" t="s">
        <v>337</v>
      </c>
      <c r="CD809" s="237">
        <v>24.03</v>
      </c>
      <c r="CE809" s="237" t="s">
        <v>352</v>
      </c>
      <c r="CJ809" s="347">
        <v>77.8</v>
      </c>
      <c r="CK809" s="347" t="s">
        <v>361</v>
      </c>
      <c r="CL809" s="1789"/>
      <c r="CR809" s="345"/>
      <c r="CS809" s="345"/>
      <c r="CX809" s="347"/>
      <c r="CY809" s="347"/>
      <c r="DH809" s="237"/>
      <c r="DI809" s="237"/>
      <c r="DN809" s="347"/>
      <c r="DO809" s="347"/>
      <c r="DP809" s="2505"/>
      <c r="DT809" s="663"/>
      <c r="DU809" s="663"/>
      <c r="DV809" s="663"/>
      <c r="DW809" s="663"/>
      <c r="DX809" s="663"/>
      <c r="DY809" s="663"/>
      <c r="DZ809" s="663"/>
      <c r="EA809" s="663"/>
      <c r="EB809" s="663"/>
      <c r="EC809" s="663"/>
      <c r="ED809" s="663"/>
    </row>
    <row r="810" spans="12:134">
      <c r="L810" s="347">
        <v>508.04</v>
      </c>
      <c r="M810" s="347" t="s">
        <v>748</v>
      </c>
      <c r="AB810" s="347">
        <v>104.04</v>
      </c>
      <c r="AC810" s="347" t="s">
        <v>315</v>
      </c>
      <c r="AD810" s="1138"/>
      <c r="AJ810" s="345">
        <v>825.11</v>
      </c>
      <c r="AK810" s="345" t="s">
        <v>376</v>
      </c>
      <c r="AP810" s="347">
        <v>59</v>
      </c>
      <c r="AQ810" s="347" t="s">
        <v>337</v>
      </c>
      <c r="AZ810" s="345">
        <v>9609</v>
      </c>
      <c r="BA810" s="345" t="s">
        <v>336</v>
      </c>
      <c r="BF810" s="347">
        <v>77.739999999999995</v>
      </c>
      <c r="BG810" s="347" t="s">
        <v>361</v>
      </c>
      <c r="BH810" s="1790"/>
      <c r="BN810" s="345">
        <v>311.04000000000002</v>
      </c>
      <c r="BO810" s="345" t="s">
        <v>317</v>
      </c>
      <c r="BT810" s="347">
        <v>54.01</v>
      </c>
      <c r="BU810" s="347" t="s">
        <v>337</v>
      </c>
      <c r="CD810" s="237">
        <v>24.03</v>
      </c>
      <c r="CE810" s="237" t="s">
        <v>368</v>
      </c>
      <c r="CJ810" s="347">
        <v>78.010000000000005</v>
      </c>
      <c r="CK810" s="347" t="s">
        <v>352</v>
      </c>
      <c r="CL810" s="1789"/>
      <c r="CR810" s="345"/>
      <c r="CS810" s="345"/>
      <c r="CX810" s="347"/>
      <c r="CY810" s="347"/>
      <c r="DH810" s="237"/>
      <c r="DI810" s="237"/>
      <c r="DN810" s="347"/>
      <c r="DO810" s="347"/>
      <c r="DP810" s="2505"/>
      <c r="DT810" s="663"/>
      <c r="DU810" s="663"/>
      <c r="DV810" s="663"/>
      <c r="DW810" s="663"/>
      <c r="DX810" s="663"/>
      <c r="DY810" s="663"/>
      <c r="DZ810" s="663"/>
      <c r="EA810" s="663"/>
      <c r="EB810" s="663"/>
      <c r="EC810" s="663"/>
      <c r="ED810" s="663"/>
    </row>
    <row r="811" spans="12:134">
      <c r="L811" s="347">
        <v>508.08</v>
      </c>
      <c r="M811" s="347" t="s">
        <v>748</v>
      </c>
      <c r="AB811" s="347">
        <v>104.04</v>
      </c>
      <c r="AC811" s="347" t="s">
        <v>321</v>
      </c>
      <c r="AD811" s="1138"/>
      <c r="AJ811" s="345">
        <v>825.13</v>
      </c>
      <c r="AK811" s="345" t="s">
        <v>376</v>
      </c>
      <c r="AP811" s="347">
        <v>60</v>
      </c>
      <c r="AQ811" s="347" t="s">
        <v>337</v>
      </c>
      <c r="AZ811" s="345">
        <v>9611</v>
      </c>
      <c r="BA811" s="345" t="s">
        <v>336</v>
      </c>
      <c r="BF811" s="347">
        <v>77.75</v>
      </c>
      <c r="BG811" s="347" t="s">
        <v>361</v>
      </c>
      <c r="BH811" s="1790"/>
      <c r="BN811" s="345">
        <v>311.05</v>
      </c>
      <c r="BO811" s="345" t="s">
        <v>317</v>
      </c>
      <c r="BT811" s="347">
        <v>55</v>
      </c>
      <c r="BU811" s="347" t="s">
        <v>337</v>
      </c>
      <c r="CD811" s="237">
        <v>24.04</v>
      </c>
      <c r="CE811" s="237" t="s">
        <v>352</v>
      </c>
      <c r="CJ811" s="347">
        <v>78.05</v>
      </c>
      <c r="CK811" s="347" t="s">
        <v>352</v>
      </c>
      <c r="CL811" s="1789"/>
      <c r="CR811" s="345"/>
      <c r="CS811" s="345"/>
      <c r="CX811" s="347"/>
      <c r="CY811" s="347"/>
      <c r="DH811" s="237"/>
      <c r="DI811" s="237"/>
      <c r="DN811" s="347"/>
      <c r="DO811" s="347"/>
      <c r="DP811" s="2505"/>
      <c r="DT811" s="663"/>
      <c r="DU811" s="663"/>
      <c r="DV811" s="663"/>
      <c r="DW811" s="663"/>
      <c r="DX811" s="663"/>
      <c r="DY811" s="663"/>
      <c r="DZ811" s="663"/>
      <c r="EA811" s="663"/>
      <c r="EB811" s="663"/>
      <c r="EC811" s="663"/>
      <c r="ED811" s="663"/>
    </row>
    <row r="812" spans="12:134">
      <c r="L812" s="347">
        <v>509.02</v>
      </c>
      <c r="M812" s="347" t="s">
        <v>748</v>
      </c>
      <c r="AB812" s="347">
        <v>104.05</v>
      </c>
      <c r="AC812" s="347" t="s">
        <v>318</v>
      </c>
      <c r="AD812" s="1138"/>
      <c r="AJ812" s="345">
        <v>905</v>
      </c>
      <c r="AK812" s="345" t="s">
        <v>376</v>
      </c>
      <c r="AP812" s="347">
        <v>61.01</v>
      </c>
      <c r="AQ812" s="347" t="s">
        <v>337</v>
      </c>
      <c r="AZ812" s="345">
        <v>9616.0400000000009</v>
      </c>
      <c r="BA812" s="345" t="s">
        <v>336</v>
      </c>
      <c r="BF812" s="347">
        <v>77.760000000000005</v>
      </c>
      <c r="BG812" s="347" t="s">
        <v>361</v>
      </c>
      <c r="BH812" s="1790"/>
      <c r="BN812" s="345">
        <v>311.08</v>
      </c>
      <c r="BO812" s="345" t="s">
        <v>317</v>
      </c>
      <c r="BT812" s="347">
        <v>57</v>
      </c>
      <c r="BU812" s="347" t="s">
        <v>337</v>
      </c>
      <c r="CD812" s="237">
        <v>24.04</v>
      </c>
      <c r="CE812" s="237" t="s">
        <v>368</v>
      </c>
      <c r="CJ812" s="347">
        <v>78.05</v>
      </c>
      <c r="CK812" s="347" t="s">
        <v>361</v>
      </c>
      <c r="CL812" s="1789"/>
      <c r="CR812" s="345"/>
      <c r="CS812" s="345"/>
      <c r="CX812" s="347"/>
      <c r="CY812" s="347"/>
      <c r="DH812" s="237"/>
      <c r="DI812" s="237"/>
      <c r="DN812" s="347"/>
      <c r="DO812" s="347"/>
      <c r="DP812" s="2505"/>
      <c r="DT812" s="663"/>
      <c r="DU812" s="663"/>
      <c r="DV812" s="663"/>
      <c r="DW812" s="663"/>
      <c r="DX812" s="663"/>
      <c r="DY812" s="663"/>
      <c r="DZ812" s="663"/>
      <c r="EA812" s="663"/>
      <c r="EB812" s="663"/>
      <c r="EC812" s="663"/>
      <c r="ED812" s="663"/>
    </row>
    <row r="813" spans="12:134">
      <c r="L813" s="347">
        <v>2103</v>
      </c>
      <c r="M813" s="347" t="s">
        <v>340</v>
      </c>
      <c r="AB813" s="347">
        <v>104.05</v>
      </c>
      <c r="AC813" s="347" t="s">
        <v>321</v>
      </c>
      <c r="AD813" s="1138"/>
      <c r="AJ813" s="345">
        <v>906</v>
      </c>
      <c r="AK813" s="345" t="s">
        <v>376</v>
      </c>
      <c r="AP813" s="347">
        <v>61.03</v>
      </c>
      <c r="AQ813" s="347" t="s">
        <v>337</v>
      </c>
      <c r="AZ813" s="345">
        <v>9616.0499999999993</v>
      </c>
      <c r="BA813" s="345" t="s">
        <v>336</v>
      </c>
      <c r="BF813" s="347">
        <v>77.77</v>
      </c>
      <c r="BG813" s="347" t="s">
        <v>361</v>
      </c>
      <c r="BH813" s="1790"/>
      <c r="BN813" s="345">
        <v>311.08999999999997</v>
      </c>
      <c r="BO813" s="345" t="s">
        <v>317</v>
      </c>
      <c r="BT813" s="347">
        <v>58</v>
      </c>
      <c r="BU813" s="347" t="s">
        <v>337</v>
      </c>
      <c r="CD813" s="237">
        <v>24.1</v>
      </c>
      <c r="CE813" s="237" t="s">
        <v>345</v>
      </c>
      <c r="CJ813" s="347">
        <v>78.06</v>
      </c>
      <c r="CK813" s="347" t="s">
        <v>352</v>
      </c>
      <c r="CL813" s="1789"/>
      <c r="CR813" s="345"/>
      <c r="CS813" s="345"/>
      <c r="CX813" s="347"/>
      <c r="CY813" s="347"/>
      <c r="DH813" s="237"/>
      <c r="DI813" s="237"/>
      <c r="DN813" s="347"/>
      <c r="DO813" s="347"/>
      <c r="DP813" s="2505"/>
      <c r="DT813" s="663"/>
      <c r="DU813" s="663"/>
      <c r="DV813" s="663"/>
      <c r="DW813" s="663"/>
      <c r="DX813" s="663"/>
      <c r="DY813" s="663"/>
      <c r="DZ813" s="663"/>
      <c r="EA813" s="663"/>
      <c r="EB813" s="663"/>
      <c r="EC813" s="663"/>
      <c r="ED813" s="663"/>
    </row>
    <row r="814" spans="12:134">
      <c r="L814" s="347">
        <v>2104</v>
      </c>
      <c r="M814" s="347" t="s">
        <v>340</v>
      </c>
      <c r="AB814" s="347">
        <v>104.06</v>
      </c>
      <c r="AC814" s="347" t="s">
        <v>310</v>
      </c>
      <c r="AD814" s="1138"/>
      <c r="AJ814" s="345">
        <v>9503.0400000000009</v>
      </c>
      <c r="AK814" s="345" t="s">
        <v>378</v>
      </c>
      <c r="AP814" s="347">
        <v>62</v>
      </c>
      <c r="AQ814" s="347" t="s">
        <v>337</v>
      </c>
      <c r="AZ814" s="345">
        <v>9807</v>
      </c>
      <c r="BA814" s="345" t="s">
        <v>352</v>
      </c>
      <c r="BF814" s="347">
        <v>77.78</v>
      </c>
      <c r="BG814" s="347" t="s">
        <v>361</v>
      </c>
      <c r="BH814" s="1790"/>
      <c r="BN814" s="345">
        <v>311.10000000000002</v>
      </c>
      <c r="BO814" s="345" t="s">
        <v>317</v>
      </c>
      <c r="BT814" s="347">
        <v>59</v>
      </c>
      <c r="BU814" s="347" t="s">
        <v>337</v>
      </c>
      <c r="CD814" s="237">
        <v>24.11</v>
      </c>
      <c r="CE814" s="237" t="s">
        <v>345</v>
      </c>
      <c r="CJ814" s="347">
        <v>78.069999999999993</v>
      </c>
      <c r="CK814" s="347" t="s">
        <v>352</v>
      </c>
      <c r="CL814" s="1789"/>
      <c r="CR814" s="345"/>
      <c r="CS814" s="345"/>
      <c r="CX814" s="347"/>
      <c r="CY814" s="347"/>
      <c r="DH814" s="237"/>
      <c r="DI814" s="237"/>
      <c r="DN814" s="347"/>
      <c r="DO814" s="347"/>
      <c r="DP814" s="2505"/>
      <c r="DT814" s="663"/>
      <c r="DU814" s="663"/>
      <c r="DV814" s="663"/>
      <c r="DW814" s="663"/>
      <c r="DX814" s="663"/>
      <c r="DY814" s="663"/>
      <c r="DZ814" s="663"/>
      <c r="EA814" s="663"/>
      <c r="EB814" s="663"/>
      <c r="EC814" s="663"/>
      <c r="ED814" s="663"/>
    </row>
    <row r="815" spans="12:134">
      <c r="L815" s="347">
        <v>2105</v>
      </c>
      <c r="M815" s="347" t="s">
        <v>340</v>
      </c>
      <c r="AB815" s="347">
        <v>104.06</v>
      </c>
      <c r="AC815" s="347" t="s">
        <v>321</v>
      </c>
      <c r="AD815" s="1138"/>
      <c r="AJ815" s="2831" t="s">
        <v>2308</v>
      </c>
      <c r="AK815" s="2832"/>
      <c r="AP815" s="347">
        <v>63</v>
      </c>
      <c r="AQ815" s="347" t="s">
        <v>337</v>
      </c>
      <c r="AZ815" s="2831" t="s">
        <v>2308</v>
      </c>
      <c r="BA815" s="2832"/>
      <c r="BF815" s="347">
        <v>78.010000000000005</v>
      </c>
      <c r="BG815" s="347" t="s">
        <v>352</v>
      </c>
      <c r="BH815" s="1790"/>
      <c r="BN815" s="237">
        <v>312.01</v>
      </c>
      <c r="BO815" s="237" t="s">
        <v>317</v>
      </c>
      <c r="BT815" s="347">
        <v>60</v>
      </c>
      <c r="BU815" s="347" t="s">
        <v>337</v>
      </c>
      <c r="CD815" s="237">
        <v>24.13</v>
      </c>
      <c r="CE815" s="237" t="s">
        <v>345</v>
      </c>
      <c r="CJ815" s="347">
        <v>78.08</v>
      </c>
      <c r="CK815" s="347" t="s">
        <v>352</v>
      </c>
      <c r="CL815" s="1789"/>
      <c r="CR815" s="345"/>
      <c r="CS815" s="345"/>
      <c r="CX815" s="347"/>
      <c r="CY815" s="347"/>
      <c r="DH815" s="237"/>
      <c r="DI815" s="237"/>
      <c r="DN815" s="347"/>
      <c r="DO815" s="347"/>
      <c r="DP815" s="2505"/>
      <c r="DT815" s="663"/>
      <c r="DU815" s="663"/>
      <c r="DV815" s="663"/>
      <c r="DW815" s="663"/>
      <c r="DX815" s="663"/>
      <c r="DY815" s="663"/>
      <c r="DZ815" s="663"/>
      <c r="EA815" s="663"/>
      <c r="EB815" s="663"/>
      <c r="EC815" s="663"/>
      <c r="ED815" s="663"/>
    </row>
    <row r="816" spans="12:134">
      <c r="L816" s="347">
        <v>2107</v>
      </c>
      <c r="M816" s="347" t="s">
        <v>340</v>
      </c>
      <c r="AB816" s="347">
        <v>104.06</v>
      </c>
      <c r="AC816" s="347" t="s">
        <v>344</v>
      </c>
      <c r="AD816" s="1138"/>
      <c r="AP816" s="347">
        <v>64</v>
      </c>
      <c r="AQ816" s="347" t="s">
        <v>337</v>
      </c>
      <c r="BF816" s="347">
        <v>78.05</v>
      </c>
      <c r="BG816" s="347" t="s">
        <v>352</v>
      </c>
      <c r="BH816" s="1790"/>
      <c r="BN816" s="237">
        <v>312.02</v>
      </c>
      <c r="BO816" s="237" t="s">
        <v>317</v>
      </c>
      <c r="BT816" s="347">
        <v>61.01</v>
      </c>
      <c r="BU816" s="347" t="s">
        <v>337</v>
      </c>
      <c r="CD816" s="237">
        <v>24.14</v>
      </c>
      <c r="CE816" s="237" t="s">
        <v>345</v>
      </c>
      <c r="CJ816" s="347">
        <v>78.09</v>
      </c>
      <c r="CK816" s="347" t="s">
        <v>352</v>
      </c>
      <c r="CL816" s="1789"/>
      <c r="CR816" s="345"/>
      <c r="CS816" s="345"/>
      <c r="CX816" s="347"/>
      <c r="CY816" s="347"/>
      <c r="DH816" s="237"/>
      <c r="DI816" s="237"/>
      <c r="DN816" s="347"/>
      <c r="DO816" s="347"/>
      <c r="DP816" s="2505"/>
      <c r="DT816" s="663"/>
      <c r="DU816" s="663"/>
      <c r="DV816" s="663"/>
      <c r="DW816" s="663"/>
      <c r="DX816" s="663"/>
      <c r="DY816" s="663"/>
      <c r="DZ816" s="663"/>
      <c r="EA816" s="663"/>
      <c r="EB816" s="663"/>
      <c r="EC816" s="663"/>
      <c r="ED816" s="663"/>
    </row>
    <row r="817" spans="12:134">
      <c r="L817" s="347">
        <v>2108</v>
      </c>
      <c r="M817" s="347" t="s">
        <v>340</v>
      </c>
      <c r="AB817" s="347">
        <v>104.07</v>
      </c>
      <c r="AC817" s="347" t="s">
        <v>344</v>
      </c>
      <c r="AD817" s="1138"/>
      <c r="AP817" s="347">
        <v>65.03</v>
      </c>
      <c r="AQ817" s="347" t="s">
        <v>337</v>
      </c>
      <c r="BF817" s="347">
        <v>78.05</v>
      </c>
      <c r="BG817" s="347" t="s">
        <v>361</v>
      </c>
      <c r="BH817" s="1790"/>
      <c r="BN817" s="237">
        <v>312.02999999999997</v>
      </c>
      <c r="BO817" s="237" t="s">
        <v>317</v>
      </c>
      <c r="BT817" s="347">
        <v>61.03</v>
      </c>
      <c r="BU817" s="347" t="s">
        <v>337</v>
      </c>
      <c r="CD817" s="237">
        <v>24.15</v>
      </c>
      <c r="CE817" s="237" t="s">
        <v>345</v>
      </c>
      <c r="CJ817" s="347">
        <v>78.14</v>
      </c>
      <c r="CK817" s="347" t="s">
        <v>361</v>
      </c>
      <c r="CL817" s="1789"/>
      <c r="CR817" s="345"/>
      <c r="CS817" s="345"/>
      <c r="CX817" s="347"/>
      <c r="CY817" s="347"/>
      <c r="DH817" s="237"/>
      <c r="DI817" s="237"/>
      <c r="DN817" s="347"/>
      <c r="DO817" s="347"/>
      <c r="DP817" s="2505"/>
      <c r="DT817" s="663"/>
      <c r="DU817" s="663"/>
      <c r="DV817" s="663"/>
      <c r="DW817" s="663"/>
      <c r="DX817" s="663"/>
      <c r="DY817" s="663"/>
      <c r="DZ817" s="663"/>
      <c r="EA817" s="663"/>
      <c r="EB817" s="663"/>
      <c r="EC817" s="663"/>
      <c r="ED817" s="663"/>
    </row>
    <row r="818" spans="12:134">
      <c r="L818" s="347">
        <v>2110</v>
      </c>
      <c r="M818" s="347" t="s">
        <v>340</v>
      </c>
      <c r="AB818" s="347">
        <v>104.08</v>
      </c>
      <c r="AC818" s="347" t="s">
        <v>318</v>
      </c>
      <c r="AD818" s="1138"/>
      <c r="AP818" s="347">
        <v>65.040000000000006</v>
      </c>
      <c r="AQ818" s="347" t="s">
        <v>337</v>
      </c>
      <c r="BF818" s="347">
        <v>78.069999999999993</v>
      </c>
      <c r="BG818" s="347" t="s">
        <v>352</v>
      </c>
      <c r="BH818" s="1790"/>
      <c r="BN818" s="237">
        <v>313.01</v>
      </c>
      <c r="BO818" s="237" t="s">
        <v>317</v>
      </c>
      <c r="BT818" s="347">
        <v>62</v>
      </c>
      <c r="BU818" s="347" t="s">
        <v>337</v>
      </c>
      <c r="CD818" s="237">
        <v>24.16</v>
      </c>
      <c r="CE818" s="237" t="s">
        <v>345</v>
      </c>
      <c r="CJ818" s="347">
        <v>78.180000000000007</v>
      </c>
      <c r="CK818" s="347" t="s">
        <v>361</v>
      </c>
      <c r="CL818" s="1789"/>
      <c r="CR818" s="345"/>
      <c r="CS818" s="345"/>
      <c r="CX818" s="347"/>
      <c r="CY818" s="347"/>
      <c r="DH818" s="237"/>
      <c r="DI818" s="237"/>
      <c r="DN818" s="347"/>
      <c r="DO818" s="347"/>
      <c r="DP818" s="2505"/>
      <c r="DT818" s="663"/>
      <c r="DU818" s="663"/>
      <c r="DV818" s="663"/>
      <c r="DW818" s="663"/>
      <c r="DX818" s="663"/>
      <c r="DY818" s="663"/>
      <c r="DZ818" s="663"/>
      <c r="EA818" s="663"/>
      <c r="EB818" s="663"/>
      <c r="EC818" s="663"/>
      <c r="ED818" s="663"/>
    </row>
    <row r="819" spans="12:134">
      <c r="L819" s="347">
        <v>2501.02</v>
      </c>
      <c r="M819" s="347" t="s">
        <v>341</v>
      </c>
      <c r="AB819" s="347">
        <v>104.09</v>
      </c>
      <c r="AC819" s="347" t="s">
        <v>344</v>
      </c>
      <c r="AD819" s="1138"/>
      <c r="AP819" s="347">
        <v>66</v>
      </c>
      <c r="AQ819" s="347" t="s">
        <v>337</v>
      </c>
      <c r="BF819" s="347">
        <v>78.08</v>
      </c>
      <c r="BG819" s="347" t="s">
        <v>352</v>
      </c>
      <c r="BH819" s="1790"/>
      <c r="BN819" s="237">
        <v>313.02</v>
      </c>
      <c r="BO819" s="237" t="s">
        <v>317</v>
      </c>
      <c r="BT819" s="347">
        <v>63</v>
      </c>
      <c r="BU819" s="347" t="s">
        <v>337</v>
      </c>
      <c r="CD819" s="237">
        <v>24.18</v>
      </c>
      <c r="CE819" s="237" t="s">
        <v>345</v>
      </c>
      <c r="CJ819" s="347">
        <v>78.2</v>
      </c>
      <c r="CK819" s="347" t="s">
        <v>361</v>
      </c>
      <c r="CL819" s="1789"/>
      <c r="CR819" s="345"/>
      <c r="CS819" s="345"/>
      <c r="CX819" s="347"/>
      <c r="CY819" s="347"/>
      <c r="DH819" s="237"/>
      <c r="DI819" s="237"/>
      <c r="DN819" s="347"/>
      <c r="DO819" s="347"/>
      <c r="DP819" s="2505"/>
      <c r="DT819" s="663"/>
      <c r="DU819" s="663"/>
      <c r="DV819" s="663"/>
      <c r="DW819" s="663"/>
      <c r="DX819" s="663"/>
      <c r="DY819" s="663"/>
      <c r="DZ819" s="663"/>
      <c r="EA819" s="663"/>
      <c r="EB819" s="663"/>
      <c r="EC819" s="663"/>
      <c r="ED819" s="663"/>
    </row>
    <row r="820" spans="12:134">
      <c r="L820" s="347">
        <v>2502</v>
      </c>
      <c r="M820" s="347" t="s">
        <v>341</v>
      </c>
      <c r="AB820" s="347">
        <v>104.1</v>
      </c>
      <c r="AC820" s="347" t="s">
        <v>344</v>
      </c>
      <c r="AD820" s="1138"/>
      <c r="AP820" s="347">
        <v>67</v>
      </c>
      <c r="AQ820" s="347" t="s">
        <v>337</v>
      </c>
      <c r="BF820" s="347">
        <v>78.09</v>
      </c>
      <c r="BG820" s="347" t="s">
        <v>352</v>
      </c>
      <c r="BH820" s="1790"/>
      <c r="BN820" s="237">
        <v>313.02999999999997</v>
      </c>
      <c r="BO820" s="237" t="s">
        <v>317</v>
      </c>
      <c r="BT820" s="347">
        <v>64</v>
      </c>
      <c r="BU820" s="347" t="s">
        <v>337</v>
      </c>
      <c r="CD820" s="237">
        <v>24.19</v>
      </c>
      <c r="CE820" s="237" t="s">
        <v>345</v>
      </c>
      <c r="CJ820" s="347">
        <v>78.209999999999994</v>
      </c>
      <c r="CK820" s="347" t="s">
        <v>361</v>
      </c>
      <c r="CL820" s="1789"/>
      <c r="CR820" s="345"/>
      <c r="CS820" s="345"/>
      <c r="CX820" s="347"/>
      <c r="CY820" s="347"/>
      <c r="DH820" s="237"/>
      <c r="DI820" s="237"/>
      <c r="DN820" s="347"/>
      <c r="DO820" s="347"/>
      <c r="DP820" s="2505"/>
      <c r="DT820" s="663"/>
      <c r="DU820" s="663"/>
      <c r="DV820" s="663"/>
      <c r="DW820" s="663"/>
      <c r="DX820" s="663"/>
      <c r="DY820" s="663"/>
      <c r="DZ820" s="663"/>
      <c r="EA820" s="663"/>
      <c r="EB820" s="663"/>
      <c r="EC820" s="663"/>
      <c r="ED820" s="663"/>
    </row>
    <row r="821" spans="12:134">
      <c r="L821" s="347">
        <v>301.04000000000002</v>
      </c>
      <c r="M821" s="347" t="s">
        <v>343</v>
      </c>
      <c r="AB821" s="347">
        <v>104.11</v>
      </c>
      <c r="AC821" s="347" t="s">
        <v>344</v>
      </c>
      <c r="AD821" s="1138"/>
      <c r="AP821" s="347">
        <v>68.010000000000005</v>
      </c>
      <c r="AQ821" s="347" t="s">
        <v>337</v>
      </c>
      <c r="BF821" s="347">
        <v>78.12</v>
      </c>
      <c r="BG821" s="347" t="s">
        <v>361</v>
      </c>
      <c r="BH821" s="1790"/>
      <c r="BN821" s="237">
        <v>314</v>
      </c>
      <c r="BO821" s="237" t="s">
        <v>317</v>
      </c>
      <c r="BT821" s="347">
        <v>65.010000000000005</v>
      </c>
      <c r="BU821" s="347" t="s">
        <v>337</v>
      </c>
      <c r="CD821" s="237">
        <v>24.2</v>
      </c>
      <c r="CE821" s="237" t="s">
        <v>345</v>
      </c>
      <c r="CJ821" s="347">
        <v>78.23</v>
      </c>
      <c r="CK821" s="347" t="s">
        <v>361</v>
      </c>
      <c r="CL821" s="1789"/>
      <c r="CR821" s="345"/>
      <c r="CS821" s="345"/>
      <c r="CX821" s="347"/>
      <c r="CY821" s="347"/>
      <c r="DH821" s="237"/>
      <c r="DI821" s="237"/>
      <c r="DN821" s="347"/>
      <c r="DO821" s="347"/>
      <c r="DP821" s="2505"/>
      <c r="DT821" s="663"/>
      <c r="DU821" s="663"/>
      <c r="DV821" s="663"/>
      <c r="DW821" s="663"/>
      <c r="DX821" s="663"/>
      <c r="DY821" s="663"/>
      <c r="DZ821" s="663"/>
      <c r="EA821" s="663"/>
      <c r="EB821" s="663"/>
      <c r="EC821" s="663"/>
      <c r="ED821" s="663"/>
    </row>
    <row r="822" spans="12:134">
      <c r="L822" s="347">
        <v>301.05</v>
      </c>
      <c r="M822" s="347" t="s">
        <v>343</v>
      </c>
      <c r="AB822" s="347">
        <v>104.12</v>
      </c>
      <c r="AC822" s="347" t="s">
        <v>318</v>
      </c>
      <c r="AD822" s="1138"/>
      <c r="AP822" s="347">
        <v>68.02</v>
      </c>
      <c r="AQ822" s="347" t="s">
        <v>337</v>
      </c>
      <c r="BF822" s="347">
        <v>78.13</v>
      </c>
      <c r="BG822" s="347" t="s">
        <v>361</v>
      </c>
      <c r="BH822" s="1790"/>
      <c r="BN822" s="237">
        <v>315</v>
      </c>
      <c r="BO822" s="237" t="s">
        <v>317</v>
      </c>
      <c r="BT822" s="347">
        <v>65.03</v>
      </c>
      <c r="BU822" s="347" t="s">
        <v>337</v>
      </c>
      <c r="CD822" s="237">
        <v>24.21</v>
      </c>
      <c r="CE822" s="237" t="s">
        <v>345</v>
      </c>
      <c r="CJ822" s="347">
        <v>78.3</v>
      </c>
      <c r="CK822" s="347" t="s">
        <v>361</v>
      </c>
      <c r="CL822" s="1789"/>
      <c r="CR822" s="345"/>
      <c r="CS822" s="345"/>
      <c r="CX822" s="347"/>
      <c r="CY822" s="347"/>
      <c r="DH822" s="237"/>
      <c r="DI822" s="237"/>
      <c r="DN822" s="347"/>
      <c r="DO822" s="347"/>
      <c r="DP822" s="2505"/>
      <c r="DT822" s="663"/>
      <c r="DU822" s="663"/>
      <c r="DV822" s="663"/>
      <c r="DW822" s="663"/>
      <c r="DX822" s="663"/>
      <c r="DY822" s="663"/>
      <c r="DZ822" s="663"/>
      <c r="EA822" s="663"/>
      <c r="EB822" s="663"/>
      <c r="EC822" s="663"/>
      <c r="ED822" s="663"/>
    </row>
    <row r="823" spans="12:134">
      <c r="L823" s="347">
        <v>301.08</v>
      </c>
      <c r="M823" s="347" t="s">
        <v>343</v>
      </c>
      <c r="AB823" s="347">
        <v>104.12</v>
      </c>
      <c r="AC823" s="347" t="s">
        <v>344</v>
      </c>
      <c r="AD823" s="1138"/>
      <c r="AP823" s="347">
        <v>69</v>
      </c>
      <c r="AQ823" s="347" t="s">
        <v>337</v>
      </c>
      <c r="BF823" s="347">
        <v>78.14</v>
      </c>
      <c r="BG823" s="347" t="s">
        <v>361</v>
      </c>
      <c r="BH823" s="1790"/>
      <c r="BN823" s="237">
        <v>9800</v>
      </c>
      <c r="BO823" s="237" t="s">
        <v>317</v>
      </c>
      <c r="BT823" s="347">
        <v>65.040000000000006</v>
      </c>
      <c r="BU823" s="347" t="s">
        <v>337</v>
      </c>
      <c r="CD823" s="237">
        <v>24.22</v>
      </c>
      <c r="CE823" s="237" t="s">
        <v>345</v>
      </c>
      <c r="CJ823" s="347">
        <v>78.31</v>
      </c>
      <c r="CK823" s="347" t="s">
        <v>361</v>
      </c>
      <c r="CL823" s="1789"/>
      <c r="CR823" s="345"/>
      <c r="CS823" s="345"/>
      <c r="CX823" s="347"/>
      <c r="CY823" s="347"/>
      <c r="DH823" s="237"/>
      <c r="DI823" s="237"/>
      <c r="DN823" s="347"/>
      <c r="DO823" s="347"/>
      <c r="DP823" s="2505"/>
      <c r="DT823" s="663"/>
      <c r="DU823" s="663"/>
      <c r="DV823" s="663"/>
      <c r="DW823" s="663"/>
      <c r="DX823" s="663"/>
      <c r="DY823" s="663"/>
      <c r="DZ823" s="663"/>
      <c r="EA823" s="663"/>
      <c r="EB823" s="663"/>
      <c r="EC823" s="663"/>
      <c r="ED823" s="663"/>
    </row>
    <row r="824" spans="12:134">
      <c r="L824" s="347">
        <v>302.02999999999997</v>
      </c>
      <c r="M824" s="347" t="s">
        <v>343</v>
      </c>
      <c r="AB824" s="347">
        <v>104.13</v>
      </c>
      <c r="AC824" s="347" t="s">
        <v>318</v>
      </c>
      <c r="AD824" s="1138"/>
      <c r="AP824" s="347">
        <v>71.02</v>
      </c>
      <c r="AQ824" s="347" t="s">
        <v>337</v>
      </c>
      <c r="BF824" s="347">
        <v>78.180000000000007</v>
      </c>
      <c r="BG824" s="347" t="s">
        <v>361</v>
      </c>
      <c r="BH824" s="1790"/>
      <c r="BN824" s="237">
        <v>1.01</v>
      </c>
      <c r="BO824" s="237" t="s">
        <v>318</v>
      </c>
      <c r="BT824" s="347">
        <v>66</v>
      </c>
      <c r="BU824" s="347" t="s">
        <v>337</v>
      </c>
      <c r="CD824" s="237">
        <v>24.23</v>
      </c>
      <c r="CE824" s="237" t="s">
        <v>345</v>
      </c>
      <c r="CJ824" s="347">
        <v>78.34</v>
      </c>
      <c r="CK824" s="347" t="s">
        <v>361</v>
      </c>
      <c r="CL824" s="1789"/>
      <c r="CR824" s="345"/>
      <c r="CS824" s="345"/>
      <c r="CX824" s="347"/>
      <c r="CY824" s="347"/>
      <c r="DH824" s="237"/>
      <c r="DI824" s="237"/>
      <c r="DN824" s="347"/>
      <c r="DO824" s="347"/>
      <c r="DP824" s="2505"/>
      <c r="DT824" s="663"/>
      <c r="DU824" s="663"/>
      <c r="DV824" s="663"/>
      <c r="DW824" s="663"/>
      <c r="DX824" s="663"/>
      <c r="DY824" s="663"/>
      <c r="DZ824" s="663"/>
      <c r="EA824" s="663"/>
      <c r="EB824" s="663"/>
      <c r="EC824" s="663"/>
      <c r="ED824" s="663"/>
    </row>
    <row r="825" spans="12:134">
      <c r="L825" s="347">
        <v>302.07</v>
      </c>
      <c r="M825" s="347" t="s">
        <v>343</v>
      </c>
      <c r="AB825" s="347">
        <v>104.14</v>
      </c>
      <c r="AC825" s="347" t="s">
        <v>318</v>
      </c>
      <c r="AD825" s="1138"/>
      <c r="AP825" s="347">
        <v>71.03</v>
      </c>
      <c r="AQ825" s="347" t="s">
        <v>337</v>
      </c>
      <c r="BF825" s="347">
        <v>78.2</v>
      </c>
      <c r="BG825" s="347" t="s">
        <v>361</v>
      </c>
      <c r="BH825" s="1790"/>
      <c r="BN825" s="237">
        <v>1.02</v>
      </c>
      <c r="BO825" s="237" t="s">
        <v>318</v>
      </c>
      <c r="BT825" s="347">
        <v>67</v>
      </c>
      <c r="BU825" s="347" t="s">
        <v>337</v>
      </c>
      <c r="CD825" s="345">
        <v>25</v>
      </c>
      <c r="CE825" s="345" t="s">
        <v>306</v>
      </c>
      <c r="CJ825" s="347">
        <v>78.349999999999994</v>
      </c>
      <c r="CK825" s="347" t="s">
        <v>361</v>
      </c>
      <c r="CL825" s="1789"/>
      <c r="CR825" s="345"/>
      <c r="CS825" s="345"/>
      <c r="CX825" s="347"/>
      <c r="CY825" s="347"/>
      <c r="DH825" s="237"/>
      <c r="DI825" s="237"/>
      <c r="DN825" s="347"/>
      <c r="DO825" s="347"/>
      <c r="DP825" s="2505"/>
      <c r="DT825" s="663"/>
      <c r="DU825" s="663"/>
      <c r="DV825" s="663"/>
      <c r="DW825" s="663"/>
      <c r="DX825" s="663"/>
      <c r="DY825" s="663"/>
      <c r="DZ825" s="663"/>
      <c r="EA825" s="663"/>
      <c r="EB825" s="663"/>
      <c r="EC825" s="663"/>
      <c r="ED825" s="663"/>
    </row>
    <row r="826" spans="12:134">
      <c r="L826" s="347">
        <v>302.08</v>
      </c>
      <c r="M826" s="347" t="s">
        <v>343</v>
      </c>
      <c r="AB826" s="347">
        <v>104.15</v>
      </c>
      <c r="AC826" s="347" t="s">
        <v>318</v>
      </c>
      <c r="AD826" s="1138"/>
      <c r="AP826" s="347">
        <v>72</v>
      </c>
      <c r="AQ826" s="347" t="s">
        <v>337</v>
      </c>
      <c r="BF826" s="347">
        <v>78.209999999999994</v>
      </c>
      <c r="BG826" s="347" t="s">
        <v>361</v>
      </c>
      <c r="BH826" s="1790"/>
      <c r="BN826" s="237">
        <v>2</v>
      </c>
      <c r="BO826" s="237" t="s">
        <v>318</v>
      </c>
      <c r="BT826" s="347">
        <v>68.010000000000005</v>
      </c>
      <c r="BU826" s="347" t="s">
        <v>337</v>
      </c>
      <c r="CD826" s="237">
        <v>25</v>
      </c>
      <c r="CE826" s="237" t="s">
        <v>325</v>
      </c>
      <c r="CJ826" s="347">
        <v>78.37</v>
      </c>
      <c r="CK826" s="347" t="s">
        <v>361</v>
      </c>
      <c r="CL826" s="1789"/>
      <c r="CR826" s="345"/>
      <c r="CS826" s="345"/>
      <c r="CX826" s="347"/>
      <c r="CY826" s="347"/>
      <c r="DH826" s="237"/>
      <c r="DI826" s="237"/>
      <c r="DN826" s="347"/>
      <c r="DO826" s="347"/>
      <c r="DP826" s="2505"/>
      <c r="DT826" s="663"/>
      <c r="DU826" s="663"/>
      <c r="DV826" s="663"/>
      <c r="DW826" s="663"/>
      <c r="DX826" s="663"/>
      <c r="DY826" s="663"/>
      <c r="DZ826" s="663"/>
      <c r="EA826" s="663"/>
      <c r="EB826" s="663"/>
      <c r="EC826" s="663"/>
      <c r="ED826" s="663"/>
    </row>
    <row r="827" spans="12:134">
      <c r="L827" s="347">
        <v>303.02</v>
      </c>
      <c r="M827" s="347" t="s">
        <v>343</v>
      </c>
      <c r="AB827" s="347">
        <v>104.16</v>
      </c>
      <c r="AC827" s="347" t="s">
        <v>318</v>
      </c>
      <c r="AD827" s="1138"/>
      <c r="AP827" s="347">
        <v>101.05</v>
      </c>
      <c r="AQ827" s="347" t="s">
        <v>337</v>
      </c>
      <c r="BF827" s="347">
        <v>78.23</v>
      </c>
      <c r="BG827" s="347" t="s">
        <v>361</v>
      </c>
      <c r="BH827" s="1790"/>
      <c r="BN827" s="237">
        <v>3.01</v>
      </c>
      <c r="BO827" s="237" t="s">
        <v>318</v>
      </c>
      <c r="BT827" s="347">
        <v>68.02</v>
      </c>
      <c r="BU827" s="347" t="s">
        <v>337</v>
      </c>
      <c r="CD827" s="237">
        <v>25</v>
      </c>
      <c r="CE827" s="237" t="s">
        <v>337</v>
      </c>
      <c r="CJ827" s="347">
        <v>78.38</v>
      </c>
      <c r="CK827" s="347" t="s">
        <v>361</v>
      </c>
      <c r="CL827" s="1789"/>
      <c r="CR827" s="345"/>
      <c r="CS827" s="345"/>
      <c r="CX827" s="347"/>
      <c r="CY827" s="347"/>
      <c r="DH827" s="237"/>
      <c r="DI827" s="237"/>
      <c r="DN827" s="347"/>
      <c r="DO827" s="347"/>
      <c r="DP827" s="2505"/>
      <c r="DT827" s="663"/>
      <c r="DU827" s="663"/>
      <c r="DV827" s="663"/>
      <c r="DW827" s="663"/>
      <c r="DX827" s="663"/>
      <c r="DY827" s="663"/>
      <c r="DZ827" s="663"/>
      <c r="EA827" s="663"/>
      <c r="EB827" s="663"/>
      <c r="EC827" s="663"/>
      <c r="ED827" s="663"/>
    </row>
    <row r="828" spans="12:134">
      <c r="L828" s="347">
        <v>303.05</v>
      </c>
      <c r="M828" s="347" t="s">
        <v>343</v>
      </c>
      <c r="AB828" s="347">
        <v>104.17</v>
      </c>
      <c r="AC828" s="347" t="s">
        <v>318</v>
      </c>
      <c r="AD828" s="1138"/>
      <c r="AP828" s="347">
        <v>101.06</v>
      </c>
      <c r="AQ828" s="347" t="s">
        <v>337</v>
      </c>
      <c r="BF828" s="347">
        <v>78.3</v>
      </c>
      <c r="BG828" s="347" t="s">
        <v>361</v>
      </c>
      <c r="BH828" s="1790"/>
      <c r="BN828" s="237">
        <v>3.02</v>
      </c>
      <c r="BO828" s="237" t="s">
        <v>318</v>
      </c>
      <c r="BT828" s="347">
        <v>69</v>
      </c>
      <c r="BU828" s="347" t="s">
        <v>337</v>
      </c>
      <c r="CD828" s="237">
        <v>25.01</v>
      </c>
      <c r="CE828" s="237" t="s">
        <v>323</v>
      </c>
      <c r="CJ828" s="347">
        <v>78.41</v>
      </c>
      <c r="CK828" s="347" t="s">
        <v>361</v>
      </c>
      <c r="CL828" s="1789"/>
      <c r="CR828" s="345"/>
      <c r="CS828" s="345"/>
      <c r="CX828" s="347"/>
      <c r="CY828" s="347"/>
      <c r="DH828" s="237"/>
      <c r="DI828" s="237"/>
      <c r="DN828" s="347"/>
      <c r="DO828" s="347"/>
      <c r="DP828" s="2505"/>
      <c r="DT828" s="663"/>
      <c r="DU828" s="663"/>
      <c r="DV828" s="663"/>
      <c r="DW828" s="663"/>
      <c r="DX828" s="663"/>
      <c r="DY828" s="663"/>
      <c r="DZ828" s="663"/>
      <c r="EA828" s="663"/>
      <c r="EB828" s="663"/>
      <c r="EC828" s="663"/>
      <c r="ED828" s="663"/>
    </row>
    <row r="829" spans="12:134">
      <c r="L829" s="347">
        <v>303.08</v>
      </c>
      <c r="M829" s="347" t="s">
        <v>343</v>
      </c>
      <c r="AB829" s="347">
        <v>104.18</v>
      </c>
      <c r="AC829" s="347" t="s">
        <v>318</v>
      </c>
      <c r="AD829" s="1138"/>
      <c r="AP829" s="347">
        <v>101.08</v>
      </c>
      <c r="AQ829" s="347" t="s">
        <v>337</v>
      </c>
      <c r="BF829" s="347">
        <v>78.31</v>
      </c>
      <c r="BG829" s="347" t="s">
        <v>361</v>
      </c>
      <c r="BH829" s="1790"/>
      <c r="BN829" s="237">
        <v>4.01</v>
      </c>
      <c r="BO829" s="237" t="s">
        <v>318</v>
      </c>
      <c r="BT829" s="347">
        <v>70.010000000000005</v>
      </c>
      <c r="BU829" s="347" t="s">
        <v>337</v>
      </c>
      <c r="CD829" s="237">
        <v>25.01</v>
      </c>
      <c r="CE829" s="237" t="s">
        <v>352</v>
      </c>
      <c r="CJ829" s="347">
        <v>78.42</v>
      </c>
      <c r="CK829" s="347" t="s">
        <v>361</v>
      </c>
      <c r="CL829" s="1789"/>
      <c r="CR829" s="345"/>
      <c r="CS829" s="345"/>
      <c r="CX829" s="347"/>
      <c r="CY829" s="347"/>
      <c r="DH829" s="237"/>
      <c r="DI829" s="237"/>
      <c r="DN829" s="347"/>
      <c r="DO829" s="347"/>
      <c r="DP829" s="2505"/>
      <c r="DT829" s="663"/>
      <c r="DU829" s="663"/>
      <c r="DV829" s="663"/>
      <c r="DW829" s="663"/>
      <c r="DX829" s="663"/>
      <c r="DY829" s="663"/>
      <c r="DZ829" s="663"/>
      <c r="EA829" s="663"/>
      <c r="EB829" s="663"/>
      <c r="EC829" s="663"/>
      <c r="ED829" s="663"/>
    </row>
    <row r="830" spans="12:134">
      <c r="L830" s="347">
        <v>304.06</v>
      </c>
      <c r="M830" s="347" t="s">
        <v>343</v>
      </c>
      <c r="AB830" s="347">
        <v>105.01</v>
      </c>
      <c r="AC830" s="347" t="s">
        <v>344</v>
      </c>
      <c r="AD830" s="1138"/>
      <c r="AP830" s="347">
        <v>102.1</v>
      </c>
      <c r="AQ830" s="347" t="s">
        <v>337</v>
      </c>
      <c r="BF830" s="347">
        <v>78.34</v>
      </c>
      <c r="BG830" s="347" t="s">
        <v>361</v>
      </c>
      <c r="BH830" s="1790"/>
      <c r="BN830" s="237">
        <v>4.0199999999999996</v>
      </c>
      <c r="BO830" s="237" t="s">
        <v>318</v>
      </c>
      <c r="BT830" s="347">
        <v>70.02</v>
      </c>
      <c r="BU830" s="347" t="s">
        <v>337</v>
      </c>
      <c r="CD830" s="237">
        <v>25.02</v>
      </c>
      <c r="CE830" s="237" t="s">
        <v>323</v>
      </c>
      <c r="CJ830" s="347">
        <v>78.430000000000007</v>
      </c>
      <c r="CK830" s="347" t="s">
        <v>361</v>
      </c>
      <c r="CL830" s="1789"/>
      <c r="CR830" s="345"/>
      <c r="CS830" s="345"/>
      <c r="CX830" s="347"/>
      <c r="CY830" s="347"/>
      <c r="DH830" s="237"/>
      <c r="DI830" s="237"/>
      <c r="DN830" s="347"/>
      <c r="DO830" s="347"/>
      <c r="DP830" s="2505"/>
      <c r="DT830" s="663"/>
      <c r="DU830" s="663"/>
      <c r="DV830" s="663"/>
      <c r="DW830" s="663"/>
      <c r="DX830" s="663"/>
      <c r="DY830" s="663"/>
      <c r="DZ830" s="663"/>
      <c r="EA830" s="663"/>
      <c r="EB830" s="663"/>
      <c r="EC830" s="663"/>
      <c r="ED830" s="663"/>
    </row>
    <row r="831" spans="12:134">
      <c r="L831" s="347">
        <v>304.08</v>
      </c>
      <c r="M831" s="347" t="s">
        <v>343</v>
      </c>
      <c r="AB831" s="347">
        <v>105.01</v>
      </c>
      <c r="AC831" s="347" t="s">
        <v>365</v>
      </c>
      <c r="AD831" s="1138"/>
      <c r="AP831" s="347">
        <v>102.11</v>
      </c>
      <c r="AQ831" s="347" t="s">
        <v>337</v>
      </c>
      <c r="BF831" s="347">
        <v>78.349999999999994</v>
      </c>
      <c r="BG831" s="347" t="s">
        <v>361</v>
      </c>
      <c r="BH831" s="1790"/>
      <c r="BN831" s="237">
        <v>5</v>
      </c>
      <c r="BO831" s="237" t="s">
        <v>318</v>
      </c>
      <c r="BT831" s="347">
        <v>71.02</v>
      </c>
      <c r="BU831" s="347" t="s">
        <v>337</v>
      </c>
      <c r="CD831" s="237">
        <v>25.02</v>
      </c>
      <c r="CE831" s="237" t="s">
        <v>352</v>
      </c>
      <c r="CJ831" s="347">
        <v>78.44</v>
      </c>
      <c r="CK831" s="347" t="s">
        <v>361</v>
      </c>
      <c r="CL831" s="1789"/>
      <c r="CR831" s="345"/>
      <c r="CS831" s="345"/>
      <c r="CX831" s="347"/>
      <c r="CY831" s="347"/>
      <c r="DH831" s="237"/>
      <c r="DI831" s="237"/>
      <c r="DN831" s="347"/>
      <c r="DO831" s="347"/>
      <c r="DP831" s="2505"/>
      <c r="DT831" s="663"/>
      <c r="DU831" s="663"/>
      <c r="DV831" s="663"/>
      <c r="DW831" s="663"/>
      <c r="DX831" s="663"/>
      <c r="DY831" s="663"/>
      <c r="DZ831" s="663"/>
      <c r="EA831" s="663"/>
      <c r="EB831" s="663"/>
      <c r="EC831" s="663"/>
      <c r="ED831" s="663"/>
    </row>
    <row r="832" spans="12:134">
      <c r="L832" s="347">
        <v>304.10000000000002</v>
      </c>
      <c r="M832" s="347" t="s">
        <v>343</v>
      </c>
      <c r="AB832" s="347">
        <v>105.02</v>
      </c>
      <c r="AC832" s="347" t="s">
        <v>310</v>
      </c>
      <c r="AD832" s="1138"/>
      <c r="AP832" s="347">
        <v>102.12</v>
      </c>
      <c r="AQ832" s="347" t="s">
        <v>337</v>
      </c>
      <c r="BF832" s="347">
        <v>78.37</v>
      </c>
      <c r="BG832" s="347" t="s">
        <v>361</v>
      </c>
      <c r="BH832" s="1790"/>
      <c r="BN832" s="237">
        <v>6</v>
      </c>
      <c r="BO832" s="237" t="s">
        <v>318</v>
      </c>
      <c r="BT832" s="347">
        <v>71.03</v>
      </c>
      <c r="BU832" s="347" t="s">
        <v>337</v>
      </c>
      <c r="CD832" s="237">
        <v>25.03</v>
      </c>
      <c r="CE832" s="237" t="s">
        <v>350</v>
      </c>
      <c r="CJ832" s="347">
        <v>78.45</v>
      </c>
      <c r="CK832" s="347" t="s">
        <v>361</v>
      </c>
      <c r="CL832" s="1789"/>
      <c r="CR832" s="345"/>
      <c r="CS832" s="345"/>
      <c r="CX832" s="347"/>
      <c r="CY832" s="347"/>
      <c r="DH832" s="237"/>
      <c r="DI832" s="237"/>
      <c r="DN832" s="347"/>
      <c r="DO832" s="347"/>
      <c r="DP832" s="2505"/>
      <c r="DT832" s="663"/>
      <c r="DU832" s="663"/>
      <c r="DV832" s="663"/>
      <c r="DW832" s="663"/>
      <c r="DX832" s="663"/>
      <c r="DY832" s="663"/>
      <c r="DZ832" s="663"/>
      <c r="EA832" s="663"/>
      <c r="EB832" s="663"/>
      <c r="EC832" s="663"/>
      <c r="ED832" s="663"/>
    </row>
    <row r="833" spans="12:134">
      <c r="L833" s="347">
        <v>307.01</v>
      </c>
      <c r="M833" s="347" t="s">
        <v>343</v>
      </c>
      <c r="AB833" s="347">
        <v>105.02</v>
      </c>
      <c r="AC833" s="347" t="s">
        <v>365</v>
      </c>
      <c r="AD833" s="1138"/>
      <c r="AP833" s="347">
        <v>102.15</v>
      </c>
      <c r="AQ833" s="347" t="s">
        <v>337</v>
      </c>
      <c r="BF833" s="347">
        <v>78.38</v>
      </c>
      <c r="BG833" s="347" t="s">
        <v>361</v>
      </c>
      <c r="BH833" s="1790"/>
      <c r="BN833" s="237">
        <v>7</v>
      </c>
      <c r="BO833" s="237" t="s">
        <v>318</v>
      </c>
      <c r="BT833" s="347">
        <v>72</v>
      </c>
      <c r="BU833" s="347" t="s">
        <v>337</v>
      </c>
      <c r="CD833" s="237">
        <v>25.04</v>
      </c>
      <c r="CE833" s="237" t="s">
        <v>350</v>
      </c>
      <c r="CJ833" s="347">
        <v>78.459999999999994</v>
      </c>
      <c r="CK833" s="347" t="s">
        <v>361</v>
      </c>
      <c r="CL833" s="1789"/>
      <c r="CR833" s="345"/>
      <c r="CS833" s="345"/>
      <c r="CX833" s="347"/>
      <c r="CY833" s="347"/>
      <c r="DH833" s="237"/>
      <c r="DI833" s="237"/>
      <c r="DN833" s="347"/>
      <c r="DO833" s="347"/>
      <c r="DP833" s="2505"/>
      <c r="DT833" s="663"/>
      <c r="DU833" s="663"/>
      <c r="DV833" s="663"/>
      <c r="DW833" s="663"/>
      <c r="DX833" s="663"/>
      <c r="DY833" s="663"/>
      <c r="DZ833" s="663"/>
      <c r="EA833" s="663"/>
      <c r="EB833" s="663"/>
      <c r="EC833" s="663"/>
      <c r="ED833" s="663"/>
    </row>
    <row r="834" spans="12:134">
      <c r="L834" s="347">
        <v>307.02</v>
      </c>
      <c r="M834" s="347" t="s">
        <v>343</v>
      </c>
      <c r="AB834" s="347">
        <v>105.03</v>
      </c>
      <c r="AC834" s="347" t="s">
        <v>310</v>
      </c>
      <c r="AD834" s="1138"/>
      <c r="AP834" s="347">
        <v>102.16</v>
      </c>
      <c r="AQ834" s="347" t="s">
        <v>337</v>
      </c>
      <c r="BF834" s="347">
        <v>78.42</v>
      </c>
      <c r="BG834" s="347" t="s">
        <v>361</v>
      </c>
      <c r="BH834" s="1790"/>
      <c r="BN834" s="237">
        <v>101.02</v>
      </c>
      <c r="BO834" s="237" t="s">
        <v>318</v>
      </c>
      <c r="BT834" s="347">
        <v>73</v>
      </c>
      <c r="BU834" s="347" t="s">
        <v>337</v>
      </c>
      <c r="CD834" s="237">
        <v>25.04</v>
      </c>
      <c r="CE834" s="237" t="s">
        <v>368</v>
      </c>
      <c r="CJ834" s="347">
        <v>78.47</v>
      </c>
      <c r="CK834" s="347" t="s">
        <v>361</v>
      </c>
      <c r="CL834" s="1789"/>
      <c r="CR834" s="345"/>
      <c r="CS834" s="345"/>
      <c r="CX834" s="347"/>
      <c r="CY834" s="347"/>
      <c r="DH834" s="237"/>
      <c r="DI834" s="237"/>
      <c r="DN834" s="347"/>
      <c r="DO834" s="347"/>
      <c r="DP834" s="2505"/>
      <c r="DT834" s="663"/>
      <c r="DU834" s="663"/>
      <c r="DV834" s="663"/>
      <c r="DW834" s="663"/>
      <c r="DX834" s="663"/>
      <c r="DY834" s="663"/>
      <c r="DZ834" s="663"/>
      <c r="EA834" s="663"/>
      <c r="EB834" s="663"/>
      <c r="EC834" s="663"/>
      <c r="ED834" s="663"/>
    </row>
    <row r="835" spans="12:134">
      <c r="L835" s="347">
        <v>308.04000000000002</v>
      </c>
      <c r="M835" s="347" t="s">
        <v>343</v>
      </c>
      <c r="AB835" s="347">
        <v>105.04</v>
      </c>
      <c r="AC835" s="347" t="s">
        <v>310</v>
      </c>
      <c r="AD835" s="1138"/>
      <c r="AP835" s="347">
        <v>102.17</v>
      </c>
      <c r="AQ835" s="347" t="s">
        <v>337</v>
      </c>
      <c r="BF835" s="347">
        <v>78.430000000000007</v>
      </c>
      <c r="BG835" s="347" t="s">
        <v>361</v>
      </c>
      <c r="BH835" s="1790"/>
      <c r="BN835" s="237">
        <v>101.07</v>
      </c>
      <c r="BO835" s="237" t="s">
        <v>318</v>
      </c>
      <c r="BT835" s="347">
        <v>101.05</v>
      </c>
      <c r="BU835" s="347" t="s">
        <v>337</v>
      </c>
      <c r="CD835" s="237">
        <v>25.05</v>
      </c>
      <c r="CE835" s="237" t="s">
        <v>345</v>
      </c>
      <c r="CJ835" s="347">
        <v>78.48</v>
      </c>
      <c r="CK835" s="347" t="s">
        <v>361</v>
      </c>
      <c r="CL835" s="1789"/>
      <c r="CR835" s="345"/>
      <c r="CS835" s="345"/>
      <c r="CX835" s="347"/>
      <c r="CY835" s="347"/>
      <c r="DH835" s="237"/>
      <c r="DI835" s="237"/>
      <c r="DN835" s="347"/>
      <c r="DO835" s="347"/>
      <c r="DP835" s="2505"/>
      <c r="DT835" s="663"/>
      <c r="DU835" s="663"/>
      <c r="DV835" s="663"/>
      <c r="DW835" s="663"/>
      <c r="DX835" s="663"/>
      <c r="DY835" s="663"/>
      <c r="DZ835" s="663"/>
      <c r="EA835" s="663"/>
      <c r="EB835" s="663"/>
      <c r="EC835" s="663"/>
      <c r="ED835" s="663"/>
    </row>
    <row r="836" spans="12:134">
      <c r="L836" s="347">
        <v>309.02</v>
      </c>
      <c r="M836" s="347" t="s">
        <v>343</v>
      </c>
      <c r="AB836" s="347">
        <v>105.04</v>
      </c>
      <c r="AC836" s="347" t="s">
        <v>367</v>
      </c>
      <c r="AD836" s="1138"/>
      <c r="AP836" s="347">
        <v>102.18</v>
      </c>
      <c r="AQ836" s="347" t="s">
        <v>337</v>
      </c>
      <c r="BF836" s="347">
        <v>78.44</v>
      </c>
      <c r="BG836" s="347" t="s">
        <v>361</v>
      </c>
      <c r="BH836" s="1790"/>
      <c r="BN836" s="237">
        <v>101.08</v>
      </c>
      <c r="BO836" s="237" t="s">
        <v>318</v>
      </c>
      <c r="BT836" s="347">
        <v>101.06</v>
      </c>
      <c r="BU836" s="347" t="s">
        <v>337</v>
      </c>
      <c r="CD836" s="237">
        <v>25.05</v>
      </c>
      <c r="CE836" s="237" t="s">
        <v>350</v>
      </c>
      <c r="CJ836" s="347">
        <v>78.489999999999995</v>
      </c>
      <c r="CK836" s="347" t="s">
        <v>361</v>
      </c>
      <c r="CL836" s="1789"/>
      <c r="CR836" s="345"/>
      <c r="CS836" s="345"/>
      <c r="CX836" s="347"/>
      <c r="CY836" s="347"/>
      <c r="DH836" s="237"/>
      <c r="DI836" s="237"/>
      <c r="DN836" s="347"/>
      <c r="DO836" s="347"/>
      <c r="DP836" s="2505"/>
      <c r="DT836" s="663"/>
      <c r="DU836" s="663"/>
      <c r="DV836" s="663"/>
      <c r="DW836" s="663"/>
      <c r="DX836" s="663"/>
      <c r="DY836" s="663"/>
      <c r="DZ836" s="663"/>
      <c r="EA836" s="663"/>
      <c r="EB836" s="663"/>
      <c r="EC836" s="663"/>
      <c r="ED836" s="663"/>
    </row>
    <row r="837" spans="12:134">
      <c r="L837" s="347">
        <v>309.12</v>
      </c>
      <c r="M837" s="347" t="s">
        <v>343</v>
      </c>
      <c r="AB837" s="347">
        <v>105.09</v>
      </c>
      <c r="AC837" s="347" t="s">
        <v>318</v>
      </c>
      <c r="AD837" s="1138"/>
      <c r="AP837" s="347">
        <v>106</v>
      </c>
      <c r="AQ837" s="347" t="s">
        <v>337</v>
      </c>
      <c r="BF837" s="347">
        <v>78.45</v>
      </c>
      <c r="BG837" s="347" t="s">
        <v>361</v>
      </c>
      <c r="BH837" s="1790"/>
      <c r="BN837" s="237">
        <v>101.09</v>
      </c>
      <c r="BO837" s="237" t="s">
        <v>318</v>
      </c>
      <c r="BT837" s="347">
        <v>101.08</v>
      </c>
      <c r="BU837" s="347" t="s">
        <v>337</v>
      </c>
      <c r="CD837" s="237">
        <v>25.05</v>
      </c>
      <c r="CE837" s="237" t="s">
        <v>368</v>
      </c>
      <c r="CJ837" s="347">
        <v>78.5</v>
      </c>
      <c r="CK837" s="347" t="s">
        <v>361</v>
      </c>
      <c r="CL837" s="1789"/>
      <c r="CR837" s="345"/>
      <c r="CS837" s="345"/>
      <c r="CX837" s="347"/>
      <c r="CY837" s="347"/>
      <c r="DH837" s="237"/>
      <c r="DI837" s="237"/>
      <c r="DN837" s="347"/>
      <c r="DO837" s="347"/>
      <c r="DP837" s="2505"/>
      <c r="DT837" s="663"/>
      <c r="DU837" s="663"/>
      <c r="DV837" s="663"/>
      <c r="DW837" s="663"/>
      <c r="DX837" s="663"/>
      <c r="DY837" s="663"/>
      <c r="DZ837" s="663"/>
      <c r="EA837" s="663"/>
      <c r="EB837" s="663"/>
      <c r="EC837" s="663"/>
      <c r="ED837" s="663"/>
    </row>
    <row r="838" spans="12:134">
      <c r="L838" s="347">
        <v>309.13</v>
      </c>
      <c r="M838" s="347" t="s">
        <v>343</v>
      </c>
      <c r="AB838" s="347">
        <v>106</v>
      </c>
      <c r="AC838" s="347" t="s">
        <v>323</v>
      </c>
      <c r="AD838" s="1138"/>
      <c r="AP838" s="347">
        <v>107.01</v>
      </c>
      <c r="AQ838" s="347" t="s">
        <v>337</v>
      </c>
      <c r="BF838" s="347">
        <v>78.459999999999994</v>
      </c>
      <c r="BG838" s="347" t="s">
        <v>361</v>
      </c>
      <c r="BH838" s="1790"/>
      <c r="BN838" s="237">
        <v>101.1</v>
      </c>
      <c r="BO838" s="237" t="s">
        <v>318</v>
      </c>
      <c r="BT838" s="347">
        <v>102.1</v>
      </c>
      <c r="BU838" s="347" t="s">
        <v>337</v>
      </c>
      <c r="CD838" s="237">
        <v>25.06</v>
      </c>
      <c r="CE838" s="237" t="s">
        <v>350</v>
      </c>
      <c r="CJ838" s="347">
        <v>78.53</v>
      </c>
      <c r="CK838" s="347" t="s">
        <v>361</v>
      </c>
      <c r="CL838" s="1789"/>
      <c r="CR838" s="345"/>
      <c r="CS838" s="345"/>
      <c r="CX838" s="347"/>
      <c r="CY838" s="347"/>
      <c r="DH838" s="237"/>
      <c r="DI838" s="237"/>
      <c r="DN838" s="347"/>
      <c r="DO838" s="347"/>
      <c r="DP838" s="2505"/>
      <c r="DT838" s="663"/>
      <c r="DU838" s="663"/>
      <c r="DV838" s="663"/>
      <c r="DW838" s="663"/>
      <c r="DX838" s="663"/>
      <c r="DY838" s="663"/>
      <c r="DZ838" s="663"/>
      <c r="EA838" s="663"/>
      <c r="EB838" s="663"/>
      <c r="EC838" s="663"/>
      <c r="ED838" s="663"/>
    </row>
    <row r="839" spans="12:134">
      <c r="L839" s="347">
        <v>309.14</v>
      </c>
      <c r="M839" s="347" t="s">
        <v>343</v>
      </c>
      <c r="AB839" s="347">
        <v>106</v>
      </c>
      <c r="AC839" s="347" t="s">
        <v>337</v>
      </c>
      <c r="AD839" s="1138"/>
      <c r="AP839" s="347">
        <v>107.02</v>
      </c>
      <c r="AQ839" s="347" t="s">
        <v>337</v>
      </c>
      <c r="BF839" s="347">
        <v>78.47</v>
      </c>
      <c r="BG839" s="347" t="s">
        <v>361</v>
      </c>
      <c r="BH839" s="1790"/>
      <c r="BN839" s="237">
        <v>101.11</v>
      </c>
      <c r="BO839" s="237" t="s">
        <v>318</v>
      </c>
      <c r="BT839" s="347">
        <v>102.11</v>
      </c>
      <c r="BU839" s="347" t="s">
        <v>337</v>
      </c>
      <c r="CD839" s="237">
        <v>25.07</v>
      </c>
      <c r="CE839" s="237" t="s">
        <v>345</v>
      </c>
      <c r="CJ839" s="347">
        <v>79.010000000000005</v>
      </c>
      <c r="CK839" s="347" t="s">
        <v>352</v>
      </c>
      <c r="CL839" s="1789"/>
      <c r="CR839" s="345"/>
      <c r="CS839" s="345"/>
      <c r="CX839" s="347"/>
      <c r="CY839" s="347"/>
      <c r="DH839" s="237"/>
      <c r="DI839" s="237"/>
      <c r="DN839" s="347"/>
      <c r="DO839" s="347"/>
      <c r="DP839" s="2505"/>
      <c r="DT839" s="663"/>
      <c r="DU839" s="663"/>
      <c r="DV839" s="663"/>
      <c r="DW839" s="663"/>
      <c r="DX839" s="663"/>
      <c r="DY839" s="663"/>
      <c r="DZ839" s="663"/>
      <c r="EA839" s="663"/>
      <c r="EB839" s="663"/>
      <c r="EC839" s="663"/>
      <c r="ED839" s="663"/>
    </row>
    <row r="840" spans="12:134">
      <c r="L840" s="347">
        <v>310</v>
      </c>
      <c r="M840" s="347" t="s">
        <v>343</v>
      </c>
      <c r="AB840" s="347">
        <v>106.01</v>
      </c>
      <c r="AC840" s="347" t="s">
        <v>310</v>
      </c>
      <c r="AD840" s="1138"/>
      <c r="AP840" s="347">
        <v>108.1</v>
      </c>
      <c r="AQ840" s="347" t="s">
        <v>337</v>
      </c>
      <c r="BF840" s="347">
        <v>78.48</v>
      </c>
      <c r="BG840" s="347" t="s">
        <v>361</v>
      </c>
      <c r="BH840" s="1790"/>
      <c r="BN840" s="237">
        <v>101.12</v>
      </c>
      <c r="BO840" s="237" t="s">
        <v>318</v>
      </c>
      <c r="BT840" s="347">
        <v>102.12</v>
      </c>
      <c r="BU840" s="347" t="s">
        <v>337</v>
      </c>
      <c r="CD840" s="237">
        <v>25.07</v>
      </c>
      <c r="CE840" s="237" t="s">
        <v>350</v>
      </c>
      <c r="CJ840" s="347">
        <v>79.02</v>
      </c>
      <c r="CK840" s="347" t="s">
        <v>352</v>
      </c>
      <c r="CL840" s="1789"/>
      <c r="CR840" s="345"/>
      <c r="CS840" s="345"/>
      <c r="CX840" s="347"/>
      <c r="CY840" s="347"/>
      <c r="DH840" s="237"/>
      <c r="DI840" s="237"/>
      <c r="DN840" s="347"/>
      <c r="DO840" s="347"/>
      <c r="DP840" s="2505"/>
      <c r="DT840" s="663"/>
      <c r="DU840" s="663"/>
      <c r="DV840" s="663"/>
      <c r="DW840" s="663"/>
      <c r="DX840" s="663"/>
      <c r="DY840" s="663"/>
      <c r="DZ840" s="663"/>
      <c r="EA840" s="663"/>
      <c r="EB840" s="663"/>
      <c r="EC840" s="663"/>
      <c r="ED840" s="663"/>
    </row>
    <row r="841" spans="12:134">
      <c r="L841" s="347">
        <v>311.02</v>
      </c>
      <c r="M841" s="347" t="s">
        <v>343</v>
      </c>
      <c r="AB841" s="347">
        <v>106.01</v>
      </c>
      <c r="AC841" s="347" t="s">
        <v>344</v>
      </c>
      <c r="AD841" s="1138"/>
      <c r="AP841" s="347">
        <v>108.11</v>
      </c>
      <c r="AQ841" s="347" t="s">
        <v>337</v>
      </c>
      <c r="BF841" s="347">
        <v>78.5</v>
      </c>
      <c r="BG841" s="347" t="s">
        <v>361</v>
      </c>
      <c r="BH841" s="1790"/>
      <c r="BN841" s="237">
        <v>101.13</v>
      </c>
      <c r="BO841" s="237" t="s">
        <v>318</v>
      </c>
      <c r="BT841" s="347">
        <v>102.15</v>
      </c>
      <c r="BU841" s="347" t="s">
        <v>337</v>
      </c>
      <c r="CD841" s="237">
        <v>25.07</v>
      </c>
      <c r="CE841" s="237" t="s">
        <v>368</v>
      </c>
      <c r="CJ841" s="347">
        <v>79.09</v>
      </c>
      <c r="CK841" s="347" t="s">
        <v>361</v>
      </c>
      <c r="CL841" s="1789"/>
      <c r="CR841" s="345"/>
      <c r="CS841" s="345"/>
      <c r="CX841" s="347"/>
      <c r="CY841" s="347"/>
      <c r="DH841" s="237"/>
      <c r="DI841" s="237"/>
      <c r="DN841" s="347"/>
      <c r="DO841" s="347"/>
      <c r="DP841" s="2505"/>
      <c r="DT841" s="663"/>
      <c r="DU841" s="663"/>
      <c r="DV841" s="663"/>
      <c r="DW841" s="663"/>
      <c r="DX841" s="663"/>
      <c r="DY841" s="663"/>
      <c r="DZ841" s="663"/>
      <c r="EA841" s="663"/>
      <c r="EB841" s="663"/>
      <c r="EC841" s="663"/>
      <c r="ED841" s="663"/>
    </row>
    <row r="842" spans="12:134">
      <c r="L842" s="347">
        <v>311.02999999999997</v>
      </c>
      <c r="M842" s="347" t="s">
        <v>343</v>
      </c>
      <c r="AB842" s="347">
        <v>106.01</v>
      </c>
      <c r="AC842" s="347" t="s">
        <v>365</v>
      </c>
      <c r="AD842" s="1138"/>
      <c r="AP842" s="347">
        <v>108.19</v>
      </c>
      <c r="AQ842" s="347" t="s">
        <v>337</v>
      </c>
      <c r="BF842" s="347">
        <v>78.53</v>
      </c>
      <c r="BG842" s="347" t="s">
        <v>361</v>
      </c>
      <c r="BH842" s="1790"/>
      <c r="BN842" s="237">
        <v>101.14</v>
      </c>
      <c r="BO842" s="237" t="s">
        <v>318</v>
      </c>
      <c r="BT842" s="347">
        <v>102.16</v>
      </c>
      <c r="BU842" s="347" t="s">
        <v>337</v>
      </c>
      <c r="CD842" s="237">
        <v>25.08</v>
      </c>
      <c r="CE842" s="237" t="s">
        <v>368</v>
      </c>
      <c r="CJ842" s="347">
        <v>79.13</v>
      </c>
      <c r="CK842" s="347" t="s">
        <v>361</v>
      </c>
      <c r="CL842" s="1789"/>
      <c r="CR842" s="345"/>
      <c r="CS842" s="345"/>
      <c r="CX842" s="347"/>
      <c r="CY842" s="347"/>
      <c r="DH842" s="237"/>
      <c r="DI842" s="237"/>
      <c r="DN842" s="347"/>
      <c r="DO842" s="347"/>
      <c r="DP842" s="2505"/>
      <c r="DT842" s="663"/>
      <c r="DU842" s="663"/>
      <c r="DV842" s="663"/>
      <c r="DW842" s="663"/>
      <c r="DX842" s="663"/>
      <c r="DY842" s="663"/>
      <c r="DZ842" s="663"/>
      <c r="EA842" s="663"/>
      <c r="EB842" s="663"/>
      <c r="EC842" s="663"/>
      <c r="ED842" s="663"/>
    </row>
    <row r="843" spans="12:134">
      <c r="L843" s="347">
        <v>312.02</v>
      </c>
      <c r="M843" s="347" t="s">
        <v>343</v>
      </c>
      <c r="AB843" s="347">
        <v>106.03</v>
      </c>
      <c r="AC843" s="347" t="s">
        <v>310</v>
      </c>
      <c r="AD843" s="1138"/>
      <c r="AP843" s="347">
        <v>108.24</v>
      </c>
      <c r="AQ843" s="347" t="s">
        <v>337</v>
      </c>
      <c r="BF843" s="347">
        <v>79.010000000000005</v>
      </c>
      <c r="BG843" s="347" t="s">
        <v>352</v>
      </c>
      <c r="BH843" s="1790"/>
      <c r="BN843" s="237">
        <v>102.05</v>
      </c>
      <c r="BO843" s="237" t="s">
        <v>318</v>
      </c>
      <c r="BT843" s="347">
        <v>102.17</v>
      </c>
      <c r="BU843" s="347" t="s">
        <v>337</v>
      </c>
      <c r="CD843" s="237">
        <v>25.09</v>
      </c>
      <c r="CE843" s="237" t="s">
        <v>345</v>
      </c>
      <c r="CJ843" s="347">
        <v>79.150000000000006</v>
      </c>
      <c r="CK843" s="347" t="s">
        <v>361</v>
      </c>
      <c r="CL843" s="1789"/>
      <c r="CR843" s="345"/>
      <c r="CS843" s="345"/>
      <c r="CX843" s="347"/>
      <c r="CY843" s="347"/>
      <c r="DH843" s="237"/>
      <c r="DI843" s="237"/>
      <c r="DN843" s="347"/>
      <c r="DO843" s="347"/>
      <c r="DP843" s="2505"/>
      <c r="DT843" s="663"/>
      <c r="DU843" s="663"/>
      <c r="DV843" s="663"/>
      <c r="DW843" s="663"/>
      <c r="DX843" s="663"/>
      <c r="DY843" s="663"/>
      <c r="DZ843" s="663"/>
      <c r="EA843" s="663"/>
      <c r="EB843" s="663"/>
      <c r="EC843" s="663"/>
      <c r="ED843" s="663"/>
    </row>
    <row r="844" spans="12:134">
      <c r="L844" s="347">
        <v>313.01</v>
      </c>
      <c r="M844" s="347" t="s">
        <v>343</v>
      </c>
      <c r="AB844" s="347">
        <v>106.03</v>
      </c>
      <c r="AC844" s="347" t="s">
        <v>365</v>
      </c>
      <c r="AD844" s="1138"/>
      <c r="AP844" s="347">
        <v>110.05</v>
      </c>
      <c r="AQ844" s="347" t="s">
        <v>337</v>
      </c>
      <c r="BF844" s="347">
        <v>79.02</v>
      </c>
      <c r="BG844" s="347" t="s">
        <v>352</v>
      </c>
      <c r="BH844" s="1790"/>
      <c r="BN844" s="237">
        <v>102.08</v>
      </c>
      <c r="BO844" s="237" t="s">
        <v>318</v>
      </c>
      <c r="BT844" s="347">
        <v>102.18</v>
      </c>
      <c r="BU844" s="347" t="s">
        <v>337</v>
      </c>
      <c r="CD844" s="237">
        <v>25.09</v>
      </c>
      <c r="CE844" s="237" t="s">
        <v>368</v>
      </c>
      <c r="CJ844" s="347">
        <v>79.16</v>
      </c>
      <c r="CK844" s="347" t="s">
        <v>361</v>
      </c>
      <c r="CL844" s="1789"/>
      <c r="CR844" s="345"/>
      <c r="CS844" s="345"/>
      <c r="CX844" s="347"/>
      <c r="CY844" s="347"/>
      <c r="DH844" s="237"/>
      <c r="DI844" s="237"/>
      <c r="DN844" s="347"/>
      <c r="DO844" s="347"/>
      <c r="DP844" s="2505"/>
      <c r="DT844" s="663"/>
      <c r="DU844" s="663"/>
      <c r="DV844" s="663"/>
      <c r="DW844" s="663"/>
      <c r="DX844" s="663"/>
      <c r="DY844" s="663"/>
      <c r="DZ844" s="663"/>
      <c r="EA844" s="663"/>
      <c r="EB844" s="663"/>
      <c r="EC844" s="663"/>
      <c r="ED844" s="663"/>
    </row>
    <row r="845" spans="12:134">
      <c r="L845" s="347">
        <v>313.05</v>
      </c>
      <c r="M845" s="347" t="s">
        <v>343</v>
      </c>
      <c r="AB845" s="347">
        <v>106.04</v>
      </c>
      <c r="AC845" s="347" t="s">
        <v>310</v>
      </c>
      <c r="AD845" s="1138"/>
      <c r="AP845" s="347">
        <v>110.06</v>
      </c>
      <c r="AQ845" s="347" t="s">
        <v>337</v>
      </c>
      <c r="BF845" s="347">
        <v>79.09</v>
      </c>
      <c r="BG845" s="347" t="s">
        <v>361</v>
      </c>
      <c r="BH845" s="1790"/>
      <c r="BN845" s="237">
        <v>102.09</v>
      </c>
      <c r="BO845" s="237" t="s">
        <v>318</v>
      </c>
      <c r="BT845" s="347">
        <v>103.04</v>
      </c>
      <c r="BU845" s="347" t="s">
        <v>337</v>
      </c>
      <c r="CD845" s="237">
        <v>25.1</v>
      </c>
      <c r="CE845" s="237" t="s">
        <v>368</v>
      </c>
      <c r="CJ845" s="347">
        <v>79.17</v>
      </c>
      <c r="CK845" s="347" t="s">
        <v>361</v>
      </c>
      <c r="CL845" s="1789"/>
      <c r="CR845" s="345"/>
      <c r="CS845" s="345"/>
      <c r="CX845" s="347"/>
      <c r="CY845" s="347"/>
      <c r="DH845" s="237"/>
      <c r="DI845" s="237"/>
      <c r="DN845" s="347"/>
      <c r="DO845" s="347"/>
      <c r="DP845" s="2505"/>
      <c r="DT845" s="663"/>
      <c r="DU845" s="663"/>
      <c r="DV845" s="663"/>
      <c r="DW845" s="663"/>
      <c r="DX845" s="663"/>
      <c r="DY845" s="663"/>
      <c r="DZ845" s="663"/>
      <c r="EA845" s="663"/>
      <c r="EB845" s="663"/>
      <c r="EC845" s="663"/>
      <c r="ED845" s="663"/>
    </row>
    <row r="846" spans="12:134">
      <c r="L846" s="347">
        <v>313.06</v>
      </c>
      <c r="M846" s="347" t="s">
        <v>343</v>
      </c>
      <c r="AB846" s="347">
        <v>106.04</v>
      </c>
      <c r="AC846" s="347" t="s">
        <v>352</v>
      </c>
      <c r="AD846" s="1138"/>
      <c r="AP846" s="347">
        <v>110.07</v>
      </c>
      <c r="AQ846" s="347" t="s">
        <v>337</v>
      </c>
      <c r="BF846" s="347">
        <v>79.16</v>
      </c>
      <c r="BG846" s="347" t="s">
        <v>361</v>
      </c>
      <c r="BH846" s="1790"/>
      <c r="BN846" s="237">
        <v>102.1</v>
      </c>
      <c r="BO846" s="237" t="s">
        <v>318</v>
      </c>
      <c r="BT846" s="347">
        <v>104.01</v>
      </c>
      <c r="BU846" s="347" t="s">
        <v>337</v>
      </c>
      <c r="CD846" s="237">
        <v>25.11</v>
      </c>
      <c r="CE846" s="237" t="s">
        <v>345</v>
      </c>
      <c r="CJ846" s="347">
        <v>79.180000000000007</v>
      </c>
      <c r="CK846" s="347" t="s">
        <v>361</v>
      </c>
      <c r="CL846" s="1789"/>
      <c r="CR846" s="345"/>
      <c r="CS846" s="345"/>
      <c r="CX846" s="347"/>
      <c r="CY846" s="347"/>
      <c r="DH846" s="237"/>
      <c r="DI846" s="237"/>
      <c r="DN846" s="347"/>
      <c r="DO846" s="347"/>
      <c r="DP846" s="2505"/>
      <c r="DT846" s="663"/>
      <c r="DU846" s="663"/>
      <c r="DV846" s="663"/>
      <c r="DW846" s="663"/>
      <c r="DX846" s="663"/>
      <c r="DY846" s="663"/>
      <c r="DZ846" s="663"/>
      <c r="EA846" s="663"/>
      <c r="EB846" s="663"/>
      <c r="EC846" s="663"/>
      <c r="ED846" s="663"/>
    </row>
    <row r="847" spans="12:134">
      <c r="L847" s="347">
        <v>313.07</v>
      </c>
      <c r="M847" s="347" t="s">
        <v>343</v>
      </c>
      <c r="AB847" s="347">
        <v>106.04</v>
      </c>
      <c r="AC847" s="347" t="s">
        <v>365</v>
      </c>
      <c r="AD847" s="1138"/>
      <c r="AP847" s="347">
        <v>110.08</v>
      </c>
      <c r="AQ847" s="347" t="s">
        <v>337</v>
      </c>
      <c r="BF847" s="347">
        <v>79.17</v>
      </c>
      <c r="BG847" s="347" t="s">
        <v>361</v>
      </c>
      <c r="BH847" s="1790"/>
      <c r="BN847" s="237">
        <v>102.11</v>
      </c>
      <c r="BO847" s="237" t="s">
        <v>318</v>
      </c>
      <c r="BT847" s="347">
        <v>106</v>
      </c>
      <c r="BU847" s="347" t="s">
        <v>337</v>
      </c>
      <c r="CD847" s="237">
        <v>25.11</v>
      </c>
      <c r="CE847" s="237" t="s">
        <v>368</v>
      </c>
      <c r="CJ847" s="347">
        <v>79.19</v>
      </c>
      <c r="CK847" s="347" t="s">
        <v>361</v>
      </c>
      <c r="CL847" s="1789"/>
      <c r="CR847" s="345"/>
      <c r="CS847" s="345"/>
      <c r="CX847" s="347"/>
      <c r="CY847" s="347"/>
      <c r="DH847" s="237"/>
      <c r="DI847" s="237"/>
      <c r="DN847" s="347"/>
      <c r="DO847" s="347"/>
      <c r="DP847" s="2505"/>
      <c r="DT847" s="663"/>
      <c r="DU847" s="663"/>
      <c r="DV847" s="663"/>
      <c r="DW847" s="663"/>
      <c r="DX847" s="663"/>
      <c r="DY847" s="663"/>
      <c r="DZ847" s="663"/>
      <c r="EA847" s="663"/>
      <c r="EB847" s="663"/>
      <c r="EC847" s="663"/>
      <c r="ED847" s="663"/>
    </row>
    <row r="848" spans="12:134">
      <c r="L848" s="347">
        <v>313.08</v>
      </c>
      <c r="M848" s="347" t="s">
        <v>343</v>
      </c>
      <c r="AB848" s="347">
        <v>106.05</v>
      </c>
      <c r="AC848" s="347" t="s">
        <v>310</v>
      </c>
      <c r="AD848" s="1138"/>
      <c r="AP848" s="347">
        <v>110.1</v>
      </c>
      <c r="AQ848" s="347" t="s">
        <v>337</v>
      </c>
      <c r="BF848" s="347">
        <v>79.19</v>
      </c>
      <c r="BG848" s="347" t="s">
        <v>361</v>
      </c>
      <c r="BH848" s="1790"/>
      <c r="BN848" s="237">
        <v>102.13</v>
      </c>
      <c r="BO848" s="237" t="s">
        <v>318</v>
      </c>
      <c r="BT848" s="347">
        <v>107.01</v>
      </c>
      <c r="BU848" s="347" t="s">
        <v>337</v>
      </c>
      <c r="CD848" s="237">
        <v>25.12</v>
      </c>
      <c r="CE848" s="237" t="s">
        <v>345</v>
      </c>
      <c r="CJ848" s="347">
        <v>80</v>
      </c>
      <c r="CK848" s="347" t="s">
        <v>352</v>
      </c>
      <c r="CL848" s="1789"/>
      <c r="CR848" s="345"/>
      <c r="CS848" s="345"/>
      <c r="CX848" s="347"/>
      <c r="CY848" s="347"/>
      <c r="DH848" s="237"/>
      <c r="DI848" s="237"/>
      <c r="DN848" s="347"/>
      <c r="DO848" s="347"/>
      <c r="DP848" s="2505"/>
      <c r="DT848" s="663"/>
      <c r="DU848" s="663"/>
      <c r="DX848" s="663"/>
      <c r="DY848" s="663"/>
      <c r="DZ848" s="663"/>
      <c r="EA848" s="663"/>
      <c r="EB848" s="663"/>
      <c r="EC848" s="663"/>
      <c r="ED848" s="663"/>
    </row>
    <row r="849" spans="12:134">
      <c r="L849" s="347">
        <v>313.08999999999997</v>
      </c>
      <c r="M849" s="347" t="s">
        <v>343</v>
      </c>
      <c r="AB849" s="347">
        <v>106.06</v>
      </c>
      <c r="AC849" s="347" t="s">
        <v>310</v>
      </c>
      <c r="AD849" s="1138"/>
      <c r="AP849" s="347">
        <v>110.13</v>
      </c>
      <c r="AQ849" s="347" t="s">
        <v>337</v>
      </c>
      <c r="BF849" s="347">
        <v>80</v>
      </c>
      <c r="BG849" s="347" t="s">
        <v>352</v>
      </c>
      <c r="BH849" s="1790"/>
      <c r="BN849" s="237">
        <v>102.15</v>
      </c>
      <c r="BO849" s="237" t="s">
        <v>318</v>
      </c>
      <c r="BT849" s="347">
        <v>107.02</v>
      </c>
      <c r="BU849" s="347" t="s">
        <v>337</v>
      </c>
      <c r="CD849" s="237">
        <v>25.13</v>
      </c>
      <c r="CE849" s="237" t="s">
        <v>345</v>
      </c>
      <c r="CJ849" s="347">
        <v>81.02</v>
      </c>
      <c r="CK849" s="347" t="s">
        <v>352</v>
      </c>
      <c r="CL849" s="1789"/>
      <c r="CR849" s="345"/>
      <c r="CS849" s="345"/>
      <c r="CX849" s="347"/>
      <c r="CY849" s="347"/>
      <c r="DH849" s="237"/>
      <c r="DI849" s="237"/>
      <c r="DN849" s="347"/>
      <c r="DO849" s="347"/>
      <c r="DP849" s="2505"/>
      <c r="DT849" s="663"/>
      <c r="DY849" s="663"/>
      <c r="DZ849" s="663"/>
      <c r="EA849" s="663"/>
      <c r="EB849" s="663"/>
      <c r="EC849" s="663"/>
      <c r="ED849" s="663"/>
    </row>
    <row r="850" spans="12:134">
      <c r="L850" s="347">
        <v>313.10000000000002</v>
      </c>
      <c r="M850" s="347" t="s">
        <v>343</v>
      </c>
      <c r="AB850" s="347">
        <v>106.06</v>
      </c>
      <c r="AC850" s="347" t="s">
        <v>318</v>
      </c>
      <c r="AD850" s="1138"/>
      <c r="AP850" s="347">
        <v>110.16</v>
      </c>
      <c r="AQ850" s="347" t="s">
        <v>337</v>
      </c>
      <c r="BF850" s="347">
        <v>81.010000000000005</v>
      </c>
      <c r="BG850" s="347" t="s">
        <v>352</v>
      </c>
      <c r="BH850" s="1790"/>
      <c r="BN850" s="237">
        <v>102.16</v>
      </c>
      <c r="BO850" s="237" t="s">
        <v>318</v>
      </c>
      <c r="BT850" s="347">
        <v>108.1</v>
      </c>
      <c r="BU850" s="347" t="s">
        <v>337</v>
      </c>
      <c r="CD850" s="237">
        <v>25.14</v>
      </c>
      <c r="CE850" s="237" t="s">
        <v>345</v>
      </c>
      <c r="CJ850" s="347">
        <v>82.02</v>
      </c>
      <c r="CK850" s="347" t="s">
        <v>352</v>
      </c>
      <c r="CL850" s="1789"/>
      <c r="CR850" s="345"/>
      <c r="CS850" s="345"/>
      <c r="CX850" s="347"/>
      <c r="CY850" s="347"/>
      <c r="DH850" s="237"/>
      <c r="DI850" s="237"/>
      <c r="DN850" s="347"/>
      <c r="DO850" s="347"/>
      <c r="DP850" s="2505"/>
      <c r="DT850" s="663"/>
      <c r="DY850" s="663"/>
      <c r="DZ850" s="663"/>
      <c r="EA850" s="663"/>
      <c r="EB850" s="663"/>
      <c r="EC850" s="663"/>
      <c r="ED850" s="663"/>
    </row>
    <row r="851" spans="12:134">
      <c r="L851" s="347">
        <v>313.11</v>
      </c>
      <c r="M851" s="347" t="s">
        <v>343</v>
      </c>
      <c r="AB851" s="347">
        <v>106.06</v>
      </c>
      <c r="AC851" s="347" t="s">
        <v>352</v>
      </c>
      <c r="AD851" s="1138"/>
      <c r="AP851" s="347">
        <v>110.17</v>
      </c>
      <c r="AQ851" s="347" t="s">
        <v>337</v>
      </c>
      <c r="BF851" s="347">
        <v>81.02</v>
      </c>
      <c r="BG851" s="347" t="s">
        <v>352</v>
      </c>
      <c r="BH851" s="1790"/>
      <c r="BN851" s="237">
        <v>102.17</v>
      </c>
      <c r="BO851" s="237" t="s">
        <v>318</v>
      </c>
      <c r="BT851" s="347">
        <v>108.11</v>
      </c>
      <c r="BU851" s="347" t="s">
        <v>337</v>
      </c>
      <c r="CD851" s="237">
        <v>25.15</v>
      </c>
      <c r="CE851" s="237" t="s">
        <v>345</v>
      </c>
      <c r="CJ851" s="347">
        <v>82.05</v>
      </c>
      <c r="CK851" s="347" t="s">
        <v>352</v>
      </c>
      <c r="CL851" s="1789"/>
      <c r="CR851" s="345"/>
      <c r="CS851" s="345"/>
      <c r="CX851" s="347"/>
      <c r="CY851" s="347"/>
      <c r="DH851" s="237"/>
      <c r="DI851" s="237"/>
      <c r="DN851" s="347"/>
      <c r="DO851" s="347"/>
      <c r="DP851" s="2505"/>
      <c r="DT851" s="663"/>
      <c r="DY851" s="663"/>
      <c r="DZ851" s="663"/>
      <c r="EA851" s="663"/>
      <c r="EB851" s="663"/>
      <c r="EC851" s="663"/>
      <c r="ED851" s="663"/>
    </row>
    <row r="852" spans="12:134">
      <c r="L852" s="347">
        <v>8</v>
      </c>
      <c r="M852" s="347" t="s">
        <v>344</v>
      </c>
      <c r="AB852" s="347">
        <v>106.07</v>
      </c>
      <c r="AC852" s="347" t="s">
        <v>310</v>
      </c>
      <c r="AD852" s="1138"/>
      <c r="AP852" s="347">
        <v>110.18</v>
      </c>
      <c r="AQ852" s="347" t="s">
        <v>337</v>
      </c>
      <c r="BF852" s="347">
        <v>82.02</v>
      </c>
      <c r="BG852" s="347" t="s">
        <v>352</v>
      </c>
      <c r="BH852" s="1790"/>
      <c r="BN852" s="237">
        <v>103</v>
      </c>
      <c r="BO852" s="237" t="s">
        <v>318</v>
      </c>
      <c r="BT852" s="347">
        <v>108.19</v>
      </c>
      <c r="BU852" s="347" t="s">
        <v>337</v>
      </c>
      <c r="CD852" s="237">
        <v>25.16</v>
      </c>
      <c r="CE852" s="237" t="s">
        <v>345</v>
      </c>
      <c r="CJ852" s="347">
        <v>82.06</v>
      </c>
      <c r="CK852" s="347" t="s">
        <v>352</v>
      </c>
      <c r="CL852" s="1789"/>
      <c r="CR852" s="345"/>
      <c r="CS852" s="345"/>
      <c r="CX852" s="347"/>
      <c r="CY852" s="347"/>
      <c r="DH852" s="237"/>
      <c r="DI852" s="237"/>
      <c r="DN852" s="347"/>
      <c r="DO852" s="347"/>
      <c r="DP852" s="2505"/>
      <c r="DT852" s="663"/>
      <c r="EB852" s="663"/>
      <c r="EC852" s="663"/>
      <c r="ED852" s="663"/>
    </row>
    <row r="853" spans="12:134">
      <c r="L853" s="347">
        <v>9</v>
      </c>
      <c r="M853" s="347" t="s">
        <v>344</v>
      </c>
      <c r="AB853" s="347">
        <v>106.08</v>
      </c>
      <c r="AC853" s="347" t="s">
        <v>352</v>
      </c>
      <c r="AD853" s="1138"/>
      <c r="AP853" s="347">
        <v>110.19</v>
      </c>
      <c r="AQ853" s="347" t="s">
        <v>337</v>
      </c>
      <c r="BF853" s="347">
        <v>82.05</v>
      </c>
      <c r="BG853" s="347" t="s">
        <v>352</v>
      </c>
      <c r="BH853" s="1790"/>
      <c r="BN853" s="237">
        <v>104.01</v>
      </c>
      <c r="BO853" s="237" t="s">
        <v>318</v>
      </c>
      <c r="BT853" s="347">
        <v>108.2</v>
      </c>
      <c r="BU853" s="347" t="s">
        <v>337</v>
      </c>
      <c r="CD853" s="237">
        <v>25.17</v>
      </c>
      <c r="CE853" s="237" t="s">
        <v>345</v>
      </c>
      <c r="CJ853" s="347">
        <v>82.07</v>
      </c>
      <c r="CK853" s="347" t="s">
        <v>352</v>
      </c>
      <c r="CL853" s="1789"/>
      <c r="CR853" s="345"/>
      <c r="CS853" s="345"/>
      <c r="CX853" s="347"/>
      <c r="CY853" s="347"/>
      <c r="DH853" s="237"/>
      <c r="DI853" s="237"/>
      <c r="DN853" s="347"/>
      <c r="DO853" s="347"/>
      <c r="DP853" s="2505"/>
      <c r="EB853" s="663"/>
      <c r="EC853" s="663"/>
      <c r="ED853" s="663"/>
    </row>
    <row r="854" spans="12:134">
      <c r="L854" s="347">
        <v>10</v>
      </c>
      <c r="M854" s="347" t="s">
        <v>344</v>
      </c>
      <c r="AB854" s="347">
        <v>106.09</v>
      </c>
      <c r="AC854" s="347" t="s">
        <v>310</v>
      </c>
      <c r="AD854" s="1138"/>
      <c r="AP854" s="347">
        <v>111.03</v>
      </c>
      <c r="AQ854" s="347" t="s">
        <v>337</v>
      </c>
      <c r="BF854" s="347">
        <v>82.06</v>
      </c>
      <c r="BG854" s="347" t="s">
        <v>352</v>
      </c>
      <c r="BH854" s="1790"/>
      <c r="BN854" s="237">
        <v>104.08</v>
      </c>
      <c r="BO854" s="237" t="s">
        <v>318</v>
      </c>
      <c r="BT854" s="347">
        <v>110.05</v>
      </c>
      <c r="BU854" s="347" t="s">
        <v>337</v>
      </c>
      <c r="CD854" s="237">
        <v>26</v>
      </c>
      <c r="CE854" s="237" t="s">
        <v>323</v>
      </c>
      <c r="CJ854" s="347">
        <v>82.08</v>
      </c>
      <c r="CK854" s="347" t="s">
        <v>352</v>
      </c>
      <c r="CL854" s="1789"/>
      <c r="CR854" s="345"/>
      <c r="CS854" s="345"/>
      <c r="CX854" s="347"/>
      <c r="CY854" s="347"/>
      <c r="DH854" s="237"/>
      <c r="DI854" s="237"/>
      <c r="DN854" s="347"/>
      <c r="DO854" s="347"/>
      <c r="DP854" s="2505"/>
      <c r="EB854" s="663"/>
      <c r="EC854" s="663"/>
      <c r="ED854" s="663"/>
    </row>
    <row r="855" spans="12:134">
      <c r="L855" s="347">
        <v>12.02</v>
      </c>
      <c r="M855" s="347" t="s">
        <v>344</v>
      </c>
      <c r="AB855" s="347">
        <v>106.1</v>
      </c>
      <c r="AC855" s="347" t="s">
        <v>310</v>
      </c>
      <c r="AD855" s="1138"/>
      <c r="AP855" s="347">
        <v>111.06</v>
      </c>
      <c r="AQ855" s="347" t="s">
        <v>337</v>
      </c>
      <c r="BF855" s="347">
        <v>82.07</v>
      </c>
      <c r="BG855" s="347" t="s">
        <v>352</v>
      </c>
      <c r="BH855" s="1790"/>
      <c r="BN855" s="237">
        <v>104.11</v>
      </c>
      <c r="BO855" s="237" t="s">
        <v>318</v>
      </c>
      <c r="BT855" s="347">
        <v>110.06</v>
      </c>
      <c r="BU855" s="347" t="s">
        <v>337</v>
      </c>
      <c r="CD855" s="237">
        <v>26</v>
      </c>
      <c r="CE855" s="237" t="s">
        <v>337</v>
      </c>
      <c r="CJ855" s="347">
        <v>82.09</v>
      </c>
      <c r="CK855" s="347" t="s">
        <v>352</v>
      </c>
      <c r="CL855" s="1789"/>
      <c r="CR855" s="345"/>
      <c r="CS855" s="345"/>
      <c r="CX855" s="347"/>
      <c r="CY855" s="347"/>
      <c r="DH855" s="237"/>
      <c r="DI855" s="237"/>
      <c r="DN855" s="347"/>
      <c r="DO855" s="347"/>
      <c r="DP855" s="2505"/>
      <c r="EB855" s="663"/>
      <c r="EC855" s="663"/>
      <c r="ED855" s="663"/>
    </row>
    <row r="856" spans="12:134">
      <c r="L856" s="347">
        <v>14.02</v>
      </c>
      <c r="M856" s="347" t="s">
        <v>344</v>
      </c>
      <c r="AB856" s="347">
        <v>106.1</v>
      </c>
      <c r="AC856" s="347" t="s">
        <v>352</v>
      </c>
      <c r="AD856" s="1138"/>
      <c r="AP856" s="347">
        <v>111.07</v>
      </c>
      <c r="AQ856" s="347" t="s">
        <v>337</v>
      </c>
      <c r="BF856" s="347">
        <v>82.08</v>
      </c>
      <c r="BG856" s="347" t="s">
        <v>352</v>
      </c>
      <c r="BH856" s="1790"/>
      <c r="BN856" s="237">
        <v>104.16</v>
      </c>
      <c r="BO856" s="237" t="s">
        <v>318</v>
      </c>
      <c r="BT856" s="347">
        <v>110.07</v>
      </c>
      <c r="BU856" s="347" t="s">
        <v>337</v>
      </c>
      <c r="CD856" s="237">
        <v>26</v>
      </c>
      <c r="CE856" s="237" t="s">
        <v>352</v>
      </c>
      <c r="CJ856" s="347">
        <v>83.05</v>
      </c>
      <c r="CK856" s="347" t="s">
        <v>352</v>
      </c>
      <c r="CL856" s="1789"/>
      <c r="CR856" s="345"/>
      <c r="CS856" s="345"/>
      <c r="CX856" s="347"/>
      <c r="CY856" s="347"/>
      <c r="DH856" s="237"/>
      <c r="DI856" s="237"/>
      <c r="DN856" s="347"/>
      <c r="DO856" s="347"/>
      <c r="DP856" s="2505"/>
    </row>
    <row r="857" spans="12:134">
      <c r="L857" s="347">
        <v>15.01</v>
      </c>
      <c r="M857" s="347" t="s">
        <v>344</v>
      </c>
      <c r="AB857" s="347">
        <v>106.11</v>
      </c>
      <c r="AC857" s="347" t="s">
        <v>310</v>
      </c>
      <c r="AD857" s="1138"/>
      <c r="AP857" s="347">
        <v>111.08</v>
      </c>
      <c r="AQ857" s="347" t="s">
        <v>337</v>
      </c>
      <c r="BF857" s="347">
        <v>82.09</v>
      </c>
      <c r="BG857" s="347" t="s">
        <v>352</v>
      </c>
      <c r="BH857" s="1790"/>
      <c r="BN857" s="237">
        <v>104.19</v>
      </c>
      <c r="BO857" s="237" t="s">
        <v>318</v>
      </c>
      <c r="BT857" s="347">
        <v>110.08</v>
      </c>
      <c r="BU857" s="347" t="s">
        <v>337</v>
      </c>
      <c r="CD857" s="237">
        <v>26</v>
      </c>
      <c r="CE857" s="237" t="s">
        <v>361</v>
      </c>
      <c r="CJ857" s="347">
        <v>83.08</v>
      </c>
      <c r="CK857" s="347" t="s">
        <v>352</v>
      </c>
      <c r="CL857" s="1789"/>
      <c r="CR857" s="345"/>
      <c r="CS857" s="345"/>
      <c r="CX857" s="347"/>
      <c r="CY857" s="347"/>
      <c r="DH857" s="237"/>
      <c r="DI857" s="237"/>
      <c r="DN857" s="347"/>
      <c r="DO857" s="347"/>
      <c r="DP857" s="2505"/>
    </row>
    <row r="858" spans="12:134">
      <c r="L858" s="347">
        <v>16.010000000000002</v>
      </c>
      <c r="M858" s="347" t="s">
        <v>344</v>
      </c>
      <c r="AB858" s="347">
        <v>106.12</v>
      </c>
      <c r="AC858" s="347" t="s">
        <v>310</v>
      </c>
      <c r="AD858" s="1138"/>
      <c r="AP858" s="347">
        <v>111.09</v>
      </c>
      <c r="AQ858" s="347" t="s">
        <v>337</v>
      </c>
      <c r="BF858" s="347">
        <v>83.05</v>
      </c>
      <c r="BG858" s="347" t="s">
        <v>352</v>
      </c>
      <c r="BH858" s="1790"/>
      <c r="BN858" s="237">
        <v>104.2</v>
      </c>
      <c r="BO858" s="237" t="s">
        <v>318</v>
      </c>
      <c r="BT858" s="347">
        <v>110.1</v>
      </c>
      <c r="BU858" s="347" t="s">
        <v>337</v>
      </c>
      <c r="CD858" s="237">
        <v>26.01</v>
      </c>
      <c r="CE858" s="237" t="s">
        <v>325</v>
      </c>
      <c r="CJ858" s="347">
        <v>83.1</v>
      </c>
      <c r="CK858" s="347" t="s">
        <v>352</v>
      </c>
      <c r="CL858" s="1789"/>
      <c r="CR858" s="345"/>
      <c r="CS858" s="345"/>
      <c r="CX858" s="347"/>
      <c r="CY858" s="347"/>
      <c r="DH858" s="237"/>
      <c r="DI858" s="237"/>
      <c r="DN858" s="347"/>
      <c r="DO858" s="347"/>
      <c r="DP858" s="2505"/>
    </row>
    <row r="859" spans="12:134">
      <c r="L859" s="347">
        <v>16.02</v>
      </c>
      <c r="M859" s="347" t="s">
        <v>344</v>
      </c>
      <c r="AB859" s="347">
        <v>106.12</v>
      </c>
      <c r="AC859" s="347" t="s">
        <v>352</v>
      </c>
      <c r="AD859" s="1138"/>
      <c r="AP859" s="347">
        <v>112.03</v>
      </c>
      <c r="AQ859" s="347" t="s">
        <v>337</v>
      </c>
      <c r="BF859" s="347">
        <v>83.08</v>
      </c>
      <c r="BG859" s="347" t="s">
        <v>352</v>
      </c>
      <c r="BH859" s="1790"/>
      <c r="BN859" s="237">
        <v>104.21</v>
      </c>
      <c r="BO859" s="237" t="s">
        <v>318</v>
      </c>
      <c r="BT859" s="347">
        <v>110.13</v>
      </c>
      <c r="BU859" s="347" t="s">
        <v>337</v>
      </c>
      <c r="CD859" s="237">
        <v>26.01</v>
      </c>
      <c r="CE859" s="237" t="s">
        <v>368</v>
      </c>
      <c r="CJ859" s="347">
        <v>83.11</v>
      </c>
      <c r="CK859" s="347" t="s">
        <v>352</v>
      </c>
      <c r="CL859" s="1789"/>
      <c r="CR859" s="345"/>
      <c r="CS859" s="345"/>
      <c r="CX859" s="347"/>
      <c r="CY859" s="347"/>
      <c r="DH859" s="237"/>
      <c r="DI859" s="237"/>
      <c r="DN859" s="347"/>
      <c r="DO859" s="347"/>
      <c r="DP859" s="2505"/>
    </row>
    <row r="860" spans="12:134">
      <c r="L860" s="347">
        <v>17.010000000000002</v>
      </c>
      <c r="M860" s="347" t="s">
        <v>344</v>
      </c>
      <c r="AB860" s="347">
        <v>106.13</v>
      </c>
      <c r="AC860" s="347" t="s">
        <v>352</v>
      </c>
      <c r="AD860" s="1138"/>
      <c r="AP860" s="347">
        <v>112.04</v>
      </c>
      <c r="AQ860" s="347" t="s">
        <v>337</v>
      </c>
      <c r="BF860" s="347">
        <v>83.1</v>
      </c>
      <c r="BG860" s="347" t="s">
        <v>352</v>
      </c>
      <c r="BH860" s="1790"/>
      <c r="BN860" s="237">
        <v>104.22</v>
      </c>
      <c r="BO860" s="237" t="s">
        <v>318</v>
      </c>
      <c r="BT860" s="347">
        <v>110.16</v>
      </c>
      <c r="BU860" s="347" t="s">
        <v>337</v>
      </c>
      <c r="CD860" s="237">
        <v>26.02</v>
      </c>
      <c r="CE860" s="237" t="s">
        <v>325</v>
      </c>
      <c r="CJ860" s="347">
        <v>83.12</v>
      </c>
      <c r="CK860" s="347" t="s">
        <v>352</v>
      </c>
      <c r="CL860" s="1789"/>
      <c r="CR860" s="345"/>
      <c r="CS860" s="345"/>
      <c r="CX860" s="347"/>
      <c r="CY860" s="347"/>
      <c r="DH860" s="237"/>
      <c r="DI860" s="237"/>
      <c r="DN860" s="347"/>
      <c r="DO860" s="347"/>
      <c r="DP860" s="2505"/>
    </row>
    <row r="861" spans="12:134">
      <c r="L861" s="347">
        <v>17.03</v>
      </c>
      <c r="M861" s="347" t="s">
        <v>344</v>
      </c>
      <c r="AB861" s="347">
        <v>106.17</v>
      </c>
      <c r="AC861" s="347" t="s">
        <v>352</v>
      </c>
      <c r="AD861" s="1138"/>
      <c r="AP861" s="347">
        <v>112.05</v>
      </c>
      <c r="AQ861" s="347" t="s">
        <v>337</v>
      </c>
      <c r="BF861" s="347">
        <v>83.12</v>
      </c>
      <c r="BG861" s="347" t="s">
        <v>352</v>
      </c>
      <c r="BH861" s="1790"/>
      <c r="BN861" s="237">
        <v>104.23</v>
      </c>
      <c r="BO861" s="237" t="s">
        <v>318</v>
      </c>
      <c r="BT861" s="347">
        <v>110.17</v>
      </c>
      <c r="BU861" s="347" t="s">
        <v>337</v>
      </c>
      <c r="CD861" s="237">
        <v>26.02</v>
      </c>
      <c r="CE861" s="237" t="s">
        <v>350</v>
      </c>
      <c r="CJ861" s="347">
        <v>83.14</v>
      </c>
      <c r="CK861" s="347" t="s">
        <v>352</v>
      </c>
      <c r="CL861" s="1789"/>
      <c r="CR861" s="345"/>
      <c r="CS861" s="345"/>
      <c r="CX861" s="347"/>
      <c r="CY861" s="347"/>
      <c r="DH861" s="237"/>
      <c r="DI861" s="237"/>
      <c r="DN861" s="347"/>
      <c r="DO861" s="347"/>
      <c r="DP861" s="2505"/>
    </row>
    <row r="862" spans="12:134">
      <c r="L862" s="347">
        <v>17.05</v>
      </c>
      <c r="M862" s="347" t="s">
        <v>344</v>
      </c>
      <c r="AB862" s="347">
        <v>107.01</v>
      </c>
      <c r="AC862" s="347" t="s">
        <v>337</v>
      </c>
      <c r="AD862" s="1138"/>
      <c r="AP862" s="347">
        <v>113.01</v>
      </c>
      <c r="AQ862" s="347" t="s">
        <v>337</v>
      </c>
      <c r="BF862" s="347">
        <v>83.14</v>
      </c>
      <c r="BG862" s="347" t="s">
        <v>352</v>
      </c>
      <c r="BH862" s="1790"/>
      <c r="BN862" s="237">
        <v>104.24</v>
      </c>
      <c r="BO862" s="237" t="s">
        <v>318</v>
      </c>
      <c r="BT862" s="347">
        <v>110.18</v>
      </c>
      <c r="BU862" s="347" t="s">
        <v>337</v>
      </c>
      <c r="CD862" s="237">
        <v>26.02</v>
      </c>
      <c r="CE862" s="237" t="s">
        <v>368</v>
      </c>
      <c r="CJ862" s="347">
        <v>83.15</v>
      </c>
      <c r="CK862" s="347" t="s">
        <v>352</v>
      </c>
      <c r="CL862" s="1789"/>
      <c r="CR862" s="345"/>
      <c r="CS862" s="345"/>
      <c r="CX862" s="347"/>
      <c r="CY862" s="347"/>
      <c r="DH862" s="237"/>
      <c r="DI862" s="237"/>
      <c r="DN862" s="347"/>
      <c r="DO862" s="347"/>
      <c r="DP862" s="2505"/>
    </row>
    <row r="863" spans="12:134">
      <c r="L863" s="347">
        <v>17.059999999999999</v>
      </c>
      <c r="M863" s="347" t="s">
        <v>344</v>
      </c>
      <c r="AB863" s="347">
        <v>107.01</v>
      </c>
      <c r="AC863" s="347" t="s">
        <v>344</v>
      </c>
      <c r="AD863" s="1138"/>
      <c r="AP863" s="347">
        <v>113.03</v>
      </c>
      <c r="AQ863" s="347" t="s">
        <v>337</v>
      </c>
      <c r="BF863" s="347">
        <v>83.15</v>
      </c>
      <c r="BG863" s="347" t="s">
        <v>352</v>
      </c>
      <c r="BH863" s="1790"/>
      <c r="BN863" s="237">
        <v>104.25</v>
      </c>
      <c r="BO863" s="237" t="s">
        <v>318</v>
      </c>
      <c r="BT863" s="347">
        <v>110.19</v>
      </c>
      <c r="BU863" s="347" t="s">
        <v>337</v>
      </c>
      <c r="CD863" s="237">
        <v>26.03</v>
      </c>
      <c r="CE863" s="237" t="s">
        <v>345</v>
      </c>
      <c r="CJ863" s="347">
        <v>84.09</v>
      </c>
      <c r="CK863" s="347" t="s">
        <v>352</v>
      </c>
      <c r="CL863" s="1789"/>
      <c r="CR863" s="345"/>
      <c r="CS863" s="345"/>
      <c r="CX863" s="347"/>
      <c r="CY863" s="347"/>
      <c r="DH863" s="237"/>
      <c r="DI863" s="237"/>
      <c r="DN863" s="347"/>
      <c r="DO863" s="347"/>
      <c r="DP863" s="2505"/>
    </row>
    <row r="864" spans="12:134">
      <c r="L864" s="347">
        <v>18.010000000000002</v>
      </c>
      <c r="M864" s="347" t="s">
        <v>344</v>
      </c>
      <c r="AB864" s="347">
        <v>107.01</v>
      </c>
      <c r="AC864" s="347" t="s">
        <v>365</v>
      </c>
      <c r="AD864" s="1138"/>
      <c r="AP864" s="347">
        <v>113.04</v>
      </c>
      <c r="AQ864" s="347" t="s">
        <v>337</v>
      </c>
      <c r="BF864" s="347">
        <v>84.09</v>
      </c>
      <c r="BG864" s="347" t="s">
        <v>352</v>
      </c>
      <c r="BH864" s="1790"/>
      <c r="BN864" s="237">
        <v>104.26</v>
      </c>
      <c r="BO864" s="237" t="s">
        <v>318</v>
      </c>
      <c r="BT864" s="347">
        <v>111.03</v>
      </c>
      <c r="BU864" s="347" t="s">
        <v>337</v>
      </c>
      <c r="CD864" s="237">
        <v>26.03</v>
      </c>
      <c r="CE864" s="237" t="s">
        <v>368</v>
      </c>
      <c r="CJ864" s="347">
        <v>84.15</v>
      </c>
      <c r="CK864" s="347" t="s">
        <v>352</v>
      </c>
      <c r="CL864" s="1789"/>
      <c r="CR864" s="345"/>
      <c r="CS864" s="345"/>
      <c r="CX864" s="347"/>
      <c r="CY864" s="347"/>
      <c r="DH864" s="237"/>
      <c r="DI864" s="237"/>
      <c r="DN864" s="347"/>
      <c r="DO864" s="347"/>
      <c r="DP864" s="2505"/>
    </row>
    <row r="865" spans="12:120">
      <c r="L865" s="347">
        <v>18.02</v>
      </c>
      <c r="M865" s="347" t="s">
        <v>344</v>
      </c>
      <c r="AB865" s="347">
        <v>107.02</v>
      </c>
      <c r="AC865" s="347" t="s">
        <v>318</v>
      </c>
      <c r="AD865" s="1138"/>
      <c r="AP865" s="347">
        <v>114.07</v>
      </c>
      <c r="AQ865" s="347" t="s">
        <v>337</v>
      </c>
      <c r="BF865" s="347">
        <v>84.15</v>
      </c>
      <c r="BG865" s="347" t="s">
        <v>352</v>
      </c>
      <c r="BH865" s="1790"/>
      <c r="BN865" s="237">
        <v>104.27</v>
      </c>
      <c r="BO865" s="237" t="s">
        <v>318</v>
      </c>
      <c r="BT865" s="347">
        <v>111.07</v>
      </c>
      <c r="BU865" s="347" t="s">
        <v>337</v>
      </c>
      <c r="CD865" s="345">
        <v>26.04</v>
      </c>
      <c r="CE865" s="345" t="s">
        <v>306</v>
      </c>
      <c r="CJ865" s="347">
        <v>84.16</v>
      </c>
      <c r="CK865" s="347" t="s">
        <v>352</v>
      </c>
      <c r="CL865" s="1789"/>
      <c r="CR865" s="345"/>
      <c r="CS865" s="345"/>
      <c r="CX865" s="347"/>
      <c r="CY865" s="347"/>
      <c r="DH865" s="237"/>
      <c r="DI865" s="237"/>
      <c r="DN865" s="347"/>
      <c r="DO865" s="347"/>
      <c r="DP865" s="2505"/>
    </row>
    <row r="866" spans="12:120">
      <c r="L866" s="347">
        <v>19.03</v>
      </c>
      <c r="M866" s="347" t="s">
        <v>344</v>
      </c>
      <c r="AB866" s="347">
        <v>107.02</v>
      </c>
      <c r="AC866" s="347" t="s">
        <v>337</v>
      </c>
      <c r="AD866" s="1138"/>
      <c r="AP866" s="347">
        <v>114.08</v>
      </c>
      <c r="AQ866" s="347" t="s">
        <v>337</v>
      </c>
      <c r="BF866" s="347">
        <v>84.16</v>
      </c>
      <c r="BG866" s="347" t="s">
        <v>352</v>
      </c>
      <c r="BH866" s="1790"/>
      <c r="BN866" s="237">
        <v>104.28</v>
      </c>
      <c r="BO866" s="237" t="s">
        <v>318</v>
      </c>
      <c r="BT866" s="347">
        <v>111.08</v>
      </c>
      <c r="BU866" s="347" t="s">
        <v>337</v>
      </c>
      <c r="CD866" s="237">
        <v>26.04</v>
      </c>
      <c r="CE866" s="237" t="s">
        <v>325</v>
      </c>
      <c r="CJ866" s="347">
        <v>84.18</v>
      </c>
      <c r="CK866" s="347" t="s">
        <v>352</v>
      </c>
      <c r="CL866" s="1789"/>
      <c r="CR866" s="345"/>
      <c r="CS866" s="345"/>
      <c r="CX866" s="347"/>
      <c r="CY866" s="347"/>
      <c r="DH866" s="237"/>
      <c r="DI866" s="237"/>
      <c r="DN866" s="347"/>
      <c r="DO866" s="347"/>
      <c r="DP866" s="2505"/>
    </row>
    <row r="867" spans="12:120">
      <c r="L867" s="347">
        <v>19.059999999999999</v>
      </c>
      <c r="M867" s="347" t="s">
        <v>344</v>
      </c>
      <c r="AB867" s="347">
        <v>107.02</v>
      </c>
      <c r="AC867" s="347" t="s">
        <v>365</v>
      </c>
      <c r="AD867" s="1138"/>
      <c r="AP867" s="347">
        <v>114.09</v>
      </c>
      <c r="AQ867" s="347" t="s">
        <v>337</v>
      </c>
      <c r="BF867" s="347">
        <v>84.18</v>
      </c>
      <c r="BG867" s="347" t="s">
        <v>352</v>
      </c>
      <c r="BH867" s="1790"/>
      <c r="BN867" s="237">
        <v>104.29</v>
      </c>
      <c r="BO867" s="237" t="s">
        <v>318</v>
      </c>
      <c r="BT867" s="347">
        <v>111.09</v>
      </c>
      <c r="BU867" s="347" t="s">
        <v>337</v>
      </c>
      <c r="CD867" s="237">
        <v>26.04</v>
      </c>
      <c r="CE867" s="237" t="s">
        <v>345</v>
      </c>
      <c r="CJ867" s="347">
        <v>84.19</v>
      </c>
      <c r="CK867" s="347" t="s">
        <v>352</v>
      </c>
      <c r="CL867" s="1789"/>
      <c r="CR867" s="345"/>
      <c r="CS867" s="345"/>
      <c r="CX867" s="347"/>
      <c r="CY867" s="347"/>
      <c r="DH867" s="237"/>
      <c r="DI867" s="237"/>
      <c r="DN867" s="347"/>
      <c r="DO867" s="347"/>
      <c r="DP867" s="2505"/>
    </row>
    <row r="868" spans="12:120">
      <c r="L868" s="347">
        <v>19.07</v>
      </c>
      <c r="M868" s="347" t="s">
        <v>344</v>
      </c>
      <c r="AB868" s="347">
        <v>107.02</v>
      </c>
      <c r="AC868" s="347" t="s">
        <v>367</v>
      </c>
      <c r="AD868" s="1138"/>
      <c r="AP868" s="347">
        <v>114.1</v>
      </c>
      <c r="AQ868" s="347" t="s">
        <v>337</v>
      </c>
      <c r="BF868" s="347">
        <v>84.19</v>
      </c>
      <c r="BG868" s="347" t="s">
        <v>352</v>
      </c>
      <c r="BH868" s="1790"/>
      <c r="BN868" s="237">
        <v>104.3</v>
      </c>
      <c r="BO868" s="237" t="s">
        <v>318</v>
      </c>
      <c r="BT868" s="347">
        <v>112.03</v>
      </c>
      <c r="BU868" s="347" t="s">
        <v>337</v>
      </c>
      <c r="CD868" s="237">
        <v>26.04</v>
      </c>
      <c r="CE868" s="237" t="s">
        <v>350</v>
      </c>
      <c r="CJ868" s="347">
        <v>84.2</v>
      </c>
      <c r="CK868" s="347" t="s">
        <v>352</v>
      </c>
      <c r="CL868" s="1789"/>
      <c r="CR868" s="345"/>
      <c r="CS868" s="345"/>
      <c r="CX868" s="347"/>
      <c r="CY868" s="347"/>
      <c r="DH868" s="237"/>
      <c r="DI868" s="237"/>
      <c r="DN868" s="347"/>
      <c r="DO868" s="347"/>
      <c r="DP868" s="2505"/>
    </row>
    <row r="869" spans="12:120">
      <c r="L869" s="347">
        <v>19.079999999999998</v>
      </c>
      <c r="M869" s="347" t="s">
        <v>344</v>
      </c>
      <c r="AB869" s="347">
        <v>107.04</v>
      </c>
      <c r="AC869" s="347" t="s">
        <v>367</v>
      </c>
      <c r="AD869" s="1138"/>
      <c r="AP869" s="347">
        <v>114.11</v>
      </c>
      <c r="AQ869" s="347" t="s">
        <v>337</v>
      </c>
      <c r="BF869" s="347">
        <v>84.2</v>
      </c>
      <c r="BG869" s="347" t="s">
        <v>352</v>
      </c>
      <c r="BH869" s="1790"/>
      <c r="BN869" s="237">
        <v>104.31</v>
      </c>
      <c r="BO869" s="237" t="s">
        <v>318</v>
      </c>
      <c r="BT869" s="347">
        <v>112.04</v>
      </c>
      <c r="BU869" s="347" t="s">
        <v>337</v>
      </c>
      <c r="CD869" s="237">
        <v>26.04</v>
      </c>
      <c r="CE869" s="237" t="s">
        <v>368</v>
      </c>
      <c r="CJ869" s="347">
        <v>84.21</v>
      </c>
      <c r="CK869" s="347" t="s">
        <v>352</v>
      </c>
      <c r="CL869" s="1789"/>
      <c r="CR869" s="345"/>
      <c r="CS869" s="345"/>
      <c r="CX869" s="347"/>
      <c r="CY869" s="347"/>
      <c r="DH869" s="237"/>
      <c r="DI869" s="237"/>
      <c r="DN869" s="347"/>
      <c r="DO869" s="347"/>
      <c r="DP869" s="2505"/>
    </row>
    <row r="870" spans="12:120">
      <c r="L870" s="347">
        <v>19.11</v>
      </c>
      <c r="M870" s="347" t="s">
        <v>344</v>
      </c>
      <c r="AB870" s="347">
        <v>107.07</v>
      </c>
      <c r="AC870" s="347" t="s">
        <v>367</v>
      </c>
      <c r="AD870" s="1138"/>
      <c r="AP870" s="347">
        <v>114.12</v>
      </c>
      <c r="AQ870" s="347" t="s">
        <v>337</v>
      </c>
      <c r="BF870" s="347">
        <v>84.21</v>
      </c>
      <c r="BG870" s="347" t="s">
        <v>352</v>
      </c>
      <c r="BH870" s="1790"/>
      <c r="BN870" s="237">
        <v>104.32</v>
      </c>
      <c r="BO870" s="237" t="s">
        <v>318</v>
      </c>
      <c r="BT870" s="347">
        <v>112.05</v>
      </c>
      <c r="BU870" s="347" t="s">
        <v>337</v>
      </c>
      <c r="CD870" s="345">
        <v>26.05</v>
      </c>
      <c r="CE870" s="345" t="s">
        <v>306</v>
      </c>
      <c r="CJ870" s="347">
        <v>84.22</v>
      </c>
      <c r="CK870" s="347" t="s">
        <v>352</v>
      </c>
      <c r="CL870" s="1789"/>
      <c r="CR870" s="345"/>
      <c r="CS870" s="345"/>
      <c r="CX870" s="347"/>
      <c r="CY870" s="347"/>
      <c r="DH870" s="237"/>
      <c r="DI870" s="237"/>
      <c r="DN870" s="347"/>
      <c r="DO870" s="347"/>
      <c r="DP870" s="2505"/>
    </row>
    <row r="871" spans="12:120">
      <c r="L871" s="347">
        <v>19.12</v>
      </c>
      <c r="M871" s="347" t="s">
        <v>344</v>
      </c>
      <c r="AB871" s="347">
        <v>108.01</v>
      </c>
      <c r="AC871" s="347" t="s">
        <v>318</v>
      </c>
      <c r="AD871" s="1138"/>
      <c r="AP871" s="347">
        <v>114.13</v>
      </c>
      <c r="AQ871" s="347" t="s">
        <v>337</v>
      </c>
      <c r="BF871" s="347">
        <v>84.22</v>
      </c>
      <c r="BG871" s="347" t="s">
        <v>352</v>
      </c>
      <c r="BH871" s="1790"/>
      <c r="BN871" s="237">
        <v>104.33</v>
      </c>
      <c r="BO871" s="237" t="s">
        <v>318</v>
      </c>
      <c r="BT871" s="347">
        <v>113.01</v>
      </c>
      <c r="BU871" s="347" t="s">
        <v>337</v>
      </c>
      <c r="CD871" s="237">
        <v>26.05</v>
      </c>
      <c r="CE871" s="237" t="s">
        <v>325</v>
      </c>
      <c r="CJ871" s="347">
        <v>84.23</v>
      </c>
      <c r="CK871" s="347" t="s">
        <v>352</v>
      </c>
      <c r="CL871" s="1789"/>
      <c r="CR871" s="345"/>
      <c r="CS871" s="345"/>
      <c r="CX871" s="347"/>
      <c r="CY871" s="347"/>
      <c r="DH871" s="237"/>
      <c r="DI871" s="237"/>
      <c r="DN871" s="347"/>
      <c r="DO871" s="347"/>
      <c r="DP871" s="2505"/>
    </row>
    <row r="872" spans="12:120">
      <c r="L872" s="347">
        <v>19.149999999999999</v>
      </c>
      <c r="M872" s="347" t="s">
        <v>344</v>
      </c>
      <c r="AB872" s="347">
        <v>108.02</v>
      </c>
      <c r="AC872" s="347" t="s">
        <v>359</v>
      </c>
      <c r="AD872" s="1138"/>
      <c r="AP872" s="347">
        <v>114.14</v>
      </c>
      <c r="AQ872" s="347" t="s">
        <v>337</v>
      </c>
      <c r="BF872" s="347">
        <v>84.23</v>
      </c>
      <c r="BG872" s="347" t="s">
        <v>352</v>
      </c>
      <c r="BH872" s="1790"/>
      <c r="BN872" s="237">
        <v>104.34</v>
      </c>
      <c r="BO872" s="237" t="s">
        <v>318</v>
      </c>
      <c r="BT872" s="347">
        <v>113.03</v>
      </c>
      <c r="BU872" s="347" t="s">
        <v>337</v>
      </c>
      <c r="CD872" s="237">
        <v>26.05</v>
      </c>
      <c r="CE872" s="237" t="s">
        <v>345</v>
      </c>
      <c r="CJ872" s="347">
        <v>84.24</v>
      </c>
      <c r="CK872" s="347" t="s">
        <v>352</v>
      </c>
      <c r="CL872" s="1789"/>
      <c r="CR872" s="345"/>
      <c r="CS872" s="345"/>
      <c r="CX872" s="347"/>
      <c r="CY872" s="347"/>
      <c r="DH872" s="237"/>
      <c r="DI872" s="237"/>
      <c r="DN872" s="347"/>
      <c r="DO872" s="347"/>
      <c r="DP872" s="2505"/>
    </row>
    <row r="873" spans="12:120">
      <c r="L873" s="347">
        <v>101.02</v>
      </c>
      <c r="M873" s="347" t="s">
        <v>344</v>
      </c>
      <c r="AB873" s="347">
        <v>108.02</v>
      </c>
      <c r="AC873" s="347" t="s">
        <v>367</v>
      </c>
      <c r="AD873" s="1138"/>
      <c r="AP873" s="347">
        <v>114.15</v>
      </c>
      <c r="AQ873" s="347" t="s">
        <v>337</v>
      </c>
      <c r="BF873" s="347">
        <v>84.24</v>
      </c>
      <c r="BG873" s="347" t="s">
        <v>352</v>
      </c>
      <c r="BH873" s="1790"/>
      <c r="BN873" s="237">
        <v>104.35</v>
      </c>
      <c r="BO873" s="237" t="s">
        <v>318</v>
      </c>
      <c r="BT873" s="347">
        <v>113.04</v>
      </c>
      <c r="BU873" s="347" t="s">
        <v>337</v>
      </c>
      <c r="CD873" s="237">
        <v>26.05</v>
      </c>
      <c r="CE873" s="237" t="s">
        <v>350</v>
      </c>
      <c r="CJ873" s="347">
        <v>84.25</v>
      </c>
      <c r="CK873" s="347" t="s">
        <v>352</v>
      </c>
      <c r="CL873" s="1789"/>
      <c r="CR873" s="345"/>
      <c r="CS873" s="345"/>
      <c r="CX873" s="347"/>
      <c r="CY873" s="347"/>
      <c r="DH873" s="237"/>
      <c r="DI873" s="237"/>
      <c r="DN873" s="347"/>
      <c r="DO873" s="347"/>
      <c r="DP873" s="2505"/>
    </row>
    <row r="874" spans="12:120">
      <c r="L874" s="347">
        <v>101.04</v>
      </c>
      <c r="M874" s="347" t="s">
        <v>344</v>
      </c>
      <c r="AB874" s="347">
        <v>108.03</v>
      </c>
      <c r="AC874" s="347" t="s">
        <v>344</v>
      </c>
      <c r="AD874" s="1138"/>
      <c r="AP874" s="347">
        <v>114.17</v>
      </c>
      <c r="AQ874" s="347" t="s">
        <v>337</v>
      </c>
      <c r="BF874" s="347">
        <v>84.25</v>
      </c>
      <c r="BG874" s="347" t="s">
        <v>352</v>
      </c>
      <c r="BH874" s="1790"/>
      <c r="BN874" s="237">
        <v>104.36</v>
      </c>
      <c r="BO874" s="237" t="s">
        <v>318</v>
      </c>
      <c r="BT874" s="347">
        <v>114.07</v>
      </c>
      <c r="BU874" s="347" t="s">
        <v>337</v>
      </c>
      <c r="CD874" s="237">
        <v>26.05</v>
      </c>
      <c r="CE874" s="237" t="s">
        <v>368</v>
      </c>
      <c r="CJ874" s="347">
        <v>84.26</v>
      </c>
      <c r="CK874" s="347" t="s">
        <v>352</v>
      </c>
      <c r="CL874" s="1789"/>
      <c r="CR874" s="345"/>
      <c r="CS874" s="345"/>
      <c r="CX874" s="347"/>
      <c r="CY874" s="347"/>
      <c r="DH874" s="237"/>
      <c r="DI874" s="237"/>
      <c r="DN874" s="347"/>
      <c r="DO874" s="347"/>
      <c r="DP874" s="2505"/>
    </row>
    <row r="875" spans="12:120">
      <c r="L875" s="347">
        <v>101.05</v>
      </c>
      <c r="M875" s="347" t="s">
        <v>344</v>
      </c>
      <c r="AB875" s="347">
        <v>108.1</v>
      </c>
      <c r="AC875" s="347" t="s">
        <v>337</v>
      </c>
      <c r="AD875" s="1138"/>
      <c r="AP875" s="347">
        <v>114.18</v>
      </c>
      <c r="AQ875" s="347" t="s">
        <v>337</v>
      </c>
      <c r="BF875" s="347">
        <v>84.26</v>
      </c>
      <c r="BG875" s="347" t="s">
        <v>352</v>
      </c>
      <c r="BH875" s="1790"/>
      <c r="BN875" s="237">
        <v>104.37</v>
      </c>
      <c r="BO875" s="237" t="s">
        <v>318</v>
      </c>
      <c r="BT875" s="347">
        <v>114.08</v>
      </c>
      <c r="BU875" s="347" t="s">
        <v>337</v>
      </c>
      <c r="CD875" s="345">
        <v>26.06</v>
      </c>
      <c r="CE875" s="345" t="s">
        <v>306</v>
      </c>
      <c r="CJ875" s="347">
        <v>84.27</v>
      </c>
      <c r="CK875" s="347" t="s">
        <v>352</v>
      </c>
      <c r="CL875" s="1789"/>
      <c r="CR875" s="345"/>
      <c r="CS875" s="345"/>
      <c r="CX875" s="347"/>
      <c r="CY875" s="347"/>
      <c r="DH875" s="237"/>
      <c r="DI875" s="237"/>
      <c r="DN875" s="347"/>
      <c r="DO875" s="347"/>
      <c r="DP875" s="2505"/>
    </row>
    <row r="876" spans="12:120">
      <c r="L876" s="347">
        <v>103.04</v>
      </c>
      <c r="M876" s="347" t="s">
        <v>344</v>
      </c>
      <c r="AB876" s="347">
        <v>108.11</v>
      </c>
      <c r="AC876" s="347" t="s">
        <v>337</v>
      </c>
      <c r="AD876" s="1138"/>
      <c r="AP876" s="347">
        <v>115.04</v>
      </c>
      <c r="AQ876" s="347" t="s">
        <v>337</v>
      </c>
      <c r="BF876" s="347">
        <v>84.27</v>
      </c>
      <c r="BG876" s="347" t="s">
        <v>352</v>
      </c>
      <c r="BH876" s="1790"/>
      <c r="BN876" s="237">
        <v>104.38</v>
      </c>
      <c r="BO876" s="237" t="s">
        <v>318</v>
      </c>
      <c r="BT876" s="347">
        <v>114.09</v>
      </c>
      <c r="BU876" s="347" t="s">
        <v>337</v>
      </c>
      <c r="CD876" s="237">
        <v>26.06</v>
      </c>
      <c r="CE876" s="237" t="s">
        <v>325</v>
      </c>
      <c r="CJ876" s="347">
        <v>84.28</v>
      </c>
      <c r="CK876" s="347" t="s">
        <v>352</v>
      </c>
      <c r="CL876" s="1789"/>
      <c r="CR876" s="345"/>
      <c r="CS876" s="345"/>
      <c r="CX876" s="347"/>
      <c r="CY876" s="347"/>
      <c r="DH876" s="237"/>
      <c r="DI876" s="237"/>
      <c r="DN876" s="347"/>
      <c r="DO876" s="347"/>
      <c r="DP876" s="2505"/>
    </row>
    <row r="877" spans="12:120">
      <c r="L877" s="347">
        <v>103.05</v>
      </c>
      <c r="M877" s="347" t="s">
        <v>344</v>
      </c>
      <c r="AB877" s="347">
        <v>108.11</v>
      </c>
      <c r="AC877" s="347" t="s">
        <v>367</v>
      </c>
      <c r="AD877" s="1138"/>
      <c r="AP877" s="347">
        <v>115.06</v>
      </c>
      <c r="AQ877" s="347" t="s">
        <v>337</v>
      </c>
      <c r="BF877" s="347">
        <v>84.28</v>
      </c>
      <c r="BG877" s="347" t="s">
        <v>352</v>
      </c>
      <c r="BH877" s="1790"/>
      <c r="BN877" s="237">
        <v>105.08</v>
      </c>
      <c r="BO877" s="237" t="s">
        <v>318</v>
      </c>
      <c r="BT877" s="347">
        <v>114.1</v>
      </c>
      <c r="BU877" s="347" t="s">
        <v>337</v>
      </c>
      <c r="CD877" s="237">
        <v>26.06</v>
      </c>
      <c r="CE877" s="237" t="s">
        <v>345</v>
      </c>
      <c r="CJ877" s="347">
        <v>84.29</v>
      </c>
      <c r="CK877" s="347" t="s">
        <v>352</v>
      </c>
      <c r="CL877" s="1789"/>
      <c r="CR877" s="345"/>
      <c r="CS877" s="345"/>
      <c r="CX877" s="347"/>
      <c r="CY877" s="347"/>
      <c r="DH877" s="237"/>
      <c r="DI877" s="237"/>
      <c r="DN877" s="347"/>
      <c r="DO877" s="347"/>
      <c r="DP877" s="2505"/>
    </row>
    <row r="878" spans="12:120">
      <c r="L878" s="347">
        <v>104.06</v>
      </c>
      <c r="M878" s="347" t="s">
        <v>344</v>
      </c>
      <c r="AB878" s="347">
        <v>108.12</v>
      </c>
      <c r="AC878" s="347" t="s">
        <v>367</v>
      </c>
      <c r="AD878" s="1138"/>
      <c r="AP878" s="347">
        <v>115.09</v>
      </c>
      <c r="AQ878" s="347" t="s">
        <v>337</v>
      </c>
      <c r="BF878" s="347">
        <v>84.29</v>
      </c>
      <c r="BG878" s="347" t="s">
        <v>352</v>
      </c>
      <c r="BH878" s="1790"/>
      <c r="BN878" s="237">
        <v>105.11</v>
      </c>
      <c r="BO878" s="237" t="s">
        <v>318</v>
      </c>
      <c r="BT878" s="347">
        <v>114.11</v>
      </c>
      <c r="BU878" s="347" t="s">
        <v>337</v>
      </c>
      <c r="CD878" s="345">
        <v>26.07</v>
      </c>
      <c r="CE878" s="345" t="s">
        <v>306</v>
      </c>
      <c r="CJ878" s="347">
        <v>84.3</v>
      </c>
      <c r="CK878" s="347" t="s">
        <v>352</v>
      </c>
      <c r="CL878" s="1789"/>
      <c r="CR878" s="345"/>
      <c r="CS878" s="345"/>
      <c r="CX878" s="347"/>
      <c r="CY878" s="347"/>
      <c r="DH878" s="237"/>
      <c r="DI878" s="237"/>
      <c r="DN878" s="347"/>
      <c r="DO878" s="347"/>
      <c r="DP878" s="2505"/>
    </row>
    <row r="879" spans="12:120">
      <c r="L879" s="347">
        <v>104.07</v>
      </c>
      <c r="M879" s="347" t="s">
        <v>344</v>
      </c>
      <c r="AB879" s="347">
        <v>108.13</v>
      </c>
      <c r="AC879" s="347" t="s">
        <v>367</v>
      </c>
      <c r="AD879" s="1138"/>
      <c r="AP879" s="347">
        <v>115.1</v>
      </c>
      <c r="AQ879" s="347" t="s">
        <v>337</v>
      </c>
      <c r="BF879" s="347">
        <v>84.3</v>
      </c>
      <c r="BG879" s="347" t="s">
        <v>352</v>
      </c>
      <c r="BH879" s="1790"/>
      <c r="BN879" s="237">
        <v>105.12</v>
      </c>
      <c r="BO879" s="237" t="s">
        <v>318</v>
      </c>
      <c r="BT879" s="347">
        <v>114.12</v>
      </c>
      <c r="BU879" s="347" t="s">
        <v>337</v>
      </c>
      <c r="CD879" s="237">
        <v>26.07</v>
      </c>
      <c r="CE879" s="237" t="s">
        <v>325</v>
      </c>
      <c r="CJ879" s="347">
        <v>85.02</v>
      </c>
      <c r="CK879" s="347" t="s">
        <v>352</v>
      </c>
      <c r="CL879" s="1789"/>
      <c r="CR879" s="345"/>
      <c r="CS879" s="345"/>
      <c r="CX879" s="347"/>
      <c r="CY879" s="347"/>
      <c r="DH879" s="237"/>
      <c r="DI879" s="237"/>
      <c r="DN879" s="347"/>
      <c r="DO879" s="347"/>
      <c r="DP879" s="2505"/>
    </row>
    <row r="880" spans="12:120">
      <c r="L880" s="347">
        <v>104.09</v>
      </c>
      <c r="M880" s="347" t="s">
        <v>344</v>
      </c>
      <c r="AB880" s="347">
        <v>108.14</v>
      </c>
      <c r="AC880" s="347" t="s">
        <v>367</v>
      </c>
      <c r="AD880" s="1138"/>
      <c r="AP880" s="347">
        <v>115.12</v>
      </c>
      <c r="AQ880" s="347" t="s">
        <v>337</v>
      </c>
      <c r="BF880" s="347">
        <v>84.31</v>
      </c>
      <c r="BG880" s="347" t="s">
        <v>352</v>
      </c>
      <c r="BH880" s="1790"/>
      <c r="BN880" s="237">
        <v>105.13</v>
      </c>
      <c r="BO880" s="237" t="s">
        <v>318</v>
      </c>
      <c r="BT880" s="347">
        <v>114.13</v>
      </c>
      <c r="BU880" s="347" t="s">
        <v>337</v>
      </c>
      <c r="CD880" s="237">
        <v>26.07</v>
      </c>
      <c r="CE880" s="237" t="s">
        <v>350</v>
      </c>
      <c r="CJ880" s="347">
        <v>85.04</v>
      </c>
      <c r="CK880" s="347" t="s">
        <v>352</v>
      </c>
      <c r="CL880" s="1789"/>
      <c r="CR880" s="345"/>
      <c r="CS880" s="345"/>
      <c r="CX880" s="347"/>
      <c r="CY880" s="347"/>
      <c r="DH880" s="237"/>
      <c r="DI880" s="237"/>
      <c r="DN880" s="347"/>
      <c r="DO880" s="347"/>
      <c r="DP880" s="2505"/>
    </row>
    <row r="881" spans="12:120">
      <c r="L881" s="347">
        <v>104.1</v>
      </c>
      <c r="M881" s="347" t="s">
        <v>344</v>
      </c>
      <c r="AB881" s="347">
        <v>108.17</v>
      </c>
      <c r="AC881" s="347" t="s">
        <v>367</v>
      </c>
      <c r="AD881" s="1138"/>
      <c r="AP881" s="347">
        <v>115.14</v>
      </c>
      <c r="AQ881" s="347" t="s">
        <v>337</v>
      </c>
      <c r="BF881" s="347">
        <v>85.02</v>
      </c>
      <c r="BG881" s="347" t="s">
        <v>352</v>
      </c>
      <c r="BH881" s="1790"/>
      <c r="BN881" s="237">
        <v>105.14</v>
      </c>
      <c r="BO881" s="237" t="s">
        <v>318</v>
      </c>
      <c r="BT881" s="347">
        <v>114.14</v>
      </c>
      <c r="BU881" s="347" t="s">
        <v>337</v>
      </c>
      <c r="CD881" s="345">
        <v>26.08</v>
      </c>
      <c r="CE881" s="345" t="s">
        <v>306</v>
      </c>
      <c r="CJ881" s="347">
        <v>86.01</v>
      </c>
      <c r="CK881" s="347" t="s">
        <v>352</v>
      </c>
      <c r="CL881" s="1789"/>
      <c r="CR881" s="345"/>
      <c r="CS881" s="345"/>
      <c r="CX881" s="347"/>
      <c r="CY881" s="347"/>
      <c r="DH881" s="237"/>
      <c r="DI881" s="237"/>
      <c r="DN881" s="347"/>
      <c r="DO881" s="347"/>
      <c r="DP881" s="2505"/>
    </row>
    <row r="882" spans="12:120">
      <c r="L882" s="347">
        <v>104.11</v>
      </c>
      <c r="M882" s="347" t="s">
        <v>344</v>
      </c>
      <c r="AB882" s="347">
        <v>108.19</v>
      </c>
      <c r="AC882" s="347" t="s">
        <v>367</v>
      </c>
      <c r="AD882" s="1138"/>
      <c r="AP882" s="347">
        <v>115.15</v>
      </c>
      <c r="AQ882" s="347" t="s">
        <v>337</v>
      </c>
      <c r="BF882" s="347">
        <v>85.04</v>
      </c>
      <c r="BG882" s="347" t="s">
        <v>352</v>
      </c>
      <c r="BH882" s="1790"/>
      <c r="BN882" s="237">
        <v>105.15</v>
      </c>
      <c r="BO882" s="237" t="s">
        <v>318</v>
      </c>
      <c r="BT882" s="347">
        <v>114.15</v>
      </c>
      <c r="BU882" s="347" t="s">
        <v>337</v>
      </c>
      <c r="CD882" s="237">
        <v>26.08</v>
      </c>
      <c r="CE882" s="237" t="s">
        <v>350</v>
      </c>
      <c r="CJ882" s="347">
        <v>86.03</v>
      </c>
      <c r="CK882" s="347" t="s">
        <v>352</v>
      </c>
      <c r="CL882" s="1789"/>
      <c r="CR882" s="345"/>
      <c r="CS882" s="345"/>
      <c r="CX882" s="347"/>
      <c r="CY882" s="347"/>
      <c r="DH882" s="237"/>
      <c r="DI882" s="237"/>
      <c r="DN882" s="347"/>
      <c r="DO882" s="347"/>
      <c r="DP882" s="2505"/>
    </row>
    <row r="883" spans="12:120">
      <c r="L883" s="347">
        <v>104.12</v>
      </c>
      <c r="M883" s="347" t="s">
        <v>344</v>
      </c>
      <c r="AB883" s="347">
        <v>109</v>
      </c>
      <c r="AC883" s="347" t="s">
        <v>367</v>
      </c>
      <c r="AD883" s="1138"/>
      <c r="AP883" s="347">
        <v>115.16</v>
      </c>
      <c r="AQ883" s="347" t="s">
        <v>337</v>
      </c>
      <c r="BF883" s="347">
        <v>86.01</v>
      </c>
      <c r="BG883" s="347" t="s">
        <v>352</v>
      </c>
      <c r="BH883" s="1790"/>
      <c r="BN883" s="237">
        <v>105.16</v>
      </c>
      <c r="BO883" s="237" t="s">
        <v>318</v>
      </c>
      <c r="BT883" s="347">
        <v>114.17</v>
      </c>
      <c r="BU883" s="347" t="s">
        <v>337</v>
      </c>
      <c r="CD883" s="345">
        <v>26.09</v>
      </c>
      <c r="CE883" s="345" t="s">
        <v>306</v>
      </c>
      <c r="CJ883" s="347">
        <v>86.04</v>
      </c>
      <c r="CK883" s="347" t="s">
        <v>352</v>
      </c>
      <c r="CL883" s="1789"/>
      <c r="CR883" s="345"/>
      <c r="CS883" s="345"/>
      <c r="CX883" s="347"/>
      <c r="CY883" s="347"/>
      <c r="DH883" s="237"/>
      <c r="DI883" s="237"/>
      <c r="DN883" s="347"/>
      <c r="DO883" s="347"/>
      <c r="DP883" s="2505"/>
    </row>
    <row r="884" spans="12:120">
      <c r="L884" s="347">
        <v>105.01</v>
      </c>
      <c r="M884" s="347" t="s">
        <v>344</v>
      </c>
      <c r="AB884" s="347">
        <v>109.01</v>
      </c>
      <c r="AC884" s="347" t="s">
        <v>310</v>
      </c>
      <c r="AD884" s="1138"/>
      <c r="AP884" s="347">
        <v>115.18</v>
      </c>
      <c r="AQ884" s="347" t="s">
        <v>337</v>
      </c>
      <c r="BF884" s="347">
        <v>86.03</v>
      </c>
      <c r="BG884" s="347" t="s">
        <v>352</v>
      </c>
      <c r="BH884" s="1790"/>
      <c r="BN884" s="237">
        <v>105.17</v>
      </c>
      <c r="BO884" s="237" t="s">
        <v>318</v>
      </c>
      <c r="BT884" s="347">
        <v>114.18</v>
      </c>
      <c r="BU884" s="347" t="s">
        <v>337</v>
      </c>
      <c r="CD884" s="237">
        <v>26.09</v>
      </c>
      <c r="CE884" s="237" t="s">
        <v>350</v>
      </c>
      <c r="CJ884" s="347">
        <v>87.04</v>
      </c>
      <c r="CK884" s="347" t="s">
        <v>352</v>
      </c>
      <c r="CL884" s="1789"/>
      <c r="CR884" s="345"/>
      <c r="CS884" s="345"/>
      <c r="CX884" s="347"/>
      <c r="CY884" s="347"/>
      <c r="DH884" s="237"/>
      <c r="DI884" s="237"/>
      <c r="DN884" s="347"/>
      <c r="DO884" s="347"/>
      <c r="DP884" s="2505"/>
    </row>
    <row r="885" spans="12:120">
      <c r="L885" s="347">
        <v>106.01</v>
      </c>
      <c r="M885" s="347" t="s">
        <v>344</v>
      </c>
      <c r="AB885" s="347">
        <v>109.02</v>
      </c>
      <c r="AC885" s="347" t="s">
        <v>310</v>
      </c>
      <c r="AD885" s="1138"/>
      <c r="AP885" s="347">
        <v>115.19</v>
      </c>
      <c r="AQ885" s="347" t="s">
        <v>337</v>
      </c>
      <c r="BF885" s="347">
        <v>86.04</v>
      </c>
      <c r="BG885" s="347" t="s">
        <v>352</v>
      </c>
      <c r="BH885" s="1790"/>
      <c r="BN885" s="237">
        <v>105.18</v>
      </c>
      <c r="BO885" s="237" t="s">
        <v>318</v>
      </c>
      <c r="BT885" s="347">
        <v>115.04</v>
      </c>
      <c r="BU885" s="347" t="s">
        <v>337</v>
      </c>
      <c r="CD885" s="237">
        <v>26.1</v>
      </c>
      <c r="CE885" s="237" t="s">
        <v>350</v>
      </c>
      <c r="CJ885" s="347">
        <v>88.06</v>
      </c>
      <c r="CK885" s="347" t="s">
        <v>352</v>
      </c>
      <c r="CL885" s="1789"/>
      <c r="CR885" s="345"/>
      <c r="CS885" s="345"/>
      <c r="CX885" s="347"/>
      <c r="CY885" s="347"/>
      <c r="DH885" s="237"/>
      <c r="DI885" s="237"/>
      <c r="DN885" s="347"/>
      <c r="DO885" s="347"/>
      <c r="DP885" s="2505"/>
    </row>
    <row r="886" spans="12:120">
      <c r="L886" s="347">
        <v>107.01</v>
      </c>
      <c r="M886" s="347" t="s">
        <v>344</v>
      </c>
      <c r="AB886" s="347">
        <v>109.02</v>
      </c>
      <c r="AC886" s="347" t="s">
        <v>318</v>
      </c>
      <c r="AD886" s="1138"/>
      <c r="AP886" s="347">
        <v>115.2</v>
      </c>
      <c r="AQ886" s="347" t="s">
        <v>337</v>
      </c>
      <c r="BF886" s="347">
        <v>87.03</v>
      </c>
      <c r="BG886" s="347" t="s">
        <v>352</v>
      </c>
      <c r="BH886" s="1790"/>
      <c r="BN886" s="237">
        <v>105.19</v>
      </c>
      <c r="BO886" s="237" t="s">
        <v>318</v>
      </c>
      <c r="BT886" s="347">
        <v>115.06</v>
      </c>
      <c r="BU886" s="347" t="s">
        <v>337</v>
      </c>
      <c r="CD886" s="237">
        <v>27.01</v>
      </c>
      <c r="CE886" s="237" t="s">
        <v>323</v>
      </c>
      <c r="CJ886" s="347">
        <v>88.09</v>
      </c>
      <c r="CK886" s="347" t="s">
        <v>352</v>
      </c>
      <c r="CL886" s="1789"/>
      <c r="CR886" s="345"/>
      <c r="CS886" s="345"/>
      <c r="CX886" s="347"/>
      <c r="CY886" s="347"/>
      <c r="DH886" s="237"/>
      <c r="DI886" s="237"/>
      <c r="DN886" s="347"/>
      <c r="DO886" s="347"/>
      <c r="DP886" s="2505"/>
    </row>
    <row r="887" spans="12:120">
      <c r="L887" s="347">
        <v>108.03</v>
      </c>
      <c r="M887" s="347" t="s">
        <v>344</v>
      </c>
      <c r="AB887" s="347">
        <v>109.03</v>
      </c>
      <c r="AC887" s="347" t="s">
        <v>318</v>
      </c>
      <c r="AD887" s="1138"/>
      <c r="AP887" s="347">
        <v>115.21</v>
      </c>
      <c r="AQ887" s="347" t="s">
        <v>337</v>
      </c>
      <c r="BF887" s="347">
        <v>87.04</v>
      </c>
      <c r="BG887" s="347" t="s">
        <v>352</v>
      </c>
      <c r="BH887" s="1790"/>
      <c r="BN887" s="237">
        <v>105.2</v>
      </c>
      <c r="BO887" s="237" t="s">
        <v>318</v>
      </c>
      <c r="BT887" s="347">
        <v>115.09</v>
      </c>
      <c r="BU887" s="347" t="s">
        <v>337</v>
      </c>
      <c r="CD887" s="237">
        <v>27.01</v>
      </c>
      <c r="CE887" s="237" t="s">
        <v>325</v>
      </c>
      <c r="CJ887" s="347">
        <v>88.1</v>
      </c>
      <c r="CK887" s="347" t="s">
        <v>352</v>
      </c>
      <c r="CL887" s="1789"/>
      <c r="CR887" s="345"/>
      <c r="CS887" s="345"/>
      <c r="CX887" s="347"/>
      <c r="CY887" s="347"/>
      <c r="DH887" s="237"/>
      <c r="DI887" s="237"/>
      <c r="DN887" s="347"/>
      <c r="DO887" s="347"/>
      <c r="DP887" s="2505"/>
    </row>
    <row r="888" spans="12:120">
      <c r="L888" s="347">
        <v>201.01</v>
      </c>
      <c r="M888" s="347" t="s">
        <v>344</v>
      </c>
      <c r="AB888" s="347">
        <v>109.04</v>
      </c>
      <c r="AC888" s="347" t="s">
        <v>318</v>
      </c>
      <c r="AD888" s="1138"/>
      <c r="AP888" s="347">
        <v>115.22</v>
      </c>
      <c r="AQ888" s="347" t="s">
        <v>337</v>
      </c>
      <c r="BF888" s="347">
        <v>88.05</v>
      </c>
      <c r="BG888" s="347" t="s">
        <v>352</v>
      </c>
      <c r="BH888" s="1790"/>
      <c r="BN888" s="237">
        <v>106.01</v>
      </c>
      <c r="BO888" s="237" t="s">
        <v>318</v>
      </c>
      <c r="BT888" s="347">
        <v>115.1</v>
      </c>
      <c r="BU888" s="347" t="s">
        <v>337</v>
      </c>
      <c r="CD888" s="237">
        <v>27.01</v>
      </c>
      <c r="CE888" s="237" t="s">
        <v>337</v>
      </c>
      <c r="CJ888" s="347">
        <v>89.06</v>
      </c>
      <c r="CK888" s="347" t="s">
        <v>352</v>
      </c>
      <c r="CL888" s="1789"/>
      <c r="CR888" s="345"/>
      <c r="CS888" s="345"/>
      <c r="CX888" s="347"/>
      <c r="CY888" s="347"/>
      <c r="DH888" s="237"/>
      <c r="DI888" s="237"/>
      <c r="DN888" s="347"/>
      <c r="DO888" s="347"/>
      <c r="DP888" s="2505"/>
    </row>
    <row r="889" spans="12:120">
      <c r="L889" s="347">
        <v>202.02</v>
      </c>
      <c r="M889" s="347" t="s">
        <v>344</v>
      </c>
      <c r="AB889" s="347">
        <v>109.05</v>
      </c>
      <c r="AC889" s="347" t="s">
        <v>318</v>
      </c>
      <c r="AD889" s="1138"/>
      <c r="AP889" s="347">
        <v>115.23</v>
      </c>
      <c r="AQ889" s="347" t="s">
        <v>337</v>
      </c>
      <c r="BF889" s="347">
        <v>88.06</v>
      </c>
      <c r="BG889" s="347" t="s">
        <v>352</v>
      </c>
      <c r="BH889" s="1790"/>
      <c r="BN889" s="237">
        <v>106.02</v>
      </c>
      <c r="BO889" s="237" t="s">
        <v>318</v>
      </c>
      <c r="BT889" s="347">
        <v>115.12</v>
      </c>
      <c r="BU889" s="347" t="s">
        <v>337</v>
      </c>
      <c r="CD889" s="237">
        <v>27.01</v>
      </c>
      <c r="CE889" s="237" t="s">
        <v>345</v>
      </c>
      <c r="CJ889" s="347">
        <v>89.08</v>
      </c>
      <c r="CK889" s="347" t="s">
        <v>352</v>
      </c>
      <c r="CL889" s="1789"/>
      <c r="CR889" s="345"/>
      <c r="CS889" s="345"/>
      <c r="CX889" s="347"/>
      <c r="CY889" s="347"/>
      <c r="DH889" s="237"/>
      <c r="DI889" s="237"/>
      <c r="DN889" s="347"/>
      <c r="DO889" s="347"/>
      <c r="DP889" s="2505"/>
    </row>
    <row r="890" spans="12:120">
      <c r="L890" s="347">
        <v>204</v>
      </c>
      <c r="M890" s="347" t="s">
        <v>344</v>
      </c>
      <c r="AB890" s="347">
        <v>110</v>
      </c>
      <c r="AC890" s="347" t="s">
        <v>310</v>
      </c>
      <c r="AD890" s="1138"/>
      <c r="AP890" s="347">
        <v>115.24</v>
      </c>
      <c r="AQ890" s="347" t="s">
        <v>337</v>
      </c>
      <c r="BF890" s="347">
        <v>88.09</v>
      </c>
      <c r="BG890" s="347" t="s">
        <v>352</v>
      </c>
      <c r="BH890" s="1790"/>
      <c r="BN890" s="237">
        <v>106.04</v>
      </c>
      <c r="BO890" s="237" t="s">
        <v>318</v>
      </c>
      <c r="BT890" s="347">
        <v>115.14</v>
      </c>
      <c r="BU890" s="347" t="s">
        <v>337</v>
      </c>
      <c r="CD890" s="237">
        <v>27.01</v>
      </c>
      <c r="CE890" s="237" t="s">
        <v>361</v>
      </c>
      <c r="CJ890" s="347">
        <v>89.09</v>
      </c>
      <c r="CK890" s="347" t="s">
        <v>352</v>
      </c>
      <c r="CL890" s="1789"/>
      <c r="CR890" s="345"/>
      <c r="CS890" s="345"/>
      <c r="CX890" s="347"/>
      <c r="CY890" s="347"/>
      <c r="DH890" s="237"/>
      <c r="DI890" s="237"/>
      <c r="DN890" s="347"/>
      <c r="DO890" s="347"/>
      <c r="DP890" s="2505"/>
    </row>
    <row r="891" spans="12:120">
      <c r="L891" s="347">
        <v>207</v>
      </c>
      <c r="M891" s="347" t="s">
        <v>344</v>
      </c>
      <c r="AB891" s="347">
        <v>110</v>
      </c>
      <c r="AC891" s="347" t="s">
        <v>359</v>
      </c>
      <c r="AD891" s="1138"/>
      <c r="AP891" s="347">
        <v>115.25</v>
      </c>
      <c r="AQ891" s="347" t="s">
        <v>337</v>
      </c>
      <c r="BF891" s="347">
        <v>88.1</v>
      </c>
      <c r="BG891" s="347" t="s">
        <v>352</v>
      </c>
      <c r="BH891" s="1790"/>
      <c r="BN891" s="237">
        <v>106.05</v>
      </c>
      <c r="BO891" s="237" t="s">
        <v>318</v>
      </c>
      <c r="BT891" s="347">
        <v>115.15</v>
      </c>
      <c r="BU891" s="347" t="s">
        <v>337</v>
      </c>
      <c r="CD891" s="237">
        <v>27.02</v>
      </c>
      <c r="CE891" s="237" t="s">
        <v>323</v>
      </c>
      <c r="CJ891" s="347">
        <v>89.1</v>
      </c>
      <c r="CK891" s="347" t="s">
        <v>352</v>
      </c>
      <c r="CL891" s="1789"/>
      <c r="CR891" s="345"/>
      <c r="CS891" s="345"/>
      <c r="CX891" s="347"/>
      <c r="CY891" s="347"/>
      <c r="DH891" s="237"/>
      <c r="DI891" s="237"/>
      <c r="DN891" s="347"/>
      <c r="DO891" s="347"/>
      <c r="DP891" s="2505"/>
    </row>
    <row r="892" spans="12:120">
      <c r="L892" s="347">
        <v>301</v>
      </c>
      <c r="M892" s="347" t="s">
        <v>344</v>
      </c>
      <c r="AB892" s="347">
        <v>110.01</v>
      </c>
      <c r="AC892" s="347" t="s">
        <v>318</v>
      </c>
      <c r="AD892" s="1138"/>
      <c r="AP892" s="347">
        <v>115.26</v>
      </c>
      <c r="AQ892" s="347" t="s">
        <v>337</v>
      </c>
      <c r="BF892" s="347">
        <v>89.06</v>
      </c>
      <c r="BG892" s="347" t="s">
        <v>352</v>
      </c>
      <c r="BH892" s="1790"/>
      <c r="BN892" s="237">
        <v>106.06</v>
      </c>
      <c r="BO892" s="237" t="s">
        <v>318</v>
      </c>
      <c r="BT892" s="347">
        <v>115.16</v>
      </c>
      <c r="BU892" s="347" t="s">
        <v>337</v>
      </c>
      <c r="CD892" s="237">
        <v>27.02</v>
      </c>
      <c r="CE892" s="237" t="s">
        <v>337</v>
      </c>
      <c r="CJ892" s="347">
        <v>89.11</v>
      </c>
      <c r="CK892" s="347" t="s">
        <v>352</v>
      </c>
      <c r="CL892" s="1789"/>
      <c r="CR892" s="345"/>
      <c r="CS892" s="345"/>
      <c r="CX892" s="347"/>
      <c r="CY892" s="347"/>
      <c r="DH892" s="237"/>
      <c r="DI892" s="237"/>
      <c r="DN892" s="347"/>
      <c r="DO892" s="347"/>
      <c r="DP892" s="2505"/>
    </row>
    <row r="893" spans="12:120">
      <c r="L893" s="347">
        <v>302.01</v>
      </c>
      <c r="M893" s="347" t="s">
        <v>344</v>
      </c>
      <c r="AB893" s="347">
        <v>110.02</v>
      </c>
      <c r="AC893" s="347" t="s">
        <v>318</v>
      </c>
      <c r="AD893" s="1138"/>
      <c r="AP893" s="347">
        <v>115.27</v>
      </c>
      <c r="AQ893" s="347" t="s">
        <v>337</v>
      </c>
      <c r="BF893" s="347">
        <v>89.08</v>
      </c>
      <c r="BG893" s="347" t="s">
        <v>352</v>
      </c>
      <c r="BH893" s="1790"/>
      <c r="BN893" s="237">
        <v>107.01</v>
      </c>
      <c r="BO893" s="237" t="s">
        <v>318</v>
      </c>
      <c r="BT893" s="347">
        <v>115.18</v>
      </c>
      <c r="BU893" s="347" t="s">
        <v>337</v>
      </c>
      <c r="CD893" s="237">
        <v>27.02</v>
      </c>
      <c r="CE893" s="237" t="s">
        <v>345</v>
      </c>
      <c r="CJ893" s="347">
        <v>90.1</v>
      </c>
      <c r="CK893" s="347" t="s">
        <v>352</v>
      </c>
      <c r="CL893" s="1789"/>
      <c r="CR893" s="345"/>
      <c r="CS893" s="345"/>
      <c r="CX893" s="347"/>
      <c r="CY893" s="347"/>
      <c r="DH893" s="237"/>
      <c r="DI893" s="237"/>
      <c r="DN893" s="347"/>
      <c r="DO893" s="347"/>
      <c r="DP893" s="2505"/>
    </row>
    <row r="894" spans="12:120">
      <c r="L894" s="347">
        <v>302.02999999999997</v>
      </c>
      <c r="M894" s="347" t="s">
        <v>344</v>
      </c>
      <c r="AB894" s="347">
        <v>110.05</v>
      </c>
      <c r="AC894" s="347" t="s">
        <v>337</v>
      </c>
      <c r="AD894" s="1138"/>
      <c r="AP894" s="347">
        <v>115.28</v>
      </c>
      <c r="AQ894" s="347" t="s">
        <v>337</v>
      </c>
      <c r="BF894" s="347">
        <v>89.09</v>
      </c>
      <c r="BG894" s="347" t="s">
        <v>352</v>
      </c>
      <c r="BH894" s="1790"/>
      <c r="BN894" s="237">
        <v>107.02</v>
      </c>
      <c r="BO894" s="237" t="s">
        <v>318</v>
      </c>
      <c r="BT894" s="347">
        <v>115.19</v>
      </c>
      <c r="BU894" s="347" t="s">
        <v>337</v>
      </c>
      <c r="CD894" s="237">
        <v>27.02</v>
      </c>
      <c r="CE894" s="237" t="s">
        <v>352</v>
      </c>
      <c r="CJ894" s="347">
        <v>90.14</v>
      </c>
      <c r="CK894" s="347" t="s">
        <v>352</v>
      </c>
      <c r="CL894" s="1789"/>
      <c r="CR894" s="345"/>
      <c r="CS894" s="345"/>
      <c r="CX894" s="347"/>
      <c r="CY894" s="347"/>
      <c r="DH894" s="237"/>
      <c r="DI894" s="237"/>
      <c r="DN894" s="347"/>
      <c r="DO894" s="347"/>
      <c r="DP894" s="2505"/>
    </row>
    <row r="895" spans="12:120">
      <c r="L895" s="347">
        <v>303</v>
      </c>
      <c r="M895" s="347" t="s">
        <v>344</v>
      </c>
      <c r="AB895" s="347">
        <v>110.06</v>
      </c>
      <c r="AC895" s="347" t="s">
        <v>337</v>
      </c>
      <c r="AD895" s="1138"/>
      <c r="AP895" s="347">
        <v>116.03</v>
      </c>
      <c r="AQ895" s="347" t="s">
        <v>337</v>
      </c>
      <c r="BF895" s="347">
        <v>89.1</v>
      </c>
      <c r="BG895" s="347" t="s">
        <v>352</v>
      </c>
      <c r="BH895" s="1790"/>
      <c r="BN895" s="237">
        <v>108.01</v>
      </c>
      <c r="BO895" s="237" t="s">
        <v>318</v>
      </c>
      <c r="BT895" s="347">
        <v>115.2</v>
      </c>
      <c r="BU895" s="347" t="s">
        <v>337</v>
      </c>
      <c r="CD895" s="237">
        <v>27.02</v>
      </c>
      <c r="CE895" s="237" t="s">
        <v>361</v>
      </c>
      <c r="CJ895" s="347">
        <v>90.22</v>
      </c>
      <c r="CK895" s="347" t="s">
        <v>352</v>
      </c>
      <c r="CL895" s="1789"/>
      <c r="CR895" s="345"/>
      <c r="CS895" s="345"/>
      <c r="CX895" s="347"/>
      <c r="CY895" s="347"/>
      <c r="DH895" s="237"/>
      <c r="DI895" s="237"/>
      <c r="DN895" s="347"/>
      <c r="DO895" s="347"/>
      <c r="DP895" s="2505"/>
    </row>
    <row r="896" spans="12:120">
      <c r="L896" s="347">
        <v>401.08</v>
      </c>
      <c r="M896" s="347" t="s">
        <v>344</v>
      </c>
      <c r="AB896" s="347">
        <v>110.07</v>
      </c>
      <c r="AC896" s="347" t="s">
        <v>337</v>
      </c>
      <c r="AD896" s="1138"/>
      <c r="AP896" s="347">
        <v>116.11</v>
      </c>
      <c r="AQ896" s="347" t="s">
        <v>337</v>
      </c>
      <c r="BF896" s="347">
        <v>89.11</v>
      </c>
      <c r="BG896" s="347" t="s">
        <v>352</v>
      </c>
      <c r="BH896" s="1790"/>
      <c r="BN896" s="237">
        <v>108.04</v>
      </c>
      <c r="BO896" s="237" t="s">
        <v>318</v>
      </c>
      <c r="BT896" s="347">
        <v>115.21</v>
      </c>
      <c r="BU896" s="347" t="s">
        <v>337</v>
      </c>
      <c r="CD896" s="345">
        <v>27.03</v>
      </c>
      <c r="CE896" s="345" t="s">
        <v>306</v>
      </c>
      <c r="CJ896" s="347">
        <v>90.24</v>
      </c>
      <c r="CK896" s="347" t="s">
        <v>352</v>
      </c>
      <c r="CL896" s="1789"/>
      <c r="CR896" s="345"/>
      <c r="CS896" s="345"/>
      <c r="CX896" s="347"/>
      <c r="CY896" s="347"/>
      <c r="DH896" s="237"/>
      <c r="DI896" s="237"/>
      <c r="DN896" s="347"/>
      <c r="DO896" s="347"/>
      <c r="DP896" s="2505"/>
    </row>
    <row r="897" spans="12:120">
      <c r="L897" s="347">
        <v>401.1</v>
      </c>
      <c r="M897" s="347" t="s">
        <v>344</v>
      </c>
      <c r="AB897" s="347">
        <v>110.07</v>
      </c>
      <c r="AC897" s="347" t="s">
        <v>352</v>
      </c>
      <c r="AD897" s="1138"/>
      <c r="AP897" s="347">
        <v>116.12</v>
      </c>
      <c r="AQ897" s="347" t="s">
        <v>337</v>
      </c>
      <c r="BF897" s="347">
        <v>90.1</v>
      </c>
      <c r="BG897" s="347" t="s">
        <v>352</v>
      </c>
      <c r="BH897" s="1790"/>
      <c r="BN897" s="237">
        <v>108.05</v>
      </c>
      <c r="BO897" s="237" t="s">
        <v>318</v>
      </c>
      <c r="BT897" s="347">
        <v>115.22</v>
      </c>
      <c r="BU897" s="347" t="s">
        <v>337</v>
      </c>
      <c r="CD897" s="237">
        <v>27.03</v>
      </c>
      <c r="CE897" s="237" t="s">
        <v>325</v>
      </c>
      <c r="CJ897" s="347">
        <v>90.28</v>
      </c>
      <c r="CK897" s="347" t="s">
        <v>352</v>
      </c>
      <c r="CL897" s="1789"/>
      <c r="CR897" s="345"/>
      <c r="CS897" s="345"/>
      <c r="CX897" s="347"/>
      <c r="CY897" s="347"/>
      <c r="DH897" s="237"/>
      <c r="DI897" s="237"/>
      <c r="DN897" s="347"/>
      <c r="DO897" s="347"/>
      <c r="DP897" s="2505"/>
    </row>
    <row r="898" spans="12:120">
      <c r="L898" s="347">
        <v>401.11</v>
      </c>
      <c r="M898" s="347" t="s">
        <v>344</v>
      </c>
      <c r="AB898" s="347">
        <v>110.08</v>
      </c>
      <c r="AC898" s="347" t="s">
        <v>337</v>
      </c>
      <c r="AD898" s="1138"/>
      <c r="AP898" s="347">
        <v>116.15</v>
      </c>
      <c r="AQ898" s="347" t="s">
        <v>337</v>
      </c>
      <c r="BF898" s="347">
        <v>90.14</v>
      </c>
      <c r="BG898" s="347" t="s">
        <v>352</v>
      </c>
      <c r="BH898" s="1790"/>
      <c r="BN898" s="237">
        <v>108.06</v>
      </c>
      <c r="BO898" s="237" t="s">
        <v>318</v>
      </c>
      <c r="BT898" s="347">
        <v>115.23</v>
      </c>
      <c r="BU898" s="347" t="s">
        <v>337</v>
      </c>
      <c r="CD898" s="237">
        <v>27.03</v>
      </c>
      <c r="CE898" s="237" t="s">
        <v>350</v>
      </c>
      <c r="CJ898" s="347">
        <v>90.29</v>
      </c>
      <c r="CK898" s="347" t="s">
        <v>352</v>
      </c>
      <c r="CL898" s="1789"/>
      <c r="CR898" s="345"/>
      <c r="CS898" s="345"/>
      <c r="CX898" s="347"/>
      <c r="CY898" s="347"/>
      <c r="DH898" s="237"/>
      <c r="DI898" s="237"/>
      <c r="DN898" s="347"/>
      <c r="DO898" s="347"/>
      <c r="DP898" s="2505"/>
    </row>
    <row r="899" spans="12:120">
      <c r="L899" s="347">
        <v>401.12</v>
      </c>
      <c r="M899" s="347" t="s">
        <v>344</v>
      </c>
      <c r="AB899" s="347">
        <v>110.08</v>
      </c>
      <c r="AC899" s="347" t="s">
        <v>352</v>
      </c>
      <c r="AD899" s="1138"/>
      <c r="AP899" s="347">
        <v>116.16</v>
      </c>
      <c r="AQ899" s="347" t="s">
        <v>337</v>
      </c>
      <c r="BF899" s="347">
        <v>90.15</v>
      </c>
      <c r="BG899" s="347" t="s">
        <v>352</v>
      </c>
      <c r="BH899" s="1790"/>
      <c r="BN899" s="237">
        <v>108.07</v>
      </c>
      <c r="BO899" s="237" t="s">
        <v>318</v>
      </c>
      <c r="BT899" s="347">
        <v>115.24</v>
      </c>
      <c r="BU899" s="347" t="s">
        <v>337</v>
      </c>
      <c r="CD899" s="237">
        <v>27.03</v>
      </c>
      <c r="CE899" s="237" t="s">
        <v>361</v>
      </c>
      <c r="CJ899" s="347">
        <v>90.3</v>
      </c>
      <c r="CK899" s="347" t="s">
        <v>352</v>
      </c>
      <c r="CL899" s="1789"/>
      <c r="CR899" s="345"/>
      <c r="CS899" s="345"/>
      <c r="CX899" s="347"/>
      <c r="CY899" s="347"/>
      <c r="DH899" s="237"/>
      <c r="DI899" s="237"/>
      <c r="DN899" s="347"/>
      <c r="DO899" s="347"/>
      <c r="DP899" s="2505"/>
    </row>
    <row r="900" spans="12:120">
      <c r="L900" s="347">
        <v>401.13</v>
      </c>
      <c r="M900" s="347" t="s">
        <v>344</v>
      </c>
      <c r="AB900" s="347">
        <v>110.09</v>
      </c>
      <c r="AC900" s="347" t="s">
        <v>352</v>
      </c>
      <c r="AD900" s="1138"/>
      <c r="AP900" s="347">
        <v>116.17</v>
      </c>
      <c r="AQ900" s="347" t="s">
        <v>337</v>
      </c>
      <c r="BF900" s="347">
        <v>90.22</v>
      </c>
      <c r="BG900" s="347" t="s">
        <v>352</v>
      </c>
      <c r="BH900" s="1790"/>
      <c r="BN900" s="237">
        <v>108.08</v>
      </c>
      <c r="BO900" s="237" t="s">
        <v>318</v>
      </c>
      <c r="BT900" s="347">
        <v>115.25</v>
      </c>
      <c r="BU900" s="347" t="s">
        <v>337</v>
      </c>
      <c r="CD900" s="237">
        <v>27.04</v>
      </c>
      <c r="CE900" s="237" t="s">
        <v>325</v>
      </c>
      <c r="CJ900" s="347">
        <v>90.31</v>
      </c>
      <c r="CK900" s="347" t="s">
        <v>352</v>
      </c>
      <c r="CL900" s="1789"/>
      <c r="CR900" s="345"/>
      <c r="CS900" s="345"/>
      <c r="CX900" s="347"/>
      <c r="CY900" s="347"/>
      <c r="DH900" s="237"/>
      <c r="DI900" s="237"/>
      <c r="DN900" s="347"/>
      <c r="DO900" s="347"/>
      <c r="DP900" s="2505"/>
    </row>
    <row r="901" spans="12:120">
      <c r="L901" s="347">
        <v>401.14</v>
      </c>
      <c r="M901" s="347" t="s">
        <v>344</v>
      </c>
      <c r="AB901" s="347">
        <v>110.12</v>
      </c>
      <c r="AC901" s="347" t="s">
        <v>337</v>
      </c>
      <c r="AD901" s="1138"/>
      <c r="AP901" s="347">
        <v>117.08</v>
      </c>
      <c r="AQ901" s="347" t="s">
        <v>337</v>
      </c>
      <c r="BF901" s="347">
        <v>90.24</v>
      </c>
      <c r="BG901" s="347" t="s">
        <v>352</v>
      </c>
      <c r="BH901" s="1790"/>
      <c r="BN901" s="237">
        <v>109.02</v>
      </c>
      <c r="BO901" s="237" t="s">
        <v>318</v>
      </c>
      <c r="BT901" s="347">
        <v>115.26</v>
      </c>
      <c r="BU901" s="347" t="s">
        <v>337</v>
      </c>
      <c r="CD901" s="237">
        <v>27.04</v>
      </c>
      <c r="CE901" s="237" t="s">
        <v>350</v>
      </c>
      <c r="CJ901" s="347">
        <v>90.39</v>
      </c>
      <c r="CK901" s="347" t="s">
        <v>352</v>
      </c>
      <c r="CL901" s="1789"/>
      <c r="CR901" s="345"/>
      <c r="CS901" s="345"/>
      <c r="CX901" s="347"/>
      <c r="CY901" s="347"/>
      <c r="DH901" s="237"/>
      <c r="DI901" s="237"/>
      <c r="DN901" s="347"/>
      <c r="DO901" s="347"/>
      <c r="DP901" s="2505"/>
    </row>
    <row r="902" spans="12:120">
      <c r="L902" s="347">
        <v>401.15</v>
      </c>
      <c r="M902" s="347" t="s">
        <v>344</v>
      </c>
      <c r="AB902" s="347">
        <v>110.13</v>
      </c>
      <c r="AC902" s="347" t="s">
        <v>337</v>
      </c>
      <c r="AD902" s="1138"/>
      <c r="AP902" s="347">
        <v>117.12</v>
      </c>
      <c r="AQ902" s="347" t="s">
        <v>337</v>
      </c>
      <c r="BF902" s="347">
        <v>90.28</v>
      </c>
      <c r="BG902" s="347" t="s">
        <v>352</v>
      </c>
      <c r="BH902" s="1790"/>
      <c r="BN902" s="237">
        <v>109.04</v>
      </c>
      <c r="BO902" s="237" t="s">
        <v>318</v>
      </c>
      <c r="BT902" s="347">
        <v>115.27</v>
      </c>
      <c r="BU902" s="347" t="s">
        <v>337</v>
      </c>
      <c r="CD902" s="237">
        <v>27.05</v>
      </c>
      <c r="CE902" s="237" t="s">
        <v>350</v>
      </c>
      <c r="CJ902" s="347">
        <v>90.4</v>
      </c>
      <c r="CK902" s="347" t="s">
        <v>352</v>
      </c>
      <c r="CL902" s="1789"/>
      <c r="CR902" s="345"/>
      <c r="CS902" s="345"/>
      <c r="CX902" s="347"/>
      <c r="CY902" s="347"/>
      <c r="DH902" s="237"/>
      <c r="DI902" s="237"/>
      <c r="DN902" s="347"/>
      <c r="DO902" s="347"/>
      <c r="DP902" s="2505"/>
    </row>
    <row r="903" spans="12:120">
      <c r="L903" s="347">
        <v>401.16</v>
      </c>
      <c r="M903" s="347" t="s">
        <v>344</v>
      </c>
      <c r="AB903" s="347">
        <v>110.14</v>
      </c>
      <c r="AC903" s="347" t="s">
        <v>337</v>
      </c>
      <c r="AD903" s="1138"/>
      <c r="AP903" s="347">
        <v>117.13</v>
      </c>
      <c r="AQ903" s="347" t="s">
        <v>337</v>
      </c>
      <c r="BF903" s="347">
        <v>90.29</v>
      </c>
      <c r="BG903" s="347" t="s">
        <v>352</v>
      </c>
      <c r="BH903" s="1790"/>
      <c r="BN903" s="237">
        <v>109.05</v>
      </c>
      <c r="BO903" s="237" t="s">
        <v>318</v>
      </c>
      <c r="BT903" s="347">
        <v>115.28</v>
      </c>
      <c r="BU903" s="347" t="s">
        <v>337</v>
      </c>
      <c r="CD903" s="237">
        <v>27.05</v>
      </c>
      <c r="CE903" s="237" t="s">
        <v>352</v>
      </c>
      <c r="CJ903" s="347">
        <v>90.43</v>
      </c>
      <c r="CK903" s="347" t="s">
        <v>352</v>
      </c>
      <c r="CL903" s="1789"/>
      <c r="CR903" s="345"/>
      <c r="CS903" s="345"/>
      <c r="CX903" s="347"/>
      <c r="CY903" s="347"/>
      <c r="DH903" s="237"/>
      <c r="DI903" s="237"/>
      <c r="DN903" s="347"/>
      <c r="DO903" s="347"/>
      <c r="DP903" s="2505"/>
    </row>
    <row r="904" spans="12:120">
      <c r="L904" s="347">
        <v>401.17</v>
      </c>
      <c r="M904" s="347" t="s">
        <v>344</v>
      </c>
      <c r="AB904" s="347">
        <v>110.15</v>
      </c>
      <c r="AC904" s="347" t="s">
        <v>337</v>
      </c>
      <c r="AD904" s="1138"/>
      <c r="AP904" s="347">
        <v>117.14</v>
      </c>
      <c r="AQ904" s="347" t="s">
        <v>337</v>
      </c>
      <c r="BF904" s="347">
        <v>90.3</v>
      </c>
      <c r="BG904" s="347" t="s">
        <v>352</v>
      </c>
      <c r="BH904" s="1790"/>
      <c r="BN904" s="237">
        <v>109.06</v>
      </c>
      <c r="BO904" s="237" t="s">
        <v>318</v>
      </c>
      <c r="BT904" s="347">
        <v>116.03</v>
      </c>
      <c r="BU904" s="347" t="s">
        <v>337</v>
      </c>
      <c r="CD904" s="345">
        <v>27.06</v>
      </c>
      <c r="CE904" s="345" t="s">
        <v>306</v>
      </c>
      <c r="CJ904" s="347">
        <v>90.44</v>
      </c>
      <c r="CK904" s="347" t="s">
        <v>352</v>
      </c>
      <c r="CL904" s="1789"/>
      <c r="CR904" s="345"/>
      <c r="CS904" s="345"/>
      <c r="CX904" s="347"/>
      <c r="CY904" s="347"/>
      <c r="DH904" s="237"/>
      <c r="DI904" s="237"/>
      <c r="DN904" s="347"/>
      <c r="DO904" s="347"/>
      <c r="DP904" s="2505"/>
    </row>
    <row r="905" spans="12:120">
      <c r="L905" s="347">
        <v>401.18</v>
      </c>
      <c r="M905" s="347" t="s">
        <v>344</v>
      </c>
      <c r="AB905" s="347">
        <v>110.16</v>
      </c>
      <c r="AC905" s="347" t="s">
        <v>337</v>
      </c>
      <c r="AD905" s="1138"/>
      <c r="AP905" s="347">
        <v>117.16</v>
      </c>
      <c r="AQ905" s="347" t="s">
        <v>337</v>
      </c>
      <c r="BF905" s="347">
        <v>90.31</v>
      </c>
      <c r="BG905" s="347" t="s">
        <v>352</v>
      </c>
      <c r="BH905" s="1790"/>
      <c r="BN905" s="237">
        <v>109.07</v>
      </c>
      <c r="BO905" s="237" t="s">
        <v>318</v>
      </c>
      <c r="BT905" s="347">
        <v>116.12</v>
      </c>
      <c r="BU905" s="347" t="s">
        <v>337</v>
      </c>
      <c r="CD905" s="237">
        <v>27.06</v>
      </c>
      <c r="CE905" s="237" t="s">
        <v>350</v>
      </c>
      <c r="CJ905" s="347">
        <v>90.48</v>
      </c>
      <c r="CK905" s="347" t="s">
        <v>352</v>
      </c>
      <c r="CL905" s="1789"/>
      <c r="CR905" s="345"/>
      <c r="CS905" s="345"/>
      <c r="CX905" s="347"/>
      <c r="CY905" s="347"/>
      <c r="DH905" s="237"/>
      <c r="DI905" s="237"/>
      <c r="DN905" s="347"/>
      <c r="DO905" s="347"/>
      <c r="DP905" s="2505"/>
    </row>
    <row r="906" spans="12:120">
      <c r="L906" s="347">
        <v>401.19</v>
      </c>
      <c r="M906" s="347" t="s">
        <v>344</v>
      </c>
      <c r="AB906" s="347">
        <v>111</v>
      </c>
      <c r="AC906" s="347" t="s">
        <v>359</v>
      </c>
      <c r="AD906" s="1138"/>
      <c r="AP906" s="347">
        <v>119.07</v>
      </c>
      <c r="AQ906" s="347" t="s">
        <v>337</v>
      </c>
      <c r="BF906" s="347">
        <v>90.39</v>
      </c>
      <c r="BG906" s="347" t="s">
        <v>352</v>
      </c>
      <c r="BH906" s="1790"/>
      <c r="BN906" s="237">
        <v>110.03</v>
      </c>
      <c r="BO906" s="237" t="s">
        <v>318</v>
      </c>
      <c r="BT906" s="347">
        <v>116.15</v>
      </c>
      <c r="BU906" s="347" t="s">
        <v>337</v>
      </c>
      <c r="CD906" s="345">
        <v>27.07</v>
      </c>
      <c r="CE906" s="345" t="s">
        <v>306</v>
      </c>
      <c r="CJ906" s="347">
        <v>90.49</v>
      </c>
      <c r="CK906" s="347" t="s">
        <v>352</v>
      </c>
      <c r="CL906" s="1789"/>
      <c r="CR906" s="345"/>
      <c r="CS906" s="345"/>
      <c r="CX906" s="347"/>
      <c r="CY906" s="347"/>
      <c r="DH906" s="237"/>
      <c r="DI906" s="237"/>
      <c r="DN906" s="347"/>
      <c r="DO906" s="347"/>
      <c r="DP906" s="2505"/>
    </row>
    <row r="907" spans="12:120">
      <c r="L907" s="347">
        <v>401.2</v>
      </c>
      <c r="M907" s="347" t="s">
        <v>344</v>
      </c>
      <c r="AB907" s="347">
        <v>111.02</v>
      </c>
      <c r="AC907" s="347" t="s">
        <v>318</v>
      </c>
      <c r="AD907" s="1138"/>
      <c r="AP907" s="347">
        <v>121.06</v>
      </c>
      <c r="AQ907" s="347" t="s">
        <v>337</v>
      </c>
      <c r="BF907" s="347">
        <v>90.4</v>
      </c>
      <c r="BG907" s="347" t="s">
        <v>352</v>
      </c>
      <c r="BH907" s="1790"/>
      <c r="BN907" s="237">
        <v>111.03</v>
      </c>
      <c r="BO907" s="237" t="s">
        <v>318</v>
      </c>
      <c r="BT907" s="347">
        <v>116.17</v>
      </c>
      <c r="BU907" s="347" t="s">
        <v>337</v>
      </c>
      <c r="CD907" s="237">
        <v>27.07</v>
      </c>
      <c r="CE907" s="237" t="s">
        <v>352</v>
      </c>
      <c r="CJ907" s="347">
        <v>90.5</v>
      </c>
      <c r="CK907" s="347" t="s">
        <v>352</v>
      </c>
      <c r="CL907" s="1789"/>
      <c r="CR907" s="345"/>
      <c r="CS907" s="345"/>
      <c r="CX907" s="347"/>
      <c r="CY907" s="347"/>
      <c r="DH907" s="237"/>
      <c r="DI907" s="237"/>
      <c r="DN907" s="347"/>
      <c r="DO907" s="347"/>
      <c r="DP907" s="2505"/>
    </row>
    <row r="908" spans="12:120">
      <c r="L908" s="347">
        <v>401.23</v>
      </c>
      <c r="M908" s="347" t="s">
        <v>344</v>
      </c>
      <c r="AB908" s="347">
        <v>111.02</v>
      </c>
      <c r="AC908" s="347" t="s">
        <v>352</v>
      </c>
      <c r="AD908" s="1138"/>
      <c r="AP908" s="347">
        <v>121.08</v>
      </c>
      <c r="AQ908" s="347" t="s">
        <v>337</v>
      </c>
      <c r="BF908" s="347">
        <v>90.43</v>
      </c>
      <c r="BG908" s="347" t="s">
        <v>352</v>
      </c>
      <c r="BH908" s="1790"/>
      <c r="BN908" s="237">
        <v>111.07</v>
      </c>
      <c r="BO908" s="237" t="s">
        <v>318</v>
      </c>
      <c r="BT908" s="347">
        <v>117.08</v>
      </c>
      <c r="BU908" s="347" t="s">
        <v>337</v>
      </c>
      <c r="CD908" s="345">
        <v>27.08</v>
      </c>
      <c r="CE908" s="345" t="s">
        <v>306</v>
      </c>
      <c r="CJ908" s="347">
        <v>90.51</v>
      </c>
      <c r="CK908" s="347" t="s">
        <v>352</v>
      </c>
      <c r="CL908" s="1789"/>
      <c r="CR908" s="345"/>
      <c r="CS908" s="345"/>
      <c r="CX908" s="347"/>
      <c r="CY908" s="347"/>
      <c r="DH908" s="237"/>
      <c r="DI908" s="237"/>
      <c r="DN908" s="347"/>
      <c r="DO908" s="347"/>
      <c r="DP908" s="2505"/>
    </row>
    <row r="909" spans="12:120">
      <c r="L909" s="347">
        <v>401.25</v>
      </c>
      <c r="M909" s="347" t="s">
        <v>344</v>
      </c>
      <c r="AB909" s="347">
        <v>111.03</v>
      </c>
      <c r="AC909" s="347" t="s">
        <v>337</v>
      </c>
      <c r="AD909" s="1138"/>
      <c r="AP909" s="347">
        <v>122.08</v>
      </c>
      <c r="AQ909" s="347" t="s">
        <v>337</v>
      </c>
      <c r="BF909" s="347">
        <v>90.44</v>
      </c>
      <c r="BG909" s="347" t="s">
        <v>352</v>
      </c>
      <c r="BH909" s="1790"/>
      <c r="BN909" s="237">
        <v>111.08</v>
      </c>
      <c r="BO909" s="237" t="s">
        <v>318</v>
      </c>
      <c r="BT909" s="347">
        <v>117.12</v>
      </c>
      <c r="BU909" s="347" t="s">
        <v>337</v>
      </c>
      <c r="CD909" s="237">
        <v>27.08</v>
      </c>
      <c r="CE909" s="237" t="s">
        <v>352</v>
      </c>
      <c r="CJ909" s="347">
        <v>90.53</v>
      </c>
      <c r="CK909" s="347" t="s">
        <v>352</v>
      </c>
      <c r="CL909" s="1789"/>
      <c r="CR909" s="345"/>
      <c r="CS909" s="345"/>
      <c r="CX909" s="347"/>
      <c r="CY909" s="347"/>
      <c r="DH909" s="237"/>
      <c r="DI909" s="237"/>
      <c r="DN909" s="347"/>
      <c r="DO909" s="347"/>
      <c r="DP909" s="2505"/>
    </row>
    <row r="910" spans="12:120">
      <c r="L910" s="347">
        <v>402.06</v>
      </c>
      <c r="M910" s="347" t="s">
        <v>344</v>
      </c>
      <c r="AB910" s="347">
        <v>111.06</v>
      </c>
      <c r="AC910" s="347" t="s">
        <v>318</v>
      </c>
      <c r="AD910" s="1138"/>
      <c r="AP910" s="347">
        <v>122.09</v>
      </c>
      <c r="AQ910" s="347" t="s">
        <v>337</v>
      </c>
      <c r="BF910" s="347">
        <v>90.48</v>
      </c>
      <c r="BG910" s="347" t="s">
        <v>352</v>
      </c>
      <c r="BH910" s="1790"/>
      <c r="BN910" s="237">
        <v>111.09</v>
      </c>
      <c r="BO910" s="237" t="s">
        <v>318</v>
      </c>
      <c r="BT910" s="347">
        <v>117.13</v>
      </c>
      <c r="BU910" s="347" t="s">
        <v>337</v>
      </c>
      <c r="CD910" s="345">
        <v>27.09</v>
      </c>
      <c r="CE910" s="345" t="s">
        <v>306</v>
      </c>
      <c r="CJ910" s="347">
        <v>90.54</v>
      </c>
      <c r="CK910" s="347" t="s">
        <v>352</v>
      </c>
      <c r="CL910" s="1789"/>
      <c r="CR910" s="345"/>
      <c r="CS910" s="345"/>
      <c r="CX910" s="347"/>
      <c r="CY910" s="347"/>
      <c r="DH910" s="237"/>
      <c r="DI910" s="237"/>
      <c r="DN910" s="347"/>
      <c r="DO910" s="347"/>
      <c r="DP910" s="2505"/>
    </row>
    <row r="911" spans="12:120">
      <c r="L911" s="347">
        <v>402.07</v>
      </c>
      <c r="M911" s="347" t="s">
        <v>344</v>
      </c>
      <c r="AB911" s="347">
        <v>111.06</v>
      </c>
      <c r="AC911" s="347" t="s">
        <v>337</v>
      </c>
      <c r="AD911" s="1138"/>
      <c r="AP911" s="347">
        <v>122.1</v>
      </c>
      <c r="AQ911" s="347" t="s">
        <v>337</v>
      </c>
      <c r="BF911" s="347">
        <v>90.49</v>
      </c>
      <c r="BG911" s="347" t="s">
        <v>352</v>
      </c>
      <c r="BH911" s="1790"/>
      <c r="BN911" s="237">
        <v>111.1</v>
      </c>
      <c r="BO911" s="237" t="s">
        <v>318</v>
      </c>
      <c r="BT911" s="347">
        <v>117.14</v>
      </c>
      <c r="BU911" s="347" t="s">
        <v>337</v>
      </c>
      <c r="CD911" s="237">
        <v>27.09</v>
      </c>
      <c r="CE911" s="237" t="s">
        <v>352</v>
      </c>
      <c r="CJ911" s="347">
        <v>90.56</v>
      </c>
      <c r="CK911" s="347" t="s">
        <v>352</v>
      </c>
      <c r="CL911" s="1789"/>
      <c r="CR911" s="345"/>
      <c r="CS911" s="345"/>
      <c r="CX911" s="347"/>
      <c r="CY911" s="347"/>
      <c r="DH911" s="237"/>
      <c r="DI911" s="237"/>
      <c r="DN911" s="347"/>
      <c r="DO911" s="347"/>
      <c r="DP911" s="2505"/>
    </row>
    <row r="912" spans="12:120">
      <c r="L912" s="347">
        <v>403.1</v>
      </c>
      <c r="M912" s="347" t="s">
        <v>344</v>
      </c>
      <c r="AB912" s="347">
        <v>111.07</v>
      </c>
      <c r="AC912" s="347" t="s">
        <v>337</v>
      </c>
      <c r="AD912" s="1138"/>
      <c r="AP912" s="347">
        <v>122.12</v>
      </c>
      <c r="AQ912" s="347" t="s">
        <v>337</v>
      </c>
      <c r="BF912" s="347">
        <v>90.5</v>
      </c>
      <c r="BG912" s="347" t="s">
        <v>352</v>
      </c>
      <c r="BH912" s="1790"/>
      <c r="BN912" s="237">
        <v>111.11</v>
      </c>
      <c r="BO912" s="237" t="s">
        <v>318</v>
      </c>
      <c r="BT912" s="347">
        <v>117.16</v>
      </c>
      <c r="BU912" s="347" t="s">
        <v>337</v>
      </c>
      <c r="CD912" s="345">
        <v>27.1</v>
      </c>
      <c r="CE912" s="345" t="s">
        <v>306</v>
      </c>
      <c r="CJ912" s="347">
        <v>90.57</v>
      </c>
      <c r="CK912" s="347" t="s">
        <v>352</v>
      </c>
      <c r="CL912" s="1789"/>
      <c r="CR912" s="345"/>
      <c r="CS912" s="345"/>
      <c r="CX912" s="347"/>
      <c r="CY912" s="347"/>
      <c r="DH912" s="237"/>
      <c r="DI912" s="237"/>
      <c r="DN912" s="347"/>
      <c r="DO912" s="347"/>
      <c r="DP912" s="2505"/>
    </row>
    <row r="913" spans="12:120">
      <c r="L913" s="347">
        <v>501.03</v>
      </c>
      <c r="M913" s="347" t="s">
        <v>344</v>
      </c>
      <c r="AB913" s="347">
        <v>111.08</v>
      </c>
      <c r="AC913" s="347" t="s">
        <v>337</v>
      </c>
      <c r="AD913" s="1138"/>
      <c r="AP913" s="347">
        <v>122.13</v>
      </c>
      <c r="AQ913" s="347" t="s">
        <v>337</v>
      </c>
      <c r="BF913" s="347">
        <v>90.53</v>
      </c>
      <c r="BG913" s="347" t="s">
        <v>352</v>
      </c>
      <c r="BH913" s="1790"/>
      <c r="BN913" s="237">
        <v>111.12</v>
      </c>
      <c r="BO913" s="237" t="s">
        <v>318</v>
      </c>
      <c r="BT913" s="347">
        <v>119.07</v>
      </c>
      <c r="BU913" s="347" t="s">
        <v>337</v>
      </c>
      <c r="CD913" s="237">
        <v>27.1</v>
      </c>
      <c r="CE913" s="237" t="s">
        <v>352</v>
      </c>
      <c r="CJ913" s="347">
        <v>90.58</v>
      </c>
      <c r="CK913" s="347" t="s">
        <v>352</v>
      </c>
      <c r="CL913" s="1789"/>
      <c r="CR913" s="345"/>
      <c r="CS913" s="345"/>
      <c r="CX913" s="347"/>
      <c r="CY913" s="347"/>
      <c r="DH913" s="237"/>
      <c r="DI913" s="237"/>
      <c r="DN913" s="347"/>
      <c r="DO913" s="347"/>
      <c r="DP913" s="2505"/>
    </row>
    <row r="914" spans="12:120">
      <c r="L914" s="347">
        <v>501.05</v>
      </c>
      <c r="M914" s="347" t="s">
        <v>344</v>
      </c>
      <c r="AB914" s="347">
        <v>111.09</v>
      </c>
      <c r="AC914" s="347" t="s">
        <v>337</v>
      </c>
      <c r="AD914" s="1138"/>
      <c r="AP914" s="347">
        <v>123.01</v>
      </c>
      <c r="AQ914" s="347" t="s">
        <v>337</v>
      </c>
      <c r="BF914" s="347">
        <v>90.54</v>
      </c>
      <c r="BG914" s="347" t="s">
        <v>352</v>
      </c>
      <c r="BH914" s="1790"/>
      <c r="BN914" s="237">
        <v>111.13</v>
      </c>
      <c r="BO914" s="237" t="s">
        <v>318</v>
      </c>
      <c r="BT914" s="347">
        <v>121.06</v>
      </c>
      <c r="BU914" s="347" t="s">
        <v>337</v>
      </c>
      <c r="CD914" s="237">
        <v>27.1</v>
      </c>
      <c r="CE914" s="237" t="s">
        <v>368</v>
      </c>
      <c r="CJ914" s="347">
        <v>90.59</v>
      </c>
      <c r="CK914" s="347" t="s">
        <v>352</v>
      </c>
      <c r="CL914" s="1789"/>
      <c r="CR914" s="345"/>
      <c r="CS914" s="345"/>
      <c r="CX914" s="347"/>
      <c r="CY914" s="347"/>
      <c r="DH914" s="237"/>
      <c r="DI914" s="237"/>
      <c r="DN914" s="347"/>
      <c r="DO914" s="347"/>
      <c r="DP914" s="2505"/>
    </row>
    <row r="915" spans="12:120">
      <c r="L915" s="347">
        <v>501.06</v>
      </c>
      <c r="M915" s="347" t="s">
        <v>344</v>
      </c>
      <c r="AB915" s="347">
        <v>112</v>
      </c>
      <c r="AC915" s="347" t="s">
        <v>359</v>
      </c>
      <c r="AD915" s="1138"/>
      <c r="AP915" s="347">
        <v>123.03</v>
      </c>
      <c r="AQ915" s="347" t="s">
        <v>337</v>
      </c>
      <c r="BF915" s="347">
        <v>90.56</v>
      </c>
      <c r="BG915" s="347" t="s">
        <v>352</v>
      </c>
      <c r="BH915" s="1790"/>
      <c r="BN915" s="237">
        <v>111.14</v>
      </c>
      <c r="BO915" s="237" t="s">
        <v>318</v>
      </c>
      <c r="BT915" s="347">
        <v>121.08</v>
      </c>
      <c r="BU915" s="347" t="s">
        <v>337</v>
      </c>
      <c r="CD915" s="345">
        <v>27.11</v>
      </c>
      <c r="CE915" s="345" t="s">
        <v>306</v>
      </c>
      <c r="CJ915" s="347">
        <v>90.6</v>
      </c>
      <c r="CK915" s="347" t="s">
        <v>352</v>
      </c>
      <c r="CL915" s="1789"/>
      <c r="CR915" s="345"/>
      <c r="CS915" s="345"/>
      <c r="CX915" s="347"/>
      <c r="CY915" s="347"/>
      <c r="DH915" s="237"/>
      <c r="DI915" s="237"/>
      <c r="DN915" s="347"/>
      <c r="DO915" s="347"/>
      <c r="DP915" s="2505"/>
    </row>
    <row r="916" spans="12:120">
      <c r="L916" s="347">
        <v>502.03</v>
      </c>
      <c r="M916" s="347" t="s">
        <v>344</v>
      </c>
      <c r="AB916" s="347">
        <v>112.01</v>
      </c>
      <c r="AC916" s="347" t="s">
        <v>318</v>
      </c>
      <c r="AD916" s="1138"/>
      <c r="AP916" s="347">
        <v>123.04</v>
      </c>
      <c r="AQ916" s="347" t="s">
        <v>337</v>
      </c>
      <c r="BF916" s="347">
        <v>90.57</v>
      </c>
      <c r="BG916" s="347" t="s">
        <v>352</v>
      </c>
      <c r="BH916" s="1790"/>
      <c r="BN916" s="237">
        <v>112.04</v>
      </c>
      <c r="BO916" s="237" t="s">
        <v>318</v>
      </c>
      <c r="BT916" s="347">
        <v>122.07</v>
      </c>
      <c r="BU916" s="347" t="s">
        <v>337</v>
      </c>
      <c r="CD916" s="345">
        <v>27.12</v>
      </c>
      <c r="CE916" s="345" t="s">
        <v>306</v>
      </c>
      <c r="CJ916" s="347">
        <v>90.62</v>
      </c>
      <c r="CK916" s="347" t="s">
        <v>352</v>
      </c>
      <c r="CL916" s="1789"/>
      <c r="CR916" s="345"/>
      <c r="CS916" s="345"/>
      <c r="CX916" s="347"/>
      <c r="CY916" s="347"/>
      <c r="DH916" s="237"/>
      <c r="DI916" s="237"/>
      <c r="DN916" s="347"/>
      <c r="DO916" s="347"/>
      <c r="DP916" s="2505"/>
    </row>
    <row r="917" spans="12:120">
      <c r="L917" s="347">
        <v>502.04</v>
      </c>
      <c r="M917" s="347" t="s">
        <v>344</v>
      </c>
      <c r="AB917" s="347">
        <v>112.02</v>
      </c>
      <c r="AC917" s="347" t="s">
        <v>318</v>
      </c>
      <c r="AD917" s="1138"/>
      <c r="AP917" s="347">
        <v>124.03</v>
      </c>
      <c r="AQ917" s="347" t="s">
        <v>337</v>
      </c>
      <c r="BF917" s="347">
        <v>90.58</v>
      </c>
      <c r="BG917" s="347" t="s">
        <v>352</v>
      </c>
      <c r="BH917" s="1790"/>
      <c r="BN917" s="237">
        <v>112.05</v>
      </c>
      <c r="BO917" s="237" t="s">
        <v>318</v>
      </c>
      <c r="BT917" s="347">
        <v>122.08</v>
      </c>
      <c r="BU917" s="347" t="s">
        <v>337</v>
      </c>
      <c r="CD917" s="345">
        <v>27.13</v>
      </c>
      <c r="CE917" s="345" t="s">
        <v>306</v>
      </c>
      <c r="CJ917" s="347">
        <v>90.64</v>
      </c>
      <c r="CK917" s="347" t="s">
        <v>352</v>
      </c>
      <c r="CL917" s="1789"/>
      <c r="CR917" s="345"/>
      <c r="CS917" s="345"/>
      <c r="CX917" s="347"/>
      <c r="CY917" s="347"/>
      <c r="DH917" s="237"/>
      <c r="DI917" s="237"/>
      <c r="DN917" s="347"/>
      <c r="DO917" s="347"/>
      <c r="DP917" s="2505"/>
    </row>
    <row r="918" spans="12:120">
      <c r="L918" s="347">
        <v>502.06</v>
      </c>
      <c r="M918" s="347" t="s">
        <v>344</v>
      </c>
      <c r="AB918" s="347">
        <v>112.03</v>
      </c>
      <c r="AC918" s="347" t="s">
        <v>337</v>
      </c>
      <c r="AD918" s="1138"/>
      <c r="AP918" s="347">
        <v>125.03</v>
      </c>
      <c r="AQ918" s="347" t="s">
        <v>337</v>
      </c>
      <c r="BF918" s="347">
        <v>90.59</v>
      </c>
      <c r="BG918" s="347" t="s">
        <v>352</v>
      </c>
      <c r="BH918" s="1790"/>
      <c r="BN918" s="237">
        <v>112.06</v>
      </c>
      <c r="BO918" s="237" t="s">
        <v>318</v>
      </c>
      <c r="BT918" s="347">
        <v>122.09</v>
      </c>
      <c r="BU918" s="347" t="s">
        <v>337</v>
      </c>
      <c r="CD918" s="237">
        <v>27.14</v>
      </c>
      <c r="CE918" s="237" t="s">
        <v>368</v>
      </c>
      <c r="CJ918" s="347">
        <v>90.65</v>
      </c>
      <c r="CK918" s="347" t="s">
        <v>352</v>
      </c>
      <c r="CL918" s="1789"/>
      <c r="CR918" s="345"/>
      <c r="CS918" s="345"/>
      <c r="CX918" s="347"/>
      <c r="CY918" s="347"/>
      <c r="DH918" s="237"/>
      <c r="DI918" s="237"/>
      <c r="DN918" s="347"/>
      <c r="DO918" s="347"/>
      <c r="DP918" s="2505"/>
    </row>
    <row r="919" spans="12:120">
      <c r="L919" s="347">
        <v>502.07</v>
      </c>
      <c r="M919" s="347" t="s">
        <v>344</v>
      </c>
      <c r="AB919" s="347">
        <v>112.05</v>
      </c>
      <c r="AC919" s="347" t="s">
        <v>337</v>
      </c>
      <c r="AD919" s="1138"/>
      <c r="AP919" s="347">
        <v>127.01</v>
      </c>
      <c r="AQ919" s="347" t="s">
        <v>337</v>
      </c>
      <c r="BF919" s="347">
        <v>90.6</v>
      </c>
      <c r="BG919" s="347" t="s">
        <v>352</v>
      </c>
      <c r="BH919" s="1790"/>
      <c r="BN919" s="237">
        <v>112.07</v>
      </c>
      <c r="BO919" s="237" t="s">
        <v>318</v>
      </c>
      <c r="BT919" s="347">
        <v>122.1</v>
      </c>
      <c r="BU919" s="347" t="s">
        <v>337</v>
      </c>
      <c r="CD919" s="237">
        <v>27.16</v>
      </c>
      <c r="CE919" s="237" t="s">
        <v>368</v>
      </c>
      <c r="CJ919" s="347">
        <v>90.66</v>
      </c>
      <c r="CK919" s="347" t="s">
        <v>352</v>
      </c>
      <c r="CL919" s="1789"/>
      <c r="CR919" s="345"/>
      <c r="CS919" s="345"/>
      <c r="CX919" s="347"/>
      <c r="CY919" s="347"/>
      <c r="DH919" s="237"/>
      <c r="DI919" s="237"/>
      <c r="DN919" s="347"/>
      <c r="DO919" s="347"/>
      <c r="DP919" s="2505"/>
    </row>
    <row r="920" spans="12:120">
      <c r="L920" s="347">
        <v>502.08</v>
      </c>
      <c r="M920" s="347" t="s">
        <v>344</v>
      </c>
      <c r="AB920" s="347">
        <v>113</v>
      </c>
      <c r="AC920" s="347" t="s">
        <v>359</v>
      </c>
      <c r="AD920" s="1138"/>
      <c r="AP920" s="347">
        <v>130.02000000000001</v>
      </c>
      <c r="AQ920" s="347" t="s">
        <v>337</v>
      </c>
      <c r="BF920" s="347">
        <v>90.62</v>
      </c>
      <c r="BG920" s="347" t="s">
        <v>352</v>
      </c>
      <c r="BH920" s="1790"/>
      <c r="BN920" s="237">
        <v>112.08</v>
      </c>
      <c r="BO920" s="237" t="s">
        <v>318</v>
      </c>
      <c r="BT920" s="347">
        <v>122.13</v>
      </c>
      <c r="BU920" s="347" t="s">
        <v>337</v>
      </c>
      <c r="CD920" s="237">
        <v>27.2</v>
      </c>
      <c r="CE920" s="237" t="s">
        <v>368</v>
      </c>
      <c r="CJ920" s="347">
        <v>92</v>
      </c>
      <c r="CK920" s="347" t="s">
        <v>352</v>
      </c>
      <c r="CL920" s="1789"/>
      <c r="CR920" s="345"/>
      <c r="CS920" s="345"/>
      <c r="CX920" s="347"/>
      <c r="CY920" s="347"/>
      <c r="DH920" s="237"/>
      <c r="DI920" s="237"/>
      <c r="DN920" s="347"/>
      <c r="DO920" s="347"/>
      <c r="DP920" s="2505"/>
    </row>
    <row r="921" spans="12:120">
      <c r="L921" s="347">
        <v>502.09</v>
      </c>
      <c r="M921" s="347" t="s">
        <v>344</v>
      </c>
      <c r="AB921" s="347">
        <v>113.01</v>
      </c>
      <c r="AC921" s="347" t="s">
        <v>337</v>
      </c>
      <c r="AD921" s="1138"/>
      <c r="AP921" s="347">
        <v>130.03</v>
      </c>
      <c r="AQ921" s="347" t="s">
        <v>337</v>
      </c>
      <c r="BF921" s="347">
        <v>90.64</v>
      </c>
      <c r="BG921" s="347" t="s">
        <v>352</v>
      </c>
      <c r="BH921" s="1790"/>
      <c r="BN921" s="237">
        <v>112.09</v>
      </c>
      <c r="BO921" s="237" t="s">
        <v>318</v>
      </c>
      <c r="BT921" s="347">
        <v>123.01</v>
      </c>
      <c r="BU921" s="347" t="s">
        <v>337</v>
      </c>
      <c r="CD921" s="237">
        <v>27.21</v>
      </c>
      <c r="CE921" s="237" t="s">
        <v>368</v>
      </c>
      <c r="CJ921" s="347">
        <v>93.05</v>
      </c>
      <c r="CK921" s="347" t="s">
        <v>352</v>
      </c>
      <c r="CL921" s="1789"/>
      <c r="CR921" s="345"/>
      <c r="CS921" s="345"/>
      <c r="CX921" s="347"/>
      <c r="CY921" s="347"/>
      <c r="DH921" s="237"/>
      <c r="DI921" s="237"/>
      <c r="DN921" s="347"/>
      <c r="DO921" s="347"/>
      <c r="DP921" s="2505"/>
    </row>
    <row r="922" spans="12:120">
      <c r="L922" s="347">
        <v>503.05</v>
      </c>
      <c r="M922" s="347" t="s">
        <v>344</v>
      </c>
      <c r="AB922" s="347">
        <v>113.03</v>
      </c>
      <c r="AC922" s="347" t="s">
        <v>337</v>
      </c>
      <c r="AD922" s="1138"/>
      <c r="AP922" s="347">
        <v>130.04</v>
      </c>
      <c r="AQ922" s="347" t="s">
        <v>337</v>
      </c>
      <c r="BF922" s="347">
        <v>90.66</v>
      </c>
      <c r="BG922" s="347" t="s">
        <v>352</v>
      </c>
      <c r="BH922" s="1790"/>
      <c r="BN922" s="237">
        <v>112.1</v>
      </c>
      <c r="BO922" s="237" t="s">
        <v>318</v>
      </c>
      <c r="BT922" s="347">
        <v>123.03</v>
      </c>
      <c r="BU922" s="347" t="s">
        <v>337</v>
      </c>
      <c r="CD922" s="237">
        <v>27.23</v>
      </c>
      <c r="CE922" s="237" t="s">
        <v>368</v>
      </c>
      <c r="CJ922" s="347">
        <v>93.12</v>
      </c>
      <c r="CK922" s="347" t="s">
        <v>352</v>
      </c>
      <c r="CL922" s="1789"/>
      <c r="CR922" s="345"/>
      <c r="CS922" s="345"/>
      <c r="CX922" s="347"/>
      <c r="CY922" s="347"/>
      <c r="DH922" s="237"/>
      <c r="DI922" s="237"/>
      <c r="DN922" s="347"/>
      <c r="DO922" s="347"/>
      <c r="DP922" s="2505"/>
    </row>
    <row r="923" spans="12:120">
      <c r="L923" s="347">
        <v>503.06</v>
      </c>
      <c r="M923" s="347" t="s">
        <v>344</v>
      </c>
      <c r="AB923" s="347">
        <v>113.04</v>
      </c>
      <c r="AC923" s="347" t="s">
        <v>337</v>
      </c>
      <c r="AD923" s="1138"/>
      <c r="AP923" s="347">
        <v>132.03</v>
      </c>
      <c r="AQ923" s="347" t="s">
        <v>337</v>
      </c>
      <c r="BF923" s="347">
        <v>92</v>
      </c>
      <c r="BG923" s="347" t="s">
        <v>352</v>
      </c>
      <c r="BH923" s="1790"/>
      <c r="BN923" s="237">
        <v>112.11</v>
      </c>
      <c r="BO923" s="237" t="s">
        <v>318</v>
      </c>
      <c r="BT923" s="347">
        <v>123.04</v>
      </c>
      <c r="BU923" s="347" t="s">
        <v>337</v>
      </c>
      <c r="CD923" s="237">
        <v>27.24</v>
      </c>
      <c r="CE923" s="237" t="s">
        <v>368</v>
      </c>
      <c r="CJ923" s="347">
        <v>93.19</v>
      </c>
      <c r="CK923" s="347" t="s">
        <v>352</v>
      </c>
      <c r="CL923" s="1789"/>
      <c r="CR923" s="345"/>
      <c r="CS923" s="345"/>
      <c r="CX923" s="347"/>
      <c r="CY923" s="347"/>
      <c r="DH923" s="237"/>
      <c r="DI923" s="237"/>
      <c r="DN923" s="347"/>
      <c r="DO923" s="347"/>
      <c r="DP923" s="2505"/>
    </row>
    <row r="924" spans="12:120">
      <c r="L924" s="347">
        <v>503.07</v>
      </c>
      <c r="M924" s="347" t="s">
        <v>344</v>
      </c>
      <c r="AB924" s="347">
        <v>114.01</v>
      </c>
      <c r="AC924" s="347" t="s">
        <v>352</v>
      </c>
      <c r="AD924" s="1138"/>
      <c r="AP924" s="347">
        <v>132.05000000000001</v>
      </c>
      <c r="AQ924" s="347" t="s">
        <v>337</v>
      </c>
      <c r="BF924" s="347">
        <v>93.05</v>
      </c>
      <c r="BG924" s="347" t="s">
        <v>352</v>
      </c>
      <c r="BH924" s="1790"/>
      <c r="BN924" s="237">
        <v>112.12</v>
      </c>
      <c r="BO924" s="237" t="s">
        <v>318</v>
      </c>
      <c r="BT924" s="347">
        <v>124.03</v>
      </c>
      <c r="BU924" s="347" t="s">
        <v>337</v>
      </c>
      <c r="CD924" s="237">
        <v>27.25</v>
      </c>
      <c r="CE924" s="237" t="s">
        <v>368</v>
      </c>
      <c r="CJ924" s="347">
        <v>93.21</v>
      </c>
      <c r="CK924" s="347" t="s">
        <v>352</v>
      </c>
      <c r="CL924" s="1789"/>
      <c r="CR924" s="345"/>
      <c r="CS924" s="345"/>
      <c r="CX924" s="347"/>
      <c r="CY924" s="347"/>
      <c r="DH924" s="237"/>
      <c r="DI924" s="237"/>
      <c r="DN924" s="347"/>
      <c r="DO924" s="347"/>
      <c r="DP924" s="2505"/>
    </row>
    <row r="925" spans="12:120">
      <c r="L925" s="347">
        <v>503.08</v>
      </c>
      <c r="M925" s="347" t="s">
        <v>344</v>
      </c>
      <c r="AB925" s="347">
        <v>114.07</v>
      </c>
      <c r="AC925" s="347" t="s">
        <v>337</v>
      </c>
      <c r="AD925" s="1138"/>
      <c r="AP925" s="347">
        <v>132.06</v>
      </c>
      <c r="AQ925" s="347" t="s">
        <v>337</v>
      </c>
      <c r="BF925" s="347">
        <v>93.12</v>
      </c>
      <c r="BG925" s="347" t="s">
        <v>352</v>
      </c>
      <c r="BH925" s="1790"/>
      <c r="BN925" s="237">
        <v>112.13</v>
      </c>
      <c r="BO925" s="237" t="s">
        <v>318</v>
      </c>
      <c r="BT925" s="347">
        <v>125.03</v>
      </c>
      <c r="BU925" s="347" t="s">
        <v>337</v>
      </c>
      <c r="CD925" s="237">
        <v>27.26</v>
      </c>
      <c r="CE925" s="237" t="s">
        <v>368</v>
      </c>
      <c r="CJ925" s="347">
        <v>93.23</v>
      </c>
      <c r="CK925" s="347" t="s">
        <v>352</v>
      </c>
      <c r="CL925" s="1789"/>
      <c r="CR925" s="345"/>
      <c r="CS925" s="345"/>
      <c r="CX925" s="347"/>
      <c r="CY925" s="347"/>
      <c r="DH925" s="237"/>
      <c r="DI925" s="237"/>
      <c r="DN925" s="347"/>
      <c r="DO925" s="347"/>
      <c r="DP925" s="2505"/>
    </row>
    <row r="926" spans="12:120">
      <c r="L926" s="347">
        <v>503.1</v>
      </c>
      <c r="M926" s="347" t="s">
        <v>344</v>
      </c>
      <c r="AB926" s="347">
        <v>114.08</v>
      </c>
      <c r="AC926" s="347" t="s">
        <v>337</v>
      </c>
      <c r="AD926" s="1138"/>
      <c r="AP926" s="347">
        <v>132.08000000000001</v>
      </c>
      <c r="AQ926" s="347" t="s">
        <v>337</v>
      </c>
      <c r="BF926" s="347">
        <v>93.16</v>
      </c>
      <c r="BG926" s="347" t="s">
        <v>352</v>
      </c>
      <c r="BH926" s="1790"/>
      <c r="BN926" s="237">
        <v>112.14</v>
      </c>
      <c r="BO926" s="237" t="s">
        <v>318</v>
      </c>
      <c r="BT926" s="347">
        <v>127.01</v>
      </c>
      <c r="BU926" s="347" t="s">
        <v>337</v>
      </c>
      <c r="CD926" s="237">
        <v>27.27</v>
      </c>
      <c r="CE926" s="237" t="s">
        <v>368</v>
      </c>
      <c r="CJ926" s="347">
        <v>93.25</v>
      </c>
      <c r="CK926" s="347" t="s">
        <v>352</v>
      </c>
      <c r="CL926" s="1789"/>
      <c r="CR926" s="345"/>
      <c r="CS926" s="345"/>
      <c r="CX926" s="347"/>
      <c r="CY926" s="347"/>
      <c r="DH926" s="237"/>
      <c r="DI926" s="237"/>
      <c r="DN926" s="347"/>
      <c r="DO926" s="347"/>
      <c r="DP926" s="2505"/>
    </row>
    <row r="927" spans="12:120">
      <c r="L927" s="347">
        <v>503.11</v>
      </c>
      <c r="M927" s="347" t="s">
        <v>344</v>
      </c>
      <c r="AB927" s="347">
        <v>114.09</v>
      </c>
      <c r="AC927" s="347" t="s">
        <v>337</v>
      </c>
      <c r="AD927" s="1138"/>
      <c r="AP927" s="347">
        <v>133.05000000000001</v>
      </c>
      <c r="AQ927" s="347" t="s">
        <v>337</v>
      </c>
      <c r="BF927" s="347">
        <v>93.17</v>
      </c>
      <c r="BG927" s="347" t="s">
        <v>352</v>
      </c>
      <c r="BH927" s="1790"/>
      <c r="BN927" s="237">
        <v>113.03</v>
      </c>
      <c r="BO927" s="237" t="s">
        <v>318</v>
      </c>
      <c r="BT927" s="347">
        <v>130.02000000000001</v>
      </c>
      <c r="BU927" s="347" t="s">
        <v>337</v>
      </c>
      <c r="CD927" s="237">
        <v>27.28</v>
      </c>
      <c r="CE927" s="237" t="s">
        <v>368</v>
      </c>
      <c r="CJ927" s="347">
        <v>93.27</v>
      </c>
      <c r="CK927" s="347" t="s">
        <v>352</v>
      </c>
      <c r="CL927" s="1789"/>
      <c r="CR927" s="345"/>
      <c r="CS927" s="345"/>
      <c r="CX927" s="347"/>
      <c r="CY927" s="347"/>
      <c r="DH927" s="237"/>
      <c r="DI927" s="237"/>
      <c r="DN927" s="347"/>
      <c r="DO927" s="347"/>
      <c r="DP927" s="2505"/>
    </row>
    <row r="928" spans="12:120">
      <c r="L928" s="347">
        <v>503.13</v>
      </c>
      <c r="M928" s="347" t="s">
        <v>344</v>
      </c>
      <c r="AB928" s="347">
        <v>114.1</v>
      </c>
      <c r="AC928" s="347" t="s">
        <v>337</v>
      </c>
      <c r="AD928" s="1138"/>
      <c r="AP928" s="347">
        <v>133.07</v>
      </c>
      <c r="AQ928" s="347" t="s">
        <v>337</v>
      </c>
      <c r="BF928" s="347">
        <v>93.19</v>
      </c>
      <c r="BG928" s="347" t="s">
        <v>352</v>
      </c>
      <c r="BH928" s="1790"/>
      <c r="BN928" s="237">
        <v>113.04</v>
      </c>
      <c r="BO928" s="237" t="s">
        <v>318</v>
      </c>
      <c r="BT928" s="347">
        <v>130.04</v>
      </c>
      <c r="BU928" s="347" t="s">
        <v>337</v>
      </c>
      <c r="CD928" s="237">
        <v>27.29</v>
      </c>
      <c r="CE928" s="237" t="s">
        <v>368</v>
      </c>
      <c r="CJ928" s="347">
        <v>94.02</v>
      </c>
      <c r="CK928" s="347" t="s">
        <v>352</v>
      </c>
      <c r="CL928" s="1789"/>
      <c r="CR928" s="345"/>
      <c r="CS928" s="345"/>
      <c r="CX928" s="347"/>
      <c r="CY928" s="347"/>
      <c r="DH928" s="237"/>
      <c r="DI928" s="237"/>
      <c r="DN928" s="347"/>
      <c r="DO928" s="347"/>
      <c r="DP928" s="2505"/>
    </row>
    <row r="929" spans="12:120">
      <c r="L929" s="347">
        <v>503.14</v>
      </c>
      <c r="M929" s="347" t="s">
        <v>344</v>
      </c>
      <c r="AB929" s="347">
        <v>114.11</v>
      </c>
      <c r="AC929" s="347" t="s">
        <v>337</v>
      </c>
      <c r="AD929" s="1138"/>
      <c r="AP929" s="347">
        <v>133.1</v>
      </c>
      <c r="AQ929" s="347" t="s">
        <v>337</v>
      </c>
      <c r="BF929" s="347">
        <v>93.21</v>
      </c>
      <c r="BG929" s="347" t="s">
        <v>352</v>
      </c>
      <c r="BH929" s="1790"/>
      <c r="BN929" s="237">
        <v>113.05</v>
      </c>
      <c r="BO929" s="237" t="s">
        <v>318</v>
      </c>
      <c r="BT929" s="347">
        <v>132.03</v>
      </c>
      <c r="BU929" s="347" t="s">
        <v>337</v>
      </c>
      <c r="CD929" s="237">
        <v>27.3</v>
      </c>
      <c r="CE929" s="237" t="s">
        <v>368</v>
      </c>
      <c r="CJ929" s="347">
        <v>96.01</v>
      </c>
      <c r="CK929" s="347" t="s">
        <v>352</v>
      </c>
      <c r="CL929" s="1789"/>
      <c r="CR929" s="345"/>
      <c r="CS929" s="345"/>
      <c r="CX929" s="347"/>
      <c r="CY929" s="347"/>
      <c r="DH929" s="237"/>
      <c r="DI929" s="237"/>
      <c r="DN929" s="347"/>
      <c r="DO929" s="347"/>
      <c r="DP929" s="2505"/>
    </row>
    <row r="930" spans="12:120">
      <c r="L930" s="347">
        <v>504</v>
      </c>
      <c r="M930" s="347" t="s">
        <v>344</v>
      </c>
      <c r="AB930" s="347">
        <v>114.12</v>
      </c>
      <c r="AC930" s="347" t="s">
        <v>337</v>
      </c>
      <c r="AD930" s="1138"/>
      <c r="AP930" s="347">
        <v>133.13</v>
      </c>
      <c r="AQ930" s="347" t="s">
        <v>337</v>
      </c>
      <c r="BF930" s="347">
        <v>93.23</v>
      </c>
      <c r="BG930" s="347" t="s">
        <v>352</v>
      </c>
      <c r="BH930" s="1790"/>
      <c r="BN930" s="237">
        <v>113.06</v>
      </c>
      <c r="BO930" s="237" t="s">
        <v>318</v>
      </c>
      <c r="BT930" s="347">
        <v>132.05000000000001</v>
      </c>
      <c r="BU930" s="347" t="s">
        <v>337</v>
      </c>
      <c r="CD930" s="237">
        <v>27.31</v>
      </c>
      <c r="CE930" s="237" t="s">
        <v>368</v>
      </c>
      <c r="CJ930" s="347">
        <v>97.03</v>
      </c>
      <c r="CK930" s="347" t="s">
        <v>352</v>
      </c>
      <c r="CL930" s="1789"/>
      <c r="CR930" s="345"/>
      <c r="CS930" s="345"/>
      <c r="CX930" s="347"/>
      <c r="CY930" s="347"/>
      <c r="DH930" s="237"/>
      <c r="DI930" s="237"/>
      <c r="DN930" s="347"/>
      <c r="DO930" s="347"/>
      <c r="DP930" s="2505"/>
    </row>
    <row r="931" spans="12:120">
      <c r="L931" s="347">
        <v>505</v>
      </c>
      <c r="M931" s="347" t="s">
        <v>344</v>
      </c>
      <c r="AB931" s="347">
        <v>114.13</v>
      </c>
      <c r="AC931" s="347" t="s">
        <v>337</v>
      </c>
      <c r="AD931" s="1138"/>
      <c r="AP931" s="347">
        <v>133.15</v>
      </c>
      <c r="AQ931" s="347" t="s">
        <v>337</v>
      </c>
      <c r="BF931" s="347">
        <v>96.01</v>
      </c>
      <c r="BG931" s="347" t="s">
        <v>352</v>
      </c>
      <c r="BH931" s="1790"/>
      <c r="BN931" s="237">
        <v>114</v>
      </c>
      <c r="BO931" s="237" t="s">
        <v>318</v>
      </c>
      <c r="BT931" s="347">
        <v>132.06</v>
      </c>
      <c r="BU931" s="347" t="s">
        <v>337</v>
      </c>
      <c r="CD931" s="237">
        <v>27.32</v>
      </c>
      <c r="CE931" s="237" t="s">
        <v>368</v>
      </c>
      <c r="CJ931" s="347">
        <v>97.04</v>
      </c>
      <c r="CK931" s="347" t="s">
        <v>352</v>
      </c>
      <c r="CL931" s="1789"/>
      <c r="CR931" s="345"/>
      <c r="CS931" s="345"/>
      <c r="CX931" s="347"/>
      <c r="CY931" s="347"/>
      <c r="DH931" s="237"/>
      <c r="DI931" s="237"/>
      <c r="DN931" s="347"/>
      <c r="DO931" s="347"/>
      <c r="DP931" s="2505"/>
    </row>
    <row r="932" spans="12:120">
      <c r="L932" s="347">
        <v>506.01</v>
      </c>
      <c r="M932" s="347" t="s">
        <v>344</v>
      </c>
      <c r="AB932" s="347">
        <v>114.14</v>
      </c>
      <c r="AC932" s="347" t="s">
        <v>337</v>
      </c>
      <c r="AD932" s="1138"/>
      <c r="AP932" s="347">
        <v>133.16999999999999</v>
      </c>
      <c r="AQ932" s="347" t="s">
        <v>337</v>
      </c>
      <c r="BF932" s="347">
        <v>97.03</v>
      </c>
      <c r="BG932" s="347" t="s">
        <v>352</v>
      </c>
      <c r="BH932" s="1790"/>
      <c r="BN932" s="237">
        <v>9900</v>
      </c>
      <c r="BO932" s="237" t="s">
        <v>318</v>
      </c>
      <c r="BT932" s="347">
        <v>132.07</v>
      </c>
      <c r="BU932" s="347" t="s">
        <v>337</v>
      </c>
      <c r="CD932" s="237">
        <v>27.33</v>
      </c>
      <c r="CE932" s="237" t="s">
        <v>368</v>
      </c>
      <c r="CJ932" s="347">
        <v>98.03</v>
      </c>
      <c r="CK932" s="347" t="s">
        <v>352</v>
      </c>
      <c r="CL932" s="1789"/>
      <c r="CR932" s="345"/>
      <c r="CS932" s="345"/>
      <c r="CX932" s="347"/>
      <c r="CY932" s="347"/>
      <c r="DH932" s="237"/>
      <c r="DI932" s="237"/>
      <c r="DN932" s="347"/>
      <c r="DO932" s="347"/>
      <c r="DP932" s="2505"/>
    </row>
    <row r="933" spans="12:120">
      <c r="L933" s="347">
        <v>506.02</v>
      </c>
      <c r="M933" s="347" t="s">
        <v>344</v>
      </c>
      <c r="AB933" s="347">
        <v>114.15</v>
      </c>
      <c r="AC933" s="347" t="s">
        <v>337</v>
      </c>
      <c r="AD933" s="1138"/>
      <c r="AP933" s="347">
        <v>133.19</v>
      </c>
      <c r="AQ933" s="347" t="s">
        <v>337</v>
      </c>
      <c r="BF933" s="347">
        <v>97.04</v>
      </c>
      <c r="BG933" s="347" t="s">
        <v>352</v>
      </c>
      <c r="BH933" s="1790"/>
      <c r="BN933" s="237">
        <v>1.01</v>
      </c>
      <c r="BO933" s="237" t="s">
        <v>323</v>
      </c>
      <c r="BT933" s="347">
        <v>132.08000000000001</v>
      </c>
      <c r="BU933" s="347" t="s">
        <v>337</v>
      </c>
      <c r="CD933" s="237">
        <v>27.34</v>
      </c>
      <c r="CE933" s="237" t="s">
        <v>368</v>
      </c>
      <c r="CJ933" s="347">
        <v>98.04</v>
      </c>
      <c r="CK933" s="347" t="s">
        <v>352</v>
      </c>
      <c r="CL933" s="1789"/>
      <c r="CR933" s="345"/>
      <c r="CS933" s="345"/>
      <c r="CX933" s="347"/>
      <c r="CY933" s="347"/>
      <c r="DH933" s="237"/>
      <c r="DI933" s="237"/>
      <c r="DN933" s="347"/>
      <c r="DO933" s="347"/>
      <c r="DP933" s="2505"/>
    </row>
    <row r="934" spans="12:120">
      <c r="L934" s="347">
        <v>601.02</v>
      </c>
      <c r="M934" s="347" t="s">
        <v>344</v>
      </c>
      <c r="AB934" s="347">
        <v>114.16</v>
      </c>
      <c r="AC934" s="347" t="s">
        <v>337</v>
      </c>
      <c r="AD934" s="1138"/>
      <c r="AP934" s="347">
        <v>133.19999999999999</v>
      </c>
      <c r="AQ934" s="347" t="s">
        <v>337</v>
      </c>
      <c r="BF934" s="347">
        <v>98.03</v>
      </c>
      <c r="BG934" s="347" t="s">
        <v>352</v>
      </c>
      <c r="BH934" s="1790"/>
      <c r="BN934" s="237">
        <v>1.02</v>
      </c>
      <c r="BO934" s="237" t="s">
        <v>323</v>
      </c>
      <c r="BT934" s="347">
        <v>133.05000000000001</v>
      </c>
      <c r="BU934" s="347" t="s">
        <v>337</v>
      </c>
      <c r="CD934" s="237">
        <v>27.35</v>
      </c>
      <c r="CE934" s="237" t="s">
        <v>368</v>
      </c>
      <c r="CJ934" s="347">
        <v>98.09</v>
      </c>
      <c r="CK934" s="347" t="s">
        <v>352</v>
      </c>
      <c r="CL934" s="1789"/>
      <c r="CR934" s="345"/>
      <c r="CS934" s="345"/>
      <c r="CX934" s="347"/>
      <c r="CY934" s="347"/>
      <c r="DH934" s="237"/>
      <c r="DI934" s="237"/>
      <c r="DN934" s="347"/>
      <c r="DO934" s="347"/>
      <c r="DP934" s="2505"/>
    </row>
    <row r="935" spans="12:120">
      <c r="L935" s="347">
        <v>602.01</v>
      </c>
      <c r="M935" s="347" t="s">
        <v>344</v>
      </c>
      <c r="AB935" s="347">
        <v>114.17</v>
      </c>
      <c r="AC935" s="347" t="s">
        <v>337</v>
      </c>
      <c r="AD935" s="1138"/>
      <c r="AP935" s="347">
        <v>133.22</v>
      </c>
      <c r="AQ935" s="347" t="s">
        <v>337</v>
      </c>
      <c r="BF935" s="347">
        <v>98.04</v>
      </c>
      <c r="BG935" s="347" t="s">
        <v>352</v>
      </c>
      <c r="BH935" s="1790"/>
      <c r="BN935" s="237">
        <v>2</v>
      </c>
      <c r="BO935" s="237" t="s">
        <v>323</v>
      </c>
      <c r="BT935" s="347">
        <v>133.07</v>
      </c>
      <c r="BU935" s="347" t="s">
        <v>337</v>
      </c>
      <c r="CD935" s="237">
        <v>27.36</v>
      </c>
      <c r="CE935" s="237" t="s">
        <v>368</v>
      </c>
      <c r="CJ935" s="347">
        <v>98.1</v>
      </c>
      <c r="CK935" s="347" t="s">
        <v>352</v>
      </c>
      <c r="CL935" s="1789"/>
      <c r="CR935" s="345"/>
      <c r="CS935" s="345"/>
      <c r="CX935" s="347"/>
      <c r="CY935" s="347"/>
      <c r="DH935" s="237"/>
      <c r="DI935" s="237"/>
      <c r="DN935" s="347"/>
      <c r="DO935" s="347"/>
      <c r="DP935" s="2505"/>
    </row>
    <row r="936" spans="12:120">
      <c r="L936" s="347">
        <v>602.02</v>
      </c>
      <c r="M936" s="347" t="s">
        <v>344</v>
      </c>
      <c r="AB936" s="347">
        <v>114.18</v>
      </c>
      <c r="AC936" s="347" t="s">
        <v>337</v>
      </c>
      <c r="AD936" s="1138"/>
      <c r="AP936" s="347">
        <v>133.22999999999999</v>
      </c>
      <c r="AQ936" s="347" t="s">
        <v>337</v>
      </c>
      <c r="BF936" s="347">
        <v>98.09</v>
      </c>
      <c r="BG936" s="347" t="s">
        <v>352</v>
      </c>
      <c r="BH936" s="1790"/>
      <c r="BN936" s="237">
        <v>3</v>
      </c>
      <c r="BO936" s="237" t="s">
        <v>323</v>
      </c>
      <c r="BT936" s="347">
        <v>133.1</v>
      </c>
      <c r="BU936" s="347" t="s">
        <v>337</v>
      </c>
      <c r="CD936" s="237">
        <v>27.37</v>
      </c>
      <c r="CE936" s="237" t="s">
        <v>368</v>
      </c>
      <c r="CJ936" s="347">
        <v>98.12</v>
      </c>
      <c r="CK936" s="347" t="s">
        <v>352</v>
      </c>
      <c r="CL936" s="1789"/>
      <c r="CR936" s="345"/>
      <c r="CS936" s="345"/>
      <c r="CX936" s="347"/>
      <c r="CY936" s="347"/>
      <c r="DH936" s="237"/>
      <c r="DI936" s="237"/>
      <c r="DN936" s="347"/>
      <c r="DO936" s="347"/>
      <c r="DP936" s="2505"/>
    </row>
    <row r="937" spans="12:120">
      <c r="L937" s="347">
        <v>602.03</v>
      </c>
      <c r="M937" s="347" t="s">
        <v>344</v>
      </c>
      <c r="AB937" s="347">
        <v>115</v>
      </c>
      <c r="AC937" s="347" t="s">
        <v>352</v>
      </c>
      <c r="AD937" s="1138"/>
      <c r="AP937" s="347">
        <v>134.07</v>
      </c>
      <c r="AQ937" s="347" t="s">
        <v>337</v>
      </c>
      <c r="BF937" s="347">
        <v>98.1</v>
      </c>
      <c r="BG937" s="347" t="s">
        <v>352</v>
      </c>
      <c r="BH937" s="1790"/>
      <c r="BN937" s="237">
        <v>6</v>
      </c>
      <c r="BO937" s="237" t="s">
        <v>323</v>
      </c>
      <c r="BT937" s="347">
        <v>133.12</v>
      </c>
      <c r="BU937" s="347" t="s">
        <v>337</v>
      </c>
      <c r="CD937" s="237">
        <v>27.38</v>
      </c>
      <c r="CE937" s="237" t="s">
        <v>368</v>
      </c>
      <c r="CJ937" s="347">
        <v>99.07</v>
      </c>
      <c r="CK937" s="347" t="s">
        <v>352</v>
      </c>
      <c r="CL937" s="1789"/>
      <c r="CR937" s="345"/>
      <c r="CS937" s="345"/>
      <c r="CX937" s="347"/>
      <c r="CY937" s="347"/>
      <c r="DH937" s="237"/>
      <c r="DI937" s="237"/>
      <c r="DN937" s="347"/>
      <c r="DO937" s="347"/>
      <c r="DP937" s="2505"/>
    </row>
    <row r="938" spans="12:120">
      <c r="L938" s="347">
        <v>603</v>
      </c>
      <c r="M938" s="347" t="s">
        <v>344</v>
      </c>
      <c r="AB938" s="347">
        <v>115.02</v>
      </c>
      <c r="AC938" s="347" t="s">
        <v>365</v>
      </c>
      <c r="AD938" s="1138"/>
      <c r="AP938" s="347">
        <v>134.09</v>
      </c>
      <c r="AQ938" s="347" t="s">
        <v>337</v>
      </c>
      <c r="BF938" s="347">
        <v>98.12</v>
      </c>
      <c r="BG938" s="347" t="s">
        <v>352</v>
      </c>
      <c r="BH938" s="1790"/>
      <c r="BN938" s="237">
        <v>7</v>
      </c>
      <c r="BO938" s="237" t="s">
        <v>323</v>
      </c>
      <c r="BT938" s="347">
        <v>133.13</v>
      </c>
      <c r="BU938" s="347" t="s">
        <v>337</v>
      </c>
      <c r="CD938" s="237">
        <v>27.39</v>
      </c>
      <c r="CE938" s="237" t="s">
        <v>368</v>
      </c>
      <c r="CJ938" s="347">
        <v>99.09</v>
      </c>
      <c r="CK938" s="347" t="s">
        <v>352</v>
      </c>
      <c r="CL938" s="1789"/>
      <c r="CR938" s="345"/>
      <c r="CS938" s="345"/>
      <c r="CX938" s="347"/>
      <c r="CY938" s="347"/>
      <c r="DH938" s="237"/>
      <c r="DI938" s="237"/>
      <c r="DN938" s="347"/>
      <c r="DO938" s="347"/>
      <c r="DP938" s="2505"/>
    </row>
    <row r="939" spans="12:120">
      <c r="L939" s="347">
        <v>701.01</v>
      </c>
      <c r="M939" s="347" t="s">
        <v>344</v>
      </c>
      <c r="AB939" s="347">
        <v>115.04</v>
      </c>
      <c r="AC939" s="347" t="s">
        <v>337</v>
      </c>
      <c r="AD939" s="1138"/>
      <c r="AP939" s="347">
        <v>134.1</v>
      </c>
      <c r="AQ939" s="347" t="s">
        <v>337</v>
      </c>
      <c r="BF939" s="347">
        <v>99.07</v>
      </c>
      <c r="BG939" s="347" t="s">
        <v>352</v>
      </c>
      <c r="BH939" s="1790"/>
      <c r="BN939" s="237">
        <v>8</v>
      </c>
      <c r="BO939" s="237" t="s">
        <v>323</v>
      </c>
      <c r="BT939" s="347">
        <v>133.15</v>
      </c>
      <c r="BU939" s="347" t="s">
        <v>337</v>
      </c>
      <c r="CD939" s="237">
        <v>27.4</v>
      </c>
      <c r="CE939" s="237" t="s">
        <v>368</v>
      </c>
      <c r="CJ939" s="347">
        <v>100.12</v>
      </c>
      <c r="CK939" s="347" t="s">
        <v>352</v>
      </c>
      <c r="CL939" s="1789"/>
      <c r="CR939" s="345"/>
      <c r="CS939" s="345"/>
      <c r="CX939" s="347"/>
      <c r="CY939" s="347"/>
      <c r="DH939" s="237"/>
      <c r="DI939" s="237"/>
      <c r="DN939" s="347"/>
      <c r="DO939" s="347"/>
      <c r="DP939" s="2505"/>
    </row>
    <row r="940" spans="12:120">
      <c r="L940" s="347">
        <v>701.02</v>
      </c>
      <c r="M940" s="347" t="s">
        <v>344</v>
      </c>
      <c r="AB940" s="347">
        <v>115.06</v>
      </c>
      <c r="AC940" s="347" t="s">
        <v>337</v>
      </c>
      <c r="AD940" s="1138"/>
      <c r="AP940" s="347">
        <v>134.12</v>
      </c>
      <c r="AQ940" s="347" t="s">
        <v>337</v>
      </c>
      <c r="BF940" s="347">
        <v>99.09</v>
      </c>
      <c r="BG940" s="347" t="s">
        <v>352</v>
      </c>
      <c r="BH940" s="1790"/>
      <c r="BN940" s="237">
        <v>10</v>
      </c>
      <c r="BO940" s="237" t="s">
        <v>323</v>
      </c>
      <c r="BT940" s="347">
        <v>133.16999999999999</v>
      </c>
      <c r="BU940" s="347" t="s">
        <v>337</v>
      </c>
      <c r="CD940" s="237">
        <v>27.41</v>
      </c>
      <c r="CE940" s="237" t="s">
        <v>368</v>
      </c>
      <c r="CJ940" s="347">
        <v>100.13</v>
      </c>
      <c r="CK940" s="347" t="s">
        <v>352</v>
      </c>
      <c r="CL940" s="1789"/>
      <c r="CR940" s="345"/>
      <c r="CS940" s="345"/>
      <c r="CX940" s="347"/>
      <c r="CY940" s="347"/>
      <c r="DH940" s="237"/>
      <c r="DI940" s="237"/>
      <c r="DN940" s="347"/>
      <c r="DO940" s="347"/>
      <c r="DP940" s="2505"/>
    </row>
    <row r="941" spans="12:120">
      <c r="L941" s="347">
        <v>702</v>
      </c>
      <c r="M941" s="347" t="s">
        <v>344</v>
      </c>
      <c r="AB941" s="347">
        <v>115.07</v>
      </c>
      <c r="AC941" s="347" t="s">
        <v>337</v>
      </c>
      <c r="AD941" s="1138"/>
      <c r="AP941" s="347">
        <v>134.13</v>
      </c>
      <c r="AQ941" s="347" t="s">
        <v>337</v>
      </c>
      <c r="BF941" s="347">
        <v>100.12</v>
      </c>
      <c r="BG941" s="347" t="s">
        <v>352</v>
      </c>
      <c r="BH941" s="1790"/>
      <c r="BN941" s="237">
        <v>11</v>
      </c>
      <c r="BO941" s="237" t="s">
        <v>323</v>
      </c>
      <c r="BT941" s="347">
        <v>133.19</v>
      </c>
      <c r="BU941" s="347" t="s">
        <v>337</v>
      </c>
      <c r="CD941" s="237">
        <v>27.42</v>
      </c>
      <c r="CE941" s="237" t="s">
        <v>368</v>
      </c>
      <c r="CJ941" s="347">
        <v>100.16</v>
      </c>
      <c r="CK941" s="347" t="s">
        <v>352</v>
      </c>
      <c r="CL941" s="1789"/>
      <c r="CR941" s="345"/>
      <c r="CS941" s="345"/>
      <c r="CX941" s="347"/>
      <c r="CY941" s="347"/>
      <c r="DH941" s="237"/>
      <c r="DI941" s="237"/>
      <c r="DN941" s="347"/>
      <c r="DO941" s="347"/>
      <c r="DP941" s="2505"/>
    </row>
    <row r="942" spans="12:120">
      <c r="L942" s="347">
        <v>802.02</v>
      </c>
      <c r="M942" s="347" t="s">
        <v>344</v>
      </c>
      <c r="AB942" s="347">
        <v>115.09</v>
      </c>
      <c r="AC942" s="347" t="s">
        <v>337</v>
      </c>
      <c r="AD942" s="1138"/>
      <c r="AP942" s="347">
        <v>134.13999999999999</v>
      </c>
      <c r="AQ942" s="347" t="s">
        <v>337</v>
      </c>
      <c r="BF942" s="347">
        <v>100.13</v>
      </c>
      <c r="BG942" s="347" t="s">
        <v>352</v>
      </c>
      <c r="BH942" s="1790"/>
      <c r="BN942" s="237">
        <v>12</v>
      </c>
      <c r="BO942" s="237" t="s">
        <v>323</v>
      </c>
      <c r="BT942" s="347">
        <v>133.19999999999999</v>
      </c>
      <c r="BU942" s="347" t="s">
        <v>337</v>
      </c>
      <c r="CD942" s="237">
        <v>27.43</v>
      </c>
      <c r="CE942" s="237" t="s">
        <v>368</v>
      </c>
      <c r="CJ942" s="347">
        <v>100.17</v>
      </c>
      <c r="CK942" s="347" t="s">
        <v>352</v>
      </c>
      <c r="CL942" s="1789"/>
      <c r="CR942" s="345"/>
      <c r="CS942" s="345"/>
      <c r="CX942" s="347"/>
      <c r="CY942" s="347"/>
      <c r="DH942" s="237"/>
      <c r="DI942" s="237"/>
      <c r="DN942" s="347"/>
      <c r="DO942" s="347"/>
      <c r="DP942" s="2505"/>
    </row>
    <row r="943" spans="12:120">
      <c r="L943" s="347">
        <v>802.03</v>
      </c>
      <c r="M943" s="347" t="s">
        <v>344</v>
      </c>
      <c r="AB943" s="347">
        <v>115.1</v>
      </c>
      <c r="AC943" s="347" t="s">
        <v>337</v>
      </c>
      <c r="AD943" s="1138"/>
      <c r="AP943" s="347">
        <v>134.15</v>
      </c>
      <c r="AQ943" s="347" t="s">
        <v>337</v>
      </c>
      <c r="BF943" s="347">
        <v>100.16</v>
      </c>
      <c r="BG943" s="347" t="s">
        <v>352</v>
      </c>
      <c r="BH943" s="1790"/>
      <c r="BN943" s="237">
        <v>13</v>
      </c>
      <c r="BO943" s="237" t="s">
        <v>323</v>
      </c>
      <c r="BT943" s="347">
        <v>133.22</v>
      </c>
      <c r="BU943" s="347" t="s">
        <v>337</v>
      </c>
      <c r="CD943" s="237">
        <v>27.44</v>
      </c>
      <c r="CE943" s="237" t="s">
        <v>368</v>
      </c>
      <c r="CJ943" s="347">
        <v>100.25</v>
      </c>
      <c r="CK943" s="347" t="s">
        <v>352</v>
      </c>
      <c r="CL943" s="1789"/>
      <c r="CR943" s="345"/>
      <c r="CS943" s="345"/>
      <c r="CX943" s="347"/>
      <c r="CY943" s="347"/>
      <c r="DH943" s="237"/>
      <c r="DI943" s="237"/>
      <c r="DN943" s="347"/>
      <c r="DO943" s="347"/>
      <c r="DP943" s="2505"/>
    </row>
    <row r="944" spans="12:120">
      <c r="L944" s="347">
        <v>802.04</v>
      </c>
      <c r="M944" s="347" t="s">
        <v>344</v>
      </c>
      <c r="AB944" s="347">
        <v>115.12</v>
      </c>
      <c r="AC944" s="347" t="s">
        <v>337</v>
      </c>
      <c r="AD944" s="1138"/>
      <c r="AP944" s="347">
        <v>137.02000000000001</v>
      </c>
      <c r="AQ944" s="347" t="s">
        <v>337</v>
      </c>
      <c r="BF944" s="347">
        <v>100.17</v>
      </c>
      <c r="BG944" s="347" t="s">
        <v>352</v>
      </c>
      <c r="BH944" s="1790"/>
      <c r="BN944" s="237">
        <v>14.01</v>
      </c>
      <c r="BO944" s="237" t="s">
        <v>323</v>
      </c>
      <c r="BT944" s="347">
        <v>133.22999999999999</v>
      </c>
      <c r="BU944" s="347" t="s">
        <v>337</v>
      </c>
      <c r="CD944" s="237">
        <v>27.45</v>
      </c>
      <c r="CE944" s="237" t="s">
        <v>368</v>
      </c>
      <c r="CJ944" s="347">
        <v>101</v>
      </c>
      <c r="CK944" s="347" t="s">
        <v>313</v>
      </c>
      <c r="CL944" s="1789"/>
      <c r="CR944" s="345"/>
      <c r="CS944" s="345"/>
      <c r="CX944" s="347"/>
      <c r="CY944" s="347"/>
      <c r="DH944" s="237"/>
      <c r="DI944" s="237"/>
      <c r="DN944" s="347"/>
      <c r="DO944" s="347"/>
      <c r="DP944" s="2505"/>
    </row>
    <row r="945" spans="12:120">
      <c r="L945" s="347">
        <v>803</v>
      </c>
      <c r="M945" s="347" t="s">
        <v>344</v>
      </c>
      <c r="AB945" s="347">
        <v>115.14</v>
      </c>
      <c r="AC945" s="347" t="s">
        <v>337</v>
      </c>
      <c r="AD945" s="1138"/>
      <c r="AP945" s="347">
        <v>137.03</v>
      </c>
      <c r="AQ945" s="347" t="s">
        <v>337</v>
      </c>
      <c r="BF945" s="347">
        <v>100.18</v>
      </c>
      <c r="BG945" s="347" t="s">
        <v>352</v>
      </c>
      <c r="BH945" s="1790"/>
      <c r="BN945" s="237">
        <v>14.02</v>
      </c>
      <c r="BO945" s="237" t="s">
        <v>323</v>
      </c>
      <c r="BT945" s="347">
        <v>134.07</v>
      </c>
      <c r="BU945" s="347" t="s">
        <v>337</v>
      </c>
      <c r="CD945" s="237">
        <v>27.46</v>
      </c>
      <c r="CE945" s="237" t="s">
        <v>368</v>
      </c>
      <c r="CJ945" s="347">
        <v>101.01</v>
      </c>
      <c r="CK945" s="347" t="s">
        <v>321</v>
      </c>
      <c r="CL945" s="1789"/>
      <c r="CR945" s="345"/>
      <c r="CS945" s="345"/>
      <c r="CX945" s="347"/>
      <c r="CY945" s="347"/>
      <c r="DH945" s="237"/>
      <c r="DI945" s="237"/>
      <c r="DN945" s="347"/>
      <c r="DO945" s="347"/>
      <c r="DP945" s="2505"/>
    </row>
    <row r="946" spans="12:120">
      <c r="L946" s="347">
        <v>901</v>
      </c>
      <c r="M946" s="347" t="s">
        <v>344</v>
      </c>
      <c r="AB946" s="347">
        <v>115.15</v>
      </c>
      <c r="AC946" s="347" t="s">
        <v>337</v>
      </c>
      <c r="AD946" s="1138"/>
      <c r="AP946" s="347">
        <v>137.06</v>
      </c>
      <c r="AQ946" s="347" t="s">
        <v>337</v>
      </c>
      <c r="BF946" s="347">
        <v>100.2</v>
      </c>
      <c r="BG946" s="347" t="s">
        <v>352</v>
      </c>
      <c r="BH946" s="1790"/>
      <c r="BN946" s="237">
        <v>15</v>
      </c>
      <c r="BO946" s="237" t="s">
        <v>323</v>
      </c>
      <c r="BT946" s="347">
        <v>134.09</v>
      </c>
      <c r="BU946" s="347" t="s">
        <v>337</v>
      </c>
      <c r="CD946" s="237">
        <v>27.47</v>
      </c>
      <c r="CE946" s="237" t="s">
        <v>368</v>
      </c>
      <c r="CJ946" s="347">
        <v>101.01</v>
      </c>
      <c r="CK946" s="347" t="s">
        <v>323</v>
      </c>
      <c r="CL946" s="1789"/>
      <c r="CR946" s="345"/>
      <c r="CS946" s="345"/>
      <c r="CX946" s="347"/>
      <c r="CY946" s="347"/>
      <c r="DH946" s="237"/>
      <c r="DI946" s="237"/>
      <c r="DN946" s="347"/>
      <c r="DO946" s="347"/>
      <c r="DP946" s="2505"/>
    </row>
    <row r="947" spans="12:120">
      <c r="L947" s="347">
        <v>2</v>
      </c>
      <c r="M947" s="347" t="s">
        <v>345</v>
      </c>
      <c r="AB947" s="347">
        <v>115.16</v>
      </c>
      <c r="AC947" s="347" t="s">
        <v>337</v>
      </c>
      <c r="AD947" s="1138"/>
      <c r="AP947" s="347">
        <v>138.04</v>
      </c>
      <c r="AQ947" s="347" t="s">
        <v>337</v>
      </c>
      <c r="BF947" s="347">
        <v>100.21</v>
      </c>
      <c r="BG947" s="347" t="s">
        <v>352</v>
      </c>
      <c r="BH947" s="1790"/>
      <c r="BN947" s="237">
        <v>16</v>
      </c>
      <c r="BO947" s="237" t="s">
        <v>323</v>
      </c>
      <c r="BT947" s="347">
        <v>134.1</v>
      </c>
      <c r="BU947" s="347" t="s">
        <v>337</v>
      </c>
      <c r="CD947" s="237">
        <v>27.48</v>
      </c>
      <c r="CE947" s="237" t="s">
        <v>368</v>
      </c>
      <c r="CJ947" s="347">
        <v>101.02</v>
      </c>
      <c r="CK947" s="347" t="s">
        <v>310</v>
      </c>
      <c r="CL947" s="1789"/>
      <c r="CR947" s="345"/>
      <c r="CS947" s="345"/>
      <c r="CX947" s="347"/>
      <c r="CY947" s="347"/>
      <c r="DH947" s="237"/>
      <c r="DI947" s="237"/>
      <c r="DN947" s="347"/>
      <c r="DO947" s="347"/>
      <c r="DP947" s="2505"/>
    </row>
    <row r="948" spans="12:120">
      <c r="L948" s="347">
        <v>3.01</v>
      </c>
      <c r="M948" s="347" t="s">
        <v>345</v>
      </c>
      <c r="AB948" s="347">
        <v>115.17</v>
      </c>
      <c r="AC948" s="347" t="s">
        <v>337</v>
      </c>
      <c r="AD948" s="1138"/>
      <c r="AP948" s="347">
        <v>138.06</v>
      </c>
      <c r="AQ948" s="347" t="s">
        <v>337</v>
      </c>
      <c r="BF948" s="347">
        <v>100.25</v>
      </c>
      <c r="BG948" s="347" t="s">
        <v>352</v>
      </c>
      <c r="BH948" s="1790"/>
      <c r="BN948" s="237">
        <v>21.01</v>
      </c>
      <c r="BO948" s="237" t="s">
        <v>323</v>
      </c>
      <c r="BT948" s="347">
        <v>134.12</v>
      </c>
      <c r="BU948" s="347" t="s">
        <v>337</v>
      </c>
      <c r="CD948" s="237">
        <v>28</v>
      </c>
      <c r="CE948" s="237" t="s">
        <v>337</v>
      </c>
      <c r="CJ948" s="347">
        <v>101.02</v>
      </c>
      <c r="CK948" s="347" t="s">
        <v>318</v>
      </c>
      <c r="CL948" s="1789"/>
      <c r="CR948" s="345"/>
      <c r="CS948" s="345"/>
      <c r="CX948" s="347"/>
      <c r="CY948" s="347"/>
      <c r="DH948" s="237"/>
      <c r="DI948" s="237"/>
      <c r="DN948" s="347"/>
      <c r="DO948" s="347"/>
      <c r="DP948" s="2505"/>
    </row>
    <row r="949" spans="12:120">
      <c r="L949" s="347">
        <v>3.02</v>
      </c>
      <c r="M949" s="347" t="s">
        <v>345</v>
      </c>
      <c r="AB949" s="347">
        <v>115.18</v>
      </c>
      <c r="AC949" s="347" t="s">
        <v>337</v>
      </c>
      <c r="AD949" s="1138"/>
      <c r="AP949" s="347">
        <v>138.07</v>
      </c>
      <c r="AQ949" s="347" t="s">
        <v>337</v>
      </c>
      <c r="BF949" s="347">
        <v>101</v>
      </c>
      <c r="BG949" s="347" t="s">
        <v>313</v>
      </c>
      <c r="BH949" s="1790"/>
      <c r="BN949" s="237">
        <v>21.02</v>
      </c>
      <c r="BO949" s="237" t="s">
        <v>323</v>
      </c>
      <c r="BT949" s="347">
        <v>134.13</v>
      </c>
      <c r="BU949" s="347" t="s">
        <v>337</v>
      </c>
      <c r="CD949" s="237">
        <v>28</v>
      </c>
      <c r="CE949" s="237" t="s">
        <v>352</v>
      </c>
      <c r="CJ949" s="347">
        <v>101.03</v>
      </c>
      <c r="CK949" s="347" t="s">
        <v>310</v>
      </c>
      <c r="CL949" s="1789"/>
      <c r="CR949" s="345"/>
      <c r="CS949" s="345"/>
      <c r="CX949" s="347"/>
      <c r="CY949" s="347"/>
      <c r="DH949" s="237"/>
      <c r="DI949" s="237"/>
      <c r="DN949" s="347"/>
      <c r="DO949" s="347"/>
      <c r="DP949" s="2505"/>
    </row>
    <row r="950" spans="12:120">
      <c r="L950" s="347">
        <v>7</v>
      </c>
      <c r="M950" s="347" t="s">
        <v>345</v>
      </c>
      <c r="AB950" s="347">
        <v>115.19</v>
      </c>
      <c r="AC950" s="347" t="s">
        <v>337</v>
      </c>
      <c r="AD950" s="1138"/>
      <c r="AP950" s="347">
        <v>139.07</v>
      </c>
      <c r="AQ950" s="347" t="s">
        <v>337</v>
      </c>
      <c r="BF950" s="347">
        <v>101.01</v>
      </c>
      <c r="BG950" s="347" t="s">
        <v>321</v>
      </c>
      <c r="BH950" s="1790"/>
      <c r="BN950" s="237">
        <v>22</v>
      </c>
      <c r="BO950" s="237" t="s">
        <v>323</v>
      </c>
      <c r="BT950" s="347">
        <v>134.13999999999999</v>
      </c>
      <c r="BU950" s="347" t="s">
        <v>337</v>
      </c>
      <c r="CD950" s="237">
        <v>28</v>
      </c>
      <c r="CE950" s="237" t="s">
        <v>361</v>
      </c>
      <c r="CJ950" s="347">
        <v>101.04</v>
      </c>
      <c r="CK950" s="347" t="s">
        <v>310</v>
      </c>
      <c r="CL950" s="1789"/>
      <c r="CR950" s="345"/>
      <c r="CS950" s="345"/>
      <c r="CX950" s="347"/>
      <c r="CY950" s="347"/>
      <c r="DH950" s="237"/>
      <c r="DI950" s="237"/>
      <c r="DN950" s="347"/>
      <c r="DO950" s="347"/>
      <c r="DP950" s="2505"/>
    </row>
    <row r="951" spans="12:120">
      <c r="L951" s="347">
        <v>8</v>
      </c>
      <c r="M951" s="347" t="s">
        <v>345</v>
      </c>
      <c r="AB951" s="347">
        <v>115.2</v>
      </c>
      <c r="AC951" s="347" t="s">
        <v>337</v>
      </c>
      <c r="AD951" s="1138"/>
      <c r="AP951" s="347">
        <v>139.13</v>
      </c>
      <c r="AQ951" s="347" t="s">
        <v>337</v>
      </c>
      <c r="BF951" s="347">
        <v>101.01</v>
      </c>
      <c r="BG951" s="347" t="s">
        <v>323</v>
      </c>
      <c r="BH951" s="1790"/>
      <c r="BN951" s="237">
        <v>23</v>
      </c>
      <c r="BO951" s="237" t="s">
        <v>323</v>
      </c>
      <c r="BT951" s="347">
        <v>134.15</v>
      </c>
      <c r="BU951" s="347" t="s">
        <v>337</v>
      </c>
      <c r="CD951" s="237">
        <v>28.01</v>
      </c>
      <c r="CE951" s="237" t="s">
        <v>323</v>
      </c>
      <c r="CJ951" s="347">
        <v>101.04</v>
      </c>
      <c r="CK951" s="347" t="s">
        <v>323</v>
      </c>
      <c r="CL951" s="1789"/>
      <c r="CR951" s="345"/>
      <c r="CS951" s="345"/>
      <c r="CX951" s="347"/>
      <c r="CY951" s="347"/>
      <c r="DH951" s="237"/>
      <c r="DI951" s="237"/>
      <c r="DN951" s="347"/>
      <c r="DO951" s="347"/>
      <c r="DP951" s="2505"/>
    </row>
    <row r="952" spans="12:120">
      <c r="L952" s="347">
        <v>9.01</v>
      </c>
      <c r="M952" s="347" t="s">
        <v>345</v>
      </c>
      <c r="AB952" s="347">
        <v>115.21</v>
      </c>
      <c r="AC952" s="347" t="s">
        <v>337</v>
      </c>
      <c r="AD952" s="1138"/>
      <c r="AP952" s="347">
        <v>139.15</v>
      </c>
      <c r="AQ952" s="347" t="s">
        <v>337</v>
      </c>
      <c r="BF952" s="347">
        <v>101.01</v>
      </c>
      <c r="BG952" s="347" t="s">
        <v>377</v>
      </c>
      <c r="BH952" s="1790"/>
      <c r="BN952" s="237">
        <v>24</v>
      </c>
      <c r="BO952" s="237" t="s">
        <v>323</v>
      </c>
      <c r="BT952" s="347">
        <v>135.01</v>
      </c>
      <c r="BU952" s="347" t="s">
        <v>337</v>
      </c>
      <c r="CD952" s="237">
        <v>28.01</v>
      </c>
      <c r="CE952" s="237" t="s">
        <v>325</v>
      </c>
      <c r="CJ952" s="347">
        <v>101.04</v>
      </c>
      <c r="CK952" s="347" t="s">
        <v>344</v>
      </c>
      <c r="CL952" s="1789"/>
      <c r="CR952" s="345"/>
      <c r="CS952" s="345"/>
      <c r="CX952" s="347"/>
      <c r="CY952" s="347"/>
      <c r="DH952" s="237"/>
      <c r="DI952" s="237"/>
      <c r="DN952" s="347"/>
      <c r="DO952" s="347"/>
      <c r="DP952" s="2505"/>
    </row>
    <row r="953" spans="12:120">
      <c r="L953" s="347">
        <v>9.0299999999999994</v>
      </c>
      <c r="M953" s="347" t="s">
        <v>345</v>
      </c>
      <c r="AB953" s="347">
        <v>115.22</v>
      </c>
      <c r="AC953" s="347" t="s">
        <v>337</v>
      </c>
      <c r="AD953" s="1138"/>
      <c r="AP953" s="347">
        <v>139.16</v>
      </c>
      <c r="AQ953" s="347" t="s">
        <v>337</v>
      </c>
      <c r="BF953" s="347">
        <v>101.02</v>
      </c>
      <c r="BG953" s="347" t="s">
        <v>310</v>
      </c>
      <c r="BH953" s="1790"/>
      <c r="BN953" s="237">
        <v>25.01</v>
      </c>
      <c r="BO953" s="237" t="s">
        <v>323</v>
      </c>
      <c r="BT953" s="347">
        <v>137.02000000000001</v>
      </c>
      <c r="BU953" s="347" t="s">
        <v>337</v>
      </c>
      <c r="CD953" s="237">
        <v>28.02</v>
      </c>
      <c r="CE953" s="237" t="s">
        <v>323</v>
      </c>
      <c r="CJ953" s="347">
        <v>101.05</v>
      </c>
      <c r="CK953" s="347" t="s">
        <v>323</v>
      </c>
      <c r="CL953" s="1789"/>
      <c r="CR953" s="345"/>
      <c r="CS953" s="345"/>
      <c r="CX953" s="347"/>
      <c r="CY953" s="347"/>
      <c r="DH953" s="237"/>
      <c r="DI953" s="237"/>
      <c r="DN953" s="347"/>
      <c r="DO953" s="347"/>
      <c r="DP953" s="2505"/>
    </row>
    <row r="954" spans="12:120">
      <c r="L954" s="347">
        <v>9.0399999999999991</v>
      </c>
      <c r="M954" s="347" t="s">
        <v>345</v>
      </c>
      <c r="AB954" s="347">
        <v>115.23</v>
      </c>
      <c r="AC954" s="347" t="s">
        <v>337</v>
      </c>
      <c r="AD954" s="1138"/>
      <c r="AP954" s="347">
        <v>139.16999999999999</v>
      </c>
      <c r="AQ954" s="347" t="s">
        <v>337</v>
      </c>
      <c r="BF954" s="347">
        <v>101.02</v>
      </c>
      <c r="BG954" s="347" t="s">
        <v>318</v>
      </c>
      <c r="BH954" s="1790"/>
      <c r="BN954" s="237">
        <v>25.02</v>
      </c>
      <c r="BO954" s="237" t="s">
        <v>323</v>
      </c>
      <c r="BT954" s="347">
        <v>137.03</v>
      </c>
      <c r="BU954" s="347" t="s">
        <v>337</v>
      </c>
      <c r="CD954" s="237">
        <v>28.02</v>
      </c>
      <c r="CE954" s="237" t="s">
        <v>325</v>
      </c>
      <c r="CJ954" s="347">
        <v>101.05</v>
      </c>
      <c r="CK954" s="347" t="s">
        <v>337</v>
      </c>
      <c r="CL954" s="1789"/>
      <c r="CR954" s="345"/>
      <c r="CS954" s="345"/>
      <c r="CX954" s="347"/>
      <c r="CY954" s="347"/>
      <c r="DH954" s="237"/>
      <c r="DI954" s="237"/>
      <c r="DN954" s="347"/>
      <c r="DO954" s="347"/>
      <c r="DP954" s="2505"/>
    </row>
    <row r="955" spans="12:120">
      <c r="L955" s="347">
        <v>9.0500000000000007</v>
      </c>
      <c r="M955" s="347" t="s">
        <v>345</v>
      </c>
      <c r="AB955" s="347">
        <v>115.24</v>
      </c>
      <c r="AC955" s="347" t="s">
        <v>337</v>
      </c>
      <c r="AD955" s="1138"/>
      <c r="AP955" s="347">
        <v>139.18</v>
      </c>
      <c r="AQ955" s="347" t="s">
        <v>337</v>
      </c>
      <c r="BF955" s="347">
        <v>101.03</v>
      </c>
      <c r="BG955" s="347" t="s">
        <v>310</v>
      </c>
      <c r="BH955" s="1790"/>
      <c r="BN955" s="237">
        <v>26</v>
      </c>
      <c r="BO955" s="237" t="s">
        <v>323</v>
      </c>
      <c r="BT955" s="347">
        <v>137.06</v>
      </c>
      <c r="BU955" s="347" t="s">
        <v>337</v>
      </c>
      <c r="CD955" s="237">
        <v>28.03</v>
      </c>
      <c r="CE955" s="237" t="s">
        <v>325</v>
      </c>
      <c r="CJ955" s="347">
        <v>101.06</v>
      </c>
      <c r="CK955" s="347" t="s">
        <v>323</v>
      </c>
      <c r="CL955" s="1789"/>
      <c r="CR955" s="345"/>
      <c r="CS955" s="345"/>
      <c r="CX955" s="347"/>
      <c r="CY955" s="347"/>
      <c r="DH955" s="237"/>
      <c r="DI955" s="237"/>
      <c r="DN955" s="347"/>
      <c r="DO955" s="347"/>
      <c r="DP955" s="2505"/>
    </row>
    <row r="956" spans="12:120">
      <c r="L956" s="347">
        <v>15</v>
      </c>
      <c r="M956" s="347" t="s">
        <v>345</v>
      </c>
      <c r="AB956" s="347">
        <v>116</v>
      </c>
      <c r="AC956" s="347" t="s">
        <v>352</v>
      </c>
      <c r="AD956" s="1138"/>
      <c r="AP956" s="347">
        <v>139.19</v>
      </c>
      <c r="AQ956" s="347" t="s">
        <v>337</v>
      </c>
      <c r="BF956" s="347">
        <v>101.04</v>
      </c>
      <c r="BG956" s="347" t="s">
        <v>310</v>
      </c>
      <c r="BH956" s="1790"/>
      <c r="BN956" s="237">
        <v>27.01</v>
      </c>
      <c r="BO956" s="237" t="s">
        <v>323</v>
      </c>
      <c r="BT956" s="347">
        <v>138.06</v>
      </c>
      <c r="BU956" s="347" t="s">
        <v>337</v>
      </c>
      <c r="CD956" s="237">
        <v>28.04</v>
      </c>
      <c r="CE956" s="237" t="s">
        <v>325</v>
      </c>
      <c r="CJ956" s="347">
        <v>101.06</v>
      </c>
      <c r="CK956" s="347" t="s">
        <v>337</v>
      </c>
      <c r="CL956" s="1789"/>
      <c r="CR956" s="345"/>
      <c r="CS956" s="345"/>
      <c r="CX956" s="347"/>
      <c r="CY956" s="347"/>
      <c r="DH956" s="237"/>
      <c r="DI956" s="237"/>
      <c r="DN956" s="347"/>
      <c r="DO956" s="347"/>
      <c r="DP956" s="2505"/>
    </row>
    <row r="957" spans="12:120">
      <c r="L957" s="347">
        <v>16.02</v>
      </c>
      <c r="M957" s="347" t="s">
        <v>345</v>
      </c>
      <c r="AB957" s="347">
        <v>116.06</v>
      </c>
      <c r="AC957" s="347" t="s">
        <v>337</v>
      </c>
      <c r="AD957" s="1138"/>
      <c r="AP957" s="347">
        <v>139.22</v>
      </c>
      <c r="AQ957" s="347" t="s">
        <v>337</v>
      </c>
      <c r="BF957" s="347">
        <v>101.04</v>
      </c>
      <c r="BG957" s="347" t="s">
        <v>323</v>
      </c>
      <c r="BH957" s="1790"/>
      <c r="BN957" s="237">
        <v>27.02</v>
      </c>
      <c r="BO957" s="237" t="s">
        <v>323</v>
      </c>
      <c r="BT957" s="347">
        <v>138.07</v>
      </c>
      <c r="BU957" s="347" t="s">
        <v>337</v>
      </c>
      <c r="CD957" s="237">
        <v>29</v>
      </c>
      <c r="CE957" s="237" t="s">
        <v>325</v>
      </c>
      <c r="CJ957" s="347">
        <v>101.06</v>
      </c>
      <c r="CK957" s="347" t="s">
        <v>344</v>
      </c>
      <c r="CL957" s="1789"/>
      <c r="CR957" s="345"/>
      <c r="CS957" s="345"/>
      <c r="CX957" s="347"/>
      <c r="CY957" s="347"/>
      <c r="DH957" s="237"/>
      <c r="DI957" s="237"/>
      <c r="DN957" s="347"/>
      <c r="DO957" s="347"/>
      <c r="DP957" s="2505"/>
    </row>
    <row r="958" spans="12:120">
      <c r="L958" s="347">
        <v>17</v>
      </c>
      <c r="M958" s="347" t="s">
        <v>345</v>
      </c>
      <c r="AB958" s="347">
        <v>116.08</v>
      </c>
      <c r="AC958" s="347" t="s">
        <v>337</v>
      </c>
      <c r="AD958" s="1138"/>
      <c r="AP958" s="347">
        <v>139.22999999999999</v>
      </c>
      <c r="AQ958" s="347" t="s">
        <v>337</v>
      </c>
      <c r="BF958" s="347">
        <v>101.04</v>
      </c>
      <c r="BG958" s="347" t="s">
        <v>344</v>
      </c>
      <c r="BH958" s="1790"/>
      <c r="BN958" s="237">
        <v>28.01</v>
      </c>
      <c r="BO958" s="237" t="s">
        <v>323</v>
      </c>
      <c r="BT958" s="347">
        <v>139.03</v>
      </c>
      <c r="BU958" s="347" t="s">
        <v>337</v>
      </c>
      <c r="CD958" s="237">
        <v>29</v>
      </c>
      <c r="CE958" s="237" t="s">
        <v>337</v>
      </c>
      <c r="CJ958" s="347">
        <v>101.07</v>
      </c>
      <c r="CK958" s="347" t="s">
        <v>323</v>
      </c>
      <c r="CL958" s="1789"/>
      <c r="CR958" s="345"/>
      <c r="CS958" s="345"/>
      <c r="CX958" s="347"/>
      <c r="CY958" s="347"/>
      <c r="DH958" s="237"/>
      <c r="DI958" s="237"/>
      <c r="DN958" s="347"/>
      <c r="DO958" s="347"/>
      <c r="DP958" s="2505"/>
    </row>
    <row r="959" spans="12:120">
      <c r="L959" s="347">
        <v>21.01</v>
      </c>
      <c r="M959" s="347" t="s">
        <v>345</v>
      </c>
      <c r="AB959" s="347">
        <v>116.12</v>
      </c>
      <c r="AC959" s="347" t="s">
        <v>337</v>
      </c>
      <c r="AD959" s="1138"/>
      <c r="AP959" s="347">
        <v>139.24</v>
      </c>
      <c r="AQ959" s="347" t="s">
        <v>337</v>
      </c>
      <c r="BF959" s="347">
        <v>101.05</v>
      </c>
      <c r="BG959" s="347" t="s">
        <v>323</v>
      </c>
      <c r="BH959" s="1790"/>
      <c r="BN959" s="237">
        <v>28.02</v>
      </c>
      <c r="BO959" s="237" t="s">
        <v>323</v>
      </c>
      <c r="BT959" s="347">
        <v>139.07</v>
      </c>
      <c r="BU959" s="347" t="s">
        <v>337</v>
      </c>
      <c r="CD959" s="237">
        <v>29</v>
      </c>
      <c r="CE959" s="237" t="s">
        <v>352</v>
      </c>
      <c r="CJ959" s="347">
        <v>101.07</v>
      </c>
      <c r="CK959" s="347" t="s">
        <v>344</v>
      </c>
      <c r="CL959" s="1789"/>
      <c r="CR959" s="345"/>
      <c r="CS959" s="345"/>
      <c r="CX959" s="347"/>
      <c r="CY959" s="347"/>
      <c r="DH959" s="237"/>
      <c r="DI959" s="237"/>
      <c r="DN959" s="347"/>
      <c r="DO959" s="347"/>
      <c r="DP959" s="2505"/>
    </row>
    <row r="960" spans="12:120">
      <c r="L960" s="347">
        <v>22.05</v>
      </c>
      <c r="M960" s="347" t="s">
        <v>345</v>
      </c>
      <c r="AB960" s="347">
        <v>117.06</v>
      </c>
      <c r="AC960" s="347" t="s">
        <v>337</v>
      </c>
      <c r="AD960" s="1138"/>
      <c r="AP960" s="347">
        <v>139.26</v>
      </c>
      <c r="AQ960" s="347" t="s">
        <v>337</v>
      </c>
      <c r="BF960" s="347">
        <v>101.05</v>
      </c>
      <c r="BG960" s="347" t="s">
        <v>337</v>
      </c>
      <c r="BH960" s="1790"/>
      <c r="BN960" s="237">
        <v>29.01</v>
      </c>
      <c r="BO960" s="237" t="s">
        <v>323</v>
      </c>
      <c r="BT960" s="347">
        <v>139.13</v>
      </c>
      <c r="BU960" s="347" t="s">
        <v>337</v>
      </c>
      <c r="CD960" s="237">
        <v>29</v>
      </c>
      <c r="CE960" s="237" t="s">
        <v>361</v>
      </c>
      <c r="CJ960" s="347">
        <v>101.08</v>
      </c>
      <c r="CK960" s="347" t="s">
        <v>318</v>
      </c>
      <c r="CL960" s="1789"/>
      <c r="CR960" s="345"/>
      <c r="CS960" s="345"/>
      <c r="CX960" s="347"/>
      <c r="CY960" s="347"/>
      <c r="DH960" s="237"/>
      <c r="DI960" s="237"/>
      <c r="DN960" s="347"/>
      <c r="DO960" s="347"/>
      <c r="DP960" s="2505"/>
    </row>
    <row r="961" spans="12:120">
      <c r="L961" s="347">
        <v>22.06</v>
      </c>
      <c r="M961" s="347" t="s">
        <v>345</v>
      </c>
      <c r="AB961" s="347">
        <v>117.08</v>
      </c>
      <c r="AC961" s="347" t="s">
        <v>337</v>
      </c>
      <c r="AD961" s="1138"/>
      <c r="AP961" s="347">
        <v>140.03</v>
      </c>
      <c r="AQ961" s="347" t="s">
        <v>337</v>
      </c>
      <c r="BF961" s="347">
        <v>101.06</v>
      </c>
      <c r="BG961" s="347" t="s">
        <v>323</v>
      </c>
      <c r="BH961" s="1790"/>
      <c r="BN961" s="237">
        <v>29.02</v>
      </c>
      <c r="BO961" s="237" t="s">
        <v>323</v>
      </c>
      <c r="BT961" s="347">
        <v>139.15</v>
      </c>
      <c r="BU961" s="347" t="s">
        <v>337</v>
      </c>
      <c r="CD961" s="237">
        <v>29.01</v>
      </c>
      <c r="CE961" s="237" t="s">
        <v>323</v>
      </c>
      <c r="CJ961" s="347">
        <v>101.08</v>
      </c>
      <c r="CK961" s="347" t="s">
        <v>337</v>
      </c>
      <c r="CL961" s="1789"/>
      <c r="CR961" s="345"/>
      <c r="CS961" s="345"/>
      <c r="CX961" s="347"/>
      <c r="CY961" s="347"/>
      <c r="DH961" s="237"/>
      <c r="DI961" s="237"/>
      <c r="DN961" s="347"/>
      <c r="DO961" s="347"/>
      <c r="DP961" s="2505"/>
    </row>
    <row r="962" spans="12:120">
      <c r="L962" s="347">
        <v>22.08</v>
      </c>
      <c r="M962" s="347" t="s">
        <v>345</v>
      </c>
      <c r="AB962" s="347">
        <v>117.09</v>
      </c>
      <c r="AC962" s="347" t="s">
        <v>337</v>
      </c>
      <c r="AD962" s="1138"/>
      <c r="AP962" s="347">
        <v>140.07</v>
      </c>
      <c r="AQ962" s="347" t="s">
        <v>337</v>
      </c>
      <c r="BF962" s="347">
        <v>101.06</v>
      </c>
      <c r="BG962" s="347" t="s">
        <v>337</v>
      </c>
      <c r="BH962" s="1790"/>
      <c r="BN962" s="237">
        <v>101.01</v>
      </c>
      <c r="BO962" s="237" t="s">
        <v>323</v>
      </c>
      <c r="BT962" s="347">
        <v>139.16</v>
      </c>
      <c r="BU962" s="347" t="s">
        <v>337</v>
      </c>
      <c r="CD962" s="237">
        <v>29.02</v>
      </c>
      <c r="CE962" s="237" t="s">
        <v>323</v>
      </c>
      <c r="CJ962" s="347">
        <v>101.08</v>
      </c>
      <c r="CK962" s="347" t="s">
        <v>344</v>
      </c>
      <c r="CL962" s="1789"/>
      <c r="CR962" s="345"/>
      <c r="CS962" s="345"/>
      <c r="CX962" s="347"/>
      <c r="CY962" s="347"/>
      <c r="DH962" s="237"/>
      <c r="DI962" s="237"/>
      <c r="DN962" s="347"/>
      <c r="DO962" s="347"/>
      <c r="DP962" s="2505"/>
    </row>
    <row r="963" spans="12:120">
      <c r="L963" s="347">
        <v>23.02</v>
      </c>
      <c r="M963" s="347" t="s">
        <v>345</v>
      </c>
      <c r="AB963" s="347">
        <v>117.1</v>
      </c>
      <c r="AC963" s="347" t="s">
        <v>337</v>
      </c>
      <c r="AD963" s="1138"/>
      <c r="AP963" s="347">
        <v>140.08000000000001</v>
      </c>
      <c r="AQ963" s="347" t="s">
        <v>337</v>
      </c>
      <c r="BF963" s="347">
        <v>101.07</v>
      </c>
      <c r="BG963" s="347" t="s">
        <v>323</v>
      </c>
      <c r="BH963" s="1790"/>
      <c r="BN963" s="237">
        <v>101.04</v>
      </c>
      <c r="BO963" s="237" t="s">
        <v>323</v>
      </c>
      <c r="BT963" s="347">
        <v>139.16999999999999</v>
      </c>
      <c r="BU963" s="347" t="s">
        <v>337</v>
      </c>
      <c r="CD963" s="237">
        <v>30</v>
      </c>
      <c r="CE963" s="237" t="s">
        <v>337</v>
      </c>
      <c r="CJ963" s="347">
        <v>101.09</v>
      </c>
      <c r="CK963" s="347" t="s">
        <v>318</v>
      </c>
      <c r="CL963" s="1789"/>
      <c r="CR963" s="345"/>
      <c r="CS963" s="345"/>
      <c r="CX963" s="347"/>
      <c r="CY963" s="347"/>
      <c r="DH963" s="237"/>
      <c r="DI963" s="237"/>
      <c r="DN963" s="347"/>
      <c r="DO963" s="347"/>
      <c r="DP963" s="2505"/>
    </row>
    <row r="964" spans="12:120">
      <c r="L964" s="347">
        <v>23.03</v>
      </c>
      <c r="M964" s="347" t="s">
        <v>345</v>
      </c>
      <c r="AB964" s="347">
        <v>117.12</v>
      </c>
      <c r="AC964" s="347" t="s">
        <v>337</v>
      </c>
      <c r="AD964" s="1138"/>
      <c r="AP964" s="347">
        <v>140.09</v>
      </c>
      <c r="AQ964" s="347" t="s">
        <v>337</v>
      </c>
      <c r="BF964" s="347">
        <v>101.07</v>
      </c>
      <c r="BG964" s="347" t="s">
        <v>344</v>
      </c>
      <c r="BH964" s="1790"/>
      <c r="BN964" s="237">
        <v>101.05</v>
      </c>
      <c r="BO964" s="237" t="s">
        <v>323</v>
      </c>
      <c r="BT964" s="347">
        <v>139.18</v>
      </c>
      <c r="BU964" s="347" t="s">
        <v>337</v>
      </c>
      <c r="CD964" s="237">
        <v>30</v>
      </c>
      <c r="CE964" s="237" t="s">
        <v>361</v>
      </c>
      <c r="CJ964" s="347">
        <v>101.09</v>
      </c>
      <c r="CK964" s="347" t="s">
        <v>344</v>
      </c>
      <c r="CL964" s="1789"/>
      <c r="CR964" s="345"/>
      <c r="CS964" s="345"/>
      <c r="CX964" s="347"/>
      <c r="CY964" s="347"/>
      <c r="DH964" s="237"/>
      <c r="DI964" s="237"/>
      <c r="DN964" s="347"/>
      <c r="DO964" s="347"/>
      <c r="DP964" s="2505"/>
    </row>
    <row r="965" spans="12:120">
      <c r="L965" s="347">
        <v>24.03</v>
      </c>
      <c r="M965" s="347" t="s">
        <v>345</v>
      </c>
      <c r="AB965" s="347">
        <v>118</v>
      </c>
      <c r="AC965" s="347" t="s">
        <v>352</v>
      </c>
      <c r="AD965" s="1138"/>
      <c r="AP965" s="347">
        <v>140.12</v>
      </c>
      <c r="AQ965" s="347" t="s">
        <v>337</v>
      </c>
      <c r="BF965" s="347">
        <v>101.08</v>
      </c>
      <c r="BG965" s="347" t="s">
        <v>318</v>
      </c>
      <c r="BH965" s="1790"/>
      <c r="BN965" s="237">
        <v>101.06</v>
      </c>
      <c r="BO965" s="237" t="s">
        <v>323</v>
      </c>
      <c r="BT965" s="347">
        <v>139.19</v>
      </c>
      <c r="BU965" s="347" t="s">
        <v>337</v>
      </c>
      <c r="CD965" s="237">
        <v>30.01</v>
      </c>
      <c r="CE965" s="237" t="s">
        <v>325</v>
      </c>
      <c r="CJ965" s="347">
        <v>101.1</v>
      </c>
      <c r="CK965" s="347" t="s">
        <v>344</v>
      </c>
      <c r="CL965" s="1789"/>
      <c r="CR965" s="345"/>
      <c r="CS965" s="345"/>
      <c r="CX965" s="347"/>
      <c r="CY965" s="347"/>
      <c r="DH965" s="237"/>
      <c r="DI965" s="237"/>
      <c r="DN965" s="347"/>
      <c r="DO965" s="347"/>
      <c r="DP965" s="2505"/>
    </row>
    <row r="966" spans="12:120">
      <c r="L966" s="347">
        <v>24.08</v>
      </c>
      <c r="M966" s="347" t="s">
        <v>345</v>
      </c>
      <c r="AB966" s="347">
        <v>118.21</v>
      </c>
      <c r="AC966" s="347" t="s">
        <v>365</v>
      </c>
      <c r="AD966" s="1138"/>
      <c r="AP966" s="347">
        <v>140.13</v>
      </c>
      <c r="AQ966" s="347" t="s">
        <v>337</v>
      </c>
      <c r="BF966" s="347">
        <v>101.08</v>
      </c>
      <c r="BG966" s="347" t="s">
        <v>337</v>
      </c>
      <c r="BH966" s="1790"/>
      <c r="BN966" s="237">
        <v>101.07</v>
      </c>
      <c r="BO966" s="237" t="s">
        <v>323</v>
      </c>
      <c r="BT966" s="347">
        <v>139.22</v>
      </c>
      <c r="BU966" s="347" t="s">
        <v>337</v>
      </c>
      <c r="CD966" s="237">
        <v>30.01</v>
      </c>
      <c r="CE966" s="237" t="s">
        <v>352</v>
      </c>
      <c r="CJ966" s="347">
        <v>101.11</v>
      </c>
      <c r="CK966" s="347" t="s">
        <v>318</v>
      </c>
      <c r="CL966" s="1789"/>
      <c r="CR966" s="345"/>
      <c r="CS966" s="345"/>
      <c r="CX966" s="347"/>
      <c r="CY966" s="347"/>
      <c r="DH966" s="237"/>
      <c r="DI966" s="237"/>
      <c r="DN966" s="347"/>
      <c r="DO966" s="347"/>
      <c r="DP966" s="2505"/>
    </row>
    <row r="967" spans="12:120">
      <c r="L967" s="347">
        <v>24.1</v>
      </c>
      <c r="M967" s="347" t="s">
        <v>345</v>
      </c>
      <c r="AB967" s="347">
        <v>118.22</v>
      </c>
      <c r="AC967" s="347" t="s">
        <v>365</v>
      </c>
      <c r="AD967" s="1138"/>
      <c r="AP967" s="347">
        <v>140.16999999999999</v>
      </c>
      <c r="AQ967" s="347" t="s">
        <v>337</v>
      </c>
      <c r="BF967" s="347">
        <v>101.08</v>
      </c>
      <c r="BG967" s="347" t="s">
        <v>344</v>
      </c>
      <c r="BH967" s="1790"/>
      <c r="BN967" s="237">
        <v>102.02</v>
      </c>
      <c r="BO967" s="237" t="s">
        <v>323</v>
      </c>
      <c r="BT967" s="347">
        <v>139.22999999999999</v>
      </c>
      <c r="BU967" s="347" t="s">
        <v>337</v>
      </c>
      <c r="CD967" s="237">
        <v>30.02</v>
      </c>
      <c r="CE967" s="237" t="s">
        <v>325</v>
      </c>
      <c r="CJ967" s="347">
        <v>101.11</v>
      </c>
      <c r="CK967" s="347" t="s">
        <v>344</v>
      </c>
      <c r="CL967" s="1789"/>
      <c r="CR967" s="345"/>
      <c r="CS967" s="345"/>
      <c r="CX967" s="347"/>
      <c r="CY967" s="347"/>
      <c r="DH967" s="237"/>
      <c r="DI967" s="237"/>
      <c r="DN967" s="347"/>
      <c r="DO967" s="347"/>
      <c r="DP967" s="2505"/>
    </row>
    <row r="968" spans="12:120">
      <c r="L968" s="347">
        <v>24.12</v>
      </c>
      <c r="M968" s="347" t="s">
        <v>345</v>
      </c>
      <c r="AB968" s="347">
        <v>118.32</v>
      </c>
      <c r="AC968" s="347" t="s">
        <v>365</v>
      </c>
      <c r="AD968" s="1138"/>
      <c r="AP968" s="347">
        <v>141.06</v>
      </c>
      <c r="AQ968" s="347" t="s">
        <v>337</v>
      </c>
      <c r="BF968" s="347">
        <v>101.09</v>
      </c>
      <c r="BG968" s="347" t="s">
        <v>318</v>
      </c>
      <c r="BH968" s="1790"/>
      <c r="BN968" s="237">
        <v>102.03</v>
      </c>
      <c r="BO968" s="237" t="s">
        <v>323</v>
      </c>
      <c r="BT968" s="347">
        <v>139.24</v>
      </c>
      <c r="BU968" s="347" t="s">
        <v>337</v>
      </c>
      <c r="CD968" s="237">
        <v>30.04</v>
      </c>
      <c r="CE968" s="237" t="s">
        <v>352</v>
      </c>
      <c r="CJ968" s="347">
        <v>101.12</v>
      </c>
      <c r="CK968" s="347" t="s">
        <v>318</v>
      </c>
      <c r="CL968" s="1789"/>
      <c r="CR968" s="345"/>
      <c r="CS968" s="345"/>
      <c r="CX968" s="347"/>
      <c r="CY968" s="347"/>
      <c r="DH968" s="237"/>
      <c r="DI968" s="237"/>
      <c r="DN968" s="347"/>
      <c r="DO968" s="347"/>
      <c r="DP968" s="2505"/>
    </row>
    <row r="969" spans="12:120">
      <c r="L969" s="347">
        <v>24.13</v>
      </c>
      <c r="M969" s="347" t="s">
        <v>345</v>
      </c>
      <c r="AB969" s="347">
        <v>118.33</v>
      </c>
      <c r="AC969" s="347" t="s">
        <v>365</v>
      </c>
      <c r="AD969" s="1138"/>
      <c r="AP969" s="347">
        <v>141.09</v>
      </c>
      <c r="AQ969" s="347" t="s">
        <v>337</v>
      </c>
      <c r="BF969" s="347">
        <v>101.09</v>
      </c>
      <c r="BG969" s="347" t="s">
        <v>344</v>
      </c>
      <c r="BH969" s="1790"/>
      <c r="BN969" s="237">
        <v>102.04</v>
      </c>
      <c r="BO969" s="237" t="s">
        <v>323</v>
      </c>
      <c r="BT969" s="347">
        <v>139.26</v>
      </c>
      <c r="BU969" s="347" t="s">
        <v>337</v>
      </c>
      <c r="CD969" s="237">
        <v>30.05</v>
      </c>
      <c r="CE969" s="237" t="s">
        <v>352</v>
      </c>
      <c r="CJ969" s="347">
        <v>101.13</v>
      </c>
      <c r="CK969" s="347" t="s">
        <v>318</v>
      </c>
      <c r="CL969" s="1789"/>
      <c r="CR969" s="345"/>
      <c r="CS969" s="345"/>
      <c r="CX969" s="347"/>
      <c r="CY969" s="347"/>
      <c r="DH969" s="237"/>
      <c r="DI969" s="237"/>
      <c r="DN969" s="347"/>
      <c r="DO969" s="347"/>
      <c r="DP969" s="2505"/>
    </row>
    <row r="970" spans="12:120">
      <c r="L970" s="347">
        <v>24.14</v>
      </c>
      <c r="M970" s="347" t="s">
        <v>345</v>
      </c>
      <c r="AB970" s="347">
        <v>118.34</v>
      </c>
      <c r="AC970" s="347" t="s">
        <v>365</v>
      </c>
      <c r="AD970" s="1138"/>
      <c r="AP970" s="347">
        <v>141.16999999999999</v>
      </c>
      <c r="AQ970" s="347" t="s">
        <v>337</v>
      </c>
      <c r="BF970" s="347">
        <v>101.1</v>
      </c>
      <c r="BG970" s="347" t="s">
        <v>318</v>
      </c>
      <c r="BH970" s="1790"/>
      <c r="BN970" s="237">
        <v>103.01</v>
      </c>
      <c r="BO970" s="237" t="s">
        <v>323</v>
      </c>
      <c r="BT970" s="347">
        <v>140.03</v>
      </c>
      <c r="BU970" s="347" t="s">
        <v>337</v>
      </c>
      <c r="CD970" s="237">
        <v>30.06</v>
      </c>
      <c r="CE970" s="237" t="s">
        <v>352</v>
      </c>
      <c r="CJ970" s="347">
        <v>101.14</v>
      </c>
      <c r="CK970" s="347" t="s">
        <v>318</v>
      </c>
      <c r="CL970" s="1789"/>
      <c r="CR970" s="345"/>
      <c r="CS970" s="345"/>
      <c r="CX970" s="347"/>
      <c r="CY970" s="347"/>
      <c r="DH970" s="237"/>
      <c r="DI970" s="237"/>
      <c r="DN970" s="347"/>
      <c r="DO970" s="347"/>
      <c r="DP970" s="2505"/>
    </row>
    <row r="971" spans="12:120">
      <c r="L971" s="347">
        <v>24.15</v>
      </c>
      <c r="M971" s="347" t="s">
        <v>345</v>
      </c>
      <c r="AB971" s="347">
        <v>118.35</v>
      </c>
      <c r="AC971" s="347" t="s">
        <v>365</v>
      </c>
      <c r="AD971" s="1138"/>
      <c r="AP971" s="347">
        <v>141.18</v>
      </c>
      <c r="AQ971" s="347" t="s">
        <v>337</v>
      </c>
      <c r="BF971" s="347">
        <v>101.1</v>
      </c>
      <c r="BG971" s="347" t="s">
        <v>344</v>
      </c>
      <c r="BH971" s="1790"/>
      <c r="BN971" s="237">
        <v>103.05</v>
      </c>
      <c r="BO971" s="237" t="s">
        <v>323</v>
      </c>
      <c r="BT971" s="347">
        <v>140.07</v>
      </c>
      <c r="BU971" s="347" t="s">
        <v>337</v>
      </c>
      <c r="CD971" s="237">
        <v>31</v>
      </c>
      <c r="CE971" s="237" t="s">
        <v>325</v>
      </c>
      <c r="CJ971" s="347">
        <v>101.93</v>
      </c>
      <c r="CK971" s="347" t="s">
        <v>352</v>
      </c>
      <c r="CL971" s="1789"/>
      <c r="CR971" s="345"/>
      <c r="CS971" s="345"/>
      <c r="CX971" s="347"/>
      <c r="CY971" s="347"/>
      <c r="DH971" s="237"/>
      <c r="DI971" s="237"/>
      <c r="DN971" s="347"/>
      <c r="DO971" s="347"/>
      <c r="DP971" s="2505"/>
    </row>
    <row r="972" spans="12:120">
      <c r="L972" s="347">
        <v>24.16</v>
      </c>
      <c r="M972" s="347" t="s">
        <v>345</v>
      </c>
      <c r="AB972" s="347">
        <v>118.36</v>
      </c>
      <c r="AC972" s="347" t="s">
        <v>365</v>
      </c>
      <c r="AD972" s="1138"/>
      <c r="AP972" s="347">
        <v>141.19</v>
      </c>
      <c r="AQ972" s="347" t="s">
        <v>337</v>
      </c>
      <c r="BF972" s="347">
        <v>101.11</v>
      </c>
      <c r="BG972" s="347" t="s">
        <v>318</v>
      </c>
      <c r="BH972" s="1790"/>
      <c r="BN972" s="237">
        <v>103.06</v>
      </c>
      <c r="BO972" s="237" t="s">
        <v>323</v>
      </c>
      <c r="BT972" s="347">
        <v>140.08000000000001</v>
      </c>
      <c r="BU972" s="347" t="s">
        <v>337</v>
      </c>
      <c r="CD972" s="237">
        <v>31</v>
      </c>
      <c r="CE972" s="237" t="s">
        <v>337</v>
      </c>
      <c r="CJ972" s="347">
        <v>101.98</v>
      </c>
      <c r="CK972" s="347" t="s">
        <v>352</v>
      </c>
      <c r="CL972" s="1789"/>
      <c r="CR972" s="345"/>
      <c r="CS972" s="345"/>
      <c r="CX972" s="347"/>
      <c r="CY972" s="347"/>
      <c r="DH972" s="237"/>
      <c r="DI972" s="237"/>
      <c r="DN972" s="347"/>
      <c r="DO972" s="347"/>
      <c r="DP972" s="2505"/>
    </row>
    <row r="973" spans="12:120">
      <c r="L973" s="347">
        <v>24.17</v>
      </c>
      <c r="M973" s="347" t="s">
        <v>345</v>
      </c>
      <c r="AB973" s="347">
        <v>119</v>
      </c>
      <c r="AC973" s="347" t="s">
        <v>352</v>
      </c>
      <c r="AD973" s="1138"/>
      <c r="AP973" s="347">
        <v>141.21</v>
      </c>
      <c r="AQ973" s="347" t="s">
        <v>337</v>
      </c>
      <c r="BF973" s="347">
        <v>101.12</v>
      </c>
      <c r="BG973" s="347" t="s">
        <v>318</v>
      </c>
      <c r="BH973" s="1790"/>
      <c r="BN973" s="237">
        <v>103.07</v>
      </c>
      <c r="BO973" s="237" t="s">
        <v>323</v>
      </c>
      <c r="BT973" s="347">
        <v>140.09</v>
      </c>
      <c r="BU973" s="347" t="s">
        <v>337</v>
      </c>
      <c r="CD973" s="237">
        <v>31</v>
      </c>
      <c r="CE973" s="237" t="s">
        <v>352</v>
      </c>
      <c r="CJ973" s="347">
        <v>102</v>
      </c>
      <c r="CK973" s="347" t="s">
        <v>313</v>
      </c>
      <c r="CL973" s="1789"/>
      <c r="CR973" s="345"/>
      <c r="CS973" s="345"/>
      <c r="CX973" s="347"/>
      <c r="CY973" s="347"/>
      <c r="DH973" s="237"/>
      <c r="DI973" s="237"/>
      <c r="DN973" s="347"/>
      <c r="DO973" s="347"/>
      <c r="DP973" s="2505"/>
    </row>
    <row r="974" spans="12:120">
      <c r="L974" s="347">
        <v>25.05</v>
      </c>
      <c r="M974" s="347" t="s">
        <v>345</v>
      </c>
      <c r="AB974" s="347">
        <v>119.02</v>
      </c>
      <c r="AC974" s="347" t="s">
        <v>365</v>
      </c>
      <c r="AD974" s="1138"/>
      <c r="AP974" s="347">
        <v>141.22</v>
      </c>
      <c r="AQ974" s="347" t="s">
        <v>337</v>
      </c>
      <c r="BF974" s="347">
        <v>101.13</v>
      </c>
      <c r="BG974" s="347" t="s">
        <v>318</v>
      </c>
      <c r="BH974" s="1790"/>
      <c r="BN974" s="237">
        <v>103.08</v>
      </c>
      <c r="BO974" s="237" t="s">
        <v>323</v>
      </c>
      <c r="BT974" s="347">
        <v>140.12</v>
      </c>
      <c r="BU974" s="347" t="s">
        <v>337</v>
      </c>
      <c r="CD974" s="237">
        <v>31.01</v>
      </c>
      <c r="CE974" s="237" t="s">
        <v>361</v>
      </c>
      <c r="CJ974" s="347">
        <v>102.01</v>
      </c>
      <c r="CK974" s="347" t="s">
        <v>352</v>
      </c>
      <c r="CL974" s="1789"/>
      <c r="CR974" s="345"/>
      <c r="CS974" s="345"/>
      <c r="CX974" s="347"/>
      <c r="CY974" s="347"/>
      <c r="DH974" s="237"/>
      <c r="DI974" s="237"/>
      <c r="DN974" s="347"/>
      <c r="DO974" s="347"/>
      <c r="DP974" s="2505"/>
    </row>
    <row r="975" spans="12:120">
      <c r="L975" s="347">
        <v>25.07</v>
      </c>
      <c r="M975" s="347" t="s">
        <v>345</v>
      </c>
      <c r="AB975" s="347">
        <v>119.03</v>
      </c>
      <c r="AC975" s="347" t="s">
        <v>323</v>
      </c>
      <c r="AD975" s="1138"/>
      <c r="AP975" s="347">
        <v>143</v>
      </c>
      <c r="AQ975" s="347" t="s">
        <v>337</v>
      </c>
      <c r="BF975" s="347">
        <v>101.14</v>
      </c>
      <c r="BG975" s="347" t="s">
        <v>318</v>
      </c>
      <c r="BH975" s="1790"/>
      <c r="BN975" s="237">
        <v>104.01</v>
      </c>
      <c r="BO975" s="237" t="s">
        <v>323</v>
      </c>
      <c r="BT975" s="347">
        <v>140.16999999999999</v>
      </c>
      <c r="BU975" s="347" t="s">
        <v>337</v>
      </c>
      <c r="CD975" s="237">
        <v>31.02</v>
      </c>
      <c r="CE975" s="237" t="s">
        <v>361</v>
      </c>
      <c r="CJ975" s="347">
        <v>102.01</v>
      </c>
      <c r="CK975" s="347" t="s">
        <v>359</v>
      </c>
      <c r="CL975" s="1789"/>
      <c r="CR975" s="345"/>
      <c r="CS975" s="345"/>
      <c r="CX975" s="347"/>
      <c r="CY975" s="347"/>
      <c r="DH975" s="237"/>
      <c r="DI975" s="237"/>
      <c r="DN975" s="347"/>
      <c r="DO975" s="347"/>
      <c r="DP975" s="2505"/>
    </row>
    <row r="976" spans="12:120">
      <c r="L976" s="347">
        <v>25.08</v>
      </c>
      <c r="M976" s="347" t="s">
        <v>345</v>
      </c>
      <c r="AB976" s="347">
        <v>119.08</v>
      </c>
      <c r="AC976" s="347" t="s">
        <v>365</v>
      </c>
      <c r="AD976" s="1138"/>
      <c r="AP976" s="347">
        <v>144</v>
      </c>
      <c r="AQ976" s="347" t="s">
        <v>337</v>
      </c>
      <c r="BF976" s="347">
        <v>101.93</v>
      </c>
      <c r="BG976" s="347" t="s">
        <v>352</v>
      </c>
      <c r="BH976" s="1790"/>
      <c r="BN976" s="237">
        <v>104.02</v>
      </c>
      <c r="BO976" s="237" t="s">
        <v>323</v>
      </c>
      <c r="BT976" s="347">
        <v>141.16999999999999</v>
      </c>
      <c r="BU976" s="347" t="s">
        <v>337</v>
      </c>
      <c r="CD976" s="237">
        <v>32</v>
      </c>
      <c r="CE976" s="237" t="s">
        <v>337</v>
      </c>
      <c r="CJ976" s="347">
        <v>102.02</v>
      </c>
      <c r="CK976" s="347" t="s">
        <v>359</v>
      </c>
      <c r="CL976" s="1789"/>
      <c r="CR976" s="345"/>
      <c r="CS976" s="345"/>
      <c r="CX976" s="347"/>
      <c r="CY976" s="347"/>
      <c r="DH976" s="237"/>
      <c r="DI976" s="237"/>
      <c r="DN976" s="347"/>
      <c r="DO976" s="347"/>
      <c r="DP976" s="2505"/>
    </row>
    <row r="977" spans="12:120">
      <c r="L977" s="347">
        <v>25.09</v>
      </c>
      <c r="M977" s="347" t="s">
        <v>345</v>
      </c>
      <c r="AB977" s="347">
        <v>119.09</v>
      </c>
      <c r="AC977" s="347" t="s">
        <v>365</v>
      </c>
      <c r="AD977" s="1138"/>
      <c r="AP977" s="347">
        <v>9601</v>
      </c>
      <c r="AQ977" s="347" t="s">
        <v>338</v>
      </c>
      <c r="BF977" s="347">
        <v>101.98</v>
      </c>
      <c r="BG977" s="347" t="s">
        <v>352</v>
      </c>
      <c r="BH977" s="1790"/>
      <c r="BN977" s="237">
        <v>105.01</v>
      </c>
      <c r="BO977" s="237" t="s">
        <v>323</v>
      </c>
      <c r="BT977" s="347">
        <v>141.18</v>
      </c>
      <c r="BU977" s="347" t="s">
        <v>337</v>
      </c>
      <c r="CD977" s="237">
        <v>32.01</v>
      </c>
      <c r="CE977" s="237" t="s">
        <v>325</v>
      </c>
      <c r="CJ977" s="347">
        <v>102.03</v>
      </c>
      <c r="CK977" s="347" t="s">
        <v>344</v>
      </c>
      <c r="CL977" s="1789"/>
      <c r="CR977" s="345"/>
      <c r="CS977" s="345"/>
      <c r="CX977" s="347"/>
      <c r="CY977" s="347"/>
      <c r="DH977" s="237"/>
      <c r="DI977" s="237"/>
      <c r="DN977" s="347"/>
      <c r="DO977" s="347"/>
      <c r="DP977" s="2505"/>
    </row>
    <row r="978" spans="12:120">
      <c r="L978" s="347">
        <v>25.1</v>
      </c>
      <c r="M978" s="347" t="s">
        <v>345</v>
      </c>
      <c r="AB978" s="347">
        <v>119.1</v>
      </c>
      <c r="AC978" s="347" t="s">
        <v>365</v>
      </c>
      <c r="AD978" s="1138"/>
      <c r="AP978" s="347">
        <v>9602.01</v>
      </c>
      <c r="AQ978" s="347" t="s">
        <v>338</v>
      </c>
      <c r="BF978" s="347">
        <v>102</v>
      </c>
      <c r="BG978" s="347" t="s">
        <v>313</v>
      </c>
      <c r="BH978" s="1790"/>
      <c r="BN978" s="237">
        <v>105.02</v>
      </c>
      <c r="BO978" s="237" t="s">
        <v>323</v>
      </c>
      <c r="BT978" s="347">
        <v>141.19</v>
      </c>
      <c r="BU978" s="347" t="s">
        <v>337</v>
      </c>
      <c r="CD978" s="237">
        <v>32.01</v>
      </c>
      <c r="CE978" s="237" t="s">
        <v>361</v>
      </c>
      <c r="CJ978" s="347">
        <v>102.04</v>
      </c>
      <c r="CK978" s="347" t="s">
        <v>323</v>
      </c>
      <c r="CL978" s="1789"/>
      <c r="CR978" s="345"/>
      <c r="CS978" s="345"/>
      <c r="CX978" s="347"/>
      <c r="CY978" s="347"/>
      <c r="DH978" s="237"/>
      <c r="DI978" s="237"/>
      <c r="DN978" s="347"/>
      <c r="DO978" s="347"/>
      <c r="DP978" s="2505"/>
    </row>
    <row r="979" spans="12:120">
      <c r="L979" s="347">
        <v>25.11</v>
      </c>
      <c r="M979" s="347" t="s">
        <v>345</v>
      </c>
      <c r="AB979" s="347">
        <v>119.11</v>
      </c>
      <c r="AC979" s="347" t="s">
        <v>365</v>
      </c>
      <c r="AD979" s="1138"/>
      <c r="AP979" s="347">
        <v>9603</v>
      </c>
      <c r="AQ979" s="347" t="s">
        <v>338</v>
      </c>
      <c r="BF979" s="347">
        <v>102</v>
      </c>
      <c r="BG979" s="347" t="s">
        <v>321</v>
      </c>
      <c r="BH979" s="1790"/>
      <c r="BN979" s="237">
        <v>105.03</v>
      </c>
      <c r="BO979" s="237" t="s">
        <v>323</v>
      </c>
      <c r="BT979" s="347">
        <v>141.21</v>
      </c>
      <c r="BU979" s="347" t="s">
        <v>337</v>
      </c>
      <c r="CD979" s="237">
        <v>32.020000000000003</v>
      </c>
      <c r="CE979" s="237" t="s">
        <v>361</v>
      </c>
      <c r="CJ979" s="347">
        <v>102.04</v>
      </c>
      <c r="CK979" s="347" t="s">
        <v>377</v>
      </c>
      <c r="CL979" s="1789"/>
      <c r="CR979" s="345"/>
      <c r="CS979" s="345"/>
      <c r="CX979" s="347"/>
      <c r="CY979" s="347"/>
      <c r="DH979" s="237"/>
      <c r="DI979" s="237"/>
      <c r="DN979" s="347"/>
      <c r="DO979" s="347"/>
      <c r="DP979" s="2505"/>
    </row>
    <row r="980" spans="12:120">
      <c r="L980" s="347">
        <v>25.12</v>
      </c>
      <c r="M980" s="347" t="s">
        <v>345</v>
      </c>
      <c r="AB980" s="347">
        <v>119.12</v>
      </c>
      <c r="AC980" s="347" t="s">
        <v>365</v>
      </c>
      <c r="AD980" s="1138"/>
      <c r="AP980" s="347">
        <v>9604.02</v>
      </c>
      <c r="AQ980" s="347" t="s">
        <v>338</v>
      </c>
      <c r="BF980" s="347">
        <v>102.01</v>
      </c>
      <c r="BG980" s="347" t="s">
        <v>352</v>
      </c>
      <c r="BH980" s="1790"/>
      <c r="BN980" s="237">
        <v>106.01</v>
      </c>
      <c r="BO980" s="237" t="s">
        <v>323</v>
      </c>
      <c r="BT980" s="347">
        <v>141.22</v>
      </c>
      <c r="BU980" s="347" t="s">
        <v>337</v>
      </c>
      <c r="CD980" s="237">
        <v>32.03</v>
      </c>
      <c r="CE980" s="237" t="s">
        <v>325</v>
      </c>
      <c r="CJ980" s="347">
        <v>102.05</v>
      </c>
      <c r="CK980" s="347" t="s">
        <v>318</v>
      </c>
      <c r="CL980" s="1789"/>
      <c r="CR980" s="345"/>
      <c r="CS980" s="345"/>
      <c r="CX980" s="347"/>
      <c r="CY980" s="347"/>
      <c r="DH980" s="237"/>
      <c r="DI980" s="237"/>
      <c r="DN980" s="347"/>
      <c r="DO980" s="347"/>
      <c r="DP980" s="2505"/>
    </row>
    <row r="981" spans="12:120">
      <c r="L981" s="347">
        <v>25.13</v>
      </c>
      <c r="M981" s="347" t="s">
        <v>345</v>
      </c>
      <c r="AB981" s="347">
        <v>119.13</v>
      </c>
      <c r="AC981" s="347" t="s">
        <v>365</v>
      </c>
      <c r="AD981" s="1138"/>
      <c r="AP981" s="347">
        <v>9604.0300000000007</v>
      </c>
      <c r="AQ981" s="347" t="s">
        <v>338</v>
      </c>
      <c r="BF981" s="347">
        <v>102.01</v>
      </c>
      <c r="BG981" s="347" t="s">
        <v>359</v>
      </c>
      <c r="BH981" s="1790"/>
      <c r="BN981" s="237">
        <v>106.02</v>
      </c>
      <c r="BO981" s="237" t="s">
        <v>323</v>
      </c>
      <c r="BT981" s="347">
        <v>143</v>
      </c>
      <c r="BU981" s="347" t="s">
        <v>337</v>
      </c>
      <c r="CD981" s="237">
        <v>32.04</v>
      </c>
      <c r="CE981" s="237" t="s">
        <v>325</v>
      </c>
      <c r="CJ981" s="347">
        <v>102.05</v>
      </c>
      <c r="CK981" s="347" t="s">
        <v>344</v>
      </c>
      <c r="CL981" s="1789"/>
      <c r="CR981" s="345"/>
      <c r="CS981" s="345"/>
      <c r="CX981" s="347"/>
      <c r="CY981" s="347"/>
      <c r="DH981" s="237"/>
      <c r="DI981" s="237"/>
      <c r="DN981" s="347"/>
      <c r="DO981" s="347"/>
      <c r="DP981" s="2505"/>
    </row>
    <row r="982" spans="12:120">
      <c r="L982" s="347">
        <v>26.05</v>
      </c>
      <c r="M982" s="347" t="s">
        <v>345</v>
      </c>
      <c r="AB982" s="347">
        <v>120.04</v>
      </c>
      <c r="AC982" s="347" t="s">
        <v>365</v>
      </c>
      <c r="AD982" s="1138"/>
      <c r="AP982" s="347">
        <v>501.02</v>
      </c>
      <c r="AQ982" s="347" t="s">
        <v>339</v>
      </c>
      <c r="BF982" s="347">
        <v>102.02</v>
      </c>
      <c r="BG982" s="347" t="s">
        <v>323</v>
      </c>
      <c r="BH982" s="1790"/>
      <c r="BN982" s="237">
        <v>107</v>
      </c>
      <c r="BO982" s="237" t="s">
        <v>323</v>
      </c>
      <c r="BT982" s="347">
        <v>144</v>
      </c>
      <c r="BU982" s="347" t="s">
        <v>337</v>
      </c>
      <c r="CD982" s="237">
        <v>33</v>
      </c>
      <c r="CE982" s="237" t="s">
        <v>337</v>
      </c>
      <c r="CJ982" s="347">
        <v>102.05</v>
      </c>
      <c r="CK982" s="347" t="s">
        <v>377</v>
      </c>
      <c r="CL982" s="1789"/>
      <c r="CR982" s="345"/>
      <c r="CS982" s="345"/>
      <c r="CX982" s="347"/>
      <c r="CY982" s="347"/>
      <c r="DH982" s="237"/>
      <c r="DI982" s="237"/>
      <c r="DN982" s="347"/>
      <c r="DO982" s="347"/>
      <c r="DP982" s="2505"/>
    </row>
    <row r="983" spans="12:120">
      <c r="L983" s="347">
        <v>26.06</v>
      </c>
      <c r="M983" s="347" t="s">
        <v>345</v>
      </c>
      <c r="AB983" s="347">
        <v>121</v>
      </c>
      <c r="AC983" s="347" t="s">
        <v>352</v>
      </c>
      <c r="AD983" s="1138"/>
      <c r="AP983" s="347">
        <v>502.01</v>
      </c>
      <c r="AQ983" s="347" t="s">
        <v>339</v>
      </c>
      <c r="BF983" s="347">
        <v>102.02</v>
      </c>
      <c r="BG983" s="347" t="s">
        <v>359</v>
      </c>
      <c r="BH983" s="1790"/>
      <c r="BN983" s="237">
        <v>108</v>
      </c>
      <c r="BO983" s="237" t="s">
        <v>323</v>
      </c>
      <c r="BT983" s="347">
        <v>9601</v>
      </c>
      <c r="BU983" s="347" t="s">
        <v>338</v>
      </c>
      <c r="CD983" s="237">
        <v>33</v>
      </c>
      <c r="CE983" s="237" t="s">
        <v>361</v>
      </c>
      <c r="CJ983" s="347">
        <v>102.06</v>
      </c>
      <c r="CK983" s="347" t="s">
        <v>377</v>
      </c>
      <c r="CL983" s="1789"/>
      <c r="CR983" s="345"/>
      <c r="CS983" s="345"/>
      <c r="CX983" s="347"/>
      <c r="CY983" s="347"/>
      <c r="DH983" s="237"/>
      <c r="DI983" s="237"/>
      <c r="DN983" s="347"/>
      <c r="DO983" s="347"/>
      <c r="DP983" s="2505"/>
    </row>
    <row r="984" spans="12:120">
      <c r="L984" s="347">
        <v>27.02</v>
      </c>
      <c r="M984" s="347" t="s">
        <v>345</v>
      </c>
      <c r="AB984" s="347">
        <v>121.08</v>
      </c>
      <c r="AC984" s="347" t="s">
        <v>337</v>
      </c>
      <c r="AD984" s="1138"/>
      <c r="AP984" s="347">
        <v>502.02</v>
      </c>
      <c r="AQ984" s="347" t="s">
        <v>339</v>
      </c>
      <c r="BF984" s="347">
        <v>102.04</v>
      </c>
      <c r="BG984" s="347" t="s">
        <v>377</v>
      </c>
      <c r="BH984" s="1790"/>
      <c r="BN984" s="237">
        <v>109</v>
      </c>
      <c r="BO984" s="237" t="s">
        <v>323</v>
      </c>
      <c r="BT984" s="347">
        <v>9602.01</v>
      </c>
      <c r="BU984" s="347" t="s">
        <v>338</v>
      </c>
      <c r="CD984" s="237">
        <v>33.01</v>
      </c>
      <c r="CE984" s="237" t="s">
        <v>325</v>
      </c>
      <c r="CJ984" s="347">
        <v>102.08</v>
      </c>
      <c r="CK984" s="347" t="s">
        <v>318</v>
      </c>
      <c r="CL984" s="1789"/>
      <c r="CR984" s="345"/>
      <c r="CS984" s="345"/>
      <c r="CX984" s="347"/>
      <c r="CY984" s="347"/>
      <c r="DH984" s="237"/>
      <c r="DI984" s="237"/>
      <c r="DN984" s="347"/>
      <c r="DO984" s="347"/>
      <c r="DP984" s="2505"/>
    </row>
    <row r="985" spans="12:120">
      <c r="L985" s="347">
        <v>9701.01</v>
      </c>
      <c r="M985" s="347" t="s">
        <v>346</v>
      </c>
      <c r="AB985" s="347">
        <v>121.11</v>
      </c>
      <c r="AC985" s="347" t="s">
        <v>365</v>
      </c>
      <c r="AD985" s="1138"/>
      <c r="AP985" s="347">
        <v>503.06</v>
      </c>
      <c r="AQ985" s="347" t="s">
        <v>339</v>
      </c>
      <c r="BF985" s="347">
        <v>102.05</v>
      </c>
      <c r="BG985" s="347" t="s">
        <v>318</v>
      </c>
      <c r="BH985" s="1790"/>
      <c r="BN985" s="237">
        <v>110</v>
      </c>
      <c r="BO985" s="237" t="s">
        <v>323</v>
      </c>
      <c r="BT985" s="347">
        <v>9603</v>
      </c>
      <c r="BU985" s="347" t="s">
        <v>338</v>
      </c>
      <c r="CD985" s="237">
        <v>33.049999999999997</v>
      </c>
      <c r="CE985" s="237" t="s">
        <v>325</v>
      </c>
      <c r="CJ985" s="347">
        <v>102.08</v>
      </c>
      <c r="CK985" s="347" t="s">
        <v>377</v>
      </c>
      <c r="CL985" s="1789"/>
      <c r="CR985" s="345"/>
      <c r="CS985" s="345"/>
      <c r="CX985" s="347"/>
      <c r="CY985" s="347"/>
      <c r="DH985" s="237"/>
      <c r="DI985" s="237"/>
      <c r="DN985" s="347"/>
      <c r="DO985" s="347"/>
      <c r="DP985" s="2505"/>
    </row>
    <row r="986" spans="12:120">
      <c r="L986" s="347">
        <v>9703.01</v>
      </c>
      <c r="M986" s="347" t="s">
        <v>346</v>
      </c>
      <c r="AB986" s="347">
        <v>121.13</v>
      </c>
      <c r="AC986" s="347" t="s">
        <v>365</v>
      </c>
      <c r="AD986" s="1138"/>
      <c r="AP986" s="347">
        <v>504.02</v>
      </c>
      <c r="AQ986" s="347" t="s">
        <v>339</v>
      </c>
      <c r="BF986" s="347">
        <v>102.05</v>
      </c>
      <c r="BG986" s="347" t="s">
        <v>344</v>
      </c>
      <c r="BH986" s="1790"/>
      <c r="BN986" s="237">
        <v>111</v>
      </c>
      <c r="BO986" s="237" t="s">
        <v>323</v>
      </c>
      <c r="BT986" s="347">
        <v>9604.02</v>
      </c>
      <c r="BU986" s="347" t="s">
        <v>338</v>
      </c>
      <c r="CD986" s="237">
        <v>33.07</v>
      </c>
      <c r="CE986" s="237" t="s">
        <v>325</v>
      </c>
      <c r="CJ986" s="347">
        <v>102.09</v>
      </c>
      <c r="CK986" s="347" t="s">
        <v>318</v>
      </c>
      <c r="CL986" s="1789"/>
      <c r="CR986" s="345"/>
      <c r="CS986" s="345"/>
      <c r="CX986" s="347"/>
      <c r="CY986" s="347"/>
      <c r="DH986" s="237"/>
      <c r="DI986" s="237"/>
      <c r="DN986" s="347"/>
      <c r="DO986" s="347"/>
      <c r="DP986" s="2505"/>
    </row>
    <row r="987" spans="12:120">
      <c r="L987" s="347">
        <v>9704</v>
      </c>
      <c r="M987" s="347" t="s">
        <v>346</v>
      </c>
      <c r="AB987" s="347">
        <v>121.26</v>
      </c>
      <c r="AC987" s="347" t="s">
        <v>365</v>
      </c>
      <c r="AD987" s="1138"/>
      <c r="AP987" s="347">
        <v>505.04</v>
      </c>
      <c r="AQ987" s="347" t="s">
        <v>339</v>
      </c>
      <c r="BF987" s="347">
        <v>102.05</v>
      </c>
      <c r="BG987" s="347" t="s">
        <v>377</v>
      </c>
      <c r="BH987" s="1790"/>
      <c r="BN987" s="237">
        <v>112</v>
      </c>
      <c r="BO987" s="237" t="s">
        <v>323</v>
      </c>
      <c r="BT987" s="347">
        <v>502.01</v>
      </c>
      <c r="BU987" s="347" t="s">
        <v>339</v>
      </c>
      <c r="CD987" s="237">
        <v>33.08</v>
      </c>
      <c r="CE987" s="237" t="s">
        <v>325</v>
      </c>
      <c r="CJ987" s="347">
        <v>102.09</v>
      </c>
      <c r="CK987" s="347" t="s">
        <v>377</v>
      </c>
      <c r="CL987" s="1789"/>
      <c r="CR987" s="345"/>
      <c r="CS987" s="345"/>
      <c r="CX987" s="347"/>
      <c r="CY987" s="347"/>
      <c r="DH987" s="237"/>
      <c r="DI987" s="237"/>
      <c r="DN987" s="347"/>
      <c r="DO987" s="347"/>
      <c r="DP987" s="2505"/>
    </row>
    <row r="988" spans="12:120">
      <c r="L988" s="347">
        <v>9705</v>
      </c>
      <c r="M988" s="347" t="s">
        <v>346</v>
      </c>
      <c r="AB988" s="347">
        <v>121.27</v>
      </c>
      <c r="AC988" s="347" t="s">
        <v>365</v>
      </c>
      <c r="AD988" s="1138"/>
      <c r="AP988" s="347">
        <v>505.05</v>
      </c>
      <c r="AQ988" s="347" t="s">
        <v>339</v>
      </c>
      <c r="BF988" s="347">
        <v>102.07</v>
      </c>
      <c r="BG988" s="347" t="s">
        <v>377</v>
      </c>
      <c r="BH988" s="1790"/>
      <c r="BN988" s="237">
        <v>113</v>
      </c>
      <c r="BO988" s="237" t="s">
        <v>323</v>
      </c>
      <c r="BT988" s="347">
        <v>503.06</v>
      </c>
      <c r="BU988" s="347" t="s">
        <v>339</v>
      </c>
      <c r="CD988" s="237">
        <v>33.1</v>
      </c>
      <c r="CE988" s="237" t="s">
        <v>325</v>
      </c>
      <c r="CJ988" s="347">
        <v>102.1</v>
      </c>
      <c r="CK988" s="347" t="s">
        <v>318</v>
      </c>
      <c r="CL988" s="1789"/>
      <c r="CR988" s="345"/>
      <c r="CS988" s="345"/>
      <c r="CX988" s="347"/>
      <c r="CY988" s="347"/>
      <c r="DH988" s="237"/>
      <c r="DI988" s="237"/>
      <c r="DN988" s="347"/>
      <c r="DO988" s="347"/>
      <c r="DP988" s="2505"/>
    </row>
    <row r="989" spans="12:120">
      <c r="L989" s="347">
        <v>9706</v>
      </c>
      <c r="M989" s="347" t="s">
        <v>346</v>
      </c>
      <c r="AB989" s="347">
        <v>121.28</v>
      </c>
      <c r="AC989" s="347" t="s">
        <v>365</v>
      </c>
      <c r="AD989" s="1138"/>
      <c r="AP989" s="347">
        <v>505.06</v>
      </c>
      <c r="AQ989" s="347" t="s">
        <v>339</v>
      </c>
      <c r="BF989" s="347">
        <v>102.08</v>
      </c>
      <c r="BG989" s="347" t="s">
        <v>318</v>
      </c>
      <c r="BH989" s="1790"/>
      <c r="BN989" s="237">
        <v>114</v>
      </c>
      <c r="BO989" s="237" t="s">
        <v>323</v>
      </c>
      <c r="BT989" s="347">
        <v>504.02</v>
      </c>
      <c r="BU989" s="347" t="s">
        <v>339</v>
      </c>
      <c r="CD989" s="237">
        <v>33.11</v>
      </c>
      <c r="CE989" s="237" t="s">
        <v>325</v>
      </c>
      <c r="CJ989" s="347">
        <v>102.1</v>
      </c>
      <c r="CK989" s="347" t="s">
        <v>337</v>
      </c>
      <c r="CL989" s="1789"/>
      <c r="CR989" s="345"/>
      <c r="CS989" s="345"/>
      <c r="CX989" s="347"/>
      <c r="CY989" s="347"/>
      <c r="DH989" s="237"/>
      <c r="DI989" s="237"/>
      <c r="DN989" s="347"/>
      <c r="DO989" s="347"/>
      <c r="DP989" s="2505"/>
    </row>
    <row r="990" spans="12:120">
      <c r="L990" s="347">
        <v>9501</v>
      </c>
      <c r="M990" s="347" t="s">
        <v>347</v>
      </c>
      <c r="AB990" s="347">
        <v>121.29</v>
      </c>
      <c r="AC990" s="347" t="s">
        <v>365</v>
      </c>
      <c r="AD990" s="1138"/>
      <c r="AP990" s="347">
        <v>505.07</v>
      </c>
      <c r="AQ990" s="347" t="s">
        <v>339</v>
      </c>
      <c r="BF990" s="347">
        <v>102.08</v>
      </c>
      <c r="BG990" s="347" t="s">
        <v>377</v>
      </c>
      <c r="BH990" s="1790"/>
      <c r="BN990" s="237">
        <v>115</v>
      </c>
      <c r="BO990" s="237" t="s">
        <v>323</v>
      </c>
      <c r="BT990" s="347">
        <v>505.04</v>
      </c>
      <c r="BU990" s="347" t="s">
        <v>339</v>
      </c>
      <c r="CD990" s="237">
        <v>33.119999999999997</v>
      </c>
      <c r="CE990" s="237" t="s">
        <v>325</v>
      </c>
      <c r="CJ990" s="347">
        <v>102.11</v>
      </c>
      <c r="CK990" s="347" t="s">
        <v>318</v>
      </c>
      <c r="CL990" s="1789"/>
      <c r="CR990" s="345"/>
      <c r="CS990" s="345"/>
      <c r="CX990" s="347"/>
      <c r="CY990" s="347"/>
      <c r="DH990" s="237"/>
      <c r="DI990" s="237"/>
      <c r="DN990" s="347"/>
      <c r="DO990" s="347"/>
      <c r="DP990" s="2505"/>
    </row>
    <row r="991" spans="12:120">
      <c r="L991" s="347">
        <v>1101</v>
      </c>
      <c r="M991" s="347" t="s">
        <v>348</v>
      </c>
      <c r="AB991" s="347">
        <v>122</v>
      </c>
      <c r="AC991" s="347" t="s">
        <v>352</v>
      </c>
      <c r="AD991" s="1138"/>
      <c r="AP991" s="347">
        <v>505.08</v>
      </c>
      <c r="AQ991" s="347" t="s">
        <v>339</v>
      </c>
      <c r="BF991" s="347">
        <v>102.09</v>
      </c>
      <c r="BG991" s="347" t="s">
        <v>318</v>
      </c>
      <c r="BH991" s="1790"/>
      <c r="BN991" s="237">
        <v>116</v>
      </c>
      <c r="BO991" s="237" t="s">
        <v>323</v>
      </c>
      <c r="BT991" s="347">
        <v>505.05</v>
      </c>
      <c r="BU991" s="347" t="s">
        <v>339</v>
      </c>
      <c r="CD991" s="237">
        <v>33.130000000000003</v>
      </c>
      <c r="CE991" s="237" t="s">
        <v>325</v>
      </c>
      <c r="CJ991" s="347">
        <v>102.11</v>
      </c>
      <c r="CK991" s="347" t="s">
        <v>337</v>
      </c>
      <c r="CL991" s="1789"/>
      <c r="CR991" s="345"/>
      <c r="CS991" s="345"/>
      <c r="CX991" s="347"/>
      <c r="CY991" s="347"/>
      <c r="DH991" s="237"/>
      <c r="DI991" s="237"/>
      <c r="DN991" s="347"/>
      <c r="DO991" s="347"/>
      <c r="DP991" s="2505"/>
    </row>
    <row r="992" spans="12:120">
      <c r="L992" s="347">
        <v>1103.01</v>
      </c>
      <c r="M992" s="347" t="s">
        <v>348</v>
      </c>
      <c r="AB992" s="347">
        <v>122.04</v>
      </c>
      <c r="AC992" s="347" t="s">
        <v>365</v>
      </c>
      <c r="AD992" s="1138"/>
      <c r="AP992" s="347">
        <v>505.09</v>
      </c>
      <c r="AQ992" s="347" t="s">
        <v>339</v>
      </c>
      <c r="BF992" s="347">
        <v>102.09</v>
      </c>
      <c r="BG992" s="347" t="s">
        <v>377</v>
      </c>
      <c r="BH992" s="1790"/>
      <c r="BN992" s="237">
        <v>117</v>
      </c>
      <c r="BO992" s="237" t="s">
        <v>323</v>
      </c>
      <c r="BT992" s="347">
        <v>505.06</v>
      </c>
      <c r="BU992" s="347" t="s">
        <v>339</v>
      </c>
      <c r="CD992" s="237">
        <v>34</v>
      </c>
      <c r="CE992" s="237" t="s">
        <v>325</v>
      </c>
      <c r="CJ992" s="347">
        <v>102.12</v>
      </c>
      <c r="CK992" s="347" t="s">
        <v>337</v>
      </c>
      <c r="CL992" s="1789"/>
      <c r="CR992" s="345"/>
      <c r="CS992" s="345"/>
      <c r="CX992" s="347"/>
      <c r="CY992" s="347"/>
      <c r="DH992" s="237"/>
      <c r="DI992" s="237"/>
      <c r="DN992" s="347"/>
      <c r="DO992" s="347"/>
      <c r="DP992" s="2505"/>
    </row>
    <row r="993" spans="12:120">
      <c r="L993" s="347">
        <v>1104</v>
      </c>
      <c r="M993" s="347" t="s">
        <v>348</v>
      </c>
      <c r="AB993" s="347">
        <v>122.05</v>
      </c>
      <c r="AC993" s="347" t="s">
        <v>365</v>
      </c>
      <c r="AD993" s="1138"/>
      <c r="AP993" s="347">
        <v>506.02</v>
      </c>
      <c r="AQ993" s="347" t="s">
        <v>339</v>
      </c>
      <c r="BF993" s="347">
        <v>102.1</v>
      </c>
      <c r="BG993" s="347" t="s">
        <v>318</v>
      </c>
      <c r="BH993" s="1790"/>
      <c r="BN993" s="237">
        <v>118</v>
      </c>
      <c r="BO993" s="237" t="s">
        <v>323</v>
      </c>
      <c r="BT993" s="347">
        <v>505.07</v>
      </c>
      <c r="BU993" s="347" t="s">
        <v>339</v>
      </c>
      <c r="CD993" s="237">
        <v>34</v>
      </c>
      <c r="CE993" s="237" t="s">
        <v>337</v>
      </c>
      <c r="CJ993" s="347">
        <v>102.12</v>
      </c>
      <c r="CK993" s="347" t="s">
        <v>352</v>
      </c>
      <c r="CL993" s="1789"/>
      <c r="CR993" s="345"/>
      <c r="CS993" s="345"/>
      <c r="CX993" s="347"/>
      <c r="CY993" s="347"/>
      <c r="DH993" s="237"/>
      <c r="DI993" s="237"/>
      <c r="DN993" s="347"/>
      <c r="DO993" s="347"/>
      <c r="DP993" s="2505"/>
    </row>
    <row r="994" spans="12:120">
      <c r="L994" s="347">
        <v>1.01</v>
      </c>
      <c r="M994" s="347" t="s">
        <v>349</v>
      </c>
      <c r="AB994" s="347">
        <v>122.06</v>
      </c>
      <c r="AC994" s="347" t="s">
        <v>337</v>
      </c>
      <c r="AD994" s="1138"/>
      <c r="AP994" s="347">
        <v>506.03</v>
      </c>
      <c r="AQ994" s="347" t="s">
        <v>339</v>
      </c>
      <c r="BF994" s="347">
        <v>102.1</v>
      </c>
      <c r="BG994" s="347" t="s">
        <v>337</v>
      </c>
      <c r="BH994" s="1790"/>
      <c r="BN994" s="237">
        <v>119.01</v>
      </c>
      <c r="BO994" s="237" t="s">
        <v>323</v>
      </c>
      <c r="BT994" s="347">
        <v>505.08</v>
      </c>
      <c r="BU994" s="347" t="s">
        <v>339</v>
      </c>
      <c r="CD994" s="237">
        <v>34</v>
      </c>
      <c r="CE994" s="237" t="s">
        <v>352</v>
      </c>
      <c r="CJ994" s="347">
        <v>102.13</v>
      </c>
      <c r="CK994" s="347" t="s">
        <v>318</v>
      </c>
      <c r="CL994" s="1789"/>
      <c r="CR994" s="345"/>
      <c r="CS994" s="345"/>
      <c r="CX994" s="347"/>
      <c r="CY994" s="347"/>
      <c r="DH994" s="237"/>
      <c r="DI994" s="237"/>
      <c r="DN994" s="347"/>
      <c r="DO994" s="347"/>
      <c r="DP994" s="2505"/>
    </row>
    <row r="995" spans="12:120">
      <c r="L995" s="347">
        <v>4.03</v>
      </c>
      <c r="M995" s="347" t="s">
        <v>349</v>
      </c>
      <c r="AB995" s="347">
        <v>122.06</v>
      </c>
      <c r="AC995" s="347" t="s">
        <v>365</v>
      </c>
      <c r="AD995" s="1138"/>
      <c r="AP995" s="347">
        <v>506.04</v>
      </c>
      <c r="AQ995" s="347" t="s">
        <v>339</v>
      </c>
      <c r="BF995" s="347">
        <v>102.1</v>
      </c>
      <c r="BG995" s="347" t="s">
        <v>344</v>
      </c>
      <c r="BH995" s="1790"/>
      <c r="BN995" s="237">
        <v>119.03</v>
      </c>
      <c r="BO995" s="237" t="s">
        <v>323</v>
      </c>
      <c r="BT995" s="347">
        <v>505.09</v>
      </c>
      <c r="BU995" s="347" t="s">
        <v>339</v>
      </c>
      <c r="CD995" s="237">
        <v>34</v>
      </c>
      <c r="CE995" s="237" t="s">
        <v>361</v>
      </c>
      <c r="CJ995" s="347">
        <v>102.15</v>
      </c>
      <c r="CK995" s="347" t="s">
        <v>318</v>
      </c>
      <c r="CL995" s="1789"/>
      <c r="CR995" s="345"/>
      <c r="CS995" s="345"/>
      <c r="CX995" s="347"/>
      <c r="CY995" s="347"/>
      <c r="DH995" s="237"/>
      <c r="DI995" s="237"/>
      <c r="DN995" s="347"/>
      <c r="DO995" s="347"/>
      <c r="DP995" s="2505"/>
    </row>
    <row r="996" spans="12:120">
      <c r="L996" s="347">
        <v>4.05</v>
      </c>
      <c r="M996" s="347" t="s">
        <v>349</v>
      </c>
      <c r="AB996" s="347">
        <v>122.07</v>
      </c>
      <c r="AC996" s="347" t="s">
        <v>337</v>
      </c>
      <c r="AD996" s="1138"/>
      <c r="AP996" s="347">
        <v>506.05</v>
      </c>
      <c r="AQ996" s="347" t="s">
        <v>339</v>
      </c>
      <c r="BF996" s="347">
        <v>102.11</v>
      </c>
      <c r="BG996" s="347" t="s">
        <v>318</v>
      </c>
      <c r="BH996" s="1790"/>
      <c r="BN996" s="237">
        <v>119.04</v>
      </c>
      <c r="BO996" s="237" t="s">
        <v>323</v>
      </c>
      <c r="BT996" s="347">
        <v>506.01</v>
      </c>
      <c r="BU996" s="347" t="s">
        <v>339</v>
      </c>
      <c r="CD996" s="237">
        <v>35</v>
      </c>
      <c r="CE996" s="237" t="s">
        <v>337</v>
      </c>
      <c r="CJ996" s="347">
        <v>102.15</v>
      </c>
      <c r="CK996" s="347" t="s">
        <v>337</v>
      </c>
      <c r="CL996" s="1789"/>
      <c r="CR996" s="345"/>
      <c r="CS996" s="345"/>
      <c r="CX996" s="347"/>
      <c r="CY996" s="347"/>
      <c r="DH996" s="237"/>
      <c r="DI996" s="237"/>
      <c r="DN996" s="347"/>
      <c r="DO996" s="347"/>
      <c r="DP996" s="2505"/>
    </row>
    <row r="997" spans="12:120">
      <c r="L997" s="347">
        <v>4.07</v>
      </c>
      <c r="M997" s="347" t="s">
        <v>349</v>
      </c>
      <c r="AB997" s="347">
        <v>122.08</v>
      </c>
      <c r="AC997" s="347" t="s">
        <v>337</v>
      </c>
      <c r="AD997" s="1138"/>
      <c r="AP997" s="347">
        <v>506.08</v>
      </c>
      <c r="AQ997" s="347" t="s">
        <v>339</v>
      </c>
      <c r="BF997" s="347">
        <v>102.11</v>
      </c>
      <c r="BG997" s="347" t="s">
        <v>337</v>
      </c>
      <c r="BH997" s="1790"/>
      <c r="BN997" s="237">
        <v>119.05</v>
      </c>
      <c r="BO997" s="237" t="s">
        <v>323</v>
      </c>
      <c r="BT997" s="347">
        <v>506.02</v>
      </c>
      <c r="BU997" s="347" t="s">
        <v>339</v>
      </c>
      <c r="CD997" s="237">
        <v>35.049999999999997</v>
      </c>
      <c r="CE997" s="237" t="s">
        <v>325</v>
      </c>
      <c r="CJ997" s="347">
        <v>102.16</v>
      </c>
      <c r="CK997" s="347" t="s">
        <v>318</v>
      </c>
      <c r="CL997" s="1789"/>
      <c r="CR997" s="345"/>
      <c r="CS997" s="345"/>
      <c r="CX997" s="347"/>
      <c r="CY997" s="347"/>
      <c r="DH997" s="237"/>
      <c r="DI997" s="237"/>
      <c r="DN997" s="347"/>
      <c r="DO997" s="347"/>
      <c r="DP997" s="2505"/>
    </row>
    <row r="998" spans="12:120">
      <c r="L998" s="347">
        <v>5.01</v>
      </c>
      <c r="M998" s="347" t="s">
        <v>349</v>
      </c>
      <c r="AB998" s="347">
        <v>122.09</v>
      </c>
      <c r="AC998" s="347" t="s">
        <v>337</v>
      </c>
      <c r="AD998" s="1138"/>
      <c r="AP998" s="347">
        <v>507.02</v>
      </c>
      <c r="AQ998" s="347" t="s">
        <v>339</v>
      </c>
      <c r="BF998" s="347">
        <v>102.12</v>
      </c>
      <c r="BG998" s="347" t="s">
        <v>337</v>
      </c>
      <c r="BH998" s="1790"/>
      <c r="BN998" s="237">
        <v>120</v>
      </c>
      <c r="BO998" s="237" t="s">
        <v>323</v>
      </c>
      <c r="BT998" s="347">
        <v>506.05</v>
      </c>
      <c r="BU998" s="347" t="s">
        <v>339</v>
      </c>
      <c r="CD998" s="237">
        <v>35.06</v>
      </c>
      <c r="CE998" s="237" t="s">
        <v>325</v>
      </c>
      <c r="CJ998" s="347">
        <v>102.16</v>
      </c>
      <c r="CK998" s="347" t="s">
        <v>337</v>
      </c>
      <c r="CL998" s="1789"/>
      <c r="CR998" s="345"/>
      <c r="CS998" s="345"/>
      <c r="CX998" s="347"/>
      <c r="CY998" s="347"/>
      <c r="DH998" s="237"/>
      <c r="DI998" s="237"/>
      <c r="DN998" s="347"/>
      <c r="DO998" s="347"/>
      <c r="DP998" s="2505"/>
    </row>
    <row r="999" spans="12:120">
      <c r="L999" s="347">
        <v>5.03</v>
      </c>
      <c r="M999" s="347" t="s">
        <v>349</v>
      </c>
      <c r="AB999" s="347">
        <v>122.12</v>
      </c>
      <c r="AC999" s="347" t="s">
        <v>337</v>
      </c>
      <c r="AD999" s="1138"/>
      <c r="AP999" s="347">
        <v>507.04</v>
      </c>
      <c r="AQ999" s="347" t="s">
        <v>339</v>
      </c>
      <c r="BF999" s="347">
        <v>102.12</v>
      </c>
      <c r="BG999" s="347" t="s">
        <v>352</v>
      </c>
      <c r="BH999" s="1790"/>
      <c r="BN999" s="237">
        <v>121</v>
      </c>
      <c r="BO999" s="237" t="s">
        <v>323</v>
      </c>
      <c r="BT999" s="347">
        <v>506.08</v>
      </c>
      <c r="BU999" s="347" t="s">
        <v>339</v>
      </c>
      <c r="CD999" s="237">
        <v>35.07</v>
      </c>
      <c r="CE999" s="237" t="s">
        <v>325</v>
      </c>
      <c r="CJ999" s="347">
        <v>102.17</v>
      </c>
      <c r="CK999" s="347" t="s">
        <v>337</v>
      </c>
      <c r="CL999" s="1789"/>
      <c r="CR999" s="345"/>
      <c r="CS999" s="345"/>
      <c r="CX999" s="347"/>
      <c r="CY999" s="347"/>
      <c r="DH999" s="237"/>
      <c r="DI999" s="237"/>
      <c r="DN999" s="347"/>
      <c r="DO999" s="347"/>
      <c r="DP999" s="2505"/>
    </row>
    <row r="1000" spans="12:120">
      <c r="L1000" s="347">
        <v>8.0399999999999991</v>
      </c>
      <c r="M1000" s="347" t="s">
        <v>349</v>
      </c>
      <c r="AB1000" s="347">
        <v>122.13</v>
      </c>
      <c r="AC1000" s="347" t="s">
        <v>337</v>
      </c>
      <c r="AD1000" s="1138"/>
      <c r="AP1000" s="347">
        <v>507.06</v>
      </c>
      <c r="AQ1000" s="347" t="s">
        <v>339</v>
      </c>
      <c r="BF1000" s="347">
        <v>102.13</v>
      </c>
      <c r="BG1000" s="347" t="s">
        <v>318</v>
      </c>
      <c r="BH1000" s="1790"/>
      <c r="BN1000" s="237">
        <v>122.01</v>
      </c>
      <c r="BO1000" s="237" t="s">
        <v>323</v>
      </c>
      <c r="BT1000" s="347">
        <v>507.02</v>
      </c>
      <c r="BU1000" s="347" t="s">
        <v>339</v>
      </c>
      <c r="CD1000" s="237">
        <v>35.07</v>
      </c>
      <c r="CE1000" s="237" t="s">
        <v>361</v>
      </c>
      <c r="CJ1000" s="347">
        <v>102.18</v>
      </c>
      <c r="CK1000" s="347" t="s">
        <v>337</v>
      </c>
      <c r="CL1000" s="1789"/>
      <c r="CR1000" s="345"/>
      <c r="CS1000" s="345"/>
      <c r="CX1000" s="347"/>
      <c r="CY1000" s="347"/>
      <c r="DH1000" s="237"/>
      <c r="DI1000" s="237"/>
      <c r="DN1000" s="347"/>
      <c r="DO1000" s="347"/>
      <c r="DP1000" s="2505"/>
    </row>
    <row r="1001" spans="12:120">
      <c r="L1001" s="347">
        <v>8.0500000000000007</v>
      </c>
      <c r="M1001" s="347" t="s">
        <v>349</v>
      </c>
      <c r="AB1001" s="347">
        <v>123</v>
      </c>
      <c r="AC1001" s="347" t="s">
        <v>352</v>
      </c>
      <c r="AD1001" s="1138"/>
      <c r="AP1001" s="347">
        <v>507.07</v>
      </c>
      <c r="AQ1001" s="347" t="s">
        <v>339</v>
      </c>
      <c r="BF1001" s="347">
        <v>102.15</v>
      </c>
      <c r="BG1001" s="347" t="s">
        <v>318</v>
      </c>
      <c r="BH1001" s="1790"/>
      <c r="BN1001" s="237">
        <v>122.02</v>
      </c>
      <c r="BO1001" s="237" t="s">
        <v>323</v>
      </c>
      <c r="BT1001" s="347">
        <v>507.04</v>
      </c>
      <c r="BU1001" s="347" t="s">
        <v>339</v>
      </c>
      <c r="CD1001" s="237">
        <v>35.090000000000003</v>
      </c>
      <c r="CE1001" s="237" t="s">
        <v>325</v>
      </c>
      <c r="CJ1001" s="347">
        <v>103</v>
      </c>
      <c r="CK1001" s="347" t="s">
        <v>318</v>
      </c>
      <c r="CL1001" s="1789"/>
      <c r="CR1001" s="345"/>
      <c r="CS1001" s="345"/>
      <c r="CX1001" s="347"/>
      <c r="CY1001" s="347"/>
      <c r="DH1001" s="237"/>
      <c r="DI1001" s="237"/>
      <c r="DN1001" s="347"/>
      <c r="DO1001" s="347"/>
      <c r="DP1001" s="2505"/>
    </row>
    <row r="1002" spans="12:120">
      <c r="L1002" s="347">
        <v>8.07</v>
      </c>
      <c r="M1002" s="347" t="s">
        <v>349</v>
      </c>
      <c r="AB1002" s="347">
        <v>123.03</v>
      </c>
      <c r="AC1002" s="347" t="s">
        <v>359</v>
      </c>
      <c r="AD1002" s="1138"/>
      <c r="AP1002" s="347">
        <v>507.08</v>
      </c>
      <c r="AQ1002" s="347" t="s">
        <v>339</v>
      </c>
      <c r="BF1002" s="347">
        <v>102.15</v>
      </c>
      <c r="BG1002" s="347" t="s">
        <v>337</v>
      </c>
      <c r="BH1002" s="1790"/>
      <c r="BN1002" s="237">
        <v>123</v>
      </c>
      <c r="BO1002" s="237" t="s">
        <v>323</v>
      </c>
      <c r="BT1002" s="347">
        <v>507.06</v>
      </c>
      <c r="BU1002" s="347" t="s">
        <v>339</v>
      </c>
      <c r="CD1002" s="237">
        <v>35.1</v>
      </c>
      <c r="CE1002" s="237" t="s">
        <v>325</v>
      </c>
      <c r="CJ1002" s="347">
        <v>103</v>
      </c>
      <c r="CK1002" s="347" t="s">
        <v>359</v>
      </c>
      <c r="CL1002" s="1789"/>
      <c r="CR1002" s="345"/>
      <c r="CS1002" s="345"/>
      <c r="CX1002" s="347"/>
      <c r="CY1002" s="347"/>
      <c r="DH1002" s="237"/>
      <c r="DI1002" s="237"/>
      <c r="DN1002" s="347"/>
      <c r="DO1002" s="347"/>
      <c r="DP1002" s="2505"/>
    </row>
    <row r="1003" spans="12:120">
      <c r="L1003" s="347">
        <v>8.08</v>
      </c>
      <c r="M1003" s="347" t="s">
        <v>349</v>
      </c>
      <c r="AB1003" s="347">
        <v>123.03</v>
      </c>
      <c r="AC1003" s="347" t="s">
        <v>365</v>
      </c>
      <c r="AD1003" s="1138"/>
      <c r="AP1003" s="347">
        <v>508.1</v>
      </c>
      <c r="AQ1003" s="347" t="s">
        <v>339</v>
      </c>
      <c r="BF1003" s="347">
        <v>102.16</v>
      </c>
      <c r="BG1003" s="347" t="s">
        <v>318</v>
      </c>
      <c r="BH1003" s="1790"/>
      <c r="BN1003" s="237">
        <v>124</v>
      </c>
      <c r="BO1003" s="237" t="s">
        <v>323</v>
      </c>
      <c r="BT1003" s="347">
        <v>507.07</v>
      </c>
      <c r="BU1003" s="347" t="s">
        <v>339</v>
      </c>
      <c r="CD1003" s="237">
        <v>35.11</v>
      </c>
      <c r="CE1003" s="237" t="s">
        <v>325</v>
      </c>
      <c r="CJ1003" s="347">
        <v>103.01</v>
      </c>
      <c r="CK1003" s="347" t="s">
        <v>313</v>
      </c>
      <c r="CL1003" s="1789"/>
      <c r="CR1003" s="345"/>
      <c r="CS1003" s="345"/>
      <c r="CX1003" s="347"/>
      <c r="CY1003" s="347"/>
      <c r="DH1003" s="237"/>
      <c r="DI1003" s="237"/>
      <c r="DN1003" s="347"/>
      <c r="DO1003" s="347"/>
      <c r="DP1003" s="2505"/>
    </row>
    <row r="1004" spans="12:120">
      <c r="L1004" s="347">
        <v>8.09</v>
      </c>
      <c r="M1004" s="347" t="s">
        <v>349</v>
      </c>
      <c r="AB1004" s="347">
        <v>123.04</v>
      </c>
      <c r="AC1004" s="347" t="s">
        <v>365</v>
      </c>
      <c r="AD1004" s="1138"/>
      <c r="AP1004" s="347">
        <v>508.11</v>
      </c>
      <c r="AQ1004" s="347" t="s">
        <v>339</v>
      </c>
      <c r="BF1004" s="347">
        <v>102.16</v>
      </c>
      <c r="BG1004" s="347" t="s">
        <v>337</v>
      </c>
      <c r="BH1004" s="1790"/>
      <c r="BN1004" s="237">
        <v>125</v>
      </c>
      <c r="BO1004" s="237" t="s">
        <v>323</v>
      </c>
      <c r="BT1004" s="347">
        <v>507.08</v>
      </c>
      <c r="BU1004" s="347" t="s">
        <v>339</v>
      </c>
      <c r="CD1004" s="237">
        <v>35.119999999999997</v>
      </c>
      <c r="CE1004" s="237" t="s">
        <v>325</v>
      </c>
      <c r="CJ1004" s="347">
        <v>103.01</v>
      </c>
      <c r="CK1004" s="347" t="s">
        <v>315</v>
      </c>
      <c r="CL1004" s="1789"/>
      <c r="CR1004" s="345"/>
      <c r="CS1004" s="345"/>
      <c r="CX1004" s="347"/>
      <c r="CY1004" s="347"/>
      <c r="DH1004" s="237"/>
      <c r="DI1004" s="237"/>
      <c r="DN1004" s="347"/>
      <c r="DO1004" s="347"/>
      <c r="DP1004" s="2505"/>
    </row>
    <row r="1005" spans="12:120">
      <c r="L1005" s="347">
        <v>8.1</v>
      </c>
      <c r="M1005" s="347" t="s">
        <v>349</v>
      </c>
      <c r="AB1005" s="347">
        <v>123.06</v>
      </c>
      <c r="AC1005" s="347" t="s">
        <v>365</v>
      </c>
      <c r="AD1005" s="1138"/>
      <c r="AP1005" s="347">
        <v>509.03</v>
      </c>
      <c r="AQ1005" s="347" t="s">
        <v>339</v>
      </c>
      <c r="BF1005" s="347">
        <v>102.17</v>
      </c>
      <c r="BG1005" s="347" t="s">
        <v>318</v>
      </c>
      <c r="BH1005" s="1790"/>
      <c r="BN1005" s="237">
        <v>126.01</v>
      </c>
      <c r="BO1005" s="237" t="s">
        <v>323</v>
      </c>
      <c r="BT1005" s="347">
        <v>507.09</v>
      </c>
      <c r="BU1005" s="347" t="s">
        <v>339</v>
      </c>
      <c r="CD1005" s="237">
        <v>35.119999999999997</v>
      </c>
      <c r="CE1005" s="237" t="s">
        <v>361</v>
      </c>
      <c r="CJ1005" s="347">
        <v>103.01</v>
      </c>
      <c r="CK1005" s="347" t="s">
        <v>323</v>
      </c>
      <c r="CL1005" s="1789"/>
      <c r="CR1005" s="345"/>
      <c r="CS1005" s="345"/>
      <c r="CX1005" s="347"/>
      <c r="CY1005" s="347"/>
      <c r="DH1005" s="237"/>
      <c r="DI1005" s="237"/>
      <c r="DN1005" s="347"/>
      <c r="DO1005" s="347"/>
      <c r="DP1005" s="2505"/>
    </row>
    <row r="1006" spans="12:120">
      <c r="L1006" s="347">
        <v>9.01</v>
      </c>
      <c r="M1006" s="347" t="s">
        <v>349</v>
      </c>
      <c r="AB1006" s="347">
        <v>123.09</v>
      </c>
      <c r="AC1006" s="347" t="s">
        <v>365</v>
      </c>
      <c r="AD1006" s="1138"/>
      <c r="AP1006" s="347">
        <v>509.05</v>
      </c>
      <c r="AQ1006" s="347" t="s">
        <v>339</v>
      </c>
      <c r="BF1006" s="347">
        <v>102.17</v>
      </c>
      <c r="BG1006" s="347" t="s">
        <v>337</v>
      </c>
      <c r="BH1006" s="1790"/>
      <c r="BN1006" s="237">
        <v>126.02</v>
      </c>
      <c r="BO1006" s="237" t="s">
        <v>323</v>
      </c>
      <c r="BT1006" s="347">
        <v>508.07</v>
      </c>
      <c r="BU1006" s="347" t="s">
        <v>339</v>
      </c>
      <c r="CD1006" s="237">
        <v>35.130000000000003</v>
      </c>
      <c r="CE1006" s="237" t="s">
        <v>361</v>
      </c>
      <c r="CJ1006" s="347">
        <v>103.01</v>
      </c>
      <c r="CK1006" s="347" t="s">
        <v>352</v>
      </c>
      <c r="CL1006" s="1789"/>
      <c r="CR1006" s="345"/>
      <c r="CS1006" s="345"/>
      <c r="CX1006" s="347"/>
      <c r="CY1006" s="347"/>
      <c r="DH1006" s="237"/>
      <c r="DI1006" s="237"/>
      <c r="DN1006" s="347"/>
      <c r="DO1006" s="347"/>
      <c r="DP1006" s="2505"/>
    </row>
    <row r="1007" spans="12:120">
      <c r="L1007" s="347">
        <v>9.02</v>
      </c>
      <c r="M1007" s="347" t="s">
        <v>349</v>
      </c>
      <c r="AB1007" s="347">
        <v>124</v>
      </c>
      <c r="AC1007" s="347" t="s">
        <v>352</v>
      </c>
      <c r="AD1007" s="1138"/>
      <c r="AP1007" s="347">
        <v>2101</v>
      </c>
      <c r="AQ1007" s="347" t="s">
        <v>340</v>
      </c>
      <c r="BF1007" s="347">
        <v>102.18</v>
      </c>
      <c r="BG1007" s="347" t="s">
        <v>337</v>
      </c>
      <c r="BH1007" s="1790"/>
      <c r="BN1007" s="237">
        <v>127.02</v>
      </c>
      <c r="BO1007" s="237" t="s">
        <v>323</v>
      </c>
      <c r="BT1007" s="347">
        <v>508.09</v>
      </c>
      <c r="BU1007" s="347" t="s">
        <v>339</v>
      </c>
      <c r="CD1007" s="237">
        <v>35.14</v>
      </c>
      <c r="CE1007" s="237" t="s">
        <v>361</v>
      </c>
      <c r="CJ1007" s="347">
        <v>103.02</v>
      </c>
      <c r="CK1007" s="347" t="s">
        <v>321</v>
      </c>
      <c r="CL1007" s="1789"/>
      <c r="CR1007" s="345"/>
      <c r="CS1007" s="345"/>
      <c r="CX1007" s="347"/>
      <c r="CY1007" s="347"/>
      <c r="DH1007" s="237"/>
      <c r="DI1007" s="237"/>
      <c r="DN1007" s="347"/>
      <c r="DO1007" s="347"/>
      <c r="DP1007" s="2505"/>
    </row>
    <row r="1008" spans="12:120">
      <c r="L1008" s="347">
        <v>11.04</v>
      </c>
      <c r="M1008" s="347" t="s">
        <v>349</v>
      </c>
      <c r="AB1008" s="347">
        <v>124.03</v>
      </c>
      <c r="AC1008" s="347" t="s">
        <v>365</v>
      </c>
      <c r="AD1008" s="1138"/>
      <c r="AP1008" s="347">
        <v>2103.0100000000002</v>
      </c>
      <c r="AQ1008" s="347" t="s">
        <v>340</v>
      </c>
      <c r="BF1008" s="347">
        <v>103</v>
      </c>
      <c r="BG1008" s="347" t="s">
        <v>359</v>
      </c>
      <c r="BH1008" s="1790"/>
      <c r="BN1008" s="237">
        <v>127.03</v>
      </c>
      <c r="BO1008" s="237" t="s">
        <v>323</v>
      </c>
      <c r="BT1008" s="347">
        <v>508.11</v>
      </c>
      <c r="BU1008" s="347" t="s">
        <v>339</v>
      </c>
      <c r="CD1008" s="237">
        <v>36</v>
      </c>
      <c r="CE1008" s="237" t="s">
        <v>337</v>
      </c>
      <c r="CJ1008" s="347">
        <v>103.02</v>
      </c>
      <c r="CK1008" s="347" t="s">
        <v>352</v>
      </c>
      <c r="CL1008" s="1789"/>
      <c r="CR1008" s="345"/>
      <c r="CS1008" s="345"/>
      <c r="CX1008" s="347"/>
      <c r="CY1008" s="347"/>
      <c r="DH1008" s="237"/>
      <c r="DI1008" s="237"/>
      <c r="DN1008" s="347"/>
      <c r="DO1008" s="347"/>
      <c r="DP1008" s="2505"/>
    </row>
    <row r="1009" spans="12:120">
      <c r="L1009" s="347">
        <v>11.05</v>
      </c>
      <c r="M1009" s="347" t="s">
        <v>349</v>
      </c>
      <c r="AB1009" s="347">
        <v>124.04</v>
      </c>
      <c r="AC1009" s="347" t="s">
        <v>365</v>
      </c>
      <c r="AD1009" s="1138"/>
      <c r="AP1009" s="347">
        <v>2104</v>
      </c>
      <c r="AQ1009" s="347" t="s">
        <v>340</v>
      </c>
      <c r="BF1009" s="347">
        <v>103.01</v>
      </c>
      <c r="BG1009" s="347" t="s">
        <v>313</v>
      </c>
      <c r="BH1009" s="1790"/>
      <c r="BN1009" s="237">
        <v>127.04</v>
      </c>
      <c r="BO1009" s="237" t="s">
        <v>323</v>
      </c>
      <c r="BT1009" s="347">
        <v>508.12</v>
      </c>
      <c r="BU1009" s="347" t="s">
        <v>339</v>
      </c>
      <c r="CD1009" s="237">
        <v>36</v>
      </c>
      <c r="CE1009" s="237" t="s">
        <v>361</v>
      </c>
      <c r="CJ1009" s="347">
        <v>103.02</v>
      </c>
      <c r="CK1009" s="347" t="s">
        <v>367</v>
      </c>
      <c r="CL1009" s="1789"/>
      <c r="CR1009" s="345"/>
      <c r="CS1009" s="345"/>
      <c r="CX1009" s="347"/>
      <c r="CY1009" s="347"/>
      <c r="DH1009" s="237"/>
      <c r="DI1009" s="237"/>
      <c r="DN1009" s="347"/>
      <c r="DO1009" s="347"/>
      <c r="DP1009" s="2505"/>
    </row>
    <row r="1010" spans="12:120">
      <c r="L1010" s="347">
        <v>11.08</v>
      </c>
      <c r="M1010" s="347" t="s">
        <v>349</v>
      </c>
      <c r="AB1010" s="347">
        <v>124.05</v>
      </c>
      <c r="AC1010" s="347" t="s">
        <v>365</v>
      </c>
      <c r="AD1010" s="1138"/>
      <c r="AP1010" s="347">
        <v>2105</v>
      </c>
      <c r="AQ1010" s="347" t="s">
        <v>340</v>
      </c>
      <c r="BF1010" s="347">
        <v>103.01</v>
      </c>
      <c r="BG1010" s="347" t="s">
        <v>315</v>
      </c>
      <c r="BH1010" s="1790"/>
      <c r="BN1010" s="237">
        <v>128</v>
      </c>
      <c r="BO1010" s="237" t="s">
        <v>323</v>
      </c>
      <c r="BT1010" s="347">
        <v>509.03</v>
      </c>
      <c r="BU1010" s="347" t="s">
        <v>339</v>
      </c>
      <c r="CD1010" s="237">
        <v>36.03</v>
      </c>
      <c r="CE1010" s="237" t="s">
        <v>325</v>
      </c>
      <c r="CJ1010" s="347">
        <v>103.03</v>
      </c>
      <c r="CK1010" s="347" t="s">
        <v>352</v>
      </c>
      <c r="CL1010" s="1789"/>
      <c r="CR1010" s="345"/>
      <c r="CS1010" s="345"/>
      <c r="CX1010" s="347"/>
      <c r="CY1010" s="347"/>
      <c r="DH1010" s="237"/>
      <c r="DI1010" s="237"/>
      <c r="DN1010" s="347"/>
      <c r="DO1010" s="347"/>
      <c r="DP1010" s="2505"/>
    </row>
    <row r="1011" spans="12:120">
      <c r="L1011" s="347">
        <v>12.02</v>
      </c>
      <c r="M1011" s="347" t="s">
        <v>349</v>
      </c>
      <c r="AB1011" s="347">
        <v>124.06</v>
      </c>
      <c r="AC1011" s="347" t="s">
        <v>365</v>
      </c>
      <c r="AD1011" s="1138"/>
      <c r="AP1011" s="347">
        <v>2107</v>
      </c>
      <c r="AQ1011" s="347" t="s">
        <v>340</v>
      </c>
      <c r="BF1011" s="347">
        <v>103.01</v>
      </c>
      <c r="BG1011" s="347" t="s">
        <v>352</v>
      </c>
      <c r="BH1011" s="1790"/>
      <c r="BN1011" s="237">
        <v>129</v>
      </c>
      <c r="BO1011" s="237" t="s">
        <v>323</v>
      </c>
      <c r="BT1011" s="347">
        <v>509.05</v>
      </c>
      <c r="BU1011" s="347" t="s">
        <v>339</v>
      </c>
      <c r="CD1011" s="237">
        <v>36.03</v>
      </c>
      <c r="CE1011" s="237" t="s">
        <v>352</v>
      </c>
      <c r="CJ1011" s="347">
        <v>103.03</v>
      </c>
      <c r="CK1011" s="347" t="s">
        <v>367</v>
      </c>
      <c r="CL1011" s="1789"/>
      <c r="CR1011" s="345"/>
      <c r="CS1011" s="345"/>
      <c r="CX1011" s="347"/>
      <c r="CY1011" s="347"/>
      <c r="DH1011" s="237"/>
      <c r="DI1011" s="237"/>
      <c r="DN1011" s="347"/>
      <c r="DO1011" s="347"/>
      <c r="DP1011" s="2505"/>
    </row>
    <row r="1012" spans="12:120">
      <c r="L1012" s="347">
        <v>12.03</v>
      </c>
      <c r="M1012" s="347" t="s">
        <v>349</v>
      </c>
      <c r="AB1012" s="347">
        <v>124.07</v>
      </c>
      <c r="AC1012" s="347" t="s">
        <v>365</v>
      </c>
      <c r="AD1012" s="1138"/>
      <c r="AP1012" s="347">
        <v>2109.0100000000002</v>
      </c>
      <c r="AQ1012" s="347" t="s">
        <v>340</v>
      </c>
      <c r="BF1012" s="347">
        <v>103.02</v>
      </c>
      <c r="BG1012" s="347" t="s">
        <v>367</v>
      </c>
      <c r="BH1012" s="1790"/>
      <c r="BN1012" s="237">
        <v>130</v>
      </c>
      <c r="BO1012" s="237" t="s">
        <v>323</v>
      </c>
      <c r="BT1012" s="347">
        <v>509.09</v>
      </c>
      <c r="BU1012" s="347" t="s">
        <v>339</v>
      </c>
      <c r="CD1012" s="237">
        <v>36.04</v>
      </c>
      <c r="CE1012" s="237" t="s">
        <v>352</v>
      </c>
      <c r="CJ1012" s="347">
        <v>103.04</v>
      </c>
      <c r="CK1012" s="347" t="s">
        <v>337</v>
      </c>
      <c r="CL1012" s="1789"/>
      <c r="CR1012" s="345"/>
      <c r="CS1012" s="345"/>
      <c r="CX1012" s="347"/>
      <c r="CY1012" s="347"/>
      <c r="DH1012" s="237"/>
      <c r="DI1012" s="237"/>
      <c r="DN1012" s="347"/>
      <c r="DO1012" s="347"/>
      <c r="DP1012" s="2505"/>
    </row>
    <row r="1013" spans="12:120">
      <c r="L1013" s="347">
        <v>12.04</v>
      </c>
      <c r="M1013" s="347" t="s">
        <v>349</v>
      </c>
      <c r="AB1013" s="347">
        <v>124.08</v>
      </c>
      <c r="AC1013" s="347" t="s">
        <v>365</v>
      </c>
      <c r="AD1013" s="1138"/>
      <c r="AP1013" s="347">
        <v>2110</v>
      </c>
      <c r="AQ1013" s="347" t="s">
        <v>340</v>
      </c>
      <c r="BF1013" s="347">
        <v>103.03</v>
      </c>
      <c r="BG1013" s="347" t="s">
        <v>344</v>
      </c>
      <c r="BH1013" s="1790"/>
      <c r="BN1013" s="237">
        <v>131</v>
      </c>
      <c r="BO1013" s="237" t="s">
        <v>323</v>
      </c>
      <c r="BT1013" s="347">
        <v>2101</v>
      </c>
      <c r="BU1013" s="347" t="s">
        <v>340</v>
      </c>
      <c r="CD1013" s="237">
        <v>36.049999999999997</v>
      </c>
      <c r="CE1013" s="237" t="s">
        <v>352</v>
      </c>
      <c r="CJ1013" s="347">
        <v>103.07</v>
      </c>
      <c r="CK1013" s="347" t="s">
        <v>344</v>
      </c>
      <c r="CL1013" s="1789"/>
      <c r="CR1013" s="345"/>
      <c r="CS1013" s="345"/>
      <c r="CX1013" s="347"/>
      <c r="CY1013" s="347"/>
      <c r="DH1013" s="237"/>
      <c r="DI1013" s="237"/>
      <c r="DN1013" s="347"/>
      <c r="DO1013" s="347"/>
      <c r="DP1013" s="2505"/>
    </row>
    <row r="1014" spans="12:120">
      <c r="L1014" s="347">
        <v>14.02</v>
      </c>
      <c r="M1014" s="347" t="s">
        <v>349</v>
      </c>
      <c r="AB1014" s="347">
        <v>124.09</v>
      </c>
      <c r="AC1014" s="347" t="s">
        <v>365</v>
      </c>
      <c r="AD1014" s="1138"/>
      <c r="AP1014" s="347">
        <v>2111</v>
      </c>
      <c r="AQ1014" s="347" t="s">
        <v>340</v>
      </c>
      <c r="BF1014" s="347">
        <v>103.03</v>
      </c>
      <c r="BG1014" s="347" t="s">
        <v>367</v>
      </c>
      <c r="BH1014" s="1790"/>
      <c r="BN1014" s="237">
        <v>132</v>
      </c>
      <c r="BO1014" s="237" t="s">
        <v>323</v>
      </c>
      <c r="BT1014" s="347">
        <v>2103.0100000000002</v>
      </c>
      <c r="BU1014" s="347" t="s">
        <v>340</v>
      </c>
      <c r="CD1014" s="237">
        <v>36.06</v>
      </c>
      <c r="CE1014" s="237" t="s">
        <v>352</v>
      </c>
      <c r="CJ1014" s="347">
        <v>103.08</v>
      </c>
      <c r="CK1014" s="347" t="s">
        <v>310</v>
      </c>
      <c r="CL1014" s="1789"/>
      <c r="CR1014" s="345"/>
      <c r="CS1014" s="345"/>
      <c r="CX1014" s="347"/>
      <c r="CY1014" s="347"/>
      <c r="DH1014" s="237"/>
      <c r="DI1014" s="237"/>
      <c r="DN1014" s="347"/>
      <c r="DO1014" s="347"/>
      <c r="DP1014" s="2505"/>
    </row>
    <row r="1015" spans="12:120">
      <c r="L1015" s="347">
        <v>17.010000000000002</v>
      </c>
      <c r="M1015" s="347" t="s">
        <v>349</v>
      </c>
      <c r="AB1015" s="347">
        <v>124.1</v>
      </c>
      <c r="AC1015" s="347" t="s">
        <v>365</v>
      </c>
      <c r="AD1015" s="1138"/>
      <c r="AP1015" s="347">
        <v>2501.04</v>
      </c>
      <c r="AQ1015" s="347" t="s">
        <v>341</v>
      </c>
      <c r="BF1015" s="347">
        <v>103.05</v>
      </c>
      <c r="BG1015" s="347" t="s">
        <v>344</v>
      </c>
      <c r="BH1015" s="1790"/>
      <c r="BN1015" s="237">
        <v>133.01</v>
      </c>
      <c r="BO1015" s="237" t="s">
        <v>323</v>
      </c>
      <c r="BT1015" s="347">
        <v>2103.02</v>
      </c>
      <c r="BU1015" s="347" t="s">
        <v>340</v>
      </c>
      <c r="CD1015" s="237">
        <v>36.07</v>
      </c>
      <c r="CE1015" s="237" t="s">
        <v>325</v>
      </c>
      <c r="CJ1015" s="347">
        <v>103.08</v>
      </c>
      <c r="CK1015" s="347" t="s">
        <v>323</v>
      </c>
      <c r="CL1015" s="1789"/>
      <c r="CR1015" s="345"/>
      <c r="CS1015" s="345"/>
      <c r="CX1015" s="347"/>
      <c r="CY1015" s="347"/>
      <c r="DH1015" s="237"/>
      <c r="DI1015" s="237"/>
      <c r="DN1015" s="347"/>
      <c r="DO1015" s="347"/>
      <c r="DP1015" s="2505"/>
    </row>
    <row r="1016" spans="12:120">
      <c r="L1016" s="347">
        <v>17.03</v>
      </c>
      <c r="M1016" s="347" t="s">
        <v>349</v>
      </c>
      <c r="AB1016" s="347">
        <v>124.11</v>
      </c>
      <c r="AC1016" s="347" t="s">
        <v>365</v>
      </c>
      <c r="AD1016" s="1138"/>
      <c r="AP1016" s="347">
        <v>2501.0500000000002</v>
      </c>
      <c r="AQ1016" s="347" t="s">
        <v>341</v>
      </c>
      <c r="BF1016" s="347">
        <v>103.07</v>
      </c>
      <c r="BG1016" s="347" t="s">
        <v>323</v>
      </c>
      <c r="BH1016" s="1790"/>
      <c r="BN1016" s="237">
        <v>133.02000000000001</v>
      </c>
      <c r="BO1016" s="237" t="s">
        <v>323</v>
      </c>
      <c r="BT1016" s="347">
        <v>2104</v>
      </c>
      <c r="BU1016" s="347" t="s">
        <v>340</v>
      </c>
      <c r="CD1016" s="237">
        <v>36.07</v>
      </c>
      <c r="CE1016" s="237" t="s">
        <v>352</v>
      </c>
      <c r="CJ1016" s="347">
        <v>103.08</v>
      </c>
      <c r="CK1016" s="347" t="s">
        <v>344</v>
      </c>
      <c r="CL1016" s="1789"/>
      <c r="CR1016" s="345"/>
      <c r="CS1016" s="345"/>
      <c r="CX1016" s="347"/>
      <c r="CY1016" s="347"/>
      <c r="DH1016" s="237"/>
      <c r="DI1016" s="237"/>
      <c r="DN1016" s="347"/>
      <c r="DO1016" s="347"/>
      <c r="DP1016" s="2505"/>
    </row>
    <row r="1017" spans="12:120">
      <c r="L1017" s="347">
        <v>17.04</v>
      </c>
      <c r="M1017" s="347" t="s">
        <v>349</v>
      </c>
      <c r="AB1017" s="347">
        <v>125</v>
      </c>
      <c r="AC1017" s="347" t="s">
        <v>323</v>
      </c>
      <c r="AD1017" s="1138"/>
      <c r="AP1017" s="347">
        <v>2501.06</v>
      </c>
      <c r="AQ1017" s="347" t="s">
        <v>341</v>
      </c>
      <c r="BF1017" s="347">
        <v>103.07</v>
      </c>
      <c r="BG1017" s="347" t="s">
        <v>344</v>
      </c>
      <c r="BH1017" s="1790"/>
      <c r="BN1017" s="237">
        <v>134.02000000000001</v>
      </c>
      <c r="BO1017" s="237" t="s">
        <v>323</v>
      </c>
      <c r="BT1017" s="347">
        <v>2105</v>
      </c>
      <c r="BU1017" s="347" t="s">
        <v>340</v>
      </c>
      <c r="CD1017" s="237">
        <v>36.08</v>
      </c>
      <c r="CE1017" s="237" t="s">
        <v>325</v>
      </c>
      <c r="CJ1017" s="347">
        <v>103.09</v>
      </c>
      <c r="CK1017" s="347" t="s">
        <v>344</v>
      </c>
      <c r="CL1017" s="1789"/>
      <c r="CR1017" s="345"/>
      <c r="CS1017" s="345"/>
      <c r="CX1017" s="347"/>
      <c r="CY1017" s="347"/>
      <c r="DH1017" s="237"/>
      <c r="DI1017" s="237"/>
      <c r="DN1017" s="347"/>
      <c r="DO1017" s="347"/>
      <c r="DP1017" s="2505"/>
    </row>
    <row r="1018" spans="12:120">
      <c r="L1018" s="347">
        <v>18</v>
      </c>
      <c r="M1018" s="347" t="s">
        <v>349</v>
      </c>
      <c r="AB1018" s="347">
        <v>125</v>
      </c>
      <c r="AC1018" s="347" t="s">
        <v>352</v>
      </c>
      <c r="AD1018" s="1138"/>
      <c r="AP1018" s="347">
        <v>2502</v>
      </c>
      <c r="AQ1018" s="347" t="s">
        <v>341</v>
      </c>
      <c r="BF1018" s="347">
        <v>103.08</v>
      </c>
      <c r="BG1018" s="347" t="s">
        <v>310</v>
      </c>
      <c r="BH1018" s="1790"/>
      <c r="BN1018" s="237">
        <v>134.03</v>
      </c>
      <c r="BO1018" s="237" t="s">
        <v>323</v>
      </c>
      <c r="BT1018" s="347">
        <v>2107</v>
      </c>
      <c r="BU1018" s="347" t="s">
        <v>340</v>
      </c>
      <c r="CD1018" s="237">
        <v>36.090000000000003</v>
      </c>
      <c r="CE1018" s="237" t="s">
        <v>325</v>
      </c>
      <c r="CJ1018" s="347">
        <v>104</v>
      </c>
      <c r="CK1018" s="347" t="s">
        <v>352</v>
      </c>
      <c r="CL1018" s="1789"/>
      <c r="CR1018" s="345"/>
      <c r="CS1018" s="345"/>
      <c r="CX1018" s="347"/>
      <c r="CY1018" s="347"/>
      <c r="DH1018" s="237"/>
      <c r="DI1018" s="237"/>
      <c r="DN1018" s="347"/>
      <c r="DO1018" s="347"/>
      <c r="DP1018" s="2505"/>
    </row>
    <row r="1019" spans="12:120">
      <c r="L1019" s="347">
        <v>19.07</v>
      </c>
      <c r="M1019" s="347" t="s">
        <v>349</v>
      </c>
      <c r="AB1019" s="347">
        <v>125</v>
      </c>
      <c r="AC1019" s="347" t="s">
        <v>359</v>
      </c>
      <c r="AD1019" s="1138"/>
      <c r="AP1019" s="347">
        <v>9602.02</v>
      </c>
      <c r="AQ1019" s="347" t="s">
        <v>342</v>
      </c>
      <c r="BF1019" s="347">
        <v>103.08</v>
      </c>
      <c r="BG1019" s="347" t="s">
        <v>323</v>
      </c>
      <c r="BH1019" s="1790"/>
      <c r="BN1019" s="237">
        <v>134.04</v>
      </c>
      <c r="BO1019" s="237" t="s">
        <v>323</v>
      </c>
      <c r="BT1019" s="347">
        <v>2109.02</v>
      </c>
      <c r="BU1019" s="347" t="s">
        <v>340</v>
      </c>
      <c r="CD1019" s="237">
        <v>36.1</v>
      </c>
      <c r="CE1019" s="237" t="s">
        <v>325</v>
      </c>
      <c r="CJ1019" s="347">
        <v>104.01</v>
      </c>
      <c r="CK1019" s="347" t="s">
        <v>310</v>
      </c>
      <c r="CL1019" s="1789"/>
      <c r="CR1019" s="345"/>
      <c r="CS1019" s="345"/>
      <c r="CX1019" s="347"/>
      <c r="CY1019" s="347"/>
      <c r="DH1019" s="237"/>
      <c r="DI1019" s="237"/>
      <c r="DN1019" s="347"/>
      <c r="DO1019" s="347"/>
      <c r="DP1019" s="2505"/>
    </row>
    <row r="1020" spans="12:120">
      <c r="L1020" s="347">
        <v>19.09</v>
      </c>
      <c r="M1020" s="347" t="s">
        <v>349</v>
      </c>
      <c r="AB1020" s="347">
        <v>125.02</v>
      </c>
      <c r="AC1020" s="347" t="s">
        <v>365</v>
      </c>
      <c r="AD1020" s="1138"/>
      <c r="AP1020" s="347">
        <v>301.04000000000002</v>
      </c>
      <c r="AQ1020" s="347" t="s">
        <v>343</v>
      </c>
      <c r="BF1020" s="347">
        <v>103.08</v>
      </c>
      <c r="BG1020" s="347" t="s">
        <v>344</v>
      </c>
      <c r="BH1020" s="1790"/>
      <c r="BN1020" s="237">
        <v>135.02000000000001</v>
      </c>
      <c r="BO1020" s="237" t="s">
        <v>323</v>
      </c>
      <c r="BT1020" s="347">
        <v>2111</v>
      </c>
      <c r="BU1020" s="347" t="s">
        <v>340</v>
      </c>
      <c r="CD1020" s="237">
        <v>36.11</v>
      </c>
      <c r="CE1020" s="237" t="s">
        <v>325</v>
      </c>
      <c r="CJ1020" s="347">
        <v>104.01</v>
      </c>
      <c r="CK1020" s="347" t="s">
        <v>315</v>
      </c>
      <c r="CL1020" s="1789"/>
      <c r="CR1020" s="345"/>
      <c r="CS1020" s="345"/>
      <c r="CX1020" s="347"/>
      <c r="CY1020" s="347"/>
      <c r="DH1020" s="237"/>
      <c r="DI1020" s="237"/>
      <c r="DN1020" s="347"/>
      <c r="DO1020" s="347"/>
      <c r="DP1020" s="2505"/>
    </row>
    <row r="1021" spans="12:120">
      <c r="L1021" s="347">
        <v>19.100000000000001</v>
      </c>
      <c r="M1021" s="347" t="s">
        <v>349</v>
      </c>
      <c r="AB1021" s="347">
        <v>125.03</v>
      </c>
      <c r="AC1021" s="347" t="s">
        <v>337</v>
      </c>
      <c r="AD1021" s="1138"/>
      <c r="AP1021" s="347">
        <v>301.08</v>
      </c>
      <c r="AQ1021" s="347" t="s">
        <v>343</v>
      </c>
      <c r="BF1021" s="347">
        <v>103.09</v>
      </c>
      <c r="BG1021" s="347" t="s">
        <v>344</v>
      </c>
      <c r="BH1021" s="1790"/>
      <c r="BN1021" s="237">
        <v>135.04</v>
      </c>
      <c r="BO1021" s="237" t="s">
        <v>323</v>
      </c>
      <c r="BT1021" s="347">
        <v>2501.04</v>
      </c>
      <c r="BU1021" s="347" t="s">
        <v>341</v>
      </c>
      <c r="CD1021" s="237">
        <v>36.119999999999997</v>
      </c>
      <c r="CE1021" s="237" t="s">
        <v>325</v>
      </c>
      <c r="CJ1021" s="347">
        <v>104.01</v>
      </c>
      <c r="CK1021" s="347" t="s">
        <v>318</v>
      </c>
      <c r="CL1021" s="1789"/>
      <c r="CR1021" s="345"/>
      <c r="CS1021" s="345"/>
      <c r="CX1021" s="347"/>
      <c r="CY1021" s="347"/>
      <c r="DH1021" s="237"/>
      <c r="DI1021" s="237"/>
      <c r="DN1021" s="347"/>
      <c r="DO1021" s="347"/>
      <c r="DP1021" s="2505"/>
    </row>
    <row r="1022" spans="12:120">
      <c r="L1022" s="347">
        <v>19.11</v>
      </c>
      <c r="M1022" s="347" t="s">
        <v>349</v>
      </c>
      <c r="AB1022" s="347">
        <v>125.03</v>
      </c>
      <c r="AC1022" s="347" t="s">
        <v>365</v>
      </c>
      <c r="AD1022" s="1138"/>
      <c r="AP1022" s="347">
        <v>301.08999999999997</v>
      </c>
      <c r="AQ1022" s="347" t="s">
        <v>343</v>
      </c>
      <c r="BF1022" s="347">
        <v>104</v>
      </c>
      <c r="BG1022" s="347" t="s">
        <v>352</v>
      </c>
      <c r="BH1022" s="1790"/>
      <c r="BN1022" s="237">
        <v>135.22</v>
      </c>
      <c r="BO1022" s="237" t="s">
        <v>323</v>
      </c>
      <c r="BT1022" s="347">
        <v>2501.0500000000002</v>
      </c>
      <c r="BU1022" s="347" t="s">
        <v>341</v>
      </c>
      <c r="CD1022" s="237">
        <v>36.130000000000003</v>
      </c>
      <c r="CE1022" s="237" t="s">
        <v>325</v>
      </c>
      <c r="CJ1022" s="347">
        <v>104.01</v>
      </c>
      <c r="CK1022" s="347" t="s">
        <v>337</v>
      </c>
      <c r="CL1022" s="1789"/>
      <c r="CR1022" s="345"/>
      <c r="CS1022" s="345"/>
      <c r="CX1022" s="347"/>
      <c r="CY1022" s="347"/>
      <c r="DH1022" s="237"/>
      <c r="DI1022" s="237"/>
      <c r="DN1022" s="347"/>
      <c r="DO1022" s="347"/>
      <c r="DP1022" s="2505"/>
    </row>
    <row r="1023" spans="12:120">
      <c r="L1023" s="347">
        <v>19.12</v>
      </c>
      <c r="M1023" s="347" t="s">
        <v>349</v>
      </c>
      <c r="AB1023" s="347">
        <v>125.04</v>
      </c>
      <c r="AC1023" s="347" t="s">
        <v>365</v>
      </c>
      <c r="AD1023" s="1138"/>
      <c r="AP1023" s="347">
        <v>301.10000000000002</v>
      </c>
      <c r="AQ1023" s="347" t="s">
        <v>343</v>
      </c>
      <c r="BF1023" s="347">
        <v>104.01</v>
      </c>
      <c r="BG1023" s="347" t="s">
        <v>310</v>
      </c>
      <c r="BH1023" s="1790"/>
      <c r="BN1023" s="237">
        <v>135.22999999999999</v>
      </c>
      <c r="BO1023" s="237" t="s">
        <v>323</v>
      </c>
      <c r="BT1023" s="347">
        <v>2501.06</v>
      </c>
      <c r="BU1023" s="347" t="s">
        <v>341</v>
      </c>
      <c r="CD1023" s="237">
        <v>36.14</v>
      </c>
      <c r="CE1023" s="237" t="s">
        <v>325</v>
      </c>
      <c r="CJ1023" s="347">
        <v>104.01</v>
      </c>
      <c r="CK1023" s="347" t="s">
        <v>365</v>
      </c>
      <c r="CL1023" s="1789"/>
      <c r="CR1023" s="345"/>
      <c r="CS1023" s="345"/>
      <c r="CX1023" s="347"/>
      <c r="CY1023" s="347"/>
      <c r="DH1023" s="237"/>
      <c r="DI1023" s="237"/>
      <c r="DN1023" s="347"/>
      <c r="DO1023" s="347"/>
      <c r="DP1023" s="2505"/>
    </row>
    <row r="1024" spans="12:120">
      <c r="L1024" s="347">
        <v>19.13</v>
      </c>
      <c r="M1024" s="347" t="s">
        <v>349</v>
      </c>
      <c r="AB1024" s="347">
        <v>125.06</v>
      </c>
      <c r="AC1024" s="347" t="s">
        <v>365</v>
      </c>
      <c r="AD1024" s="1138"/>
      <c r="AP1024" s="347">
        <v>302.02999999999997</v>
      </c>
      <c r="AQ1024" s="347" t="s">
        <v>343</v>
      </c>
      <c r="BF1024" s="347">
        <v>104.01</v>
      </c>
      <c r="BG1024" s="347" t="s">
        <v>315</v>
      </c>
      <c r="BH1024" s="1790"/>
      <c r="BN1024" s="237">
        <v>135.24</v>
      </c>
      <c r="BO1024" s="237" t="s">
        <v>323</v>
      </c>
      <c r="BT1024" s="347">
        <v>9602.02</v>
      </c>
      <c r="BU1024" s="347" t="s">
        <v>342</v>
      </c>
      <c r="CD1024" s="237">
        <v>37</v>
      </c>
      <c r="CE1024" s="237" t="s">
        <v>325</v>
      </c>
      <c r="CJ1024" s="347">
        <v>104.02</v>
      </c>
      <c r="CK1024" s="347" t="s">
        <v>315</v>
      </c>
      <c r="CL1024" s="1789"/>
      <c r="CR1024" s="345"/>
      <c r="CS1024" s="345"/>
      <c r="CX1024" s="347"/>
      <c r="CY1024" s="347"/>
      <c r="DH1024" s="237"/>
      <c r="DI1024" s="237"/>
      <c r="DN1024" s="347"/>
      <c r="DO1024" s="347"/>
      <c r="DP1024" s="2505"/>
    </row>
    <row r="1025" spans="12:120">
      <c r="L1025" s="347">
        <v>19.14</v>
      </c>
      <c r="M1025" s="347" t="s">
        <v>349</v>
      </c>
      <c r="AB1025" s="347">
        <v>125.07</v>
      </c>
      <c r="AC1025" s="347" t="s">
        <v>365</v>
      </c>
      <c r="AD1025" s="1138"/>
      <c r="AP1025" s="347">
        <v>302.08</v>
      </c>
      <c r="AQ1025" s="347" t="s">
        <v>343</v>
      </c>
      <c r="BF1025" s="347">
        <v>104.01</v>
      </c>
      <c r="BG1025" s="347" t="s">
        <v>318</v>
      </c>
      <c r="BH1025" s="1790"/>
      <c r="BN1025" s="237">
        <v>135.25</v>
      </c>
      <c r="BO1025" s="237" t="s">
        <v>323</v>
      </c>
      <c r="BT1025" s="347">
        <v>301.04000000000002</v>
      </c>
      <c r="BU1025" s="347" t="s">
        <v>343</v>
      </c>
      <c r="CD1025" s="237">
        <v>37</v>
      </c>
      <c r="CE1025" s="237" t="s">
        <v>337</v>
      </c>
      <c r="CJ1025" s="347">
        <v>104.02</v>
      </c>
      <c r="CK1025" s="347" t="s">
        <v>365</v>
      </c>
      <c r="CL1025" s="1789"/>
      <c r="CR1025" s="345"/>
      <c r="CS1025" s="345"/>
      <c r="CX1025" s="347"/>
      <c r="CY1025" s="347"/>
      <c r="DH1025" s="237"/>
      <c r="DI1025" s="237"/>
      <c r="DN1025" s="347"/>
      <c r="DO1025" s="347"/>
      <c r="DP1025" s="2505"/>
    </row>
    <row r="1026" spans="12:120">
      <c r="L1026" s="347">
        <v>20.03</v>
      </c>
      <c r="M1026" s="347" t="s">
        <v>349</v>
      </c>
      <c r="AB1026" s="347">
        <v>126</v>
      </c>
      <c r="AC1026" s="347" t="s">
        <v>352</v>
      </c>
      <c r="AD1026" s="1138"/>
      <c r="AP1026" s="347">
        <v>302.11</v>
      </c>
      <c r="AQ1026" s="347" t="s">
        <v>343</v>
      </c>
      <c r="BF1026" s="347">
        <v>104.01</v>
      </c>
      <c r="BG1026" s="347" t="s">
        <v>365</v>
      </c>
      <c r="BH1026" s="1790"/>
      <c r="BN1026" s="237">
        <v>135.26</v>
      </c>
      <c r="BO1026" s="237" t="s">
        <v>323</v>
      </c>
      <c r="BT1026" s="347">
        <v>301.08</v>
      </c>
      <c r="BU1026" s="347" t="s">
        <v>343</v>
      </c>
      <c r="CD1026" s="237">
        <v>37</v>
      </c>
      <c r="CE1026" s="237" t="s">
        <v>361</v>
      </c>
      <c r="CJ1026" s="347">
        <v>104.03</v>
      </c>
      <c r="CK1026" s="347" t="s">
        <v>321</v>
      </c>
      <c r="CL1026" s="1789"/>
      <c r="CR1026" s="345"/>
      <c r="CS1026" s="345"/>
      <c r="CX1026" s="347"/>
      <c r="CY1026" s="347"/>
      <c r="DH1026" s="237"/>
      <c r="DI1026" s="237"/>
      <c r="DN1026" s="347"/>
      <c r="DO1026" s="347"/>
      <c r="DP1026" s="2505"/>
    </row>
    <row r="1027" spans="12:120">
      <c r="L1027" s="347">
        <v>20.05</v>
      </c>
      <c r="M1027" s="347" t="s">
        <v>349</v>
      </c>
      <c r="AB1027" s="347">
        <v>126</v>
      </c>
      <c r="AC1027" s="347" t="s">
        <v>359</v>
      </c>
      <c r="AD1027" s="1138"/>
      <c r="AP1027" s="347">
        <v>303.05</v>
      </c>
      <c r="AQ1027" s="347" t="s">
        <v>343</v>
      </c>
      <c r="BF1027" s="347">
        <v>104.02</v>
      </c>
      <c r="BG1027" s="347" t="s">
        <v>315</v>
      </c>
      <c r="BH1027" s="1790"/>
      <c r="BN1027" s="237">
        <v>137.22999999999999</v>
      </c>
      <c r="BO1027" s="237" t="s">
        <v>323</v>
      </c>
      <c r="BT1027" s="347">
        <v>301.08999999999997</v>
      </c>
      <c r="BU1027" s="347" t="s">
        <v>343</v>
      </c>
      <c r="CD1027" s="237">
        <v>37.03</v>
      </c>
      <c r="CE1027" s="237" t="s">
        <v>352</v>
      </c>
      <c r="CJ1027" s="347">
        <v>104.04</v>
      </c>
      <c r="CK1027" s="347" t="s">
        <v>344</v>
      </c>
      <c r="CL1027" s="1789"/>
      <c r="CR1027" s="345"/>
      <c r="CS1027" s="345"/>
      <c r="CX1027" s="347"/>
      <c r="CY1027" s="347"/>
      <c r="DH1027" s="237"/>
      <c r="DI1027" s="237"/>
      <c r="DN1027" s="347"/>
      <c r="DO1027" s="347"/>
      <c r="DP1027" s="2505"/>
    </row>
    <row r="1028" spans="12:120">
      <c r="L1028" s="347">
        <v>20.07</v>
      </c>
      <c r="M1028" s="347" t="s">
        <v>349</v>
      </c>
      <c r="AB1028" s="347">
        <v>127</v>
      </c>
      <c r="AC1028" s="347" t="s">
        <v>352</v>
      </c>
      <c r="AD1028" s="1138"/>
      <c r="AP1028" s="347">
        <v>303.08</v>
      </c>
      <c r="AQ1028" s="347" t="s">
        <v>343</v>
      </c>
      <c r="BF1028" s="347">
        <v>104.02</v>
      </c>
      <c r="BG1028" s="347" t="s">
        <v>365</v>
      </c>
      <c r="BH1028" s="1790"/>
      <c r="BN1028" s="237">
        <v>137.28</v>
      </c>
      <c r="BO1028" s="237" t="s">
        <v>323</v>
      </c>
      <c r="BT1028" s="347">
        <v>301.10000000000002</v>
      </c>
      <c r="BU1028" s="347" t="s">
        <v>343</v>
      </c>
      <c r="CD1028" s="237">
        <v>37.04</v>
      </c>
      <c r="CE1028" s="237" t="s">
        <v>352</v>
      </c>
      <c r="CJ1028" s="347">
        <v>104.05</v>
      </c>
      <c r="CK1028" s="347" t="s">
        <v>315</v>
      </c>
      <c r="CL1028" s="1789"/>
      <c r="CR1028" s="345"/>
      <c r="CS1028" s="345"/>
      <c r="CX1028" s="347"/>
      <c r="CY1028" s="347"/>
      <c r="DH1028" s="237"/>
      <c r="DI1028" s="237"/>
      <c r="DN1028" s="347"/>
      <c r="DO1028" s="347"/>
      <c r="DP1028" s="2505"/>
    </row>
    <row r="1029" spans="12:120">
      <c r="L1029" s="347">
        <v>20.079999999999998</v>
      </c>
      <c r="M1029" s="347" t="s">
        <v>349</v>
      </c>
      <c r="AB1029" s="347">
        <v>127.01</v>
      </c>
      <c r="AC1029" s="347" t="s">
        <v>359</v>
      </c>
      <c r="AD1029" s="1138"/>
      <c r="AP1029" s="347">
        <v>304.05</v>
      </c>
      <c r="AQ1029" s="347" t="s">
        <v>343</v>
      </c>
      <c r="BF1029" s="347">
        <v>104.03</v>
      </c>
      <c r="BG1029" s="347" t="s">
        <v>321</v>
      </c>
      <c r="BH1029" s="1790"/>
      <c r="BN1029" s="237">
        <v>137.29</v>
      </c>
      <c r="BO1029" s="237" t="s">
        <v>323</v>
      </c>
      <c r="BT1029" s="347">
        <v>302.02999999999997</v>
      </c>
      <c r="BU1029" s="347" t="s">
        <v>343</v>
      </c>
      <c r="CD1029" s="237">
        <v>37.049999999999997</v>
      </c>
      <c r="CE1029" s="237" t="s">
        <v>352</v>
      </c>
      <c r="CJ1029" s="347">
        <v>104.05</v>
      </c>
      <c r="CK1029" s="347" t="s">
        <v>321</v>
      </c>
      <c r="CL1029" s="1789"/>
      <c r="CR1029" s="345"/>
      <c r="CS1029" s="345"/>
      <c r="CX1029" s="347"/>
      <c r="CY1029" s="347"/>
      <c r="DH1029" s="237"/>
      <c r="DI1029" s="237"/>
      <c r="DN1029" s="347"/>
      <c r="DO1029" s="347"/>
      <c r="DP1029" s="2505"/>
    </row>
    <row r="1030" spans="12:120">
      <c r="L1030" s="347">
        <v>20.100000000000001</v>
      </c>
      <c r="M1030" s="347" t="s">
        <v>349</v>
      </c>
      <c r="AB1030" s="347">
        <v>128</v>
      </c>
      <c r="AC1030" s="347" t="s">
        <v>352</v>
      </c>
      <c r="AD1030" s="1138"/>
      <c r="AP1030" s="347">
        <v>304.08</v>
      </c>
      <c r="AQ1030" s="347" t="s">
        <v>343</v>
      </c>
      <c r="BF1030" s="347">
        <v>104.05</v>
      </c>
      <c r="BG1030" s="347" t="s">
        <v>315</v>
      </c>
      <c r="BH1030" s="1790"/>
      <c r="BN1030" s="237">
        <v>137.30000000000001</v>
      </c>
      <c r="BO1030" s="237" t="s">
        <v>323</v>
      </c>
      <c r="BT1030" s="347">
        <v>302.04000000000002</v>
      </c>
      <c r="BU1030" s="347" t="s">
        <v>343</v>
      </c>
      <c r="CD1030" s="237">
        <v>37.06</v>
      </c>
      <c r="CE1030" s="237" t="s">
        <v>352</v>
      </c>
      <c r="CJ1030" s="347">
        <v>104.06</v>
      </c>
      <c r="CK1030" s="347" t="s">
        <v>310</v>
      </c>
      <c r="CL1030" s="1789"/>
      <c r="CR1030" s="345"/>
      <c r="CS1030" s="345"/>
      <c r="CX1030" s="347"/>
      <c r="CY1030" s="347"/>
      <c r="DH1030" s="237"/>
      <c r="DI1030" s="237"/>
      <c r="DN1030" s="347"/>
      <c r="DO1030" s="347"/>
      <c r="DP1030" s="2505"/>
    </row>
    <row r="1031" spans="12:120">
      <c r="L1031" s="347">
        <v>20.11</v>
      </c>
      <c r="M1031" s="347" t="s">
        <v>349</v>
      </c>
      <c r="AB1031" s="347">
        <v>128</v>
      </c>
      <c r="AC1031" s="347" t="s">
        <v>359</v>
      </c>
      <c r="AD1031" s="1138"/>
      <c r="AP1031" s="347">
        <v>304.10000000000002</v>
      </c>
      <c r="AQ1031" s="347" t="s">
        <v>343</v>
      </c>
      <c r="BF1031" s="347">
        <v>104.05</v>
      </c>
      <c r="BG1031" s="347" t="s">
        <v>321</v>
      </c>
      <c r="BH1031" s="1790"/>
      <c r="BN1031" s="237">
        <v>137.31</v>
      </c>
      <c r="BO1031" s="237" t="s">
        <v>323</v>
      </c>
      <c r="BT1031" s="347">
        <v>302.08</v>
      </c>
      <c r="BU1031" s="347" t="s">
        <v>343</v>
      </c>
      <c r="CD1031" s="237">
        <v>37.07</v>
      </c>
      <c r="CE1031" s="237" t="s">
        <v>352</v>
      </c>
      <c r="CJ1031" s="347">
        <v>104.06</v>
      </c>
      <c r="CK1031" s="347" t="s">
        <v>321</v>
      </c>
      <c r="CL1031" s="1789"/>
      <c r="CR1031" s="345"/>
      <c r="CS1031" s="345"/>
      <c r="CX1031" s="347"/>
      <c r="CY1031" s="347"/>
      <c r="DH1031" s="237"/>
      <c r="DI1031" s="237"/>
      <c r="DN1031" s="347"/>
      <c r="DO1031" s="347"/>
      <c r="DP1031" s="2505"/>
    </row>
    <row r="1032" spans="12:120">
      <c r="L1032" s="347">
        <v>20.12</v>
      </c>
      <c r="M1032" s="347" t="s">
        <v>349</v>
      </c>
      <c r="AB1032" s="347">
        <v>128.02000000000001</v>
      </c>
      <c r="AC1032" s="347" t="s">
        <v>365</v>
      </c>
      <c r="AD1032" s="1138"/>
      <c r="AP1032" s="347">
        <v>305.06</v>
      </c>
      <c r="AQ1032" s="347" t="s">
        <v>343</v>
      </c>
      <c r="BF1032" s="347">
        <v>104.06</v>
      </c>
      <c r="BG1032" s="347" t="s">
        <v>310</v>
      </c>
      <c r="BH1032" s="1790"/>
      <c r="BN1032" s="237">
        <v>137.32</v>
      </c>
      <c r="BO1032" s="237" t="s">
        <v>323</v>
      </c>
      <c r="BT1032" s="347">
        <v>302.11</v>
      </c>
      <c r="BU1032" s="347" t="s">
        <v>343</v>
      </c>
      <c r="CD1032" s="237">
        <v>37.08</v>
      </c>
      <c r="CE1032" s="237" t="s">
        <v>352</v>
      </c>
      <c r="CJ1032" s="347">
        <v>104.07</v>
      </c>
      <c r="CK1032" s="347" t="s">
        <v>310</v>
      </c>
      <c r="CL1032" s="1789"/>
      <c r="CR1032" s="345"/>
      <c r="CS1032" s="345"/>
      <c r="CX1032" s="347"/>
      <c r="CY1032" s="347"/>
      <c r="DH1032" s="237"/>
      <c r="DI1032" s="237"/>
      <c r="DN1032" s="347"/>
      <c r="DO1032" s="347"/>
      <c r="DP1032" s="2505"/>
    </row>
    <row r="1033" spans="12:120">
      <c r="L1033" s="347">
        <v>20.13</v>
      </c>
      <c r="M1033" s="347" t="s">
        <v>349</v>
      </c>
      <c r="AB1033" s="347">
        <v>128.03</v>
      </c>
      <c r="AC1033" s="347" t="s">
        <v>365</v>
      </c>
      <c r="AD1033" s="1138"/>
      <c r="AP1033" s="347">
        <v>307.01</v>
      </c>
      <c r="AQ1033" s="347" t="s">
        <v>343</v>
      </c>
      <c r="BF1033" s="347">
        <v>104.06</v>
      </c>
      <c r="BG1033" s="347" t="s">
        <v>321</v>
      </c>
      <c r="BH1033" s="1790"/>
      <c r="BN1033" s="237">
        <v>137.33000000000001</v>
      </c>
      <c r="BO1033" s="237" t="s">
        <v>323</v>
      </c>
      <c r="BT1033" s="347">
        <v>304.08</v>
      </c>
      <c r="BU1033" s="347" t="s">
        <v>343</v>
      </c>
      <c r="CD1033" s="237">
        <v>37.090000000000003</v>
      </c>
      <c r="CE1033" s="237" t="s">
        <v>352</v>
      </c>
      <c r="CJ1033" s="347">
        <v>104.12</v>
      </c>
      <c r="CK1033" s="347" t="s">
        <v>344</v>
      </c>
      <c r="CL1033" s="1789"/>
      <c r="CR1033" s="345"/>
      <c r="CS1033" s="345"/>
      <c r="CX1033" s="347"/>
      <c r="CY1033" s="347"/>
      <c r="DH1033" s="237"/>
      <c r="DI1033" s="237"/>
      <c r="DN1033" s="347"/>
      <c r="DO1033" s="347"/>
      <c r="DP1033" s="2505"/>
    </row>
    <row r="1034" spans="12:120">
      <c r="L1034" s="347">
        <v>20.14</v>
      </c>
      <c r="M1034" s="347" t="s">
        <v>349</v>
      </c>
      <c r="AB1034" s="347">
        <v>129</v>
      </c>
      <c r="AC1034" s="347" t="s">
        <v>359</v>
      </c>
      <c r="AD1034" s="1138"/>
      <c r="AP1034" s="347">
        <v>308.02999999999997</v>
      </c>
      <c r="AQ1034" s="347" t="s">
        <v>343</v>
      </c>
      <c r="BF1034" s="347">
        <v>104.08</v>
      </c>
      <c r="BG1034" s="347" t="s">
        <v>318</v>
      </c>
      <c r="BH1034" s="1790"/>
      <c r="BN1034" s="237">
        <v>138</v>
      </c>
      <c r="BO1034" s="237" t="s">
        <v>323</v>
      </c>
      <c r="BT1034" s="347">
        <v>304.10000000000002</v>
      </c>
      <c r="BU1034" s="347" t="s">
        <v>343</v>
      </c>
      <c r="CD1034" s="237">
        <v>37.1</v>
      </c>
      <c r="CE1034" s="237" t="s">
        <v>352</v>
      </c>
      <c r="CJ1034" s="347">
        <v>104.15</v>
      </c>
      <c r="CK1034" s="347" t="s">
        <v>344</v>
      </c>
      <c r="CL1034" s="1789"/>
      <c r="CR1034" s="345"/>
      <c r="CS1034" s="345"/>
      <c r="CX1034" s="347"/>
      <c r="CY1034" s="347"/>
      <c r="DH1034" s="237"/>
      <c r="DI1034" s="237"/>
      <c r="DN1034" s="347"/>
      <c r="DO1034" s="347"/>
      <c r="DP1034" s="2505"/>
    </row>
    <row r="1035" spans="12:120">
      <c r="L1035" s="347">
        <v>20.149999999999999</v>
      </c>
      <c r="M1035" s="347" t="s">
        <v>349</v>
      </c>
      <c r="AB1035" s="347">
        <v>129</v>
      </c>
      <c r="AC1035" s="347" t="s">
        <v>365</v>
      </c>
      <c r="AD1035" s="1138"/>
      <c r="AP1035" s="347">
        <v>308.07</v>
      </c>
      <c r="AQ1035" s="347" t="s">
        <v>343</v>
      </c>
      <c r="BF1035" s="347">
        <v>104.11</v>
      </c>
      <c r="BG1035" s="347" t="s">
        <v>318</v>
      </c>
      <c r="BH1035" s="1790"/>
      <c r="BN1035" s="237">
        <v>139.01</v>
      </c>
      <c r="BO1035" s="237" t="s">
        <v>323</v>
      </c>
      <c r="BT1035" s="347">
        <v>305.06</v>
      </c>
      <c r="BU1035" s="347" t="s">
        <v>343</v>
      </c>
      <c r="CD1035" s="237">
        <v>38</v>
      </c>
      <c r="CE1035" s="237" t="s">
        <v>325</v>
      </c>
      <c r="CJ1035" s="347">
        <v>104.16</v>
      </c>
      <c r="CK1035" s="347" t="s">
        <v>318</v>
      </c>
      <c r="CL1035" s="1789"/>
      <c r="CR1035" s="345"/>
      <c r="CS1035" s="345"/>
      <c r="CX1035" s="347"/>
      <c r="CY1035" s="347"/>
      <c r="DH1035" s="237"/>
      <c r="DI1035" s="237"/>
      <c r="DN1035" s="347"/>
      <c r="DO1035" s="347"/>
      <c r="DP1035" s="2505"/>
    </row>
    <row r="1036" spans="12:120">
      <c r="L1036" s="347">
        <v>20.16</v>
      </c>
      <c r="M1036" s="347" t="s">
        <v>349</v>
      </c>
      <c r="AB1036" s="347">
        <v>130</v>
      </c>
      <c r="AC1036" s="347" t="s">
        <v>323</v>
      </c>
      <c r="AD1036" s="1138"/>
      <c r="AP1036" s="347">
        <v>309.17</v>
      </c>
      <c r="AQ1036" s="347" t="s">
        <v>343</v>
      </c>
      <c r="BF1036" s="347">
        <v>104.11</v>
      </c>
      <c r="BG1036" s="347" t="s">
        <v>344</v>
      </c>
      <c r="BH1036" s="1790"/>
      <c r="BN1036" s="237">
        <v>139.02000000000001</v>
      </c>
      <c r="BO1036" s="237" t="s">
        <v>323</v>
      </c>
      <c r="BT1036" s="347">
        <v>307.01</v>
      </c>
      <c r="BU1036" s="347" t="s">
        <v>343</v>
      </c>
      <c r="CD1036" s="237">
        <v>38</v>
      </c>
      <c r="CE1036" s="237" t="s">
        <v>337</v>
      </c>
      <c r="CJ1036" s="347">
        <v>104.16</v>
      </c>
      <c r="CK1036" s="347" t="s">
        <v>344</v>
      </c>
      <c r="CL1036" s="1789"/>
      <c r="CR1036" s="345"/>
      <c r="CS1036" s="345"/>
      <c r="CX1036" s="347"/>
      <c r="CY1036" s="347"/>
      <c r="DH1036" s="237"/>
      <c r="DI1036" s="237"/>
      <c r="DN1036" s="347"/>
      <c r="DO1036" s="347"/>
      <c r="DP1036" s="2505"/>
    </row>
    <row r="1037" spans="12:120">
      <c r="L1037" s="347">
        <v>20.170000000000002</v>
      </c>
      <c r="M1037" s="347" t="s">
        <v>349</v>
      </c>
      <c r="AB1037" s="347">
        <v>130</v>
      </c>
      <c r="AC1037" s="347" t="s">
        <v>352</v>
      </c>
      <c r="AD1037" s="1138"/>
      <c r="AP1037" s="347">
        <v>309.18</v>
      </c>
      <c r="AQ1037" s="347" t="s">
        <v>343</v>
      </c>
      <c r="BF1037" s="347">
        <v>104.12</v>
      </c>
      <c r="BG1037" s="347" t="s">
        <v>344</v>
      </c>
      <c r="BH1037" s="1790"/>
      <c r="BN1037" s="237">
        <v>139.04</v>
      </c>
      <c r="BO1037" s="237" t="s">
        <v>323</v>
      </c>
      <c r="BT1037" s="347">
        <v>308.02999999999997</v>
      </c>
      <c r="BU1037" s="347" t="s">
        <v>343</v>
      </c>
      <c r="CD1037" s="237">
        <v>38.01</v>
      </c>
      <c r="CE1037" s="237" t="s">
        <v>352</v>
      </c>
      <c r="CJ1037" s="347">
        <v>104.17</v>
      </c>
      <c r="CK1037" s="347" t="s">
        <v>344</v>
      </c>
      <c r="CL1037" s="1789"/>
      <c r="CR1037" s="345"/>
      <c r="CS1037" s="345"/>
      <c r="CX1037" s="347"/>
      <c r="CY1037" s="347"/>
      <c r="DH1037" s="237"/>
      <c r="DI1037" s="237"/>
      <c r="DN1037" s="347"/>
      <c r="DO1037" s="347"/>
      <c r="DP1037" s="2505"/>
    </row>
    <row r="1038" spans="12:120">
      <c r="L1038" s="347">
        <v>1</v>
      </c>
      <c r="M1038" s="347" t="s">
        <v>350</v>
      </c>
      <c r="AB1038" s="347">
        <v>130.01</v>
      </c>
      <c r="AC1038" s="347" t="s">
        <v>337</v>
      </c>
      <c r="AD1038" s="1138"/>
      <c r="AP1038" s="347">
        <v>310.02</v>
      </c>
      <c r="AQ1038" s="347" t="s">
        <v>343</v>
      </c>
      <c r="BF1038" s="347">
        <v>104.15</v>
      </c>
      <c r="BG1038" s="347" t="s">
        <v>344</v>
      </c>
      <c r="BH1038" s="1790"/>
      <c r="BN1038" s="237">
        <v>139.05000000000001</v>
      </c>
      <c r="BO1038" s="237" t="s">
        <v>323</v>
      </c>
      <c r="BT1038" s="347">
        <v>308.04000000000002</v>
      </c>
      <c r="BU1038" s="347" t="s">
        <v>343</v>
      </c>
      <c r="CD1038" s="237">
        <v>38.01</v>
      </c>
      <c r="CE1038" s="237" t="s">
        <v>361</v>
      </c>
      <c r="CJ1038" s="347">
        <v>104.18</v>
      </c>
      <c r="CK1038" s="347" t="s">
        <v>344</v>
      </c>
      <c r="CL1038" s="1789"/>
      <c r="CR1038" s="345"/>
      <c r="CS1038" s="345"/>
      <c r="CX1038" s="347"/>
      <c r="CY1038" s="347"/>
      <c r="DH1038" s="237"/>
      <c r="DI1038" s="237"/>
      <c r="DN1038" s="347"/>
      <c r="DO1038" s="347"/>
      <c r="DP1038" s="2505"/>
    </row>
    <row r="1039" spans="12:120">
      <c r="L1039" s="347">
        <v>3.01</v>
      </c>
      <c r="M1039" s="347" t="s">
        <v>350</v>
      </c>
      <c r="AB1039" s="347">
        <v>130.01</v>
      </c>
      <c r="AC1039" s="347" t="s">
        <v>365</v>
      </c>
      <c r="AD1039" s="1138"/>
      <c r="AP1039" s="347">
        <v>311.02999999999997</v>
      </c>
      <c r="AQ1039" s="347" t="s">
        <v>343</v>
      </c>
      <c r="BF1039" s="347">
        <v>104.16</v>
      </c>
      <c r="BG1039" s="347" t="s">
        <v>318</v>
      </c>
      <c r="BH1039" s="1790"/>
      <c r="BN1039" s="237">
        <v>139.06</v>
      </c>
      <c r="BO1039" s="237" t="s">
        <v>323</v>
      </c>
      <c r="BT1039" s="347">
        <v>308.05</v>
      </c>
      <c r="BU1039" s="347" t="s">
        <v>343</v>
      </c>
      <c r="CD1039" s="237">
        <v>38.020000000000003</v>
      </c>
      <c r="CE1039" s="237" t="s">
        <v>361</v>
      </c>
      <c r="CJ1039" s="347">
        <v>104.2</v>
      </c>
      <c r="CK1039" s="347" t="s">
        <v>344</v>
      </c>
      <c r="CL1039" s="1789"/>
      <c r="CR1039" s="345"/>
      <c r="CS1039" s="345"/>
      <c r="CX1039" s="347"/>
      <c r="CY1039" s="347"/>
      <c r="DH1039" s="237"/>
      <c r="DI1039" s="237"/>
      <c r="DN1039" s="347"/>
      <c r="DO1039" s="347"/>
      <c r="DP1039" s="2505"/>
    </row>
    <row r="1040" spans="12:120">
      <c r="L1040" s="347">
        <v>7.02</v>
      </c>
      <c r="M1040" s="347" t="s">
        <v>350</v>
      </c>
      <c r="AB1040" s="347">
        <v>130.04</v>
      </c>
      <c r="AC1040" s="347" t="s">
        <v>337</v>
      </c>
      <c r="AD1040" s="1138"/>
      <c r="AP1040" s="347">
        <v>311.05</v>
      </c>
      <c r="AQ1040" s="347" t="s">
        <v>343</v>
      </c>
      <c r="BF1040" s="347">
        <v>104.16</v>
      </c>
      <c r="BG1040" s="347" t="s">
        <v>344</v>
      </c>
      <c r="BH1040" s="1790"/>
      <c r="BN1040" s="237">
        <v>140.01</v>
      </c>
      <c r="BO1040" s="237" t="s">
        <v>323</v>
      </c>
      <c r="BT1040" s="347">
        <v>308.07</v>
      </c>
      <c r="BU1040" s="347" t="s">
        <v>343</v>
      </c>
      <c r="CD1040" s="237">
        <v>38.03</v>
      </c>
      <c r="CE1040" s="237" t="s">
        <v>352</v>
      </c>
      <c r="CJ1040" s="347">
        <v>104.21</v>
      </c>
      <c r="CK1040" s="347" t="s">
        <v>344</v>
      </c>
      <c r="CL1040" s="1789"/>
      <c r="CR1040" s="345"/>
      <c r="CS1040" s="345"/>
      <c r="CX1040" s="347"/>
      <c r="CY1040" s="347"/>
      <c r="DH1040" s="237"/>
      <c r="DI1040" s="237"/>
      <c r="DN1040" s="347"/>
      <c r="DO1040" s="347"/>
      <c r="DP1040" s="2505"/>
    </row>
    <row r="1041" spans="12:120">
      <c r="L1041" s="347">
        <v>8.01</v>
      </c>
      <c r="M1041" s="347" t="s">
        <v>350</v>
      </c>
      <c r="AB1041" s="347">
        <v>131</v>
      </c>
      <c r="AC1041" s="347" t="s">
        <v>323</v>
      </c>
      <c r="AD1041" s="1138"/>
      <c r="AP1041" s="347">
        <v>311.06</v>
      </c>
      <c r="AQ1041" s="347" t="s">
        <v>343</v>
      </c>
      <c r="BF1041" s="347">
        <v>104.17</v>
      </c>
      <c r="BG1041" s="347" t="s">
        <v>344</v>
      </c>
      <c r="BH1041" s="1790"/>
      <c r="BN1041" s="237">
        <v>140.02000000000001</v>
      </c>
      <c r="BO1041" s="237" t="s">
        <v>323</v>
      </c>
      <c r="BT1041" s="347">
        <v>309.16000000000003</v>
      </c>
      <c r="BU1041" s="347" t="s">
        <v>343</v>
      </c>
      <c r="CD1041" s="237">
        <v>38.04</v>
      </c>
      <c r="CE1041" s="237" t="s">
        <v>352</v>
      </c>
      <c r="CJ1041" s="347">
        <v>104.22</v>
      </c>
      <c r="CK1041" s="347" t="s">
        <v>344</v>
      </c>
      <c r="CL1041" s="1789"/>
      <c r="CR1041" s="345"/>
      <c r="CS1041" s="345"/>
      <c r="CX1041" s="347"/>
      <c r="CY1041" s="347"/>
      <c r="DH1041" s="237"/>
      <c r="DI1041" s="237"/>
      <c r="DN1041" s="347"/>
      <c r="DO1041" s="347"/>
      <c r="DP1041" s="2505"/>
    </row>
    <row r="1042" spans="12:120">
      <c r="L1042" s="347">
        <v>8.02</v>
      </c>
      <c r="M1042" s="347" t="s">
        <v>350</v>
      </c>
      <c r="AB1042" s="347">
        <v>131.01</v>
      </c>
      <c r="AC1042" s="347" t="s">
        <v>365</v>
      </c>
      <c r="AD1042" s="1138"/>
      <c r="AP1042" s="347">
        <v>312.02</v>
      </c>
      <c r="AQ1042" s="347" t="s">
        <v>343</v>
      </c>
      <c r="BF1042" s="347">
        <v>104.2</v>
      </c>
      <c r="BG1042" s="347" t="s">
        <v>344</v>
      </c>
      <c r="BH1042" s="1790"/>
      <c r="BN1042" s="237">
        <v>141.01</v>
      </c>
      <c r="BO1042" s="237" t="s">
        <v>323</v>
      </c>
      <c r="BT1042" s="347">
        <v>309.17</v>
      </c>
      <c r="BU1042" s="347" t="s">
        <v>343</v>
      </c>
      <c r="CD1042" s="237">
        <v>39</v>
      </c>
      <c r="CE1042" s="237" t="s">
        <v>325</v>
      </c>
      <c r="CJ1042" s="347">
        <v>104.23</v>
      </c>
      <c r="CK1042" s="347" t="s">
        <v>318</v>
      </c>
      <c r="CL1042" s="1789"/>
      <c r="CR1042" s="345"/>
      <c r="CS1042" s="345"/>
      <c r="CX1042" s="347"/>
      <c r="CY1042" s="347"/>
      <c r="DH1042" s="237"/>
      <c r="DI1042" s="237"/>
      <c r="DN1042" s="347"/>
      <c r="DO1042" s="347"/>
      <c r="DP1042" s="2505"/>
    </row>
    <row r="1043" spans="12:120">
      <c r="L1043" s="347">
        <v>9.02</v>
      </c>
      <c r="M1043" s="347" t="s">
        <v>350</v>
      </c>
      <c r="AB1043" s="347">
        <v>132</v>
      </c>
      <c r="AC1043" s="347" t="s">
        <v>323</v>
      </c>
      <c r="AD1043" s="1138"/>
      <c r="AP1043" s="347">
        <v>312.05</v>
      </c>
      <c r="AQ1043" s="347" t="s">
        <v>343</v>
      </c>
      <c r="BF1043" s="347">
        <v>104.21</v>
      </c>
      <c r="BG1043" s="347" t="s">
        <v>344</v>
      </c>
      <c r="BH1043" s="1790"/>
      <c r="BN1043" s="237">
        <v>141.03</v>
      </c>
      <c r="BO1043" s="237" t="s">
        <v>323</v>
      </c>
      <c r="BT1043" s="347">
        <v>309.18</v>
      </c>
      <c r="BU1043" s="347" t="s">
        <v>343</v>
      </c>
      <c r="CD1043" s="237">
        <v>39.01</v>
      </c>
      <c r="CE1043" s="237" t="s">
        <v>361</v>
      </c>
      <c r="CJ1043" s="347">
        <v>104.23</v>
      </c>
      <c r="CK1043" s="347" t="s">
        <v>344</v>
      </c>
      <c r="CL1043" s="1789"/>
      <c r="CR1043" s="345"/>
      <c r="CS1043" s="345"/>
      <c r="CX1043" s="347"/>
      <c r="CY1043" s="347"/>
      <c r="DH1043" s="237"/>
      <c r="DI1043" s="237"/>
      <c r="DN1043" s="347"/>
      <c r="DO1043" s="347"/>
      <c r="DP1043" s="2505"/>
    </row>
    <row r="1044" spans="12:120">
      <c r="L1044" s="347">
        <v>10.039999999999999</v>
      </c>
      <c r="M1044" s="347" t="s">
        <v>350</v>
      </c>
      <c r="AB1044" s="347">
        <v>132</v>
      </c>
      <c r="AC1044" s="347" t="s">
        <v>352</v>
      </c>
      <c r="AD1044" s="1138"/>
      <c r="AP1044" s="347">
        <v>312.07</v>
      </c>
      <c r="AQ1044" s="347" t="s">
        <v>343</v>
      </c>
      <c r="BF1044" s="347">
        <v>104.22</v>
      </c>
      <c r="BG1044" s="347" t="s">
        <v>344</v>
      </c>
      <c r="BH1044" s="1790"/>
      <c r="BN1044" s="237">
        <v>141.04</v>
      </c>
      <c r="BO1044" s="237" t="s">
        <v>323</v>
      </c>
      <c r="BT1044" s="347">
        <v>310.02</v>
      </c>
      <c r="BU1044" s="347" t="s">
        <v>343</v>
      </c>
      <c r="CD1044" s="237">
        <v>39.020000000000003</v>
      </c>
      <c r="CE1044" s="237" t="s">
        <v>361</v>
      </c>
      <c r="CJ1044" s="347">
        <v>104.24</v>
      </c>
      <c r="CK1044" s="347" t="s">
        <v>318</v>
      </c>
      <c r="CL1044" s="1789"/>
      <c r="CR1044" s="345"/>
      <c r="CS1044" s="345"/>
      <c r="CX1044" s="347"/>
      <c r="CY1044" s="347"/>
      <c r="DH1044" s="237"/>
      <c r="DI1044" s="237"/>
      <c r="DN1044" s="347"/>
      <c r="DO1044" s="347"/>
      <c r="DP1044" s="2505"/>
    </row>
    <row r="1045" spans="12:120">
      <c r="L1045" s="347">
        <v>10.050000000000001</v>
      </c>
      <c r="M1045" s="347" t="s">
        <v>350</v>
      </c>
      <c r="AB1045" s="347">
        <v>132.03</v>
      </c>
      <c r="AC1045" s="347" t="s">
        <v>337</v>
      </c>
      <c r="AD1045" s="1138"/>
      <c r="AP1045" s="347">
        <v>312.08</v>
      </c>
      <c r="AQ1045" s="347" t="s">
        <v>343</v>
      </c>
      <c r="BF1045" s="347">
        <v>104.23</v>
      </c>
      <c r="BG1045" s="347" t="s">
        <v>318</v>
      </c>
      <c r="BH1045" s="1790"/>
      <c r="BN1045" s="237">
        <v>142.03</v>
      </c>
      <c r="BO1045" s="237" t="s">
        <v>323</v>
      </c>
      <c r="BT1045" s="347">
        <v>311.02999999999997</v>
      </c>
      <c r="BU1045" s="347" t="s">
        <v>343</v>
      </c>
      <c r="CD1045" s="237">
        <v>39.06</v>
      </c>
      <c r="CE1045" s="237" t="s">
        <v>352</v>
      </c>
      <c r="CJ1045" s="347">
        <v>104.25</v>
      </c>
      <c r="CK1045" s="347" t="s">
        <v>318</v>
      </c>
      <c r="CL1045" s="1789"/>
      <c r="CR1045" s="345"/>
      <c r="CS1045" s="345"/>
      <c r="CX1045" s="347"/>
      <c r="CY1045" s="347"/>
      <c r="DH1045" s="237"/>
      <c r="DI1045" s="237"/>
      <c r="DN1045" s="347"/>
      <c r="DO1045" s="347"/>
      <c r="DP1045" s="2505"/>
    </row>
    <row r="1046" spans="12:120">
      <c r="L1046" s="347">
        <v>10.06</v>
      </c>
      <c r="M1046" s="347" t="s">
        <v>350</v>
      </c>
      <c r="AB1046" s="347">
        <v>132.05000000000001</v>
      </c>
      <c r="AC1046" s="347" t="s">
        <v>337</v>
      </c>
      <c r="AD1046" s="1138"/>
      <c r="AP1046" s="347">
        <v>313.01</v>
      </c>
      <c r="AQ1046" s="347" t="s">
        <v>343</v>
      </c>
      <c r="BF1046" s="347">
        <v>104.23</v>
      </c>
      <c r="BG1046" s="347" t="s">
        <v>344</v>
      </c>
      <c r="BH1046" s="1790"/>
      <c r="BN1046" s="237">
        <v>142.04</v>
      </c>
      <c r="BO1046" s="237" t="s">
        <v>323</v>
      </c>
      <c r="BT1046" s="347">
        <v>311.04000000000002</v>
      </c>
      <c r="BU1046" s="347" t="s">
        <v>343</v>
      </c>
      <c r="CD1046" s="237">
        <v>39.090000000000003</v>
      </c>
      <c r="CE1046" s="237" t="s">
        <v>352</v>
      </c>
      <c r="CJ1046" s="347">
        <v>104.27</v>
      </c>
      <c r="CK1046" s="347" t="s">
        <v>318</v>
      </c>
      <c r="CL1046" s="1789"/>
      <c r="CR1046" s="345"/>
      <c r="CS1046" s="345"/>
      <c r="CX1046" s="347"/>
      <c r="CY1046" s="347"/>
      <c r="DH1046" s="237"/>
      <c r="DI1046" s="237"/>
      <c r="DN1046" s="347"/>
      <c r="DO1046" s="347"/>
      <c r="DP1046" s="2505"/>
    </row>
    <row r="1047" spans="12:120">
      <c r="L1047" s="347">
        <v>10.07</v>
      </c>
      <c r="M1047" s="347" t="s">
        <v>350</v>
      </c>
      <c r="AB1047" s="347">
        <v>132.06</v>
      </c>
      <c r="AC1047" s="347" t="s">
        <v>337</v>
      </c>
      <c r="AD1047" s="1138"/>
      <c r="AP1047" s="347">
        <v>313.06</v>
      </c>
      <c r="AQ1047" s="347" t="s">
        <v>343</v>
      </c>
      <c r="BF1047" s="347">
        <v>104.25</v>
      </c>
      <c r="BG1047" s="347" t="s">
        <v>318</v>
      </c>
      <c r="BH1047" s="1790"/>
      <c r="BN1047" s="237">
        <v>142.05000000000001</v>
      </c>
      <c r="BO1047" s="237" t="s">
        <v>323</v>
      </c>
      <c r="BT1047" s="347">
        <v>311.05</v>
      </c>
      <c r="BU1047" s="347" t="s">
        <v>343</v>
      </c>
      <c r="CD1047" s="237">
        <v>39.11</v>
      </c>
      <c r="CE1047" s="237" t="s">
        <v>352</v>
      </c>
      <c r="CJ1047" s="347">
        <v>104.3</v>
      </c>
      <c r="CK1047" s="347" t="s">
        <v>318</v>
      </c>
      <c r="CL1047" s="1789"/>
      <c r="CR1047" s="345"/>
      <c r="CS1047" s="345"/>
      <c r="CX1047" s="347"/>
      <c r="CY1047" s="347"/>
      <c r="DH1047" s="237"/>
      <c r="DI1047" s="237"/>
      <c r="DN1047" s="347"/>
      <c r="DO1047" s="347"/>
      <c r="DP1047" s="2505"/>
    </row>
    <row r="1048" spans="12:120">
      <c r="L1048" s="347">
        <v>10.08</v>
      </c>
      <c r="M1048" s="347" t="s">
        <v>350</v>
      </c>
      <c r="AB1048" s="347">
        <v>132.07</v>
      </c>
      <c r="AC1048" s="347" t="s">
        <v>337</v>
      </c>
      <c r="AD1048" s="1138"/>
      <c r="AP1048" s="347">
        <v>313.08</v>
      </c>
      <c r="AQ1048" s="347" t="s">
        <v>343</v>
      </c>
      <c r="BF1048" s="347">
        <v>104.26</v>
      </c>
      <c r="BG1048" s="347" t="s">
        <v>318</v>
      </c>
      <c r="BH1048" s="1790"/>
      <c r="BN1048" s="237">
        <v>142.06</v>
      </c>
      <c r="BO1048" s="237" t="s">
        <v>323</v>
      </c>
      <c r="BT1048" s="347">
        <v>311.06</v>
      </c>
      <c r="BU1048" s="347" t="s">
        <v>343</v>
      </c>
      <c r="CD1048" s="237">
        <v>39.119999999999997</v>
      </c>
      <c r="CE1048" s="237" t="s">
        <v>352</v>
      </c>
      <c r="CJ1048" s="347">
        <v>104.31</v>
      </c>
      <c r="CK1048" s="347" t="s">
        <v>318</v>
      </c>
      <c r="CL1048" s="1789"/>
      <c r="CR1048" s="345"/>
      <c r="CS1048" s="345"/>
      <c r="CX1048" s="347"/>
      <c r="CY1048" s="347"/>
      <c r="DH1048" s="237"/>
      <c r="DI1048" s="237"/>
      <c r="DN1048" s="347"/>
      <c r="DO1048" s="347"/>
      <c r="DP1048" s="2505"/>
    </row>
    <row r="1049" spans="12:120">
      <c r="L1049" s="347">
        <v>11.03</v>
      </c>
      <c r="M1049" s="347" t="s">
        <v>350</v>
      </c>
      <c r="AB1049" s="347">
        <v>132.08000000000001</v>
      </c>
      <c r="AC1049" s="347" t="s">
        <v>337</v>
      </c>
      <c r="AD1049" s="1138"/>
      <c r="AP1049" s="347">
        <v>313.08999999999997</v>
      </c>
      <c r="AQ1049" s="347" t="s">
        <v>343</v>
      </c>
      <c r="BF1049" s="347">
        <v>104.27</v>
      </c>
      <c r="BG1049" s="347" t="s">
        <v>318</v>
      </c>
      <c r="BH1049" s="1790"/>
      <c r="BN1049" s="237">
        <v>143.11000000000001</v>
      </c>
      <c r="BO1049" s="237" t="s">
        <v>323</v>
      </c>
      <c r="BT1049" s="347">
        <v>311.08</v>
      </c>
      <c r="BU1049" s="347" t="s">
        <v>343</v>
      </c>
      <c r="CD1049" s="237">
        <v>39.130000000000003</v>
      </c>
      <c r="CE1049" s="237" t="s">
        <v>352</v>
      </c>
      <c r="CJ1049" s="347">
        <v>104.32</v>
      </c>
      <c r="CK1049" s="347" t="s">
        <v>318</v>
      </c>
      <c r="CL1049" s="1789"/>
      <c r="CR1049" s="345"/>
      <c r="CS1049" s="345"/>
      <c r="CX1049" s="347"/>
      <c r="CY1049" s="347"/>
      <c r="DH1049" s="237"/>
      <c r="DI1049" s="237"/>
      <c r="DN1049" s="347"/>
      <c r="DO1049" s="347"/>
      <c r="DP1049" s="2505"/>
    </row>
    <row r="1050" spans="12:120">
      <c r="L1050" s="347">
        <v>12.06</v>
      </c>
      <c r="M1050" s="347" t="s">
        <v>350</v>
      </c>
      <c r="AB1050" s="347">
        <v>133</v>
      </c>
      <c r="AC1050" s="347" t="s">
        <v>323</v>
      </c>
      <c r="AD1050" s="1138"/>
      <c r="AP1050" s="347">
        <v>313.13</v>
      </c>
      <c r="AQ1050" s="347" t="s">
        <v>343</v>
      </c>
      <c r="BF1050" s="347">
        <v>104.29</v>
      </c>
      <c r="BG1050" s="347" t="s">
        <v>318</v>
      </c>
      <c r="BH1050" s="1790"/>
      <c r="BN1050" s="237">
        <v>143.12</v>
      </c>
      <c r="BO1050" s="237" t="s">
        <v>323</v>
      </c>
      <c r="BT1050" s="347">
        <v>312.07</v>
      </c>
      <c r="BU1050" s="347" t="s">
        <v>343</v>
      </c>
      <c r="CD1050" s="237">
        <v>39.14</v>
      </c>
      <c r="CE1050" s="237" t="s">
        <v>352</v>
      </c>
      <c r="CJ1050" s="347">
        <v>104.33</v>
      </c>
      <c r="CK1050" s="347" t="s">
        <v>318</v>
      </c>
      <c r="CL1050" s="1789"/>
      <c r="CR1050" s="345"/>
      <c r="CS1050" s="345"/>
      <c r="CX1050" s="347"/>
      <c r="CY1050" s="347"/>
      <c r="DH1050" s="237"/>
      <c r="DI1050" s="237"/>
      <c r="DN1050" s="347"/>
      <c r="DO1050" s="347"/>
      <c r="DP1050" s="2505"/>
    </row>
    <row r="1051" spans="12:120">
      <c r="L1051" s="347">
        <v>12.08</v>
      </c>
      <c r="M1051" s="347" t="s">
        <v>350</v>
      </c>
      <c r="AB1051" s="347">
        <v>133</v>
      </c>
      <c r="AC1051" s="347" t="s">
        <v>352</v>
      </c>
      <c r="AD1051" s="1138"/>
      <c r="AP1051" s="347">
        <v>313.14</v>
      </c>
      <c r="AQ1051" s="347" t="s">
        <v>343</v>
      </c>
      <c r="BF1051" s="347">
        <v>104.3</v>
      </c>
      <c r="BG1051" s="347" t="s">
        <v>318</v>
      </c>
      <c r="BH1051" s="1790"/>
      <c r="BN1051" s="237">
        <v>143.28</v>
      </c>
      <c r="BO1051" s="237" t="s">
        <v>323</v>
      </c>
      <c r="BT1051" s="347">
        <v>312.08</v>
      </c>
      <c r="BU1051" s="347" t="s">
        <v>343</v>
      </c>
      <c r="CD1051" s="237">
        <v>39.15</v>
      </c>
      <c r="CE1051" s="237" t="s">
        <v>352</v>
      </c>
      <c r="CJ1051" s="347">
        <v>104.34</v>
      </c>
      <c r="CK1051" s="347" t="s">
        <v>318</v>
      </c>
      <c r="CL1051" s="1789"/>
      <c r="CR1051" s="345"/>
      <c r="CS1051" s="345"/>
      <c r="CX1051" s="347"/>
      <c r="CY1051" s="347"/>
      <c r="DH1051" s="237"/>
      <c r="DI1051" s="237"/>
      <c r="DN1051" s="347"/>
      <c r="DO1051" s="347"/>
      <c r="DP1051" s="2505"/>
    </row>
    <row r="1052" spans="12:120">
      <c r="L1052" s="347">
        <v>13.02</v>
      </c>
      <c r="M1052" s="347" t="s">
        <v>350</v>
      </c>
      <c r="AB1052" s="347">
        <v>133.05000000000001</v>
      </c>
      <c r="AC1052" s="347" t="s">
        <v>337</v>
      </c>
      <c r="AD1052" s="1138"/>
      <c r="AP1052" s="347">
        <v>313.14999999999998</v>
      </c>
      <c r="AQ1052" s="347" t="s">
        <v>343</v>
      </c>
      <c r="BF1052" s="347">
        <v>104.31</v>
      </c>
      <c r="BG1052" s="347" t="s">
        <v>318</v>
      </c>
      <c r="BH1052" s="1790"/>
      <c r="BN1052" s="237">
        <v>143.29</v>
      </c>
      <c r="BO1052" s="237" t="s">
        <v>323</v>
      </c>
      <c r="BT1052" s="347">
        <v>313.01</v>
      </c>
      <c r="BU1052" s="347" t="s">
        <v>343</v>
      </c>
      <c r="CD1052" s="237">
        <v>39.159999999999997</v>
      </c>
      <c r="CE1052" s="237" t="s">
        <v>352</v>
      </c>
      <c r="CJ1052" s="347">
        <v>104.35</v>
      </c>
      <c r="CK1052" s="347" t="s">
        <v>318</v>
      </c>
      <c r="CL1052" s="1789"/>
      <c r="CR1052" s="345"/>
      <c r="CS1052" s="345"/>
      <c r="CX1052" s="347"/>
      <c r="CY1052" s="347"/>
      <c r="DH1052" s="237"/>
      <c r="DI1052" s="237"/>
      <c r="DN1052" s="347"/>
      <c r="DO1052" s="347"/>
      <c r="DP1052" s="2505"/>
    </row>
    <row r="1053" spans="12:120">
      <c r="L1053" s="347">
        <v>21</v>
      </c>
      <c r="M1053" s="347" t="s">
        <v>350</v>
      </c>
      <c r="AB1053" s="347">
        <v>133.07</v>
      </c>
      <c r="AC1053" s="347" t="s">
        <v>337</v>
      </c>
      <c r="AD1053" s="1138"/>
      <c r="AP1053" s="347">
        <v>313.16000000000003</v>
      </c>
      <c r="AQ1053" s="347" t="s">
        <v>343</v>
      </c>
      <c r="BF1053" s="347">
        <v>104.32</v>
      </c>
      <c r="BG1053" s="347" t="s">
        <v>318</v>
      </c>
      <c r="BH1053" s="1790"/>
      <c r="BN1053" s="237">
        <v>143.30000000000001</v>
      </c>
      <c r="BO1053" s="237" t="s">
        <v>323</v>
      </c>
      <c r="BT1053" s="347">
        <v>313.06</v>
      </c>
      <c r="BU1053" s="347" t="s">
        <v>343</v>
      </c>
      <c r="CD1053" s="237">
        <v>39.17</v>
      </c>
      <c r="CE1053" s="237" t="s">
        <v>352</v>
      </c>
      <c r="CJ1053" s="347">
        <v>104.36</v>
      </c>
      <c r="CK1053" s="347" t="s">
        <v>318</v>
      </c>
      <c r="CL1053" s="1789"/>
      <c r="CR1053" s="345"/>
      <c r="CS1053" s="345"/>
      <c r="CX1053" s="347"/>
      <c r="CY1053" s="347"/>
      <c r="DH1053" s="237"/>
      <c r="DI1053" s="237"/>
      <c r="DN1053" s="347"/>
      <c r="DO1053" s="347"/>
      <c r="DP1053" s="2505"/>
    </row>
    <row r="1054" spans="12:120">
      <c r="L1054" s="347">
        <v>22.01</v>
      </c>
      <c r="M1054" s="347" t="s">
        <v>350</v>
      </c>
      <c r="AB1054" s="347">
        <v>133.1</v>
      </c>
      <c r="AC1054" s="347" t="s">
        <v>337</v>
      </c>
      <c r="AD1054" s="1138"/>
      <c r="AP1054" s="347">
        <v>313.18</v>
      </c>
      <c r="AQ1054" s="347" t="s">
        <v>343</v>
      </c>
      <c r="BF1054" s="347">
        <v>104.33</v>
      </c>
      <c r="BG1054" s="347" t="s">
        <v>318</v>
      </c>
      <c r="BH1054" s="1790"/>
      <c r="BN1054" s="237">
        <v>143.31</v>
      </c>
      <c r="BO1054" s="237" t="s">
        <v>323</v>
      </c>
      <c r="BT1054" s="347">
        <v>313.08</v>
      </c>
      <c r="BU1054" s="347" t="s">
        <v>343</v>
      </c>
      <c r="CD1054" s="237">
        <v>39.18</v>
      </c>
      <c r="CE1054" s="237" t="s">
        <v>352</v>
      </c>
      <c r="CJ1054" s="347">
        <v>104.37</v>
      </c>
      <c r="CK1054" s="347" t="s">
        <v>318</v>
      </c>
      <c r="CL1054" s="1789"/>
      <c r="CR1054" s="345"/>
      <c r="CS1054" s="345"/>
      <c r="CX1054" s="347"/>
      <c r="CY1054" s="347"/>
      <c r="DH1054" s="237"/>
      <c r="DI1054" s="237"/>
      <c r="DN1054" s="347"/>
      <c r="DO1054" s="347"/>
      <c r="DP1054" s="2505"/>
    </row>
    <row r="1055" spans="12:120">
      <c r="L1055" s="347">
        <v>22.02</v>
      </c>
      <c r="M1055" s="347" t="s">
        <v>350</v>
      </c>
      <c r="AB1055" s="347">
        <v>133.11000000000001</v>
      </c>
      <c r="AC1055" s="347" t="s">
        <v>337</v>
      </c>
      <c r="AD1055" s="1138"/>
      <c r="AP1055" s="347">
        <v>313.19</v>
      </c>
      <c r="AQ1055" s="347" t="s">
        <v>343</v>
      </c>
      <c r="BF1055" s="347">
        <v>104.34</v>
      </c>
      <c r="BG1055" s="347" t="s">
        <v>318</v>
      </c>
      <c r="BH1055" s="1790"/>
      <c r="BN1055" s="237">
        <v>143.33000000000001</v>
      </c>
      <c r="BO1055" s="237" t="s">
        <v>323</v>
      </c>
      <c r="BT1055" s="347">
        <v>313.08999999999997</v>
      </c>
      <c r="BU1055" s="347" t="s">
        <v>343</v>
      </c>
      <c r="CD1055" s="237">
        <v>39.19</v>
      </c>
      <c r="CE1055" s="237" t="s">
        <v>352</v>
      </c>
      <c r="CJ1055" s="347">
        <v>104.38</v>
      </c>
      <c r="CK1055" s="347" t="s">
        <v>318</v>
      </c>
      <c r="CL1055" s="1789"/>
      <c r="CR1055" s="345"/>
      <c r="CS1055" s="345"/>
      <c r="CX1055" s="347"/>
      <c r="CY1055" s="347"/>
      <c r="DH1055" s="237"/>
      <c r="DI1055" s="237"/>
      <c r="DN1055" s="347"/>
      <c r="DO1055" s="347"/>
      <c r="DP1055" s="2505"/>
    </row>
    <row r="1056" spans="12:120">
      <c r="L1056" s="347">
        <v>22.03</v>
      </c>
      <c r="M1056" s="347" t="s">
        <v>350</v>
      </c>
      <c r="AB1056" s="347">
        <v>133.12</v>
      </c>
      <c r="AC1056" s="347" t="s">
        <v>337</v>
      </c>
      <c r="AD1056" s="1138"/>
      <c r="AP1056" s="347">
        <v>313.2</v>
      </c>
      <c r="AQ1056" s="347" t="s">
        <v>343</v>
      </c>
      <c r="BF1056" s="347">
        <v>104.35</v>
      </c>
      <c r="BG1056" s="347" t="s">
        <v>318</v>
      </c>
      <c r="BH1056" s="1790"/>
      <c r="BN1056" s="237">
        <v>143.34</v>
      </c>
      <c r="BO1056" s="237" t="s">
        <v>323</v>
      </c>
      <c r="BT1056" s="347">
        <v>313.13</v>
      </c>
      <c r="BU1056" s="347" t="s">
        <v>343</v>
      </c>
      <c r="CD1056" s="237">
        <v>39.21</v>
      </c>
      <c r="CE1056" s="237" t="s">
        <v>352</v>
      </c>
      <c r="CJ1056" s="347">
        <v>105.01</v>
      </c>
      <c r="CK1056" s="347" t="s">
        <v>323</v>
      </c>
      <c r="CL1056" s="1789"/>
      <c r="CR1056" s="345"/>
      <c r="CS1056" s="345"/>
      <c r="CX1056" s="347"/>
      <c r="CY1056" s="347"/>
      <c r="DH1056" s="237"/>
      <c r="DI1056" s="237"/>
      <c r="DN1056" s="347"/>
      <c r="DO1056" s="347"/>
      <c r="DP1056" s="2505"/>
    </row>
    <row r="1057" spans="12:120">
      <c r="L1057" s="347">
        <v>23.01</v>
      </c>
      <c r="M1057" s="347" t="s">
        <v>350</v>
      </c>
      <c r="AB1057" s="347">
        <v>133.13</v>
      </c>
      <c r="AC1057" s="347" t="s">
        <v>337</v>
      </c>
      <c r="AD1057" s="1138"/>
      <c r="AP1057" s="347">
        <v>313.20999999999998</v>
      </c>
      <c r="AQ1057" s="347" t="s">
        <v>343</v>
      </c>
      <c r="BF1057" s="347">
        <v>104.36</v>
      </c>
      <c r="BG1057" s="347" t="s">
        <v>318</v>
      </c>
      <c r="BH1057" s="1790"/>
      <c r="BN1057" s="237">
        <v>143.35</v>
      </c>
      <c r="BO1057" s="237" t="s">
        <v>323</v>
      </c>
      <c r="BT1057" s="347">
        <v>313.14</v>
      </c>
      <c r="BU1057" s="347" t="s">
        <v>343</v>
      </c>
      <c r="CD1057" s="237">
        <v>39.22</v>
      </c>
      <c r="CE1057" s="237" t="s">
        <v>352</v>
      </c>
      <c r="CJ1057" s="347">
        <v>105.01</v>
      </c>
      <c r="CK1057" s="347" t="s">
        <v>344</v>
      </c>
      <c r="CL1057" s="1789"/>
      <c r="CR1057" s="345"/>
      <c r="CS1057" s="345"/>
      <c r="CX1057" s="347"/>
      <c r="CY1057" s="347"/>
      <c r="DH1057" s="237"/>
      <c r="DI1057" s="237"/>
      <c r="DN1057" s="347"/>
      <c r="DO1057" s="347"/>
      <c r="DP1057" s="2505"/>
    </row>
    <row r="1058" spans="12:120">
      <c r="L1058" s="347">
        <v>23.02</v>
      </c>
      <c r="M1058" s="347" t="s">
        <v>350</v>
      </c>
      <c r="AB1058" s="347">
        <v>133.13999999999999</v>
      </c>
      <c r="AC1058" s="347" t="s">
        <v>337</v>
      </c>
      <c r="AD1058" s="1138"/>
      <c r="AP1058" s="347">
        <v>313.22000000000003</v>
      </c>
      <c r="AQ1058" s="347" t="s">
        <v>343</v>
      </c>
      <c r="BF1058" s="347">
        <v>104.38</v>
      </c>
      <c r="BG1058" s="347" t="s">
        <v>318</v>
      </c>
      <c r="BH1058" s="1790"/>
      <c r="BN1058" s="237">
        <v>143.36000000000001</v>
      </c>
      <c r="BO1058" s="237" t="s">
        <v>323</v>
      </c>
      <c r="BT1058" s="347">
        <v>313.14999999999998</v>
      </c>
      <c r="BU1058" s="347" t="s">
        <v>343</v>
      </c>
      <c r="CD1058" s="237">
        <v>40</v>
      </c>
      <c r="CE1058" s="237" t="s">
        <v>325</v>
      </c>
      <c r="CJ1058" s="347">
        <v>105.01</v>
      </c>
      <c r="CK1058" s="347" t="s">
        <v>365</v>
      </c>
      <c r="CL1058" s="1789"/>
      <c r="CR1058" s="345"/>
      <c r="CS1058" s="345"/>
      <c r="CX1058" s="347"/>
      <c r="CY1058" s="347"/>
      <c r="DH1058" s="237"/>
      <c r="DI1058" s="237"/>
      <c r="DN1058" s="347"/>
      <c r="DO1058" s="347"/>
      <c r="DP1058" s="2505"/>
    </row>
    <row r="1059" spans="12:120">
      <c r="L1059" s="347">
        <v>24.01</v>
      </c>
      <c r="M1059" s="347" t="s">
        <v>350</v>
      </c>
      <c r="AB1059" s="347">
        <v>133.15</v>
      </c>
      <c r="AC1059" s="347" t="s">
        <v>337</v>
      </c>
      <c r="AD1059" s="1138"/>
      <c r="AP1059" s="347">
        <v>313.23</v>
      </c>
      <c r="AQ1059" s="347" t="s">
        <v>343</v>
      </c>
      <c r="BF1059" s="347">
        <v>105.01</v>
      </c>
      <c r="BG1059" s="347" t="s">
        <v>323</v>
      </c>
      <c r="BH1059" s="1790"/>
      <c r="BN1059" s="237">
        <v>143.38</v>
      </c>
      <c r="BO1059" s="237" t="s">
        <v>323</v>
      </c>
      <c r="BT1059" s="347">
        <v>313.16000000000003</v>
      </c>
      <c r="BU1059" s="347" t="s">
        <v>343</v>
      </c>
      <c r="CD1059" s="237">
        <v>40</v>
      </c>
      <c r="CE1059" s="237" t="s">
        <v>352</v>
      </c>
      <c r="CJ1059" s="347">
        <v>105.02</v>
      </c>
      <c r="CK1059" s="347" t="s">
        <v>310</v>
      </c>
      <c r="CL1059" s="1789"/>
      <c r="CR1059" s="345"/>
      <c r="CS1059" s="345"/>
      <c r="CX1059" s="347"/>
      <c r="CY1059" s="347"/>
      <c r="DH1059" s="237"/>
      <c r="DI1059" s="237"/>
      <c r="DN1059" s="347"/>
      <c r="DO1059" s="347"/>
      <c r="DP1059" s="2505"/>
    </row>
    <row r="1060" spans="12:120">
      <c r="L1060" s="347">
        <v>24.02</v>
      </c>
      <c r="M1060" s="347" t="s">
        <v>350</v>
      </c>
      <c r="AB1060" s="347">
        <v>133.16999999999999</v>
      </c>
      <c r="AC1060" s="347" t="s">
        <v>337</v>
      </c>
      <c r="AD1060" s="1138"/>
      <c r="AP1060" s="347">
        <v>3.04</v>
      </c>
      <c r="AQ1060" s="347" t="s">
        <v>344</v>
      </c>
      <c r="BF1060" s="347">
        <v>105.01</v>
      </c>
      <c r="BG1060" s="347" t="s">
        <v>365</v>
      </c>
      <c r="BH1060" s="1790"/>
      <c r="BN1060" s="237">
        <v>143.38999999999999</v>
      </c>
      <c r="BO1060" s="237" t="s">
        <v>323</v>
      </c>
      <c r="BT1060" s="347">
        <v>313.18</v>
      </c>
      <c r="BU1060" s="347" t="s">
        <v>343</v>
      </c>
      <c r="CD1060" s="237">
        <v>40.049999999999997</v>
      </c>
      <c r="CE1060" s="237" t="s">
        <v>361</v>
      </c>
      <c r="CJ1060" s="347">
        <v>105.02</v>
      </c>
      <c r="CK1060" s="347" t="s">
        <v>352</v>
      </c>
      <c r="CL1060" s="1789"/>
      <c r="CR1060" s="345"/>
      <c r="CS1060" s="345"/>
      <c r="CX1060" s="347"/>
      <c r="CY1060" s="347"/>
      <c r="DH1060" s="237"/>
      <c r="DI1060" s="237"/>
      <c r="DN1060" s="347"/>
      <c r="DO1060" s="347"/>
      <c r="DP1060" s="2505"/>
    </row>
    <row r="1061" spans="12:120">
      <c r="L1061" s="347">
        <v>25.02</v>
      </c>
      <c r="M1061" s="347" t="s">
        <v>350</v>
      </c>
      <c r="AB1061" s="347">
        <v>133.18</v>
      </c>
      <c r="AC1061" s="347" t="s">
        <v>337</v>
      </c>
      <c r="AD1061" s="1138"/>
      <c r="AP1061" s="347">
        <v>4.01</v>
      </c>
      <c r="AQ1061" s="347" t="s">
        <v>344</v>
      </c>
      <c r="BF1061" s="347">
        <v>105.02</v>
      </c>
      <c r="BG1061" s="347" t="s">
        <v>310</v>
      </c>
      <c r="BH1061" s="1790"/>
      <c r="BN1061" s="237">
        <v>143.4</v>
      </c>
      <c r="BO1061" s="237" t="s">
        <v>323</v>
      </c>
      <c r="BT1061" s="347">
        <v>313.19</v>
      </c>
      <c r="BU1061" s="347" t="s">
        <v>343</v>
      </c>
      <c r="CD1061" s="237">
        <v>40.07</v>
      </c>
      <c r="CE1061" s="237" t="s">
        <v>361</v>
      </c>
      <c r="CJ1061" s="347">
        <v>105.02</v>
      </c>
      <c r="CK1061" s="347" t="s">
        <v>365</v>
      </c>
      <c r="CL1061" s="1789"/>
      <c r="CR1061" s="345"/>
      <c r="CS1061" s="345"/>
      <c r="CX1061" s="347"/>
      <c r="CY1061" s="347"/>
      <c r="DH1061" s="237"/>
      <c r="DI1061" s="237"/>
      <c r="DN1061" s="347"/>
      <c r="DO1061" s="347"/>
      <c r="DP1061" s="2505"/>
    </row>
    <row r="1062" spans="12:120">
      <c r="L1062" s="347">
        <v>25.03</v>
      </c>
      <c r="M1062" s="347" t="s">
        <v>350</v>
      </c>
      <c r="AB1062" s="347">
        <v>133.19</v>
      </c>
      <c r="AC1062" s="347" t="s">
        <v>337</v>
      </c>
      <c r="AD1062" s="1138"/>
      <c r="AP1062" s="347">
        <v>8</v>
      </c>
      <c r="AQ1062" s="347" t="s">
        <v>344</v>
      </c>
      <c r="BF1062" s="347">
        <v>105.02</v>
      </c>
      <c r="BG1062" s="347" t="s">
        <v>352</v>
      </c>
      <c r="BH1062" s="1790"/>
      <c r="BN1062" s="237">
        <v>143.41</v>
      </c>
      <c r="BO1062" s="237" t="s">
        <v>323</v>
      </c>
      <c r="BT1062" s="347">
        <v>313.2</v>
      </c>
      <c r="BU1062" s="347" t="s">
        <v>343</v>
      </c>
      <c r="CD1062" s="237">
        <v>40.08</v>
      </c>
      <c r="CE1062" s="237" t="s">
        <v>361</v>
      </c>
      <c r="CJ1062" s="347">
        <v>105.03</v>
      </c>
      <c r="CK1062" s="347" t="s">
        <v>310</v>
      </c>
      <c r="CL1062" s="1789"/>
      <c r="CR1062" s="345"/>
      <c r="CS1062" s="345"/>
      <c r="CX1062" s="347"/>
      <c r="CY1062" s="347"/>
      <c r="DH1062" s="237"/>
      <c r="DI1062" s="237"/>
      <c r="DN1062" s="347"/>
      <c r="DO1062" s="347"/>
      <c r="DP1062" s="2505"/>
    </row>
    <row r="1063" spans="12:120">
      <c r="L1063" s="347">
        <v>26.04</v>
      </c>
      <c r="M1063" s="347" t="s">
        <v>350</v>
      </c>
      <c r="AB1063" s="347">
        <v>133.19999999999999</v>
      </c>
      <c r="AC1063" s="347" t="s">
        <v>337</v>
      </c>
      <c r="AD1063" s="1138"/>
      <c r="AP1063" s="347">
        <v>9</v>
      </c>
      <c r="AQ1063" s="347" t="s">
        <v>344</v>
      </c>
      <c r="BF1063" s="347">
        <v>105.02</v>
      </c>
      <c r="BG1063" s="347" t="s">
        <v>365</v>
      </c>
      <c r="BH1063" s="1790"/>
      <c r="BN1063" s="237">
        <v>143.41999999999999</v>
      </c>
      <c r="BO1063" s="237" t="s">
        <v>323</v>
      </c>
      <c r="BT1063" s="347">
        <v>313.20999999999998</v>
      </c>
      <c r="BU1063" s="347" t="s">
        <v>343</v>
      </c>
      <c r="CD1063" s="237">
        <v>40.090000000000003</v>
      </c>
      <c r="CE1063" s="237" t="s">
        <v>361</v>
      </c>
      <c r="CJ1063" s="347">
        <v>105.03</v>
      </c>
      <c r="CK1063" s="347" t="s">
        <v>315</v>
      </c>
      <c r="CL1063" s="1789"/>
      <c r="CR1063" s="345"/>
      <c r="CS1063" s="345"/>
      <c r="CX1063" s="347"/>
      <c r="CY1063" s="347"/>
      <c r="DH1063" s="237"/>
      <c r="DI1063" s="237"/>
      <c r="DN1063" s="347"/>
      <c r="DO1063" s="347"/>
      <c r="DP1063" s="2505"/>
    </row>
    <row r="1064" spans="12:120">
      <c r="L1064" s="347">
        <v>26.05</v>
      </c>
      <c r="M1064" s="347" t="s">
        <v>350</v>
      </c>
      <c r="AB1064" s="347">
        <v>133.21</v>
      </c>
      <c r="AC1064" s="347" t="s">
        <v>337</v>
      </c>
      <c r="AD1064" s="1138"/>
      <c r="AP1064" s="347">
        <v>10.01</v>
      </c>
      <c r="AQ1064" s="347" t="s">
        <v>344</v>
      </c>
      <c r="BF1064" s="347">
        <v>105.03</v>
      </c>
      <c r="BG1064" s="347" t="s">
        <v>310</v>
      </c>
      <c r="BH1064" s="1790"/>
      <c r="BN1064" s="237">
        <v>143.43</v>
      </c>
      <c r="BO1064" s="237" t="s">
        <v>323</v>
      </c>
      <c r="BT1064" s="347">
        <v>313.22000000000003</v>
      </c>
      <c r="BU1064" s="347" t="s">
        <v>343</v>
      </c>
      <c r="CD1064" s="237">
        <v>40.1</v>
      </c>
      <c r="CE1064" s="237" t="s">
        <v>361</v>
      </c>
      <c r="CJ1064" s="347">
        <v>105.04</v>
      </c>
      <c r="CK1064" s="347" t="s">
        <v>310</v>
      </c>
      <c r="CL1064" s="1789"/>
      <c r="CR1064" s="345"/>
      <c r="CS1064" s="345"/>
      <c r="CX1064" s="347"/>
      <c r="CY1064" s="347"/>
      <c r="DH1064" s="237"/>
      <c r="DI1064" s="237"/>
      <c r="DN1064" s="347"/>
      <c r="DO1064" s="347"/>
      <c r="DP1064" s="2505"/>
    </row>
    <row r="1065" spans="12:120">
      <c r="L1065" s="347">
        <v>26.06</v>
      </c>
      <c r="M1065" s="347" t="s">
        <v>350</v>
      </c>
      <c r="AB1065" s="347">
        <v>133.22</v>
      </c>
      <c r="AC1065" s="347" t="s">
        <v>337</v>
      </c>
      <c r="AD1065" s="1138"/>
      <c r="AP1065" s="347">
        <v>12.04</v>
      </c>
      <c r="AQ1065" s="347" t="s">
        <v>344</v>
      </c>
      <c r="BF1065" s="347">
        <v>105.03</v>
      </c>
      <c r="BG1065" s="347" t="s">
        <v>315</v>
      </c>
      <c r="BH1065" s="1790"/>
      <c r="BN1065" s="237">
        <v>143.44</v>
      </c>
      <c r="BO1065" s="237" t="s">
        <v>323</v>
      </c>
      <c r="BT1065" s="347">
        <v>313.23</v>
      </c>
      <c r="BU1065" s="347" t="s">
        <v>343</v>
      </c>
      <c r="CD1065" s="237">
        <v>40.11</v>
      </c>
      <c r="CE1065" s="237" t="s">
        <v>361</v>
      </c>
      <c r="CJ1065" s="347">
        <v>105.04</v>
      </c>
      <c r="CK1065" s="347" t="s">
        <v>367</v>
      </c>
      <c r="CL1065" s="1789"/>
      <c r="CR1065" s="345"/>
      <c r="CS1065" s="345"/>
      <c r="CX1065" s="347"/>
      <c r="CY1065" s="347"/>
      <c r="DH1065" s="237"/>
      <c r="DI1065" s="237"/>
      <c r="DN1065" s="347"/>
      <c r="DO1065" s="347"/>
      <c r="DP1065" s="2505"/>
    </row>
    <row r="1066" spans="12:120">
      <c r="L1066" s="347">
        <v>27.02</v>
      </c>
      <c r="M1066" s="347" t="s">
        <v>350</v>
      </c>
      <c r="AB1066" s="347">
        <v>134.07</v>
      </c>
      <c r="AC1066" s="347" t="s">
        <v>337</v>
      </c>
      <c r="AD1066" s="1138"/>
      <c r="AP1066" s="347">
        <v>12.05</v>
      </c>
      <c r="AQ1066" s="347" t="s">
        <v>344</v>
      </c>
      <c r="BF1066" s="347">
        <v>105.03</v>
      </c>
      <c r="BG1066" s="347" t="s">
        <v>344</v>
      </c>
      <c r="BH1066" s="1790"/>
      <c r="BN1066" s="237">
        <v>144.08000000000001</v>
      </c>
      <c r="BO1066" s="237" t="s">
        <v>323</v>
      </c>
      <c r="BT1066" s="347">
        <v>3.04</v>
      </c>
      <c r="BU1066" s="347" t="s">
        <v>344</v>
      </c>
      <c r="CD1066" s="237">
        <v>40.119999999999997</v>
      </c>
      <c r="CE1066" s="237" t="s">
        <v>361</v>
      </c>
      <c r="CJ1066" s="347">
        <v>105.05</v>
      </c>
      <c r="CK1066" s="347" t="s">
        <v>315</v>
      </c>
      <c r="CL1066" s="1789"/>
      <c r="CR1066" s="345"/>
      <c r="CS1066" s="345"/>
      <c r="CX1066" s="347"/>
      <c r="CY1066" s="347"/>
      <c r="DH1066" s="237"/>
      <c r="DI1066" s="237"/>
      <c r="DN1066" s="347"/>
      <c r="DO1066" s="347"/>
      <c r="DP1066" s="2505"/>
    </row>
    <row r="1067" spans="12:120">
      <c r="L1067" s="347">
        <v>1</v>
      </c>
      <c r="M1067" s="347" t="s">
        <v>351</v>
      </c>
      <c r="AB1067" s="347">
        <v>134.09</v>
      </c>
      <c r="AC1067" s="347" t="s">
        <v>337</v>
      </c>
      <c r="AD1067" s="1138"/>
      <c r="AP1067" s="347">
        <v>12.06</v>
      </c>
      <c r="AQ1067" s="347" t="s">
        <v>344</v>
      </c>
      <c r="BF1067" s="347">
        <v>105.04</v>
      </c>
      <c r="BG1067" s="347" t="s">
        <v>310</v>
      </c>
      <c r="BH1067" s="1790"/>
      <c r="BN1067" s="237">
        <v>144.13</v>
      </c>
      <c r="BO1067" s="237" t="s">
        <v>323</v>
      </c>
      <c r="BT1067" s="347">
        <v>4.01</v>
      </c>
      <c r="BU1067" s="347" t="s">
        <v>344</v>
      </c>
      <c r="CD1067" s="237">
        <v>40.130000000000003</v>
      </c>
      <c r="CE1067" s="237" t="s">
        <v>361</v>
      </c>
      <c r="CJ1067" s="347">
        <v>105.06</v>
      </c>
      <c r="CK1067" s="347" t="s">
        <v>315</v>
      </c>
      <c r="CL1067" s="1789"/>
      <c r="CR1067" s="345"/>
      <c r="CS1067" s="345"/>
      <c r="CX1067" s="347"/>
      <c r="CY1067" s="347"/>
      <c r="DH1067" s="237"/>
      <c r="DI1067" s="237"/>
      <c r="DN1067" s="347"/>
      <c r="DO1067" s="347"/>
      <c r="DP1067" s="2505"/>
    </row>
    <row r="1068" spans="12:120">
      <c r="L1068" s="347">
        <v>2</v>
      </c>
      <c r="M1068" s="347" t="s">
        <v>351</v>
      </c>
      <c r="AB1068" s="347">
        <v>134.1</v>
      </c>
      <c r="AC1068" s="347" t="s">
        <v>337</v>
      </c>
      <c r="AD1068" s="1138"/>
      <c r="AP1068" s="347">
        <v>12.07</v>
      </c>
      <c r="AQ1068" s="347" t="s">
        <v>344</v>
      </c>
      <c r="BF1068" s="347">
        <v>105.04</v>
      </c>
      <c r="BG1068" s="347" t="s">
        <v>367</v>
      </c>
      <c r="BH1068" s="1790"/>
      <c r="BN1068" s="237">
        <v>144.13999999999999</v>
      </c>
      <c r="BO1068" s="237" t="s">
        <v>323</v>
      </c>
      <c r="BT1068" s="347">
        <v>4.0199999999999996</v>
      </c>
      <c r="BU1068" s="347" t="s">
        <v>344</v>
      </c>
      <c r="CD1068" s="237">
        <v>41</v>
      </c>
      <c r="CE1068" s="237" t="s">
        <v>337</v>
      </c>
      <c r="CJ1068" s="347">
        <v>105.06</v>
      </c>
      <c r="CK1068" s="347" t="s">
        <v>367</v>
      </c>
      <c r="CL1068" s="1789"/>
      <c r="CR1068" s="345"/>
      <c r="CS1068" s="345"/>
      <c r="CX1068" s="347"/>
      <c r="CY1068" s="347"/>
      <c r="DH1068" s="237"/>
      <c r="DI1068" s="237"/>
      <c r="DN1068" s="347"/>
      <c r="DO1068" s="347"/>
      <c r="DP1068" s="2505"/>
    </row>
    <row r="1069" spans="12:120">
      <c r="L1069" s="347">
        <v>4</v>
      </c>
      <c r="M1069" s="347" t="s">
        <v>351</v>
      </c>
      <c r="AB1069" s="347">
        <v>134.12</v>
      </c>
      <c r="AC1069" s="347" t="s">
        <v>337</v>
      </c>
      <c r="AD1069" s="1138"/>
      <c r="AP1069" s="347">
        <v>12.08</v>
      </c>
      <c r="AQ1069" s="347" t="s">
        <v>344</v>
      </c>
      <c r="BF1069" s="347">
        <v>105.05</v>
      </c>
      <c r="BG1069" s="347" t="s">
        <v>315</v>
      </c>
      <c r="BH1069" s="1790"/>
      <c r="BN1069" s="237">
        <v>144.15</v>
      </c>
      <c r="BO1069" s="237" t="s">
        <v>323</v>
      </c>
      <c r="BT1069" s="347">
        <v>8</v>
      </c>
      <c r="BU1069" s="347" t="s">
        <v>344</v>
      </c>
      <c r="CD1069" s="237">
        <v>41.01</v>
      </c>
      <c r="CE1069" s="237" t="s">
        <v>361</v>
      </c>
      <c r="CJ1069" s="347">
        <v>105.13</v>
      </c>
      <c r="CK1069" s="347" t="s">
        <v>318</v>
      </c>
      <c r="CL1069" s="1789"/>
      <c r="CR1069" s="345"/>
      <c r="CS1069" s="345"/>
      <c r="CX1069" s="347"/>
      <c r="CY1069" s="347"/>
      <c r="DH1069" s="237"/>
      <c r="DI1069" s="237"/>
      <c r="DN1069" s="347"/>
      <c r="DO1069" s="347"/>
      <c r="DP1069" s="2505"/>
    </row>
    <row r="1070" spans="12:120">
      <c r="L1070" s="347">
        <v>5.0199999999999996</v>
      </c>
      <c r="M1070" s="347" t="s">
        <v>351</v>
      </c>
      <c r="AB1070" s="347">
        <v>134.13</v>
      </c>
      <c r="AC1070" s="347" t="s">
        <v>337</v>
      </c>
      <c r="AD1070" s="1138"/>
      <c r="AP1070" s="347">
        <v>12.09</v>
      </c>
      <c r="AQ1070" s="347" t="s">
        <v>344</v>
      </c>
      <c r="BF1070" s="347">
        <v>105.06</v>
      </c>
      <c r="BG1070" s="347" t="s">
        <v>315</v>
      </c>
      <c r="BH1070" s="1790"/>
      <c r="BN1070" s="237">
        <v>144.16</v>
      </c>
      <c r="BO1070" s="237" t="s">
        <v>323</v>
      </c>
      <c r="BT1070" s="347">
        <v>9</v>
      </c>
      <c r="BU1070" s="347" t="s">
        <v>344</v>
      </c>
      <c r="CD1070" s="237">
        <v>41.02</v>
      </c>
      <c r="CE1070" s="237" t="s">
        <v>352</v>
      </c>
      <c r="CJ1070" s="347">
        <v>105.14</v>
      </c>
      <c r="CK1070" s="347" t="s">
        <v>318</v>
      </c>
      <c r="CL1070" s="1789"/>
      <c r="CR1070" s="345"/>
      <c r="CS1070" s="345"/>
      <c r="CX1070" s="347"/>
      <c r="CY1070" s="347"/>
      <c r="DH1070" s="237"/>
      <c r="DI1070" s="237"/>
      <c r="DN1070" s="347"/>
      <c r="DO1070" s="347"/>
      <c r="DP1070" s="2505"/>
    </row>
    <row r="1071" spans="12:120">
      <c r="L1071" s="347">
        <v>6.03</v>
      </c>
      <c r="M1071" s="347" t="s">
        <v>351</v>
      </c>
      <c r="AB1071" s="347">
        <v>134.13999999999999</v>
      </c>
      <c r="AC1071" s="347" t="s">
        <v>337</v>
      </c>
      <c r="AD1071" s="1138"/>
      <c r="AP1071" s="347">
        <v>14.02</v>
      </c>
      <c r="AQ1071" s="347" t="s">
        <v>344</v>
      </c>
      <c r="BF1071" s="347">
        <v>105.06</v>
      </c>
      <c r="BG1071" s="347" t="s">
        <v>367</v>
      </c>
      <c r="BH1071" s="1790"/>
      <c r="BN1071" s="237">
        <v>144.16999999999999</v>
      </c>
      <c r="BO1071" s="237" t="s">
        <v>323</v>
      </c>
      <c r="BT1071" s="347">
        <v>10.01</v>
      </c>
      <c r="BU1071" s="347" t="s">
        <v>344</v>
      </c>
      <c r="CD1071" s="237">
        <v>41.02</v>
      </c>
      <c r="CE1071" s="237" t="s">
        <v>361</v>
      </c>
      <c r="CJ1071" s="347">
        <v>105.18</v>
      </c>
      <c r="CK1071" s="347" t="s">
        <v>318</v>
      </c>
      <c r="CL1071" s="1789"/>
      <c r="CR1071" s="345"/>
      <c r="CS1071" s="345"/>
      <c r="CX1071" s="347"/>
      <c r="CY1071" s="347"/>
      <c r="DH1071" s="237"/>
      <c r="DI1071" s="237"/>
      <c r="DN1071" s="347"/>
      <c r="DO1071" s="347"/>
      <c r="DP1071" s="2505"/>
    </row>
    <row r="1072" spans="12:120">
      <c r="L1072" s="347">
        <v>6.04</v>
      </c>
      <c r="M1072" s="347" t="s">
        <v>351</v>
      </c>
      <c r="AB1072" s="347">
        <v>134.15</v>
      </c>
      <c r="AC1072" s="347" t="s">
        <v>337</v>
      </c>
      <c r="AD1072" s="1138"/>
      <c r="AP1072" s="347">
        <v>15.01</v>
      </c>
      <c r="AQ1072" s="347" t="s">
        <v>344</v>
      </c>
      <c r="BF1072" s="347">
        <v>105.12</v>
      </c>
      <c r="BG1072" s="347" t="s">
        <v>318</v>
      </c>
      <c r="BH1072" s="1790"/>
      <c r="BN1072" s="237">
        <v>144.18</v>
      </c>
      <c r="BO1072" s="237" t="s">
        <v>323</v>
      </c>
      <c r="BT1072" s="347">
        <v>12.04</v>
      </c>
      <c r="BU1072" s="347" t="s">
        <v>344</v>
      </c>
      <c r="CD1072" s="237">
        <v>41.03</v>
      </c>
      <c r="CE1072" s="237" t="s">
        <v>352</v>
      </c>
      <c r="CJ1072" s="347">
        <v>105.19</v>
      </c>
      <c r="CK1072" s="347" t="s">
        <v>318</v>
      </c>
      <c r="CL1072" s="1789"/>
      <c r="CR1072" s="345"/>
      <c r="CS1072" s="345"/>
      <c r="CX1072" s="347"/>
      <c r="CY1072" s="347"/>
      <c r="DH1072" s="237"/>
      <c r="DI1072" s="237"/>
      <c r="DN1072" s="347"/>
      <c r="DO1072" s="347"/>
      <c r="DP1072" s="2505"/>
    </row>
    <row r="1073" spans="12:120">
      <c r="L1073" s="347">
        <v>6.06</v>
      </c>
      <c r="M1073" s="347" t="s">
        <v>351</v>
      </c>
      <c r="AB1073" s="347">
        <v>135</v>
      </c>
      <c r="AC1073" s="347" t="s">
        <v>365</v>
      </c>
      <c r="AD1073" s="1138"/>
      <c r="AP1073" s="347">
        <v>16.010000000000002</v>
      </c>
      <c r="AQ1073" s="347" t="s">
        <v>344</v>
      </c>
      <c r="BF1073" s="347">
        <v>105.16</v>
      </c>
      <c r="BG1073" s="347" t="s">
        <v>318</v>
      </c>
      <c r="BH1073" s="1790"/>
      <c r="BN1073" s="237">
        <v>144.19</v>
      </c>
      <c r="BO1073" s="237" t="s">
        <v>323</v>
      </c>
      <c r="BT1073" s="347">
        <v>12.05</v>
      </c>
      <c r="BU1073" s="347" t="s">
        <v>344</v>
      </c>
      <c r="CD1073" s="237">
        <v>41.05</v>
      </c>
      <c r="CE1073" s="237" t="s">
        <v>352</v>
      </c>
      <c r="CJ1073" s="347">
        <v>106</v>
      </c>
      <c r="CK1073" s="347" t="s">
        <v>337</v>
      </c>
      <c r="CL1073" s="1789"/>
      <c r="CR1073" s="345"/>
      <c r="CS1073" s="345"/>
      <c r="CX1073" s="347"/>
      <c r="CY1073" s="347"/>
      <c r="DH1073" s="237"/>
      <c r="DI1073" s="237"/>
      <c r="DN1073" s="347"/>
      <c r="DO1073" s="347"/>
      <c r="DP1073" s="2505"/>
    </row>
    <row r="1074" spans="12:120">
      <c r="L1074" s="347">
        <v>6.07</v>
      </c>
      <c r="M1074" s="347" t="s">
        <v>351</v>
      </c>
      <c r="AB1074" s="347">
        <v>135.07</v>
      </c>
      <c r="AC1074" s="347" t="s">
        <v>359</v>
      </c>
      <c r="AD1074" s="1138"/>
      <c r="AP1074" s="347">
        <v>16.02</v>
      </c>
      <c r="AQ1074" s="347" t="s">
        <v>344</v>
      </c>
      <c r="BF1074" s="347">
        <v>105.17</v>
      </c>
      <c r="BG1074" s="347" t="s">
        <v>318</v>
      </c>
      <c r="BH1074" s="1790"/>
      <c r="BN1074" s="237">
        <v>144.19999999999999</v>
      </c>
      <c r="BO1074" s="237" t="s">
        <v>323</v>
      </c>
      <c r="BT1074" s="347">
        <v>12.06</v>
      </c>
      <c r="BU1074" s="347" t="s">
        <v>344</v>
      </c>
      <c r="CD1074" s="237">
        <v>41.06</v>
      </c>
      <c r="CE1074" s="237" t="s">
        <v>352</v>
      </c>
      <c r="CJ1074" s="347">
        <v>106.01</v>
      </c>
      <c r="CK1074" s="347" t="s">
        <v>310</v>
      </c>
      <c r="CL1074" s="1789"/>
      <c r="CR1074" s="345"/>
      <c r="CS1074" s="345"/>
      <c r="CX1074" s="347"/>
      <c r="CY1074" s="347"/>
      <c r="DH1074" s="237"/>
      <c r="DI1074" s="237"/>
      <c r="DN1074" s="347"/>
      <c r="DO1074" s="347"/>
      <c r="DP1074" s="2505"/>
    </row>
    <row r="1075" spans="12:120">
      <c r="L1075" s="347">
        <v>6.1</v>
      </c>
      <c r="M1075" s="347" t="s">
        <v>351</v>
      </c>
      <c r="AB1075" s="347">
        <v>135.09</v>
      </c>
      <c r="AC1075" s="347" t="s">
        <v>359</v>
      </c>
      <c r="AD1075" s="1138"/>
      <c r="AP1075" s="347">
        <v>17.010000000000002</v>
      </c>
      <c r="AQ1075" s="347" t="s">
        <v>344</v>
      </c>
      <c r="BF1075" s="347">
        <v>105.18</v>
      </c>
      <c r="BG1075" s="347" t="s">
        <v>318</v>
      </c>
      <c r="BH1075" s="1790"/>
      <c r="BN1075" s="237">
        <v>144.21</v>
      </c>
      <c r="BO1075" s="237" t="s">
        <v>323</v>
      </c>
      <c r="BT1075" s="347">
        <v>12.07</v>
      </c>
      <c r="BU1075" s="347" t="s">
        <v>344</v>
      </c>
      <c r="CD1075" s="237">
        <v>42</v>
      </c>
      <c r="CE1075" s="237" t="s">
        <v>337</v>
      </c>
      <c r="CJ1075" s="347">
        <v>106.01</v>
      </c>
      <c r="CK1075" s="347" t="s">
        <v>323</v>
      </c>
      <c r="CL1075" s="1789"/>
      <c r="CR1075" s="345"/>
      <c r="CS1075" s="345"/>
      <c r="CX1075" s="347"/>
      <c r="CY1075" s="347"/>
      <c r="DH1075" s="237"/>
      <c r="DI1075" s="237"/>
      <c r="DN1075" s="347"/>
      <c r="DO1075" s="347"/>
      <c r="DP1075" s="2505"/>
    </row>
    <row r="1076" spans="12:120">
      <c r="L1076" s="347">
        <v>9.01</v>
      </c>
      <c r="M1076" s="347" t="s">
        <v>351</v>
      </c>
      <c r="AB1076" s="347">
        <v>135.22</v>
      </c>
      <c r="AC1076" s="347" t="s">
        <v>323</v>
      </c>
      <c r="AD1076" s="1138"/>
      <c r="AP1076" s="347">
        <v>17.05</v>
      </c>
      <c r="AQ1076" s="347" t="s">
        <v>344</v>
      </c>
      <c r="BF1076" s="347">
        <v>105.19</v>
      </c>
      <c r="BG1076" s="347" t="s">
        <v>318</v>
      </c>
      <c r="BH1076" s="1790"/>
      <c r="BN1076" s="237">
        <v>144.22</v>
      </c>
      <c r="BO1076" s="237" t="s">
        <v>323</v>
      </c>
      <c r="BT1076" s="347">
        <v>12.08</v>
      </c>
      <c r="BU1076" s="347" t="s">
        <v>344</v>
      </c>
      <c r="CD1076" s="237">
        <v>42.03</v>
      </c>
      <c r="CE1076" s="237" t="s">
        <v>361</v>
      </c>
      <c r="CJ1076" s="347">
        <v>106.01</v>
      </c>
      <c r="CK1076" s="347" t="s">
        <v>365</v>
      </c>
      <c r="CL1076" s="1789"/>
      <c r="CR1076" s="345"/>
      <c r="CS1076" s="345"/>
      <c r="CX1076" s="347"/>
      <c r="CY1076" s="347"/>
      <c r="DH1076" s="237"/>
      <c r="DI1076" s="237"/>
      <c r="DN1076" s="347"/>
      <c r="DO1076" s="347"/>
      <c r="DP1076" s="2505"/>
    </row>
    <row r="1077" spans="12:120">
      <c r="L1077" s="347">
        <v>11.02</v>
      </c>
      <c r="M1077" s="347" t="s">
        <v>351</v>
      </c>
      <c r="AB1077" s="347">
        <v>136.04</v>
      </c>
      <c r="AC1077" s="347" t="s">
        <v>359</v>
      </c>
      <c r="AD1077" s="1138"/>
      <c r="AP1077" s="347">
        <v>17.059999999999999</v>
      </c>
      <c r="AQ1077" s="347" t="s">
        <v>344</v>
      </c>
      <c r="BF1077" s="347">
        <v>105.2</v>
      </c>
      <c r="BG1077" s="347" t="s">
        <v>318</v>
      </c>
      <c r="BH1077" s="1790"/>
      <c r="BN1077" s="237">
        <v>144.22999999999999</v>
      </c>
      <c r="BO1077" s="237" t="s">
        <v>323</v>
      </c>
      <c r="BT1077" s="347">
        <v>12.09</v>
      </c>
      <c r="BU1077" s="347" t="s">
        <v>344</v>
      </c>
      <c r="CD1077" s="237">
        <v>42.04</v>
      </c>
      <c r="CE1077" s="237" t="s">
        <v>352</v>
      </c>
      <c r="CJ1077" s="347">
        <v>106.02</v>
      </c>
      <c r="CK1077" s="347" t="s">
        <v>323</v>
      </c>
      <c r="CL1077" s="1789"/>
      <c r="CR1077" s="345"/>
      <c r="CS1077" s="345"/>
      <c r="CX1077" s="347"/>
      <c r="CY1077" s="347"/>
      <c r="DH1077" s="237"/>
      <c r="DI1077" s="237"/>
      <c r="DN1077" s="347"/>
      <c r="DO1077" s="347"/>
      <c r="DP1077" s="2505"/>
    </row>
    <row r="1078" spans="12:120">
      <c r="L1078" s="347">
        <v>11.03</v>
      </c>
      <c r="M1078" s="347" t="s">
        <v>351</v>
      </c>
      <c r="AB1078" s="347">
        <v>137.02000000000001</v>
      </c>
      <c r="AC1078" s="347" t="s">
        <v>337</v>
      </c>
      <c r="AD1078" s="1138"/>
      <c r="AP1078" s="347">
        <v>17.09</v>
      </c>
      <c r="AQ1078" s="347" t="s">
        <v>344</v>
      </c>
      <c r="BF1078" s="347">
        <v>106</v>
      </c>
      <c r="BG1078" s="347" t="s">
        <v>337</v>
      </c>
      <c r="BH1078" s="1790"/>
      <c r="BN1078" s="237">
        <v>144.24</v>
      </c>
      <c r="BO1078" s="237" t="s">
        <v>323</v>
      </c>
      <c r="BT1078" s="347">
        <v>14.02</v>
      </c>
      <c r="BU1078" s="347" t="s">
        <v>344</v>
      </c>
      <c r="CD1078" s="237">
        <v>42.04</v>
      </c>
      <c r="CE1078" s="237" t="s">
        <v>361</v>
      </c>
      <c r="CJ1078" s="347">
        <v>106.03</v>
      </c>
      <c r="CK1078" s="347" t="s">
        <v>310</v>
      </c>
      <c r="CL1078" s="1789"/>
      <c r="CR1078" s="345"/>
      <c r="CS1078" s="345"/>
      <c r="CX1078" s="347"/>
      <c r="CY1078" s="347"/>
      <c r="DH1078" s="237"/>
      <c r="DI1078" s="237"/>
      <c r="DN1078" s="347"/>
      <c r="DO1078" s="347"/>
      <c r="DP1078" s="2505"/>
    </row>
    <row r="1079" spans="12:120">
      <c r="L1079" s="347">
        <v>11.04</v>
      </c>
      <c r="M1079" s="347" t="s">
        <v>351</v>
      </c>
      <c r="AB1079" s="347">
        <v>137.02000000000001</v>
      </c>
      <c r="AC1079" s="347" t="s">
        <v>365</v>
      </c>
      <c r="AD1079" s="1138"/>
      <c r="AP1079" s="347">
        <v>17.100000000000001</v>
      </c>
      <c r="AQ1079" s="347" t="s">
        <v>344</v>
      </c>
      <c r="BF1079" s="347">
        <v>106.01</v>
      </c>
      <c r="BG1079" s="347" t="s">
        <v>310</v>
      </c>
      <c r="BH1079" s="1790"/>
      <c r="BN1079" s="237">
        <v>144.25</v>
      </c>
      <c r="BO1079" s="237" t="s">
        <v>323</v>
      </c>
      <c r="BT1079" s="347">
        <v>15.01</v>
      </c>
      <c r="BU1079" s="347" t="s">
        <v>344</v>
      </c>
      <c r="CD1079" s="237">
        <v>42.05</v>
      </c>
      <c r="CE1079" s="237" t="s">
        <v>352</v>
      </c>
      <c r="CJ1079" s="347">
        <v>106.03</v>
      </c>
      <c r="CK1079" s="347" t="s">
        <v>365</v>
      </c>
      <c r="CL1079" s="1789"/>
      <c r="CR1079" s="345"/>
      <c r="CS1079" s="345"/>
      <c r="CX1079" s="347"/>
      <c r="CY1079" s="347"/>
      <c r="DH1079" s="237"/>
      <c r="DI1079" s="237"/>
      <c r="DN1079" s="347"/>
      <c r="DO1079" s="347"/>
      <c r="DP1079" s="2505"/>
    </row>
    <row r="1080" spans="12:120">
      <c r="L1080" s="347">
        <v>13.02</v>
      </c>
      <c r="M1080" s="347" t="s">
        <v>351</v>
      </c>
      <c r="AB1080" s="347">
        <v>137.03</v>
      </c>
      <c r="AC1080" s="347" t="s">
        <v>337</v>
      </c>
      <c r="AD1080" s="1138"/>
      <c r="AP1080" s="347">
        <v>18.010000000000002</v>
      </c>
      <c r="AQ1080" s="347" t="s">
        <v>344</v>
      </c>
      <c r="BF1080" s="347">
        <v>106.01</v>
      </c>
      <c r="BG1080" s="347" t="s">
        <v>323</v>
      </c>
      <c r="BH1080" s="1790"/>
      <c r="BN1080" s="237">
        <v>144.26</v>
      </c>
      <c r="BO1080" s="237" t="s">
        <v>323</v>
      </c>
      <c r="BT1080" s="347">
        <v>16.010000000000002</v>
      </c>
      <c r="BU1080" s="347" t="s">
        <v>344</v>
      </c>
      <c r="CD1080" s="237">
        <v>42.05</v>
      </c>
      <c r="CE1080" s="237" t="s">
        <v>361</v>
      </c>
      <c r="CJ1080" s="347">
        <v>106.04</v>
      </c>
      <c r="CK1080" s="347" t="s">
        <v>310</v>
      </c>
      <c r="CL1080" s="1789"/>
      <c r="CR1080" s="345"/>
      <c r="CS1080" s="345"/>
      <c r="CX1080" s="347"/>
      <c r="CY1080" s="347"/>
      <c r="DH1080" s="237"/>
      <c r="DI1080" s="237"/>
      <c r="DN1080" s="347"/>
      <c r="DO1080" s="347"/>
      <c r="DP1080" s="2505"/>
    </row>
    <row r="1081" spans="12:120">
      <c r="L1081" s="347">
        <v>14.04</v>
      </c>
      <c r="M1081" s="347" t="s">
        <v>351</v>
      </c>
      <c r="AB1081" s="347">
        <v>137.04</v>
      </c>
      <c r="AC1081" s="347" t="s">
        <v>337</v>
      </c>
      <c r="AD1081" s="1138"/>
      <c r="AP1081" s="347">
        <v>18.02</v>
      </c>
      <c r="AQ1081" s="347" t="s">
        <v>344</v>
      </c>
      <c r="BF1081" s="347">
        <v>106.01</v>
      </c>
      <c r="BG1081" s="347" t="s">
        <v>344</v>
      </c>
      <c r="BH1081" s="1790"/>
      <c r="BN1081" s="237">
        <v>144.27000000000001</v>
      </c>
      <c r="BO1081" s="237" t="s">
        <v>323</v>
      </c>
      <c r="BT1081" s="347">
        <v>16.02</v>
      </c>
      <c r="BU1081" s="347" t="s">
        <v>344</v>
      </c>
      <c r="CD1081" s="237">
        <v>42.06</v>
      </c>
      <c r="CE1081" s="237" t="s">
        <v>352</v>
      </c>
      <c r="CJ1081" s="347">
        <v>106.04</v>
      </c>
      <c r="CK1081" s="347" t="s">
        <v>352</v>
      </c>
      <c r="CL1081" s="1789"/>
      <c r="CR1081" s="345"/>
      <c r="CS1081" s="345"/>
      <c r="CX1081" s="347"/>
      <c r="CY1081" s="347"/>
      <c r="DH1081" s="237"/>
      <c r="DI1081" s="237"/>
      <c r="DN1081" s="347"/>
      <c r="DO1081" s="347"/>
      <c r="DP1081" s="2505"/>
    </row>
    <row r="1082" spans="12:120">
      <c r="L1082" s="347">
        <v>14.06</v>
      </c>
      <c r="M1082" s="347" t="s">
        <v>351</v>
      </c>
      <c r="AB1082" s="347">
        <v>137.21</v>
      </c>
      <c r="AC1082" s="347" t="s">
        <v>323</v>
      </c>
      <c r="AD1082" s="1138"/>
      <c r="AP1082" s="347">
        <v>19.03</v>
      </c>
      <c r="AQ1082" s="347" t="s">
        <v>344</v>
      </c>
      <c r="BF1082" s="347">
        <v>106.01</v>
      </c>
      <c r="BG1082" s="347" t="s">
        <v>365</v>
      </c>
      <c r="BH1082" s="1790"/>
      <c r="BN1082" s="237">
        <v>144.28</v>
      </c>
      <c r="BO1082" s="237" t="s">
        <v>323</v>
      </c>
      <c r="BT1082" s="347">
        <v>17.010000000000002</v>
      </c>
      <c r="BU1082" s="347" t="s">
        <v>344</v>
      </c>
      <c r="CD1082" s="237">
        <v>42.06</v>
      </c>
      <c r="CE1082" s="237" t="s">
        <v>361</v>
      </c>
      <c r="CJ1082" s="347">
        <v>106.04</v>
      </c>
      <c r="CK1082" s="347" t="s">
        <v>365</v>
      </c>
      <c r="CL1082" s="1789"/>
      <c r="CR1082" s="345"/>
      <c r="CS1082" s="345"/>
      <c r="CX1082" s="347"/>
      <c r="CY1082" s="347"/>
      <c r="DH1082" s="237"/>
      <c r="DI1082" s="237"/>
      <c r="DN1082" s="347"/>
      <c r="DO1082" s="347"/>
      <c r="DP1082" s="2505"/>
    </row>
    <row r="1083" spans="12:120">
      <c r="L1083" s="347">
        <v>14.09</v>
      </c>
      <c r="M1083" s="347" t="s">
        <v>351</v>
      </c>
      <c r="AB1083" s="347">
        <v>137.22999999999999</v>
      </c>
      <c r="AC1083" s="347" t="s">
        <v>323</v>
      </c>
      <c r="AD1083" s="1138"/>
      <c r="AP1083" s="347">
        <v>19.079999999999998</v>
      </c>
      <c r="AQ1083" s="347" t="s">
        <v>344</v>
      </c>
      <c r="BF1083" s="347">
        <v>106.03</v>
      </c>
      <c r="BG1083" s="347" t="s">
        <v>310</v>
      </c>
      <c r="BH1083" s="1790"/>
      <c r="BN1083" s="237">
        <v>145</v>
      </c>
      <c r="BO1083" s="237" t="s">
        <v>323</v>
      </c>
      <c r="BT1083" s="347">
        <v>17.05</v>
      </c>
      <c r="BU1083" s="347" t="s">
        <v>344</v>
      </c>
      <c r="CD1083" s="237">
        <v>42.07</v>
      </c>
      <c r="CE1083" s="237" t="s">
        <v>352</v>
      </c>
      <c r="CJ1083" s="347">
        <v>106.05</v>
      </c>
      <c r="CK1083" s="347" t="s">
        <v>310</v>
      </c>
      <c r="CL1083" s="1789"/>
      <c r="CR1083" s="345"/>
      <c r="CS1083" s="345"/>
      <c r="CX1083" s="347"/>
      <c r="CY1083" s="347"/>
      <c r="DH1083" s="237"/>
      <c r="DI1083" s="237"/>
      <c r="DN1083" s="347"/>
      <c r="DO1083" s="347"/>
      <c r="DP1083" s="2505"/>
    </row>
    <row r="1084" spans="12:120">
      <c r="L1084" s="347">
        <v>15</v>
      </c>
      <c r="M1084" s="347" t="s">
        <v>351</v>
      </c>
      <c r="AB1084" s="347">
        <v>137.26</v>
      </c>
      <c r="AC1084" s="347" t="s">
        <v>323</v>
      </c>
      <c r="AD1084" s="1138"/>
      <c r="AP1084" s="347">
        <v>19.12</v>
      </c>
      <c r="AQ1084" s="347" t="s">
        <v>344</v>
      </c>
      <c r="BF1084" s="347">
        <v>106.03</v>
      </c>
      <c r="BG1084" s="347" t="s">
        <v>365</v>
      </c>
      <c r="BH1084" s="1790"/>
      <c r="BN1084" s="237">
        <v>146.01</v>
      </c>
      <c r="BO1084" s="237" t="s">
        <v>323</v>
      </c>
      <c r="BT1084" s="347">
        <v>17.059999999999999</v>
      </c>
      <c r="BU1084" s="347" t="s">
        <v>344</v>
      </c>
      <c r="CD1084" s="237">
        <v>42.07</v>
      </c>
      <c r="CE1084" s="237" t="s">
        <v>361</v>
      </c>
      <c r="CJ1084" s="347">
        <v>106.06</v>
      </c>
      <c r="CK1084" s="347" t="s">
        <v>310</v>
      </c>
      <c r="CL1084" s="1789"/>
      <c r="CR1084" s="345"/>
      <c r="CS1084" s="345"/>
      <c r="CX1084" s="347"/>
      <c r="CY1084" s="347"/>
      <c r="DH1084" s="237"/>
      <c r="DI1084" s="237"/>
      <c r="DN1084" s="347"/>
      <c r="DO1084" s="347"/>
      <c r="DP1084" s="2505"/>
    </row>
    <row r="1085" spans="12:120">
      <c r="L1085" s="347">
        <v>16.010000000000002</v>
      </c>
      <c r="M1085" s="347" t="s">
        <v>351</v>
      </c>
      <c r="AB1085" s="347">
        <v>137.27000000000001</v>
      </c>
      <c r="AC1085" s="347" t="s">
        <v>323</v>
      </c>
      <c r="AD1085" s="1138"/>
      <c r="AP1085" s="347">
        <v>19.13</v>
      </c>
      <c r="AQ1085" s="347" t="s">
        <v>344</v>
      </c>
      <c r="BF1085" s="347">
        <v>106.04</v>
      </c>
      <c r="BG1085" s="347" t="s">
        <v>310</v>
      </c>
      <c r="BH1085" s="1790"/>
      <c r="BN1085" s="237">
        <v>146.03</v>
      </c>
      <c r="BO1085" s="237" t="s">
        <v>323</v>
      </c>
      <c r="BT1085" s="347">
        <v>17.09</v>
      </c>
      <c r="BU1085" s="347" t="s">
        <v>344</v>
      </c>
      <c r="CD1085" s="237">
        <v>42.08</v>
      </c>
      <c r="CE1085" s="237" t="s">
        <v>352</v>
      </c>
      <c r="CJ1085" s="347">
        <v>106.08</v>
      </c>
      <c r="CK1085" s="347" t="s">
        <v>352</v>
      </c>
      <c r="CL1085" s="1789"/>
      <c r="CR1085" s="345"/>
      <c r="CS1085" s="345"/>
      <c r="CX1085" s="347"/>
      <c r="CY1085" s="347"/>
      <c r="DH1085" s="237"/>
      <c r="DI1085" s="237"/>
      <c r="DN1085" s="347"/>
      <c r="DO1085" s="347"/>
      <c r="DP1085" s="2505"/>
    </row>
    <row r="1086" spans="12:120">
      <c r="L1086" s="347">
        <v>16.02</v>
      </c>
      <c r="M1086" s="347" t="s">
        <v>351</v>
      </c>
      <c r="AB1086" s="347">
        <v>138</v>
      </c>
      <c r="AC1086" s="347" t="s">
        <v>323</v>
      </c>
      <c r="AD1086" s="1138"/>
      <c r="AP1086" s="347">
        <v>19.18</v>
      </c>
      <c r="AQ1086" s="347" t="s">
        <v>344</v>
      </c>
      <c r="BF1086" s="347">
        <v>106.04</v>
      </c>
      <c r="BG1086" s="347" t="s">
        <v>318</v>
      </c>
      <c r="BH1086" s="1790"/>
      <c r="BN1086" s="237">
        <v>146.04</v>
      </c>
      <c r="BO1086" s="237" t="s">
        <v>323</v>
      </c>
      <c r="BT1086" s="347">
        <v>18.010000000000002</v>
      </c>
      <c r="BU1086" s="347" t="s">
        <v>344</v>
      </c>
      <c r="CD1086" s="237">
        <v>43</v>
      </c>
      <c r="CE1086" s="237" t="s">
        <v>337</v>
      </c>
      <c r="CJ1086" s="347">
        <v>106.09</v>
      </c>
      <c r="CK1086" s="347" t="s">
        <v>310</v>
      </c>
      <c r="CL1086" s="1789"/>
      <c r="CR1086" s="345"/>
      <c r="CS1086" s="345"/>
      <c r="CX1086" s="347"/>
      <c r="CY1086" s="347"/>
      <c r="DH1086" s="237"/>
      <c r="DI1086" s="237"/>
      <c r="DN1086" s="347"/>
      <c r="DO1086" s="347"/>
      <c r="DP1086" s="2505"/>
    </row>
    <row r="1087" spans="12:120">
      <c r="L1087" s="347">
        <v>17</v>
      </c>
      <c r="M1087" s="347" t="s">
        <v>351</v>
      </c>
      <c r="AB1087" s="347">
        <v>138.01</v>
      </c>
      <c r="AC1087" s="347" t="s">
        <v>359</v>
      </c>
      <c r="AD1087" s="1138"/>
      <c r="AP1087" s="347">
        <v>19.190000000000001</v>
      </c>
      <c r="AQ1087" s="347" t="s">
        <v>344</v>
      </c>
      <c r="BF1087" s="347">
        <v>106.04</v>
      </c>
      <c r="BG1087" s="347" t="s">
        <v>352</v>
      </c>
      <c r="BH1087" s="1790"/>
      <c r="BN1087" s="237">
        <v>147.02000000000001</v>
      </c>
      <c r="BO1087" s="237" t="s">
        <v>323</v>
      </c>
      <c r="BT1087" s="347">
        <v>18.02</v>
      </c>
      <c r="BU1087" s="347" t="s">
        <v>344</v>
      </c>
      <c r="CD1087" s="237">
        <v>43</v>
      </c>
      <c r="CE1087" s="237" t="s">
        <v>361</v>
      </c>
      <c r="CJ1087" s="347">
        <v>106.1</v>
      </c>
      <c r="CK1087" s="347" t="s">
        <v>352</v>
      </c>
      <c r="CL1087" s="1789"/>
      <c r="CR1087" s="345"/>
      <c r="CS1087" s="345"/>
      <c r="CX1087" s="347"/>
      <c r="CY1087" s="347"/>
      <c r="DH1087" s="237"/>
      <c r="DI1087" s="237"/>
      <c r="DN1087" s="347"/>
      <c r="DO1087" s="347"/>
      <c r="DP1087" s="2505"/>
    </row>
    <row r="1088" spans="12:120">
      <c r="L1088" s="347">
        <v>1.07</v>
      </c>
      <c r="M1088" s="347" t="s">
        <v>352</v>
      </c>
      <c r="AB1088" s="347">
        <v>138.02000000000001</v>
      </c>
      <c r="AC1088" s="347" t="s">
        <v>337</v>
      </c>
      <c r="AD1088" s="1138"/>
      <c r="AP1088" s="347">
        <v>19.2</v>
      </c>
      <c r="AQ1088" s="347" t="s">
        <v>344</v>
      </c>
      <c r="BF1088" s="347">
        <v>106.04</v>
      </c>
      <c r="BG1088" s="347" t="s">
        <v>365</v>
      </c>
      <c r="BH1088" s="1790"/>
      <c r="BN1088" s="237">
        <v>147.03</v>
      </c>
      <c r="BO1088" s="237" t="s">
        <v>323</v>
      </c>
      <c r="BT1088" s="347">
        <v>19.03</v>
      </c>
      <c r="BU1088" s="347" t="s">
        <v>344</v>
      </c>
      <c r="CD1088" s="237">
        <v>43.01</v>
      </c>
      <c r="CE1088" s="237" t="s">
        <v>352</v>
      </c>
      <c r="CJ1088" s="347">
        <v>106.11</v>
      </c>
      <c r="CK1088" s="347" t="s">
        <v>310</v>
      </c>
      <c r="CL1088" s="1789"/>
      <c r="CR1088" s="345"/>
      <c r="CS1088" s="345"/>
      <c r="CX1088" s="347"/>
      <c r="CY1088" s="347"/>
      <c r="DH1088" s="237"/>
      <c r="DI1088" s="237"/>
      <c r="DN1088" s="347"/>
      <c r="DO1088" s="347"/>
      <c r="DP1088" s="2505"/>
    </row>
    <row r="1089" spans="12:120">
      <c r="L1089" s="347">
        <v>1.1299999999999999</v>
      </c>
      <c r="M1089" s="347" t="s">
        <v>352</v>
      </c>
      <c r="AB1089" s="347">
        <v>138.02000000000001</v>
      </c>
      <c r="AC1089" s="347" t="s">
        <v>359</v>
      </c>
      <c r="AD1089" s="1138"/>
      <c r="AP1089" s="347">
        <v>19.21</v>
      </c>
      <c r="AQ1089" s="347" t="s">
        <v>344</v>
      </c>
      <c r="BF1089" s="347">
        <v>106.05</v>
      </c>
      <c r="BG1089" s="347" t="s">
        <v>310</v>
      </c>
      <c r="BH1089" s="1790"/>
      <c r="BN1089" s="237">
        <v>147.04</v>
      </c>
      <c r="BO1089" s="237" t="s">
        <v>323</v>
      </c>
      <c r="BT1089" s="347">
        <v>19.079999999999998</v>
      </c>
      <c r="BU1089" s="347" t="s">
        <v>344</v>
      </c>
      <c r="CD1089" s="237">
        <v>43.03</v>
      </c>
      <c r="CE1089" s="237" t="s">
        <v>352</v>
      </c>
      <c r="CJ1089" s="347">
        <v>106.12</v>
      </c>
      <c r="CK1089" s="347" t="s">
        <v>310</v>
      </c>
      <c r="CL1089" s="1789"/>
      <c r="CR1089" s="345"/>
      <c r="CS1089" s="345"/>
      <c r="CX1089" s="347"/>
      <c r="CY1089" s="347"/>
      <c r="DH1089" s="237"/>
      <c r="DI1089" s="237"/>
      <c r="DN1089" s="347"/>
      <c r="DO1089" s="347"/>
      <c r="DP1089" s="2505"/>
    </row>
    <row r="1090" spans="12:120">
      <c r="L1090" s="347">
        <v>1.1499999999999999</v>
      </c>
      <c r="M1090" s="347" t="s">
        <v>352</v>
      </c>
      <c r="AB1090" s="347">
        <v>138.03</v>
      </c>
      <c r="AC1090" s="347" t="s">
        <v>359</v>
      </c>
      <c r="AD1090" s="1138"/>
      <c r="AP1090" s="347">
        <v>19.23</v>
      </c>
      <c r="AQ1090" s="347" t="s">
        <v>344</v>
      </c>
      <c r="BF1090" s="347">
        <v>106.06</v>
      </c>
      <c r="BG1090" s="347" t="s">
        <v>310</v>
      </c>
      <c r="BH1090" s="1790"/>
      <c r="BN1090" s="237">
        <v>148</v>
      </c>
      <c r="BO1090" s="237" t="s">
        <v>323</v>
      </c>
      <c r="BT1090" s="347">
        <v>19.100000000000001</v>
      </c>
      <c r="BU1090" s="347" t="s">
        <v>344</v>
      </c>
      <c r="CD1090" s="237">
        <v>43.04</v>
      </c>
      <c r="CE1090" s="237" t="s">
        <v>352</v>
      </c>
      <c r="CJ1090" s="347">
        <v>106.13</v>
      </c>
      <c r="CK1090" s="347" t="s">
        <v>310</v>
      </c>
      <c r="CL1090" s="1789"/>
      <c r="CR1090" s="345"/>
      <c r="CS1090" s="345"/>
      <c r="CX1090" s="347"/>
      <c r="CY1090" s="347"/>
      <c r="DH1090" s="237"/>
      <c r="DI1090" s="237"/>
      <c r="DN1090" s="347"/>
      <c r="DO1090" s="347"/>
      <c r="DP1090" s="2505"/>
    </row>
    <row r="1091" spans="12:120">
      <c r="L1091" s="347">
        <v>1.18</v>
      </c>
      <c r="M1091" s="347" t="s">
        <v>352</v>
      </c>
      <c r="AB1091" s="347">
        <v>138.06</v>
      </c>
      <c r="AC1091" s="347" t="s">
        <v>337</v>
      </c>
      <c r="AD1091" s="1138"/>
      <c r="AP1091" s="347">
        <v>101.04</v>
      </c>
      <c r="AQ1091" s="347" t="s">
        <v>344</v>
      </c>
      <c r="BF1091" s="347">
        <v>106.08</v>
      </c>
      <c r="BG1091" s="347" t="s">
        <v>352</v>
      </c>
      <c r="BH1091" s="1790"/>
      <c r="BN1091" s="237">
        <v>149.01</v>
      </c>
      <c r="BO1091" s="237" t="s">
        <v>323</v>
      </c>
      <c r="BT1091" s="347">
        <v>19.11</v>
      </c>
      <c r="BU1091" s="347" t="s">
        <v>344</v>
      </c>
      <c r="CD1091" s="237">
        <v>44</v>
      </c>
      <c r="CE1091" s="237" t="s">
        <v>337</v>
      </c>
      <c r="CJ1091" s="347">
        <v>106.15</v>
      </c>
      <c r="CK1091" s="347" t="s">
        <v>310</v>
      </c>
      <c r="CL1091" s="1789"/>
      <c r="CR1091" s="345"/>
      <c r="CS1091" s="345"/>
      <c r="CX1091" s="347"/>
      <c r="CY1091" s="347"/>
      <c r="DH1091" s="237"/>
      <c r="DI1091" s="237"/>
      <c r="DN1091" s="347"/>
      <c r="DO1091" s="347"/>
      <c r="DP1091" s="2505"/>
    </row>
    <row r="1092" spans="12:120">
      <c r="L1092" s="347">
        <v>1.19</v>
      </c>
      <c r="M1092" s="347" t="s">
        <v>352</v>
      </c>
      <c r="AB1092" s="347">
        <v>138.07</v>
      </c>
      <c r="AC1092" s="347" t="s">
        <v>337</v>
      </c>
      <c r="AD1092" s="1138"/>
      <c r="AP1092" s="347">
        <v>101.07</v>
      </c>
      <c r="AQ1092" s="347" t="s">
        <v>344</v>
      </c>
      <c r="BF1092" s="347">
        <v>106.09</v>
      </c>
      <c r="BG1092" s="347" t="s">
        <v>310</v>
      </c>
      <c r="BH1092" s="1790"/>
      <c r="BN1092" s="237">
        <v>149.02000000000001</v>
      </c>
      <c r="BO1092" s="237" t="s">
        <v>323</v>
      </c>
      <c r="BT1092" s="347">
        <v>19.149999999999999</v>
      </c>
      <c r="BU1092" s="347" t="s">
        <v>344</v>
      </c>
      <c r="CD1092" s="237">
        <v>44.01</v>
      </c>
      <c r="CE1092" s="237" t="s">
        <v>361</v>
      </c>
      <c r="CJ1092" s="347">
        <v>106.18</v>
      </c>
      <c r="CK1092" s="347" t="s">
        <v>352</v>
      </c>
      <c r="CL1092" s="1789"/>
      <c r="CR1092" s="345"/>
      <c r="CS1092" s="345"/>
      <c r="CX1092" s="347"/>
      <c r="CY1092" s="347"/>
      <c r="DH1092" s="237"/>
      <c r="DI1092" s="237"/>
      <c r="DN1092" s="347"/>
      <c r="DO1092" s="347"/>
      <c r="DP1092" s="2505"/>
    </row>
    <row r="1093" spans="12:120">
      <c r="L1093" s="347">
        <v>1.2</v>
      </c>
      <c r="M1093" s="347" t="s">
        <v>352</v>
      </c>
      <c r="AB1093" s="347">
        <v>139</v>
      </c>
      <c r="AC1093" s="347" t="s">
        <v>352</v>
      </c>
      <c r="AD1093" s="1138"/>
      <c r="AP1093" s="347">
        <v>101.08</v>
      </c>
      <c r="AQ1093" s="347" t="s">
        <v>344</v>
      </c>
      <c r="BF1093" s="347">
        <v>106.1</v>
      </c>
      <c r="BG1093" s="347" t="s">
        <v>310</v>
      </c>
      <c r="BH1093" s="1790"/>
      <c r="BN1093" s="237">
        <v>150.01</v>
      </c>
      <c r="BO1093" s="237" t="s">
        <v>323</v>
      </c>
      <c r="BT1093" s="347">
        <v>19.16</v>
      </c>
      <c r="BU1093" s="347" t="s">
        <v>344</v>
      </c>
      <c r="CD1093" s="237">
        <v>44.02</v>
      </c>
      <c r="CE1093" s="237" t="s">
        <v>361</v>
      </c>
      <c r="CJ1093" s="347">
        <v>106.19</v>
      </c>
      <c r="CK1093" s="347" t="s">
        <v>352</v>
      </c>
      <c r="CL1093" s="1789"/>
      <c r="CR1093" s="345"/>
      <c r="CS1093" s="345"/>
      <c r="CX1093" s="347"/>
      <c r="CY1093" s="347"/>
      <c r="DH1093" s="237"/>
      <c r="DI1093" s="237"/>
      <c r="DN1093" s="347"/>
      <c r="DO1093" s="347"/>
      <c r="DP1093" s="2505"/>
    </row>
    <row r="1094" spans="12:120">
      <c r="L1094" s="347">
        <v>1.21</v>
      </c>
      <c r="M1094" s="347" t="s">
        <v>352</v>
      </c>
      <c r="AB1094" s="347">
        <v>139</v>
      </c>
      <c r="AC1094" s="347" t="s">
        <v>359</v>
      </c>
      <c r="AD1094" s="1138"/>
      <c r="AP1094" s="347">
        <v>101.09</v>
      </c>
      <c r="AQ1094" s="347" t="s">
        <v>344</v>
      </c>
      <c r="BF1094" s="347">
        <v>106.1</v>
      </c>
      <c r="BG1094" s="347" t="s">
        <v>352</v>
      </c>
      <c r="BH1094" s="1790"/>
      <c r="BN1094" s="237">
        <v>150.02000000000001</v>
      </c>
      <c r="BO1094" s="237" t="s">
        <v>323</v>
      </c>
      <c r="BT1094" s="347">
        <v>19.190000000000001</v>
      </c>
      <c r="BU1094" s="347" t="s">
        <v>344</v>
      </c>
      <c r="CD1094" s="237">
        <v>44.03</v>
      </c>
      <c r="CE1094" s="237" t="s">
        <v>352</v>
      </c>
      <c r="CJ1094" s="347">
        <v>106.2</v>
      </c>
      <c r="CK1094" s="347" t="s">
        <v>352</v>
      </c>
      <c r="CL1094" s="1789"/>
      <c r="CR1094" s="345"/>
      <c r="CS1094" s="345"/>
      <c r="CX1094" s="347"/>
      <c r="CY1094" s="347"/>
      <c r="DH1094" s="237"/>
      <c r="DI1094" s="237"/>
      <c r="DN1094" s="347"/>
      <c r="DO1094" s="347"/>
      <c r="DP1094" s="2505"/>
    </row>
    <row r="1095" spans="12:120">
      <c r="L1095" s="347">
        <v>1.22</v>
      </c>
      <c r="M1095" s="347" t="s">
        <v>352</v>
      </c>
      <c r="AB1095" s="347">
        <v>139.01</v>
      </c>
      <c r="AC1095" s="347" t="s">
        <v>323</v>
      </c>
      <c r="AD1095" s="1138"/>
      <c r="AP1095" s="347">
        <v>101.1</v>
      </c>
      <c r="AQ1095" s="347" t="s">
        <v>344</v>
      </c>
      <c r="BF1095" s="347">
        <v>106.11</v>
      </c>
      <c r="BG1095" s="347" t="s">
        <v>310</v>
      </c>
      <c r="BH1095" s="1790"/>
      <c r="BN1095" s="237">
        <v>151</v>
      </c>
      <c r="BO1095" s="237" t="s">
        <v>323</v>
      </c>
      <c r="BT1095" s="347">
        <v>19.2</v>
      </c>
      <c r="BU1095" s="347" t="s">
        <v>344</v>
      </c>
      <c r="CD1095" s="237">
        <v>44.04</v>
      </c>
      <c r="CE1095" s="237" t="s">
        <v>352</v>
      </c>
      <c r="CJ1095" s="347">
        <v>106.23</v>
      </c>
      <c r="CK1095" s="347" t="s">
        <v>352</v>
      </c>
      <c r="CL1095" s="1789"/>
      <c r="CR1095" s="345"/>
      <c r="CS1095" s="345"/>
      <c r="CX1095" s="347"/>
      <c r="CY1095" s="347"/>
      <c r="DH1095" s="237"/>
      <c r="DI1095" s="237"/>
      <c r="DN1095" s="347"/>
      <c r="DO1095" s="347"/>
      <c r="DP1095" s="2505"/>
    </row>
    <row r="1096" spans="12:120">
      <c r="L1096" s="347">
        <v>1.23</v>
      </c>
      <c r="M1096" s="347" t="s">
        <v>352</v>
      </c>
      <c r="AB1096" s="347">
        <v>139.02000000000001</v>
      </c>
      <c r="AC1096" s="347" t="s">
        <v>323</v>
      </c>
      <c r="AD1096" s="1138"/>
      <c r="AP1096" s="347">
        <v>102.05</v>
      </c>
      <c r="AQ1096" s="347" t="s">
        <v>344</v>
      </c>
      <c r="BF1096" s="347">
        <v>106.12</v>
      </c>
      <c r="BG1096" s="347" t="s">
        <v>310</v>
      </c>
      <c r="BH1096" s="1790"/>
      <c r="BN1096" s="237">
        <v>152</v>
      </c>
      <c r="BO1096" s="237" t="s">
        <v>323</v>
      </c>
      <c r="BT1096" s="347">
        <v>19.21</v>
      </c>
      <c r="BU1096" s="347" t="s">
        <v>344</v>
      </c>
      <c r="CD1096" s="237">
        <v>44.05</v>
      </c>
      <c r="CE1096" s="237" t="s">
        <v>352</v>
      </c>
      <c r="CJ1096" s="347">
        <v>106.24</v>
      </c>
      <c r="CK1096" s="347" t="s">
        <v>352</v>
      </c>
      <c r="CL1096" s="1789"/>
      <c r="CR1096" s="345"/>
      <c r="CS1096" s="345"/>
      <c r="CX1096" s="347"/>
      <c r="CY1096" s="347"/>
      <c r="DH1096" s="237"/>
      <c r="DI1096" s="237"/>
      <c r="DN1096" s="347"/>
      <c r="DO1096" s="347"/>
      <c r="DP1096" s="2505"/>
    </row>
    <row r="1097" spans="12:120">
      <c r="L1097" s="347">
        <v>1.25</v>
      </c>
      <c r="M1097" s="347" t="s">
        <v>352</v>
      </c>
      <c r="AB1097" s="347">
        <v>139.02000000000001</v>
      </c>
      <c r="AC1097" s="347" t="s">
        <v>365</v>
      </c>
      <c r="AD1097" s="1138"/>
      <c r="AP1097" s="347">
        <v>102.1</v>
      </c>
      <c r="AQ1097" s="347" t="s">
        <v>344</v>
      </c>
      <c r="BF1097" s="347">
        <v>106.13</v>
      </c>
      <c r="BG1097" s="347" t="s">
        <v>310</v>
      </c>
      <c r="BH1097" s="1790"/>
      <c r="BN1097" s="237">
        <v>153</v>
      </c>
      <c r="BO1097" s="237" t="s">
        <v>323</v>
      </c>
      <c r="BT1097" s="347">
        <v>19.23</v>
      </c>
      <c r="BU1097" s="347" t="s">
        <v>344</v>
      </c>
      <c r="CD1097" s="237">
        <v>44.06</v>
      </c>
      <c r="CE1097" s="237" t="s">
        <v>352</v>
      </c>
      <c r="CJ1097" s="347">
        <v>106.25</v>
      </c>
      <c r="CK1097" s="347" t="s">
        <v>352</v>
      </c>
      <c r="CL1097" s="1789"/>
      <c r="CR1097" s="345"/>
      <c r="CS1097" s="345"/>
      <c r="CX1097" s="347"/>
      <c r="CY1097" s="347"/>
      <c r="DH1097" s="237"/>
      <c r="DI1097" s="237"/>
      <c r="DN1097" s="347"/>
      <c r="DO1097" s="347"/>
      <c r="DP1097" s="2505"/>
    </row>
    <row r="1098" spans="12:120">
      <c r="L1098" s="347">
        <v>1.26</v>
      </c>
      <c r="M1098" s="347" t="s">
        <v>352</v>
      </c>
      <c r="AB1098" s="347">
        <v>139.03</v>
      </c>
      <c r="AC1098" s="347" t="s">
        <v>337</v>
      </c>
      <c r="AD1098" s="1138"/>
      <c r="AP1098" s="347">
        <v>103.03</v>
      </c>
      <c r="AQ1098" s="347" t="s">
        <v>344</v>
      </c>
      <c r="BF1098" s="347">
        <v>106.13</v>
      </c>
      <c r="BG1098" s="347" t="s">
        <v>352</v>
      </c>
      <c r="BH1098" s="1790"/>
      <c r="BN1098" s="237">
        <v>154</v>
      </c>
      <c r="BO1098" s="237" t="s">
        <v>323</v>
      </c>
      <c r="BT1098" s="347">
        <v>101.04</v>
      </c>
      <c r="BU1098" s="347" t="s">
        <v>344</v>
      </c>
      <c r="CD1098" s="237">
        <v>45</v>
      </c>
      <c r="CE1098" s="237" t="s">
        <v>337</v>
      </c>
      <c r="CJ1098" s="347">
        <v>107.01</v>
      </c>
      <c r="CK1098" s="347" t="s">
        <v>337</v>
      </c>
      <c r="CL1098" s="1789"/>
      <c r="CR1098" s="345"/>
      <c r="CS1098" s="345"/>
      <c r="CX1098" s="347"/>
      <c r="CY1098" s="347"/>
      <c r="DH1098" s="237"/>
      <c r="DI1098" s="237"/>
      <c r="DN1098" s="347"/>
      <c r="DO1098" s="347"/>
      <c r="DP1098" s="2505"/>
    </row>
    <row r="1099" spans="12:120">
      <c r="L1099" s="347">
        <v>1.27</v>
      </c>
      <c r="M1099" s="347" t="s">
        <v>352</v>
      </c>
      <c r="AB1099" s="347">
        <v>139.05000000000001</v>
      </c>
      <c r="AC1099" s="347" t="s">
        <v>323</v>
      </c>
      <c r="AD1099" s="1138"/>
      <c r="AP1099" s="347">
        <v>103.05</v>
      </c>
      <c r="AQ1099" s="347" t="s">
        <v>344</v>
      </c>
      <c r="BF1099" s="347">
        <v>106.14</v>
      </c>
      <c r="BG1099" s="347" t="s">
        <v>310</v>
      </c>
      <c r="BH1099" s="1790"/>
      <c r="BN1099" s="237">
        <v>155.01</v>
      </c>
      <c r="BO1099" s="237" t="s">
        <v>323</v>
      </c>
      <c r="BT1099" s="347">
        <v>101.06</v>
      </c>
      <c r="BU1099" s="347" t="s">
        <v>344</v>
      </c>
      <c r="CD1099" s="237">
        <v>45</v>
      </c>
      <c r="CE1099" s="237" t="s">
        <v>352</v>
      </c>
      <c r="CJ1099" s="347">
        <v>107.01</v>
      </c>
      <c r="CK1099" s="347" t="s">
        <v>344</v>
      </c>
      <c r="CL1099" s="1789"/>
      <c r="CR1099" s="345"/>
      <c r="CS1099" s="345"/>
      <c r="CX1099" s="347"/>
      <c r="CY1099" s="347"/>
      <c r="DH1099" s="237"/>
      <c r="DI1099" s="237"/>
      <c r="DN1099" s="347"/>
      <c r="DO1099" s="347"/>
      <c r="DP1099" s="2505"/>
    </row>
    <row r="1100" spans="12:120">
      <c r="L1100" s="347">
        <v>1.28</v>
      </c>
      <c r="M1100" s="347" t="s">
        <v>352</v>
      </c>
      <c r="AB1100" s="347">
        <v>139.06</v>
      </c>
      <c r="AC1100" s="347" t="s">
        <v>323</v>
      </c>
      <c r="AD1100" s="1138"/>
      <c r="AP1100" s="347">
        <v>103.07</v>
      </c>
      <c r="AQ1100" s="347" t="s">
        <v>344</v>
      </c>
      <c r="BF1100" s="347">
        <v>106.15</v>
      </c>
      <c r="BG1100" s="347" t="s">
        <v>310</v>
      </c>
      <c r="BH1100" s="1790"/>
      <c r="BN1100" s="237">
        <v>155.02000000000001</v>
      </c>
      <c r="BO1100" s="237" t="s">
        <v>323</v>
      </c>
      <c r="BT1100" s="347">
        <v>101.07</v>
      </c>
      <c r="BU1100" s="347" t="s">
        <v>344</v>
      </c>
      <c r="CD1100" s="237">
        <v>45</v>
      </c>
      <c r="CE1100" s="237" t="s">
        <v>361</v>
      </c>
      <c r="CJ1100" s="347">
        <v>107.01</v>
      </c>
      <c r="CK1100" s="347" t="s">
        <v>365</v>
      </c>
      <c r="CL1100" s="1789"/>
      <c r="CR1100" s="345"/>
      <c r="CS1100" s="345"/>
      <c r="CX1100" s="347"/>
      <c r="CY1100" s="347"/>
      <c r="DH1100" s="237"/>
      <c r="DI1100" s="237"/>
      <c r="DN1100" s="347"/>
      <c r="DO1100" s="347"/>
      <c r="DP1100" s="2505"/>
    </row>
    <row r="1101" spans="12:120">
      <c r="L1101" s="347">
        <v>1.29</v>
      </c>
      <c r="M1101" s="347" t="s">
        <v>352</v>
      </c>
      <c r="AB1101" s="347">
        <v>139.07</v>
      </c>
      <c r="AC1101" s="347" t="s">
        <v>337</v>
      </c>
      <c r="AD1101" s="1138"/>
      <c r="AP1101" s="347">
        <v>103.08</v>
      </c>
      <c r="AQ1101" s="347" t="s">
        <v>344</v>
      </c>
      <c r="BF1101" s="347">
        <v>106.18</v>
      </c>
      <c r="BG1101" s="347" t="s">
        <v>352</v>
      </c>
      <c r="BH1101" s="1790"/>
      <c r="BN1101" s="237">
        <v>156</v>
      </c>
      <c r="BO1101" s="237" t="s">
        <v>323</v>
      </c>
      <c r="BT1101" s="347">
        <v>101.08</v>
      </c>
      <c r="BU1101" s="347" t="s">
        <v>344</v>
      </c>
      <c r="CD1101" s="237">
        <v>46.01</v>
      </c>
      <c r="CE1101" s="237" t="s">
        <v>337</v>
      </c>
      <c r="CJ1101" s="347">
        <v>107.02</v>
      </c>
      <c r="CK1101" s="347" t="s">
        <v>337</v>
      </c>
      <c r="CL1101" s="1789"/>
      <c r="CR1101" s="345"/>
      <c r="CS1101" s="345"/>
      <c r="CX1101" s="347"/>
      <c r="CY1101" s="347"/>
      <c r="DH1101" s="237"/>
      <c r="DI1101" s="237"/>
      <c r="DN1101" s="347"/>
      <c r="DO1101" s="347"/>
      <c r="DP1101" s="2505"/>
    </row>
    <row r="1102" spans="12:120">
      <c r="L1102" s="347">
        <v>1.3</v>
      </c>
      <c r="M1102" s="347" t="s">
        <v>352</v>
      </c>
      <c r="AB1102" s="347">
        <v>139.08000000000001</v>
      </c>
      <c r="AC1102" s="347" t="s">
        <v>337</v>
      </c>
      <c r="AD1102" s="1138"/>
      <c r="AP1102" s="347">
        <v>103.09</v>
      </c>
      <c r="AQ1102" s="347" t="s">
        <v>344</v>
      </c>
      <c r="BF1102" s="347">
        <v>106.19</v>
      </c>
      <c r="BG1102" s="347" t="s">
        <v>352</v>
      </c>
      <c r="BH1102" s="1790"/>
      <c r="BN1102" s="237">
        <v>157.01</v>
      </c>
      <c r="BO1102" s="237" t="s">
        <v>323</v>
      </c>
      <c r="BT1102" s="347">
        <v>101.09</v>
      </c>
      <c r="BU1102" s="347" t="s">
        <v>344</v>
      </c>
      <c r="CD1102" s="237">
        <v>46.01</v>
      </c>
      <c r="CE1102" s="237" t="s">
        <v>361</v>
      </c>
      <c r="CJ1102" s="347">
        <v>107.02</v>
      </c>
      <c r="CK1102" s="347" t="s">
        <v>344</v>
      </c>
      <c r="CL1102" s="1789"/>
      <c r="CR1102" s="345"/>
      <c r="CS1102" s="345"/>
      <c r="CX1102" s="347"/>
      <c r="CY1102" s="347"/>
      <c r="DH1102" s="237"/>
      <c r="DI1102" s="237"/>
      <c r="DN1102" s="347"/>
      <c r="DO1102" s="347"/>
      <c r="DP1102" s="2505"/>
    </row>
    <row r="1103" spans="12:120">
      <c r="L1103" s="347">
        <v>1.31</v>
      </c>
      <c r="M1103" s="347" t="s">
        <v>352</v>
      </c>
      <c r="AB1103" s="347">
        <v>139.13999999999999</v>
      </c>
      <c r="AC1103" s="347" t="s">
        <v>337</v>
      </c>
      <c r="AD1103" s="1138"/>
      <c r="AP1103" s="347">
        <v>104.11</v>
      </c>
      <c r="AQ1103" s="347" t="s">
        <v>344</v>
      </c>
      <c r="BF1103" s="347">
        <v>106.21</v>
      </c>
      <c r="BG1103" s="347" t="s">
        <v>352</v>
      </c>
      <c r="BH1103" s="1790"/>
      <c r="BN1103" s="237">
        <v>157.02000000000001</v>
      </c>
      <c r="BO1103" s="237" t="s">
        <v>323</v>
      </c>
      <c r="BT1103" s="347">
        <v>101.1</v>
      </c>
      <c r="BU1103" s="347" t="s">
        <v>344</v>
      </c>
      <c r="CD1103" s="237">
        <v>46.02</v>
      </c>
      <c r="CE1103" s="237" t="s">
        <v>337</v>
      </c>
      <c r="CJ1103" s="347">
        <v>107.02</v>
      </c>
      <c r="CK1103" s="347" t="s">
        <v>365</v>
      </c>
      <c r="CL1103" s="1789"/>
      <c r="CR1103" s="345"/>
      <c r="CS1103" s="345"/>
      <c r="CX1103" s="347"/>
      <c r="CY1103" s="347"/>
      <c r="DH1103" s="237"/>
      <c r="DI1103" s="237"/>
      <c r="DN1103" s="347"/>
      <c r="DO1103" s="347"/>
      <c r="DP1103" s="2505"/>
    </row>
    <row r="1104" spans="12:120">
      <c r="L1104" s="347">
        <v>1.33</v>
      </c>
      <c r="M1104" s="347" t="s">
        <v>352</v>
      </c>
      <c r="AB1104" s="347">
        <v>139.15</v>
      </c>
      <c r="AC1104" s="347" t="s">
        <v>337</v>
      </c>
      <c r="AD1104" s="1138"/>
      <c r="AP1104" s="347">
        <v>104.12</v>
      </c>
      <c r="AQ1104" s="347" t="s">
        <v>344</v>
      </c>
      <c r="BF1104" s="347">
        <v>106.22</v>
      </c>
      <c r="BG1104" s="347" t="s">
        <v>352</v>
      </c>
      <c r="BH1104" s="1790"/>
      <c r="BN1104" s="237">
        <v>158.03</v>
      </c>
      <c r="BO1104" s="237" t="s">
        <v>323</v>
      </c>
      <c r="BT1104" s="347">
        <v>101.11</v>
      </c>
      <c r="BU1104" s="347" t="s">
        <v>344</v>
      </c>
      <c r="CD1104" s="237">
        <v>46.02</v>
      </c>
      <c r="CE1104" s="237" t="s">
        <v>352</v>
      </c>
      <c r="CJ1104" s="347">
        <v>107.04</v>
      </c>
      <c r="CK1104" s="347" t="s">
        <v>367</v>
      </c>
      <c r="CL1104" s="1789"/>
      <c r="CR1104" s="345"/>
      <c r="CS1104" s="345"/>
      <c r="CX1104" s="347"/>
      <c r="CY1104" s="347"/>
      <c r="DH1104" s="237"/>
      <c r="DI1104" s="237"/>
      <c r="DN1104" s="347"/>
      <c r="DO1104" s="347"/>
      <c r="DP1104" s="2505"/>
    </row>
    <row r="1105" spans="12:120">
      <c r="L1105" s="347">
        <v>1.34</v>
      </c>
      <c r="M1105" s="347" t="s">
        <v>352</v>
      </c>
      <c r="AB1105" s="347">
        <v>139.16</v>
      </c>
      <c r="AC1105" s="347" t="s">
        <v>337</v>
      </c>
      <c r="AD1105" s="1138"/>
      <c r="AP1105" s="347">
        <v>104.15</v>
      </c>
      <c r="AQ1105" s="347" t="s">
        <v>344</v>
      </c>
      <c r="BF1105" s="347">
        <v>106.23</v>
      </c>
      <c r="BG1105" s="347" t="s">
        <v>352</v>
      </c>
      <c r="BH1105" s="1790"/>
      <c r="BN1105" s="237">
        <v>158.04</v>
      </c>
      <c r="BO1105" s="237" t="s">
        <v>323</v>
      </c>
      <c r="BT1105" s="347">
        <v>102.03</v>
      </c>
      <c r="BU1105" s="347" t="s">
        <v>344</v>
      </c>
      <c r="CD1105" s="237">
        <v>46.02</v>
      </c>
      <c r="CE1105" s="237" t="s">
        <v>361</v>
      </c>
      <c r="CJ1105" s="347">
        <v>107.05</v>
      </c>
      <c r="CK1105" s="347" t="s">
        <v>352</v>
      </c>
      <c r="CL1105" s="1789"/>
      <c r="CR1105" s="345"/>
      <c r="CS1105" s="345"/>
      <c r="CX1105" s="347"/>
      <c r="CY1105" s="347"/>
      <c r="DH1105" s="237"/>
      <c r="DI1105" s="237"/>
      <c r="DN1105" s="347"/>
      <c r="DO1105" s="347"/>
      <c r="DP1105" s="2505"/>
    </row>
    <row r="1106" spans="12:120">
      <c r="L1106" s="347">
        <v>1.4</v>
      </c>
      <c r="M1106" s="347" t="s">
        <v>352</v>
      </c>
      <c r="AB1106" s="347">
        <v>139.16999999999999</v>
      </c>
      <c r="AC1106" s="347" t="s">
        <v>337</v>
      </c>
      <c r="AD1106" s="1138"/>
      <c r="AP1106" s="347">
        <v>104.16</v>
      </c>
      <c r="AQ1106" s="347" t="s">
        <v>344</v>
      </c>
      <c r="BF1106" s="347">
        <v>106.24</v>
      </c>
      <c r="BG1106" s="347" t="s">
        <v>352</v>
      </c>
      <c r="BH1106" s="1790"/>
      <c r="BN1106" s="237">
        <v>158.05000000000001</v>
      </c>
      <c r="BO1106" s="237" t="s">
        <v>323</v>
      </c>
      <c r="BT1106" s="347">
        <v>102.05</v>
      </c>
      <c r="BU1106" s="347" t="s">
        <v>344</v>
      </c>
      <c r="CD1106" s="237">
        <v>46.05</v>
      </c>
      <c r="CE1106" s="237" t="s">
        <v>352</v>
      </c>
      <c r="CJ1106" s="347">
        <v>107.07</v>
      </c>
      <c r="CK1106" s="347" t="s">
        <v>367</v>
      </c>
      <c r="CL1106" s="1789"/>
      <c r="CR1106" s="345"/>
      <c r="CS1106" s="345"/>
      <c r="CX1106" s="347"/>
      <c r="CY1106" s="347"/>
      <c r="DH1106" s="237"/>
      <c r="DI1106" s="237"/>
      <c r="DN1106" s="347"/>
      <c r="DO1106" s="347"/>
      <c r="DP1106" s="2505"/>
    </row>
    <row r="1107" spans="12:120">
      <c r="L1107" s="347">
        <v>2.11</v>
      </c>
      <c r="M1107" s="347" t="s">
        <v>352</v>
      </c>
      <c r="AB1107" s="347">
        <v>139.19</v>
      </c>
      <c r="AC1107" s="347" t="s">
        <v>337</v>
      </c>
      <c r="AD1107" s="1138"/>
      <c r="AP1107" s="347">
        <v>104.17</v>
      </c>
      <c r="AQ1107" s="347" t="s">
        <v>344</v>
      </c>
      <c r="BF1107" s="347">
        <v>106.25</v>
      </c>
      <c r="BG1107" s="347" t="s">
        <v>352</v>
      </c>
      <c r="BH1107" s="1790"/>
      <c r="BN1107" s="237">
        <v>158.06</v>
      </c>
      <c r="BO1107" s="237" t="s">
        <v>323</v>
      </c>
      <c r="BT1107" s="347">
        <v>103.07</v>
      </c>
      <c r="BU1107" s="347" t="s">
        <v>344</v>
      </c>
      <c r="CD1107" s="237">
        <v>46.07</v>
      </c>
      <c r="CE1107" s="237" t="s">
        <v>352</v>
      </c>
      <c r="CJ1107" s="347">
        <v>107.08</v>
      </c>
      <c r="CK1107" s="347" t="s">
        <v>352</v>
      </c>
      <c r="CL1107" s="1789"/>
      <c r="CR1107" s="345"/>
      <c r="CS1107" s="345"/>
      <c r="CX1107" s="347"/>
      <c r="CY1107" s="347"/>
      <c r="DH1107" s="237"/>
      <c r="DI1107" s="237"/>
      <c r="DN1107" s="347"/>
      <c r="DO1107" s="347"/>
      <c r="DP1107" s="2505"/>
    </row>
    <row r="1108" spans="12:120">
      <c r="L1108" s="347">
        <v>2.13</v>
      </c>
      <c r="M1108" s="347" t="s">
        <v>352</v>
      </c>
      <c r="AB1108" s="347">
        <v>139.19999999999999</v>
      </c>
      <c r="AC1108" s="347" t="s">
        <v>337</v>
      </c>
      <c r="AD1108" s="1138"/>
      <c r="AP1108" s="347">
        <v>104.2</v>
      </c>
      <c r="AQ1108" s="347" t="s">
        <v>344</v>
      </c>
      <c r="BF1108" s="347">
        <v>107.01</v>
      </c>
      <c r="BG1108" s="347" t="s">
        <v>337</v>
      </c>
      <c r="BH1108" s="1790"/>
      <c r="BN1108" s="237">
        <v>159.22</v>
      </c>
      <c r="BO1108" s="237" t="s">
        <v>323</v>
      </c>
      <c r="BT1108" s="347">
        <v>103.08</v>
      </c>
      <c r="BU1108" s="347" t="s">
        <v>344</v>
      </c>
      <c r="CD1108" s="237">
        <v>46.08</v>
      </c>
      <c r="CE1108" s="237" t="s">
        <v>352</v>
      </c>
      <c r="CJ1108" s="347">
        <v>107.09</v>
      </c>
      <c r="CK1108" s="347" t="s">
        <v>352</v>
      </c>
      <c r="CL1108" s="1789"/>
      <c r="CR1108" s="345"/>
      <c r="CS1108" s="345"/>
      <c r="CX1108" s="347"/>
      <c r="CY1108" s="347"/>
      <c r="DH1108" s="237"/>
      <c r="DI1108" s="237"/>
      <c r="DN1108" s="347"/>
      <c r="DO1108" s="347"/>
      <c r="DP1108" s="2505"/>
    </row>
    <row r="1109" spans="12:120">
      <c r="L1109" s="347">
        <v>2.14</v>
      </c>
      <c r="M1109" s="347" t="s">
        <v>352</v>
      </c>
      <c r="AB1109" s="347">
        <v>139.21</v>
      </c>
      <c r="AC1109" s="347" t="s">
        <v>337</v>
      </c>
      <c r="AD1109" s="1138"/>
      <c r="AP1109" s="347">
        <v>104.21</v>
      </c>
      <c r="AQ1109" s="347" t="s">
        <v>344</v>
      </c>
      <c r="BF1109" s="347">
        <v>107.01</v>
      </c>
      <c r="BG1109" s="347" t="s">
        <v>344</v>
      </c>
      <c r="BH1109" s="1790"/>
      <c r="BN1109" s="237">
        <v>159.24</v>
      </c>
      <c r="BO1109" s="237" t="s">
        <v>323</v>
      </c>
      <c r="BT1109" s="347">
        <v>103.09</v>
      </c>
      <c r="BU1109" s="347" t="s">
        <v>344</v>
      </c>
      <c r="CD1109" s="237">
        <v>47</v>
      </c>
      <c r="CE1109" s="237" t="s">
        <v>337</v>
      </c>
      <c r="CJ1109" s="347">
        <v>107.09</v>
      </c>
      <c r="CK1109" s="347" t="s">
        <v>367</v>
      </c>
      <c r="CL1109" s="1789"/>
      <c r="CR1109" s="345"/>
      <c r="CS1109" s="345"/>
      <c r="CX1109" s="347"/>
      <c r="CY1109" s="347"/>
      <c r="DH1109" s="237"/>
      <c r="DI1109" s="237"/>
      <c r="DN1109" s="347"/>
      <c r="DO1109" s="347"/>
      <c r="DP1109" s="2505"/>
    </row>
    <row r="1110" spans="12:120">
      <c r="L1110" s="347">
        <v>3.07</v>
      </c>
      <c r="M1110" s="347" t="s">
        <v>352</v>
      </c>
      <c r="AB1110" s="347">
        <v>139.22</v>
      </c>
      <c r="AC1110" s="347" t="s">
        <v>337</v>
      </c>
      <c r="AD1110" s="1138"/>
      <c r="AP1110" s="347">
        <v>104.22</v>
      </c>
      <c r="AQ1110" s="347" t="s">
        <v>344</v>
      </c>
      <c r="BF1110" s="347">
        <v>107.01</v>
      </c>
      <c r="BG1110" s="347" t="s">
        <v>365</v>
      </c>
      <c r="BH1110" s="1790"/>
      <c r="BN1110" s="237">
        <v>159.25</v>
      </c>
      <c r="BO1110" s="237" t="s">
        <v>323</v>
      </c>
      <c r="BT1110" s="347">
        <v>104.04</v>
      </c>
      <c r="BU1110" s="347" t="s">
        <v>344</v>
      </c>
      <c r="CD1110" s="237">
        <v>47.01</v>
      </c>
      <c r="CE1110" s="237" t="s">
        <v>352</v>
      </c>
      <c r="CJ1110" s="347">
        <v>107.1</v>
      </c>
      <c r="CK1110" s="347" t="s">
        <v>352</v>
      </c>
      <c r="CL1110" s="1789"/>
      <c r="CR1110" s="345"/>
      <c r="CS1110" s="345"/>
      <c r="CX1110" s="347"/>
      <c r="CY1110" s="347"/>
      <c r="DH1110" s="237"/>
      <c r="DI1110" s="237"/>
      <c r="DN1110" s="347"/>
      <c r="DO1110" s="347"/>
      <c r="DP1110" s="2505"/>
    </row>
    <row r="1111" spans="12:120">
      <c r="L1111" s="347">
        <v>4.09</v>
      </c>
      <c r="M1111" s="347" t="s">
        <v>352</v>
      </c>
      <c r="AB1111" s="347">
        <v>139.22999999999999</v>
      </c>
      <c r="AC1111" s="347" t="s">
        <v>337</v>
      </c>
      <c r="AD1111" s="1138"/>
      <c r="AP1111" s="347">
        <v>104.23</v>
      </c>
      <c r="AQ1111" s="347" t="s">
        <v>344</v>
      </c>
      <c r="BF1111" s="347">
        <v>107.02</v>
      </c>
      <c r="BG1111" s="347" t="s">
        <v>337</v>
      </c>
      <c r="BH1111" s="1790"/>
      <c r="BN1111" s="237">
        <v>159.26</v>
      </c>
      <c r="BO1111" s="237" t="s">
        <v>323</v>
      </c>
      <c r="BT1111" s="347">
        <v>104.12</v>
      </c>
      <c r="BU1111" s="347" t="s">
        <v>344</v>
      </c>
      <c r="CD1111" s="237">
        <v>47.02</v>
      </c>
      <c r="CE1111" s="237" t="s">
        <v>361</v>
      </c>
      <c r="CJ1111" s="347">
        <v>107.11</v>
      </c>
      <c r="CK1111" s="347" t="s">
        <v>367</v>
      </c>
      <c r="CL1111" s="1789"/>
      <c r="CR1111" s="345"/>
      <c r="CS1111" s="345"/>
      <c r="CX1111" s="347"/>
      <c r="CY1111" s="347"/>
      <c r="DH1111" s="237"/>
      <c r="DI1111" s="237"/>
      <c r="DN1111" s="347"/>
      <c r="DO1111" s="347"/>
      <c r="DP1111" s="2505"/>
    </row>
    <row r="1112" spans="12:120">
      <c r="L1112" s="347">
        <v>4.0999999999999996</v>
      </c>
      <c r="M1112" s="347" t="s">
        <v>352</v>
      </c>
      <c r="AB1112" s="347">
        <v>140</v>
      </c>
      <c r="AC1112" s="347" t="s">
        <v>359</v>
      </c>
      <c r="AD1112" s="1138"/>
      <c r="AP1112" s="347">
        <v>105.03</v>
      </c>
      <c r="AQ1112" s="347" t="s">
        <v>344</v>
      </c>
      <c r="BF1112" s="347">
        <v>107.02</v>
      </c>
      <c r="BG1112" s="347" t="s">
        <v>344</v>
      </c>
      <c r="BH1112" s="1790"/>
      <c r="BN1112" s="237">
        <v>159.27000000000001</v>
      </c>
      <c r="BO1112" s="237" t="s">
        <v>323</v>
      </c>
      <c r="BT1112" s="347">
        <v>104.15</v>
      </c>
      <c r="BU1112" s="347" t="s">
        <v>344</v>
      </c>
      <c r="CD1112" s="237">
        <v>47.03</v>
      </c>
      <c r="CE1112" s="237" t="s">
        <v>352</v>
      </c>
      <c r="CJ1112" s="347">
        <v>107.12</v>
      </c>
      <c r="CK1112" s="347" t="s">
        <v>367</v>
      </c>
      <c r="CL1112" s="1789"/>
      <c r="CR1112" s="345"/>
      <c r="CS1112" s="345"/>
      <c r="CX1112" s="347"/>
      <c r="CY1112" s="347"/>
      <c r="DH1112" s="237"/>
      <c r="DI1112" s="237"/>
      <c r="DN1112" s="347"/>
      <c r="DO1112" s="347"/>
      <c r="DP1112" s="2505"/>
    </row>
    <row r="1113" spans="12:120">
      <c r="L1113" s="347">
        <v>6.04</v>
      </c>
      <c r="M1113" s="347" t="s">
        <v>352</v>
      </c>
      <c r="AB1113" s="347">
        <v>140.01</v>
      </c>
      <c r="AC1113" s="347" t="s">
        <v>323</v>
      </c>
      <c r="AD1113" s="1138"/>
      <c r="AP1113" s="347">
        <v>106.01</v>
      </c>
      <c r="AQ1113" s="347" t="s">
        <v>344</v>
      </c>
      <c r="BF1113" s="347">
        <v>107.02</v>
      </c>
      <c r="BG1113" s="347" t="s">
        <v>365</v>
      </c>
      <c r="BH1113" s="1790"/>
      <c r="BN1113" s="237">
        <v>159.28</v>
      </c>
      <c r="BO1113" s="237" t="s">
        <v>323</v>
      </c>
      <c r="BT1113" s="347">
        <v>104.16</v>
      </c>
      <c r="BU1113" s="347" t="s">
        <v>344</v>
      </c>
      <c r="CD1113" s="237">
        <v>47.04</v>
      </c>
      <c r="CE1113" s="237" t="s">
        <v>352</v>
      </c>
      <c r="CJ1113" s="347">
        <v>108</v>
      </c>
      <c r="CK1113" s="347" t="s">
        <v>365</v>
      </c>
      <c r="CL1113" s="1789"/>
      <c r="CR1113" s="345"/>
      <c r="CS1113" s="345"/>
      <c r="CX1113" s="347"/>
      <c r="CY1113" s="347"/>
      <c r="DH1113" s="237"/>
      <c r="DI1113" s="237"/>
      <c r="DN1113" s="347"/>
      <c r="DO1113" s="347"/>
      <c r="DP1113" s="2505"/>
    </row>
    <row r="1114" spans="12:120">
      <c r="L1114" s="347">
        <v>11.04</v>
      </c>
      <c r="M1114" s="347" t="s">
        <v>352</v>
      </c>
      <c r="AB1114" s="347">
        <v>140.01</v>
      </c>
      <c r="AC1114" s="347" t="s">
        <v>365</v>
      </c>
      <c r="AD1114" s="1138"/>
      <c r="AP1114" s="347">
        <v>107.01</v>
      </c>
      <c r="AQ1114" s="347" t="s">
        <v>344</v>
      </c>
      <c r="BF1114" s="347">
        <v>107.04</v>
      </c>
      <c r="BG1114" s="347" t="s">
        <v>367</v>
      </c>
      <c r="BH1114" s="1790"/>
      <c r="BN1114" s="237">
        <v>159.29</v>
      </c>
      <c r="BO1114" s="237" t="s">
        <v>323</v>
      </c>
      <c r="BT1114" s="347">
        <v>104.17</v>
      </c>
      <c r="BU1114" s="347" t="s">
        <v>344</v>
      </c>
      <c r="CD1114" s="237">
        <v>47.04</v>
      </c>
      <c r="CE1114" s="237" t="s">
        <v>361</v>
      </c>
      <c r="CJ1114" s="347">
        <v>108.01</v>
      </c>
      <c r="CK1114" s="347" t="s">
        <v>344</v>
      </c>
      <c r="CL1114" s="1789"/>
      <c r="CR1114" s="345"/>
      <c r="CS1114" s="345"/>
      <c r="CX1114" s="347"/>
      <c r="CY1114" s="347"/>
      <c r="DH1114" s="237"/>
      <c r="DI1114" s="237"/>
      <c r="DN1114" s="347"/>
      <c r="DO1114" s="347"/>
      <c r="DP1114" s="2505"/>
    </row>
    <row r="1115" spans="12:120">
      <c r="L1115" s="347">
        <v>12.04</v>
      </c>
      <c r="M1115" s="347" t="s">
        <v>352</v>
      </c>
      <c r="AB1115" s="347">
        <v>140.02000000000001</v>
      </c>
      <c r="AC1115" s="347" t="s">
        <v>323</v>
      </c>
      <c r="AD1115" s="1138"/>
      <c r="AP1115" s="347">
        <v>107.02</v>
      </c>
      <c r="AQ1115" s="347" t="s">
        <v>344</v>
      </c>
      <c r="BF1115" s="347">
        <v>107.05</v>
      </c>
      <c r="BG1115" s="347" t="s">
        <v>352</v>
      </c>
      <c r="BH1115" s="1790"/>
      <c r="BN1115" s="237">
        <v>160.01</v>
      </c>
      <c r="BO1115" s="237" t="s">
        <v>323</v>
      </c>
      <c r="BT1115" s="347">
        <v>104.18</v>
      </c>
      <c r="BU1115" s="347" t="s">
        <v>344</v>
      </c>
      <c r="CD1115" s="237">
        <v>47.05</v>
      </c>
      <c r="CE1115" s="237" t="s">
        <v>352</v>
      </c>
      <c r="CJ1115" s="347">
        <v>108.02</v>
      </c>
      <c r="CK1115" s="347" t="s">
        <v>359</v>
      </c>
      <c r="CL1115" s="1789"/>
      <c r="CR1115" s="345"/>
      <c r="CS1115" s="345"/>
      <c r="CX1115" s="347"/>
      <c r="CY1115" s="347"/>
      <c r="DH1115" s="237"/>
      <c r="DI1115" s="237"/>
      <c r="DN1115" s="347"/>
      <c r="DO1115" s="347"/>
      <c r="DP1115" s="2505"/>
    </row>
    <row r="1116" spans="12:120">
      <c r="L1116" s="347">
        <v>12.05</v>
      </c>
      <c r="M1116" s="347" t="s">
        <v>352</v>
      </c>
      <c r="AB1116" s="347">
        <v>140.03</v>
      </c>
      <c r="AC1116" s="347" t="s">
        <v>337</v>
      </c>
      <c r="AD1116" s="1138"/>
      <c r="AP1116" s="347">
        <v>108.03</v>
      </c>
      <c r="AQ1116" s="347" t="s">
        <v>344</v>
      </c>
      <c r="BF1116" s="347">
        <v>107.07</v>
      </c>
      <c r="BG1116" s="347" t="s">
        <v>367</v>
      </c>
      <c r="BH1116" s="1790"/>
      <c r="BN1116" s="237">
        <v>160.02000000000001</v>
      </c>
      <c r="BO1116" s="237" t="s">
        <v>323</v>
      </c>
      <c r="BT1116" s="347">
        <v>104.2</v>
      </c>
      <c r="BU1116" s="347" t="s">
        <v>344</v>
      </c>
      <c r="CD1116" s="237">
        <v>47.05</v>
      </c>
      <c r="CE1116" s="237" t="s">
        <v>361</v>
      </c>
      <c r="CJ1116" s="347">
        <v>108.02</v>
      </c>
      <c r="CK1116" s="347" t="s">
        <v>367</v>
      </c>
      <c r="CL1116" s="1789"/>
      <c r="CR1116" s="345"/>
      <c r="CS1116" s="345"/>
      <c r="CX1116" s="347"/>
      <c r="CY1116" s="347"/>
      <c r="DH1116" s="237"/>
      <c r="DI1116" s="237"/>
      <c r="DN1116" s="347"/>
      <c r="DO1116" s="347"/>
      <c r="DP1116" s="2505"/>
    </row>
    <row r="1117" spans="12:120">
      <c r="L1117" s="347">
        <v>12.06</v>
      </c>
      <c r="M1117" s="347" t="s">
        <v>352</v>
      </c>
      <c r="AB1117" s="347">
        <v>140.03</v>
      </c>
      <c r="AC1117" s="347" t="s">
        <v>365</v>
      </c>
      <c r="AD1117" s="1138"/>
      <c r="AP1117" s="347">
        <v>201.04</v>
      </c>
      <c r="AQ1117" s="347" t="s">
        <v>344</v>
      </c>
      <c r="BF1117" s="347">
        <v>107.09</v>
      </c>
      <c r="BG1117" s="347" t="s">
        <v>352</v>
      </c>
      <c r="BH1117" s="1790"/>
      <c r="BN1117" s="237">
        <v>161.01</v>
      </c>
      <c r="BO1117" s="237" t="s">
        <v>323</v>
      </c>
      <c r="BT1117" s="347">
        <v>104.21</v>
      </c>
      <c r="BU1117" s="347" t="s">
        <v>344</v>
      </c>
      <c r="CD1117" s="237">
        <v>47.06</v>
      </c>
      <c r="CE1117" s="237" t="s">
        <v>361</v>
      </c>
      <c r="CJ1117" s="347">
        <v>108.03</v>
      </c>
      <c r="CK1117" s="347" t="s">
        <v>344</v>
      </c>
      <c r="CL1117" s="1789"/>
      <c r="CR1117" s="345"/>
      <c r="CS1117" s="345"/>
      <c r="CX1117" s="347"/>
      <c r="CY1117" s="347"/>
      <c r="DH1117" s="237"/>
      <c r="DI1117" s="237"/>
      <c r="DN1117" s="347"/>
      <c r="DO1117" s="347"/>
      <c r="DP1117" s="2505"/>
    </row>
    <row r="1118" spans="12:120">
      <c r="L1118" s="347">
        <v>13.02</v>
      </c>
      <c r="M1118" s="347" t="s">
        <v>352</v>
      </c>
      <c r="AB1118" s="347">
        <v>140.05000000000001</v>
      </c>
      <c r="AC1118" s="347" t="s">
        <v>365</v>
      </c>
      <c r="AD1118" s="1138"/>
      <c r="AP1118" s="347">
        <v>202.02</v>
      </c>
      <c r="AQ1118" s="347" t="s">
        <v>344</v>
      </c>
      <c r="BF1118" s="347">
        <v>107.1</v>
      </c>
      <c r="BG1118" s="347" t="s">
        <v>352</v>
      </c>
      <c r="BH1118" s="1790"/>
      <c r="BN1118" s="237">
        <v>161.02000000000001</v>
      </c>
      <c r="BO1118" s="237" t="s">
        <v>323</v>
      </c>
      <c r="BT1118" s="347">
        <v>104.22</v>
      </c>
      <c r="BU1118" s="347" t="s">
        <v>344</v>
      </c>
      <c r="CD1118" s="237">
        <v>48</v>
      </c>
      <c r="CE1118" s="237" t="s">
        <v>337</v>
      </c>
      <c r="CJ1118" s="347">
        <v>108.05</v>
      </c>
      <c r="CK1118" s="347" t="s">
        <v>318</v>
      </c>
      <c r="CL1118" s="1789"/>
      <c r="CR1118" s="345"/>
      <c r="CS1118" s="345"/>
      <c r="CX1118" s="347"/>
      <c r="CY1118" s="347"/>
      <c r="DH1118" s="237"/>
      <c r="DI1118" s="237"/>
      <c r="DN1118" s="347"/>
      <c r="DO1118" s="347"/>
      <c r="DP1118" s="2505"/>
    </row>
    <row r="1119" spans="12:120">
      <c r="L1119" s="347">
        <v>16.03</v>
      </c>
      <c r="M1119" s="347" t="s">
        <v>352</v>
      </c>
      <c r="AB1119" s="347">
        <v>140.06</v>
      </c>
      <c r="AC1119" s="347" t="s">
        <v>365</v>
      </c>
      <c r="AD1119" s="1138"/>
      <c r="AP1119" s="347">
        <v>204</v>
      </c>
      <c r="AQ1119" s="347" t="s">
        <v>344</v>
      </c>
      <c r="BF1119" s="347">
        <v>107.1</v>
      </c>
      <c r="BG1119" s="347" t="s">
        <v>367</v>
      </c>
      <c r="BH1119" s="1790"/>
      <c r="BN1119" s="237">
        <v>162</v>
      </c>
      <c r="BO1119" s="237" t="s">
        <v>323</v>
      </c>
      <c r="BT1119" s="347">
        <v>104.23</v>
      </c>
      <c r="BU1119" s="347" t="s">
        <v>344</v>
      </c>
      <c r="CD1119" s="237">
        <v>48.1</v>
      </c>
      <c r="CE1119" s="237" t="s">
        <v>361</v>
      </c>
      <c r="CJ1119" s="347">
        <v>108.06</v>
      </c>
      <c r="CK1119" s="347" t="s">
        <v>318</v>
      </c>
      <c r="CL1119" s="1789"/>
      <c r="CR1119" s="345"/>
      <c r="CS1119" s="345"/>
      <c r="CX1119" s="347"/>
      <c r="CY1119" s="347"/>
      <c r="DH1119" s="237"/>
      <c r="DI1119" s="237"/>
      <c r="DN1119" s="347"/>
      <c r="DO1119" s="347"/>
      <c r="DP1119" s="2505"/>
    </row>
    <row r="1120" spans="12:120">
      <c r="L1120" s="347">
        <v>21</v>
      </c>
      <c r="M1120" s="347" t="s">
        <v>352</v>
      </c>
      <c r="AB1120" s="347">
        <v>140.07</v>
      </c>
      <c r="AC1120" s="347" t="s">
        <v>337</v>
      </c>
      <c r="AD1120" s="1138"/>
      <c r="AP1120" s="347">
        <v>206</v>
      </c>
      <c r="AQ1120" s="347" t="s">
        <v>344</v>
      </c>
      <c r="BF1120" s="347">
        <v>107.12</v>
      </c>
      <c r="BG1120" s="347" t="s">
        <v>367</v>
      </c>
      <c r="BH1120" s="1790"/>
      <c r="BN1120" s="237">
        <v>163</v>
      </c>
      <c r="BO1120" s="237" t="s">
        <v>323</v>
      </c>
      <c r="BT1120" s="347">
        <v>105.01</v>
      </c>
      <c r="BU1120" s="347" t="s">
        <v>344</v>
      </c>
      <c r="CD1120" s="237">
        <v>48.13</v>
      </c>
      <c r="CE1120" s="237" t="s">
        <v>361</v>
      </c>
      <c r="CJ1120" s="347">
        <v>108.07</v>
      </c>
      <c r="CK1120" s="347" t="s">
        <v>318</v>
      </c>
      <c r="CL1120" s="1789"/>
      <c r="CR1120" s="345"/>
      <c r="CS1120" s="345"/>
      <c r="CX1120" s="347"/>
      <c r="CY1120" s="347"/>
      <c r="DH1120" s="237"/>
      <c r="DI1120" s="237"/>
      <c r="DN1120" s="347"/>
      <c r="DO1120" s="347"/>
      <c r="DP1120" s="2505"/>
    </row>
    <row r="1121" spans="12:120">
      <c r="L1121" s="347">
        <v>22.01</v>
      </c>
      <c r="M1121" s="347" t="s">
        <v>352</v>
      </c>
      <c r="AB1121" s="347">
        <v>140.08000000000001</v>
      </c>
      <c r="AC1121" s="347" t="s">
        <v>337</v>
      </c>
      <c r="AD1121" s="1138"/>
      <c r="AP1121" s="347">
        <v>207</v>
      </c>
      <c r="AQ1121" s="347" t="s">
        <v>344</v>
      </c>
      <c r="BF1121" s="347">
        <v>108</v>
      </c>
      <c r="BG1121" s="347" t="s">
        <v>365</v>
      </c>
      <c r="BH1121" s="1790"/>
      <c r="BN1121" s="237">
        <v>164</v>
      </c>
      <c r="BO1121" s="237" t="s">
        <v>323</v>
      </c>
      <c r="BT1121" s="347">
        <v>107.01</v>
      </c>
      <c r="BU1121" s="347" t="s">
        <v>344</v>
      </c>
      <c r="CD1121" s="237">
        <v>48.15</v>
      </c>
      <c r="CE1121" s="237" t="s">
        <v>361</v>
      </c>
      <c r="CJ1121" s="347">
        <v>108.1</v>
      </c>
      <c r="CK1121" s="347" t="s">
        <v>337</v>
      </c>
      <c r="CL1121" s="1789"/>
      <c r="CR1121" s="345"/>
      <c r="CS1121" s="345"/>
      <c r="CX1121" s="347"/>
      <c r="CY1121" s="347"/>
      <c r="DH1121" s="237"/>
      <c r="DI1121" s="237"/>
      <c r="DN1121" s="347"/>
      <c r="DO1121" s="347"/>
      <c r="DP1121" s="2505"/>
    </row>
    <row r="1122" spans="12:120">
      <c r="L1122" s="347">
        <v>27.02</v>
      </c>
      <c r="M1122" s="347" t="s">
        <v>352</v>
      </c>
      <c r="AB1122" s="347">
        <v>140.09</v>
      </c>
      <c r="AC1122" s="347" t="s">
        <v>337</v>
      </c>
      <c r="AD1122" s="1138"/>
      <c r="AP1122" s="347">
        <v>301</v>
      </c>
      <c r="AQ1122" s="347" t="s">
        <v>344</v>
      </c>
      <c r="BF1122" s="347">
        <v>108.02</v>
      </c>
      <c r="BG1122" s="347" t="s">
        <v>359</v>
      </c>
      <c r="BH1122" s="1790"/>
      <c r="BN1122" s="237">
        <v>165</v>
      </c>
      <c r="BO1122" s="237" t="s">
        <v>323</v>
      </c>
      <c r="BT1122" s="347">
        <v>107.02</v>
      </c>
      <c r="BU1122" s="347" t="s">
        <v>344</v>
      </c>
      <c r="CD1122" s="237">
        <v>48.16</v>
      </c>
      <c r="CE1122" s="237" t="s">
        <v>361</v>
      </c>
      <c r="CJ1122" s="347">
        <v>108.11</v>
      </c>
      <c r="CK1122" s="347" t="s">
        <v>337</v>
      </c>
      <c r="CL1122" s="1789"/>
      <c r="CR1122" s="345"/>
      <c r="CS1122" s="345"/>
      <c r="CX1122" s="347"/>
      <c r="CY1122" s="347"/>
      <c r="DH1122" s="237"/>
      <c r="DI1122" s="237"/>
      <c r="DN1122" s="347"/>
      <c r="DO1122" s="347"/>
      <c r="DP1122" s="2505"/>
    </row>
    <row r="1123" spans="12:120">
      <c r="L1123" s="347">
        <v>27.03</v>
      </c>
      <c r="M1123" s="347" t="s">
        <v>352</v>
      </c>
      <c r="AB1123" s="347">
        <v>140.11000000000001</v>
      </c>
      <c r="AC1123" s="347" t="s">
        <v>337</v>
      </c>
      <c r="AD1123" s="1138"/>
      <c r="AP1123" s="347">
        <v>302.01</v>
      </c>
      <c r="AQ1123" s="347" t="s">
        <v>344</v>
      </c>
      <c r="BF1123" s="347">
        <v>108.02</v>
      </c>
      <c r="BG1123" s="347" t="s">
        <v>367</v>
      </c>
      <c r="BH1123" s="1790"/>
      <c r="BN1123" s="237">
        <v>166.03</v>
      </c>
      <c r="BO1123" s="237" t="s">
        <v>323</v>
      </c>
      <c r="BT1123" s="347">
        <v>108.01</v>
      </c>
      <c r="BU1123" s="347" t="s">
        <v>344</v>
      </c>
      <c r="CD1123" s="237">
        <v>48.17</v>
      </c>
      <c r="CE1123" s="237" t="s">
        <v>361</v>
      </c>
      <c r="CJ1123" s="347">
        <v>108.12</v>
      </c>
      <c r="CK1123" s="347" t="s">
        <v>367</v>
      </c>
      <c r="CL1123" s="1789"/>
      <c r="CR1123" s="345"/>
      <c r="CS1123" s="345"/>
      <c r="CX1123" s="347"/>
      <c r="CY1123" s="347"/>
      <c r="DH1123" s="237"/>
      <c r="DI1123" s="237"/>
      <c r="DN1123" s="347"/>
      <c r="DO1123" s="347"/>
      <c r="DP1123" s="2505"/>
    </row>
    <row r="1124" spans="12:120">
      <c r="L1124" s="347">
        <v>27.05</v>
      </c>
      <c r="M1124" s="347" t="s">
        <v>352</v>
      </c>
      <c r="AB1124" s="347">
        <v>140.12</v>
      </c>
      <c r="AC1124" s="347" t="s">
        <v>337</v>
      </c>
      <c r="AD1124" s="1138"/>
      <c r="AP1124" s="347">
        <v>302.05</v>
      </c>
      <c r="AQ1124" s="347" t="s">
        <v>344</v>
      </c>
      <c r="BF1124" s="347">
        <v>108.03</v>
      </c>
      <c r="BG1124" s="347" t="s">
        <v>344</v>
      </c>
      <c r="BH1124" s="1790"/>
      <c r="BN1124" s="237">
        <v>166.04</v>
      </c>
      <c r="BO1124" s="237" t="s">
        <v>323</v>
      </c>
      <c r="BT1124" s="347">
        <v>108.03</v>
      </c>
      <c r="BU1124" s="347" t="s">
        <v>344</v>
      </c>
      <c r="CD1124" s="237">
        <v>48.18</v>
      </c>
      <c r="CE1124" s="237" t="s">
        <v>361</v>
      </c>
      <c r="CJ1124" s="347">
        <v>108.13</v>
      </c>
      <c r="CK1124" s="347" t="s">
        <v>367</v>
      </c>
      <c r="CL1124" s="1789"/>
      <c r="CR1124" s="345"/>
      <c r="CS1124" s="345"/>
      <c r="CX1124" s="347"/>
      <c r="CY1124" s="347"/>
      <c r="DH1124" s="237"/>
      <c r="DI1124" s="237"/>
      <c r="DN1124" s="347"/>
      <c r="DO1124" s="347"/>
      <c r="DP1124" s="2505"/>
    </row>
    <row r="1125" spans="12:120">
      <c r="L1125" s="347">
        <v>27.06</v>
      </c>
      <c r="M1125" s="347" t="s">
        <v>352</v>
      </c>
      <c r="AB1125" s="347">
        <v>140.15</v>
      </c>
      <c r="AC1125" s="347" t="s">
        <v>337</v>
      </c>
      <c r="AD1125" s="1138"/>
      <c r="AP1125" s="347">
        <v>303</v>
      </c>
      <c r="AQ1125" s="347" t="s">
        <v>344</v>
      </c>
      <c r="BF1125" s="347">
        <v>108.06</v>
      </c>
      <c r="BG1125" s="347" t="s">
        <v>318</v>
      </c>
      <c r="BH1125" s="1790"/>
      <c r="BN1125" s="237">
        <v>166.05</v>
      </c>
      <c r="BO1125" s="237" t="s">
        <v>323</v>
      </c>
      <c r="BT1125" s="347">
        <v>201.04</v>
      </c>
      <c r="BU1125" s="347" t="s">
        <v>344</v>
      </c>
      <c r="CD1125" s="237">
        <v>48.19</v>
      </c>
      <c r="CE1125" s="237" t="s">
        <v>361</v>
      </c>
      <c r="CJ1125" s="347">
        <v>108.14</v>
      </c>
      <c r="CK1125" s="347" t="s">
        <v>367</v>
      </c>
      <c r="CL1125" s="1789"/>
      <c r="CR1125" s="345"/>
      <c r="CS1125" s="345"/>
      <c r="CX1125" s="347"/>
      <c r="CY1125" s="347"/>
      <c r="DH1125" s="237"/>
      <c r="DI1125" s="237"/>
      <c r="DN1125" s="347"/>
      <c r="DO1125" s="347"/>
      <c r="DP1125" s="2505"/>
    </row>
    <row r="1126" spans="12:120">
      <c r="L1126" s="347">
        <v>37.020000000000003</v>
      </c>
      <c r="M1126" s="347" t="s">
        <v>352</v>
      </c>
      <c r="AB1126" s="347">
        <v>140.16</v>
      </c>
      <c r="AC1126" s="347" t="s">
        <v>337</v>
      </c>
      <c r="AD1126" s="1138"/>
      <c r="AP1126" s="347">
        <v>401.08</v>
      </c>
      <c r="AQ1126" s="347" t="s">
        <v>344</v>
      </c>
      <c r="BF1126" s="347">
        <v>108.07</v>
      </c>
      <c r="BG1126" s="347" t="s">
        <v>318</v>
      </c>
      <c r="BH1126" s="1790"/>
      <c r="BN1126" s="237">
        <v>166.06</v>
      </c>
      <c r="BO1126" s="237" t="s">
        <v>323</v>
      </c>
      <c r="BT1126" s="347">
        <v>202.02</v>
      </c>
      <c r="BU1126" s="347" t="s">
        <v>344</v>
      </c>
      <c r="CD1126" s="237">
        <v>48.2</v>
      </c>
      <c r="CE1126" s="237" t="s">
        <v>361</v>
      </c>
      <c r="CJ1126" s="347">
        <v>108.19</v>
      </c>
      <c r="CK1126" s="347" t="s">
        <v>337</v>
      </c>
      <c r="CL1126" s="1789"/>
      <c r="CR1126" s="345"/>
      <c r="CS1126" s="345"/>
      <c r="CX1126" s="347"/>
      <c r="CY1126" s="347"/>
      <c r="DH1126" s="237"/>
      <c r="DI1126" s="237"/>
      <c r="DN1126" s="347"/>
      <c r="DO1126" s="347"/>
      <c r="DP1126" s="2505"/>
    </row>
    <row r="1127" spans="12:120">
      <c r="L1127" s="347">
        <v>37.03</v>
      </c>
      <c r="M1127" s="347" t="s">
        <v>352</v>
      </c>
      <c r="AB1127" s="347">
        <v>141</v>
      </c>
      <c r="AC1127" s="347" t="s">
        <v>359</v>
      </c>
      <c r="AD1127" s="1138"/>
      <c r="AP1127" s="347">
        <v>401.1</v>
      </c>
      <c r="AQ1127" s="347" t="s">
        <v>344</v>
      </c>
      <c r="BF1127" s="347">
        <v>108.1</v>
      </c>
      <c r="BG1127" s="347" t="s">
        <v>337</v>
      </c>
      <c r="BH1127" s="1790"/>
      <c r="BN1127" s="237">
        <v>167.11</v>
      </c>
      <c r="BO1127" s="237" t="s">
        <v>323</v>
      </c>
      <c r="BT1127" s="347">
        <v>204</v>
      </c>
      <c r="BU1127" s="347" t="s">
        <v>344</v>
      </c>
      <c r="CD1127" s="237">
        <v>48.21</v>
      </c>
      <c r="CE1127" s="237" t="s">
        <v>361</v>
      </c>
      <c r="CJ1127" s="347">
        <v>108.2</v>
      </c>
      <c r="CK1127" s="347" t="s">
        <v>337</v>
      </c>
      <c r="CL1127" s="1789"/>
      <c r="CR1127" s="345"/>
      <c r="CS1127" s="345"/>
      <c r="CX1127" s="347"/>
      <c r="CY1127" s="347"/>
      <c r="DH1127" s="237"/>
      <c r="DI1127" s="237"/>
      <c r="DN1127" s="347"/>
      <c r="DO1127" s="347"/>
      <c r="DP1127" s="2505"/>
    </row>
    <row r="1128" spans="12:120">
      <c r="L1128" s="347">
        <v>37.04</v>
      </c>
      <c r="M1128" s="347" t="s">
        <v>352</v>
      </c>
      <c r="AB1128" s="347">
        <v>141.01</v>
      </c>
      <c r="AC1128" s="347" t="s">
        <v>323</v>
      </c>
      <c r="AD1128" s="1138"/>
      <c r="AP1128" s="347">
        <v>401.11</v>
      </c>
      <c r="AQ1128" s="347" t="s">
        <v>344</v>
      </c>
      <c r="BF1128" s="347">
        <v>108.11</v>
      </c>
      <c r="BG1128" s="347" t="s">
        <v>337</v>
      </c>
      <c r="BH1128" s="1790"/>
      <c r="BN1128" s="237">
        <v>167.24</v>
      </c>
      <c r="BO1128" s="237" t="s">
        <v>323</v>
      </c>
      <c r="BT1128" s="347">
        <v>207</v>
      </c>
      <c r="BU1128" s="347" t="s">
        <v>344</v>
      </c>
      <c r="CD1128" s="237">
        <v>48.22</v>
      </c>
      <c r="CE1128" s="237" t="s">
        <v>361</v>
      </c>
      <c r="CJ1128" s="347">
        <v>108.2</v>
      </c>
      <c r="CK1128" s="347" t="s">
        <v>367</v>
      </c>
      <c r="CL1128" s="1789"/>
      <c r="CR1128" s="345"/>
      <c r="CS1128" s="345"/>
      <c r="CX1128" s="347"/>
      <c r="CY1128" s="347"/>
      <c r="DH1128" s="237"/>
      <c r="DI1128" s="237"/>
      <c r="DN1128" s="347"/>
      <c r="DO1128" s="347"/>
      <c r="DP1128" s="2505"/>
    </row>
    <row r="1129" spans="12:120">
      <c r="L1129" s="347">
        <v>37.049999999999997</v>
      </c>
      <c r="M1129" s="347" t="s">
        <v>352</v>
      </c>
      <c r="AB1129" s="347">
        <v>141.02000000000001</v>
      </c>
      <c r="AC1129" s="347" t="s">
        <v>323</v>
      </c>
      <c r="AD1129" s="1138"/>
      <c r="AP1129" s="347">
        <v>401.13</v>
      </c>
      <c r="AQ1129" s="347" t="s">
        <v>344</v>
      </c>
      <c r="BF1129" s="347">
        <v>108.12</v>
      </c>
      <c r="BG1129" s="347" t="s">
        <v>367</v>
      </c>
      <c r="BH1129" s="1790"/>
      <c r="BN1129" s="237">
        <v>167.25</v>
      </c>
      <c r="BO1129" s="237" t="s">
        <v>323</v>
      </c>
      <c r="BT1129" s="347">
        <v>301</v>
      </c>
      <c r="BU1129" s="347" t="s">
        <v>344</v>
      </c>
      <c r="CD1129" s="237">
        <v>48.23</v>
      </c>
      <c r="CE1129" s="237" t="s">
        <v>361</v>
      </c>
      <c r="CJ1129" s="347">
        <v>108.21</v>
      </c>
      <c r="CK1129" s="347" t="s">
        <v>367</v>
      </c>
      <c r="CL1129" s="1789"/>
      <c r="CR1129" s="345"/>
      <c r="CS1129" s="345"/>
      <c r="CX1129" s="347"/>
      <c r="CY1129" s="347"/>
      <c r="DH1129" s="237"/>
      <c r="DI1129" s="237"/>
      <c r="DN1129" s="347"/>
      <c r="DO1129" s="347"/>
      <c r="DP1129" s="2505"/>
    </row>
    <row r="1130" spans="12:120">
      <c r="L1130" s="347">
        <v>37.07</v>
      </c>
      <c r="M1130" s="347" t="s">
        <v>352</v>
      </c>
      <c r="AB1130" s="347">
        <v>141.03</v>
      </c>
      <c r="AC1130" s="347" t="s">
        <v>365</v>
      </c>
      <c r="AD1130" s="1138"/>
      <c r="AP1130" s="347">
        <v>401.17</v>
      </c>
      <c r="AQ1130" s="347" t="s">
        <v>344</v>
      </c>
      <c r="BF1130" s="347">
        <v>108.13</v>
      </c>
      <c r="BG1130" s="347" t="s">
        <v>367</v>
      </c>
      <c r="BH1130" s="1790"/>
      <c r="BN1130" s="237">
        <v>167.26</v>
      </c>
      <c r="BO1130" s="237" t="s">
        <v>323</v>
      </c>
      <c r="BT1130" s="347">
        <v>302.01</v>
      </c>
      <c r="BU1130" s="347" t="s">
        <v>344</v>
      </c>
      <c r="CD1130" s="237">
        <v>49.01</v>
      </c>
      <c r="CE1130" s="237" t="s">
        <v>337</v>
      </c>
      <c r="CJ1130" s="347">
        <v>108.22</v>
      </c>
      <c r="CK1130" s="347" t="s">
        <v>367</v>
      </c>
      <c r="CL1130" s="1789"/>
      <c r="CR1130" s="345"/>
      <c r="CS1130" s="345"/>
      <c r="CX1130" s="347"/>
      <c r="CY1130" s="347"/>
      <c r="DH1130" s="237"/>
      <c r="DI1130" s="237"/>
      <c r="DN1130" s="347"/>
      <c r="DO1130" s="347"/>
      <c r="DP1130" s="2505"/>
    </row>
    <row r="1131" spans="12:120">
      <c r="L1131" s="347">
        <v>38.01</v>
      </c>
      <c r="M1131" s="347" t="s">
        <v>352</v>
      </c>
      <c r="AB1131" s="347">
        <v>141.04</v>
      </c>
      <c r="AC1131" s="347" t="s">
        <v>365</v>
      </c>
      <c r="AD1131" s="1138"/>
      <c r="AP1131" s="347">
        <v>401.18</v>
      </c>
      <c r="AQ1131" s="347" t="s">
        <v>344</v>
      </c>
      <c r="BF1131" s="347">
        <v>108.14</v>
      </c>
      <c r="BG1131" s="347" t="s">
        <v>367</v>
      </c>
      <c r="BH1131" s="1790"/>
      <c r="BN1131" s="237">
        <v>167.27</v>
      </c>
      <c r="BO1131" s="237" t="s">
        <v>323</v>
      </c>
      <c r="BT1131" s="347">
        <v>302.05</v>
      </c>
      <c r="BU1131" s="347" t="s">
        <v>344</v>
      </c>
      <c r="CD1131" s="237">
        <v>49.01</v>
      </c>
      <c r="CE1131" s="237" t="s">
        <v>352</v>
      </c>
      <c r="CJ1131" s="347">
        <v>108.24</v>
      </c>
      <c r="CK1131" s="347" t="s">
        <v>367</v>
      </c>
      <c r="CL1131" s="1789"/>
      <c r="CR1131" s="345"/>
      <c r="CS1131" s="345"/>
      <c r="CX1131" s="347"/>
      <c r="CY1131" s="347"/>
      <c r="DH1131" s="237"/>
      <c r="DI1131" s="237"/>
      <c r="DN1131" s="347"/>
      <c r="DO1131" s="347"/>
      <c r="DP1131" s="2505"/>
    </row>
    <row r="1132" spans="12:120">
      <c r="L1132" s="347">
        <v>38.03</v>
      </c>
      <c r="M1132" s="347" t="s">
        <v>352</v>
      </c>
      <c r="AB1132" s="347">
        <v>141.05000000000001</v>
      </c>
      <c r="AC1132" s="347" t="s">
        <v>365</v>
      </c>
      <c r="AD1132" s="1138"/>
      <c r="AP1132" s="347">
        <v>401.2</v>
      </c>
      <c r="AQ1132" s="347" t="s">
        <v>344</v>
      </c>
      <c r="BF1132" s="347">
        <v>108.19</v>
      </c>
      <c r="BG1132" s="347" t="s">
        <v>337</v>
      </c>
      <c r="BH1132" s="1790"/>
      <c r="BN1132" s="237">
        <v>167.28</v>
      </c>
      <c r="BO1132" s="237" t="s">
        <v>323</v>
      </c>
      <c r="BT1132" s="347">
        <v>303</v>
      </c>
      <c r="BU1132" s="347" t="s">
        <v>344</v>
      </c>
      <c r="CD1132" s="237">
        <v>49.02</v>
      </c>
      <c r="CE1132" s="237" t="s">
        <v>337</v>
      </c>
      <c r="CJ1132" s="347">
        <v>108.25</v>
      </c>
      <c r="CK1132" s="347" t="s">
        <v>367</v>
      </c>
      <c r="CL1132" s="1789"/>
      <c r="CR1132" s="345"/>
      <c r="CS1132" s="345"/>
      <c r="CX1132" s="347"/>
      <c r="CY1132" s="347"/>
      <c r="DH1132" s="237"/>
      <c r="DI1132" s="237"/>
      <c r="DN1132" s="347"/>
      <c r="DO1132" s="347"/>
      <c r="DP1132" s="2505"/>
    </row>
    <row r="1133" spans="12:120">
      <c r="L1133" s="347">
        <v>38.04</v>
      </c>
      <c r="M1133" s="347" t="s">
        <v>352</v>
      </c>
      <c r="AB1133" s="347">
        <v>141.09</v>
      </c>
      <c r="AC1133" s="347" t="s">
        <v>337</v>
      </c>
      <c r="AD1133" s="1138"/>
      <c r="AP1133" s="347">
        <v>401.23</v>
      </c>
      <c r="AQ1133" s="347" t="s">
        <v>344</v>
      </c>
      <c r="BF1133" s="347">
        <v>108.2</v>
      </c>
      <c r="BG1133" s="347" t="s">
        <v>367</v>
      </c>
      <c r="BH1133" s="1790"/>
      <c r="BN1133" s="237">
        <v>167.29</v>
      </c>
      <c r="BO1133" s="237" t="s">
        <v>323</v>
      </c>
      <c r="BT1133" s="347">
        <v>401.08</v>
      </c>
      <c r="BU1133" s="347" t="s">
        <v>344</v>
      </c>
      <c r="CD1133" s="237">
        <v>49.02</v>
      </c>
      <c r="CE1133" s="237" t="s">
        <v>361</v>
      </c>
      <c r="CJ1133" s="347">
        <v>108.27</v>
      </c>
      <c r="CK1133" s="347" t="s">
        <v>367</v>
      </c>
      <c r="CL1133" s="1789"/>
      <c r="CR1133" s="345"/>
      <c r="CS1133" s="345"/>
      <c r="CX1133" s="347"/>
      <c r="CY1133" s="347"/>
      <c r="DH1133" s="237"/>
      <c r="DI1133" s="237"/>
      <c r="DN1133" s="347"/>
      <c r="DO1133" s="347"/>
      <c r="DP1133" s="2505"/>
    </row>
    <row r="1134" spans="12:120">
      <c r="L1134" s="347">
        <v>39.06</v>
      </c>
      <c r="M1134" s="347" t="s">
        <v>352</v>
      </c>
      <c r="AB1134" s="347">
        <v>141.16999999999999</v>
      </c>
      <c r="AC1134" s="347" t="s">
        <v>337</v>
      </c>
      <c r="AD1134" s="1138"/>
      <c r="AP1134" s="347">
        <v>401.25</v>
      </c>
      <c r="AQ1134" s="347" t="s">
        <v>344</v>
      </c>
      <c r="BF1134" s="347">
        <v>108.21</v>
      </c>
      <c r="BG1134" s="347" t="s">
        <v>367</v>
      </c>
      <c r="BH1134" s="1790"/>
      <c r="BN1134" s="237">
        <v>167.3</v>
      </c>
      <c r="BO1134" s="237" t="s">
        <v>323</v>
      </c>
      <c r="BT1134" s="347">
        <v>401.1</v>
      </c>
      <c r="BU1134" s="347" t="s">
        <v>344</v>
      </c>
      <c r="CD1134" s="237">
        <v>49.03</v>
      </c>
      <c r="CE1134" s="237" t="s">
        <v>352</v>
      </c>
      <c r="CJ1134" s="347">
        <v>108.28</v>
      </c>
      <c r="CK1134" s="347" t="s">
        <v>367</v>
      </c>
      <c r="CL1134" s="1789"/>
      <c r="CR1134" s="345"/>
      <c r="CS1134" s="345"/>
      <c r="CX1134" s="347"/>
      <c r="CY1134" s="347"/>
      <c r="DH1134" s="237"/>
      <c r="DI1134" s="237"/>
      <c r="DN1134" s="347"/>
      <c r="DO1134" s="347"/>
      <c r="DP1134" s="2505"/>
    </row>
    <row r="1135" spans="12:120">
      <c r="L1135" s="347">
        <v>39.119999999999997</v>
      </c>
      <c r="M1135" s="347" t="s">
        <v>352</v>
      </c>
      <c r="AB1135" s="347">
        <v>141.18</v>
      </c>
      <c r="AC1135" s="347" t="s">
        <v>337</v>
      </c>
      <c r="AD1135" s="1138"/>
      <c r="AP1135" s="347">
        <v>401.26</v>
      </c>
      <c r="AQ1135" s="347" t="s">
        <v>344</v>
      </c>
      <c r="BF1135" s="347">
        <v>108.22</v>
      </c>
      <c r="BG1135" s="347" t="s">
        <v>367</v>
      </c>
      <c r="BH1135" s="1790"/>
      <c r="BN1135" s="237">
        <v>167.31</v>
      </c>
      <c r="BO1135" s="237" t="s">
        <v>323</v>
      </c>
      <c r="BT1135" s="347">
        <v>401.11</v>
      </c>
      <c r="BU1135" s="347" t="s">
        <v>344</v>
      </c>
      <c r="CD1135" s="237">
        <v>49.03</v>
      </c>
      <c r="CE1135" s="237" t="s">
        <v>361</v>
      </c>
      <c r="CJ1135" s="347">
        <v>109</v>
      </c>
      <c r="CK1135" s="347" t="s">
        <v>367</v>
      </c>
      <c r="CL1135" s="1789"/>
      <c r="CR1135" s="345"/>
      <c r="CS1135" s="345"/>
      <c r="CX1135" s="347"/>
      <c r="CY1135" s="347"/>
      <c r="DH1135" s="237"/>
      <c r="DI1135" s="237"/>
      <c r="DN1135" s="347"/>
      <c r="DO1135" s="347"/>
      <c r="DP1135" s="2505"/>
    </row>
    <row r="1136" spans="12:120">
      <c r="L1136" s="347">
        <v>39.130000000000003</v>
      </c>
      <c r="M1136" s="347" t="s">
        <v>352</v>
      </c>
      <c r="AB1136" s="347">
        <v>141.19</v>
      </c>
      <c r="AC1136" s="347" t="s">
        <v>337</v>
      </c>
      <c r="AD1136" s="1138"/>
      <c r="AP1136" s="347">
        <v>401.28</v>
      </c>
      <c r="AQ1136" s="347" t="s">
        <v>344</v>
      </c>
      <c r="BF1136" s="347">
        <v>108.24</v>
      </c>
      <c r="BG1136" s="347" t="s">
        <v>337</v>
      </c>
      <c r="BH1136" s="1790"/>
      <c r="BN1136" s="237">
        <v>168.01</v>
      </c>
      <c r="BO1136" s="237" t="s">
        <v>323</v>
      </c>
      <c r="BT1136" s="347">
        <v>401.13</v>
      </c>
      <c r="BU1136" s="347" t="s">
        <v>344</v>
      </c>
      <c r="CD1136" s="237">
        <v>49.04</v>
      </c>
      <c r="CE1136" s="237" t="s">
        <v>352</v>
      </c>
      <c r="CJ1136" s="347">
        <v>109.01</v>
      </c>
      <c r="CK1136" s="347" t="s">
        <v>310</v>
      </c>
      <c r="CL1136" s="1789"/>
      <c r="CR1136" s="345"/>
      <c r="CS1136" s="345"/>
      <c r="CX1136" s="347"/>
      <c r="CY1136" s="347"/>
      <c r="DH1136" s="237"/>
      <c r="DI1136" s="237"/>
      <c r="DN1136" s="347"/>
      <c r="DO1136" s="347"/>
      <c r="DP1136" s="2505"/>
    </row>
    <row r="1137" spans="12:120">
      <c r="L1137" s="347">
        <v>39.14</v>
      </c>
      <c r="M1137" s="347" t="s">
        <v>352</v>
      </c>
      <c r="AB1137" s="347">
        <v>141.21</v>
      </c>
      <c r="AC1137" s="347" t="s">
        <v>337</v>
      </c>
      <c r="AD1137" s="1138"/>
      <c r="AP1137" s="347">
        <v>401.29</v>
      </c>
      <c r="AQ1137" s="347" t="s">
        <v>344</v>
      </c>
      <c r="BF1137" s="347">
        <v>108.24</v>
      </c>
      <c r="BG1137" s="347" t="s">
        <v>367</v>
      </c>
      <c r="BH1137" s="1790"/>
      <c r="BN1137" s="237">
        <v>168.03</v>
      </c>
      <c r="BO1137" s="237" t="s">
        <v>323</v>
      </c>
      <c r="BT1137" s="347">
        <v>401.17</v>
      </c>
      <c r="BU1137" s="347" t="s">
        <v>344</v>
      </c>
      <c r="CD1137" s="237">
        <v>49.04</v>
      </c>
      <c r="CE1137" s="237" t="s">
        <v>361</v>
      </c>
      <c r="CJ1137" s="347">
        <v>109.02</v>
      </c>
      <c r="CK1137" s="347" t="s">
        <v>310</v>
      </c>
      <c r="CL1137" s="1789"/>
      <c r="CR1137" s="345"/>
      <c r="CS1137" s="345"/>
      <c r="CX1137" s="347"/>
      <c r="CY1137" s="347"/>
      <c r="DH1137" s="237"/>
      <c r="DI1137" s="237"/>
      <c r="DN1137" s="347"/>
      <c r="DO1137" s="347"/>
      <c r="DP1137" s="2505"/>
    </row>
    <row r="1138" spans="12:120">
      <c r="L1138" s="347">
        <v>39.15</v>
      </c>
      <c r="M1138" s="347" t="s">
        <v>352</v>
      </c>
      <c r="AB1138" s="347">
        <v>141.21</v>
      </c>
      <c r="AC1138" s="347" t="s">
        <v>365</v>
      </c>
      <c r="AD1138" s="1138"/>
      <c r="AP1138" s="347">
        <v>401.3</v>
      </c>
      <c r="AQ1138" s="347" t="s">
        <v>344</v>
      </c>
      <c r="BF1138" s="347">
        <v>108.25</v>
      </c>
      <c r="BG1138" s="347" t="s">
        <v>367</v>
      </c>
      <c r="BH1138" s="1790"/>
      <c r="BN1138" s="237">
        <v>168.04</v>
      </c>
      <c r="BO1138" s="237" t="s">
        <v>323</v>
      </c>
      <c r="BT1138" s="347">
        <v>401.18</v>
      </c>
      <c r="BU1138" s="347" t="s">
        <v>344</v>
      </c>
      <c r="CD1138" s="237">
        <v>50</v>
      </c>
      <c r="CE1138" s="237" t="s">
        <v>337</v>
      </c>
      <c r="CJ1138" s="347">
        <v>109.02</v>
      </c>
      <c r="CK1138" s="347" t="s">
        <v>318</v>
      </c>
      <c r="CL1138" s="1789"/>
      <c r="CR1138" s="345"/>
      <c r="CS1138" s="345"/>
      <c r="CX1138" s="347"/>
      <c r="CY1138" s="347"/>
      <c r="DH1138" s="237"/>
      <c r="DI1138" s="237"/>
      <c r="DN1138" s="347"/>
      <c r="DO1138" s="347"/>
      <c r="DP1138" s="2505"/>
    </row>
    <row r="1139" spans="12:120">
      <c r="L1139" s="347">
        <v>39.17</v>
      </c>
      <c r="M1139" s="347" t="s">
        <v>352</v>
      </c>
      <c r="AB1139" s="347">
        <v>141.22</v>
      </c>
      <c r="AC1139" s="347" t="s">
        <v>337</v>
      </c>
      <c r="AD1139" s="1138"/>
      <c r="AP1139" s="347">
        <v>401.31</v>
      </c>
      <c r="AQ1139" s="347" t="s">
        <v>344</v>
      </c>
      <c r="BF1139" s="347">
        <v>108.27</v>
      </c>
      <c r="BG1139" s="347" t="s">
        <v>367</v>
      </c>
      <c r="BH1139" s="1790"/>
      <c r="BN1139" s="237">
        <v>168.07</v>
      </c>
      <c r="BO1139" s="237" t="s">
        <v>323</v>
      </c>
      <c r="BT1139" s="347">
        <v>401.2</v>
      </c>
      <c r="BU1139" s="347" t="s">
        <v>344</v>
      </c>
      <c r="CD1139" s="237">
        <v>50</v>
      </c>
      <c r="CE1139" s="237" t="s">
        <v>361</v>
      </c>
      <c r="CJ1139" s="347">
        <v>109.04</v>
      </c>
      <c r="CK1139" s="347" t="s">
        <v>318</v>
      </c>
      <c r="CL1139" s="1789"/>
      <c r="CR1139" s="345"/>
      <c r="CS1139" s="345"/>
      <c r="CX1139" s="347"/>
      <c r="CY1139" s="347"/>
      <c r="DH1139" s="237"/>
      <c r="DI1139" s="237"/>
      <c r="DN1139" s="347"/>
      <c r="DO1139" s="347"/>
      <c r="DP1139" s="2505"/>
    </row>
    <row r="1140" spans="12:120">
      <c r="L1140" s="347">
        <v>39.18</v>
      </c>
      <c r="M1140" s="347" t="s">
        <v>352</v>
      </c>
      <c r="AB1140" s="347">
        <v>141.22999999999999</v>
      </c>
      <c r="AC1140" s="347" t="s">
        <v>365</v>
      </c>
      <c r="AD1140" s="1138"/>
      <c r="AP1140" s="347">
        <v>401.32</v>
      </c>
      <c r="AQ1140" s="347" t="s">
        <v>344</v>
      </c>
      <c r="BF1140" s="347">
        <v>108.28</v>
      </c>
      <c r="BG1140" s="347" t="s">
        <v>367</v>
      </c>
      <c r="BH1140" s="1790"/>
      <c r="BN1140" s="237">
        <v>168.08</v>
      </c>
      <c r="BO1140" s="237" t="s">
        <v>323</v>
      </c>
      <c r="BT1140" s="347">
        <v>401.23</v>
      </c>
      <c r="BU1140" s="347" t="s">
        <v>344</v>
      </c>
      <c r="CD1140" s="237">
        <v>50.02</v>
      </c>
      <c r="CE1140" s="237" t="s">
        <v>352</v>
      </c>
      <c r="CJ1140" s="347">
        <v>109.05</v>
      </c>
      <c r="CK1140" s="347" t="s">
        <v>318</v>
      </c>
      <c r="CL1140" s="1789"/>
      <c r="CR1140" s="345"/>
      <c r="CS1140" s="345"/>
      <c r="CX1140" s="347"/>
      <c r="CY1140" s="347"/>
      <c r="DH1140" s="237"/>
      <c r="DI1140" s="237"/>
      <c r="DN1140" s="347"/>
      <c r="DO1140" s="347"/>
      <c r="DP1140" s="2505"/>
    </row>
    <row r="1141" spans="12:120">
      <c r="L1141" s="347">
        <v>39.19</v>
      </c>
      <c r="M1141" s="347" t="s">
        <v>352</v>
      </c>
      <c r="AB1141" s="347">
        <v>142</v>
      </c>
      <c r="AC1141" s="347" t="s">
        <v>352</v>
      </c>
      <c r="AD1141" s="1138"/>
      <c r="AP1141" s="347">
        <v>401.33</v>
      </c>
      <c r="AQ1141" s="347" t="s">
        <v>344</v>
      </c>
      <c r="BF1141" s="347">
        <v>109</v>
      </c>
      <c r="BG1141" s="347" t="s">
        <v>367</v>
      </c>
      <c r="BH1141" s="1790"/>
      <c r="BN1141" s="237">
        <v>168.09</v>
      </c>
      <c r="BO1141" s="237" t="s">
        <v>323</v>
      </c>
      <c r="BT1141" s="347">
        <v>401.25</v>
      </c>
      <c r="BU1141" s="347" t="s">
        <v>344</v>
      </c>
      <c r="CD1141" s="237">
        <v>50.03</v>
      </c>
      <c r="CE1141" s="237" t="s">
        <v>352</v>
      </c>
      <c r="CJ1141" s="347">
        <v>109.07</v>
      </c>
      <c r="CK1141" s="347" t="s">
        <v>318</v>
      </c>
      <c r="CL1141" s="1789"/>
      <c r="CR1141" s="345"/>
      <c r="CS1141" s="345"/>
      <c r="CX1141" s="347"/>
      <c r="CY1141" s="347"/>
      <c r="DH1141" s="237"/>
      <c r="DI1141" s="237"/>
      <c r="DN1141" s="347"/>
      <c r="DO1141" s="347"/>
      <c r="DP1141" s="2505"/>
    </row>
    <row r="1142" spans="12:120">
      <c r="L1142" s="347">
        <v>39.21</v>
      </c>
      <c r="M1142" s="347" t="s">
        <v>352</v>
      </c>
      <c r="AB1142" s="347">
        <v>142.02000000000001</v>
      </c>
      <c r="AC1142" s="347" t="s">
        <v>323</v>
      </c>
      <c r="AD1142" s="1138"/>
      <c r="AP1142" s="347">
        <v>401.35</v>
      </c>
      <c r="AQ1142" s="347" t="s">
        <v>344</v>
      </c>
      <c r="BF1142" s="347">
        <v>109.01</v>
      </c>
      <c r="BG1142" s="347" t="s">
        <v>310</v>
      </c>
      <c r="BH1142" s="1790"/>
      <c r="BN1142" s="237">
        <v>168.1</v>
      </c>
      <c r="BO1142" s="237" t="s">
        <v>323</v>
      </c>
      <c r="BT1142" s="347">
        <v>401.26</v>
      </c>
      <c r="BU1142" s="347" t="s">
        <v>344</v>
      </c>
      <c r="CD1142" s="237">
        <v>50.04</v>
      </c>
      <c r="CE1142" s="237" t="s">
        <v>352</v>
      </c>
      <c r="CJ1142" s="347">
        <v>110</v>
      </c>
      <c r="CK1142" s="347" t="s">
        <v>310</v>
      </c>
      <c r="CL1142" s="1789"/>
      <c r="CR1142" s="345"/>
      <c r="CS1142" s="345"/>
      <c r="CX1142" s="347"/>
      <c r="CY1142" s="347"/>
      <c r="DH1142" s="237"/>
      <c r="DI1142" s="237"/>
      <c r="DN1142" s="347"/>
      <c r="DO1142" s="347"/>
      <c r="DP1142" s="2505"/>
    </row>
    <row r="1143" spans="12:120">
      <c r="L1143" s="347">
        <v>39.22</v>
      </c>
      <c r="M1143" s="347" t="s">
        <v>352</v>
      </c>
      <c r="AB1143" s="347">
        <v>142.02000000000001</v>
      </c>
      <c r="AC1143" s="347" t="s">
        <v>365</v>
      </c>
      <c r="AD1143" s="1138"/>
      <c r="AP1143" s="347">
        <v>401.36</v>
      </c>
      <c r="AQ1143" s="347" t="s">
        <v>344</v>
      </c>
      <c r="BF1143" s="347">
        <v>109.02</v>
      </c>
      <c r="BG1143" s="347" t="s">
        <v>310</v>
      </c>
      <c r="BH1143" s="1790"/>
      <c r="BN1143" s="237">
        <v>168.11</v>
      </c>
      <c r="BO1143" s="237" t="s">
        <v>323</v>
      </c>
      <c r="BT1143" s="347">
        <v>401.28</v>
      </c>
      <c r="BU1143" s="347" t="s">
        <v>344</v>
      </c>
      <c r="CD1143" s="237">
        <v>51.01</v>
      </c>
      <c r="CE1143" s="237" t="s">
        <v>337</v>
      </c>
      <c r="CJ1143" s="347">
        <v>110</v>
      </c>
      <c r="CK1143" s="347" t="s">
        <v>359</v>
      </c>
      <c r="CL1143" s="1789"/>
      <c r="CR1143" s="345"/>
      <c r="CS1143" s="345"/>
      <c r="CX1143" s="347"/>
      <c r="CY1143" s="347"/>
      <c r="DH1143" s="237"/>
      <c r="DI1143" s="237"/>
      <c r="DN1143" s="347"/>
      <c r="DO1143" s="347"/>
      <c r="DP1143" s="2505"/>
    </row>
    <row r="1144" spans="12:120">
      <c r="L1144" s="347">
        <v>40</v>
      </c>
      <c r="M1144" s="347" t="s">
        <v>352</v>
      </c>
      <c r="AB1144" s="347">
        <v>142.03</v>
      </c>
      <c r="AC1144" s="347" t="s">
        <v>323</v>
      </c>
      <c r="AD1144" s="1138"/>
      <c r="AP1144" s="347">
        <v>401.37</v>
      </c>
      <c r="AQ1144" s="347" t="s">
        <v>344</v>
      </c>
      <c r="BF1144" s="347">
        <v>109.02</v>
      </c>
      <c r="BG1144" s="347" t="s">
        <v>318</v>
      </c>
      <c r="BH1144" s="1790"/>
      <c r="BN1144" s="237">
        <v>168.12</v>
      </c>
      <c r="BO1144" s="237" t="s">
        <v>323</v>
      </c>
      <c r="BT1144" s="347">
        <v>401.29</v>
      </c>
      <c r="BU1144" s="347" t="s">
        <v>344</v>
      </c>
      <c r="CD1144" s="237">
        <v>51.01</v>
      </c>
      <c r="CE1144" s="237" t="s">
        <v>361</v>
      </c>
      <c r="CJ1144" s="347">
        <v>110.03</v>
      </c>
      <c r="CK1144" s="347" t="s">
        <v>318</v>
      </c>
      <c r="CL1144" s="1789"/>
      <c r="CR1144" s="345"/>
      <c r="CS1144" s="345"/>
      <c r="CX1144" s="347"/>
      <c r="CY1144" s="347"/>
      <c r="DH1144" s="237"/>
      <c r="DI1144" s="237"/>
      <c r="DN1144" s="347"/>
      <c r="DO1144" s="347"/>
      <c r="DP1144" s="2505"/>
    </row>
    <row r="1145" spans="12:120">
      <c r="L1145" s="347">
        <v>41.02</v>
      </c>
      <c r="M1145" s="347" t="s">
        <v>352</v>
      </c>
      <c r="AB1145" s="347">
        <v>142.03</v>
      </c>
      <c r="AC1145" s="347" t="s">
        <v>365</v>
      </c>
      <c r="AD1145" s="1138"/>
      <c r="AP1145" s="347">
        <v>401.38</v>
      </c>
      <c r="AQ1145" s="347" t="s">
        <v>344</v>
      </c>
      <c r="BF1145" s="347">
        <v>109.04</v>
      </c>
      <c r="BG1145" s="347" t="s">
        <v>318</v>
      </c>
      <c r="BH1145" s="1790"/>
      <c r="BN1145" s="237">
        <v>168.13</v>
      </c>
      <c r="BO1145" s="237" t="s">
        <v>323</v>
      </c>
      <c r="BT1145" s="347">
        <v>401.3</v>
      </c>
      <c r="BU1145" s="347" t="s">
        <v>344</v>
      </c>
      <c r="CD1145" s="237">
        <v>51.02</v>
      </c>
      <c r="CE1145" s="237" t="s">
        <v>337</v>
      </c>
      <c r="CJ1145" s="347">
        <v>110.03</v>
      </c>
      <c r="CK1145" s="347" t="s">
        <v>352</v>
      </c>
      <c r="CL1145" s="1789"/>
      <c r="CR1145" s="345"/>
      <c r="CS1145" s="345"/>
      <c r="CX1145" s="347"/>
      <c r="CY1145" s="347"/>
      <c r="DH1145" s="237"/>
      <c r="DI1145" s="237"/>
      <c r="DN1145" s="347"/>
      <c r="DO1145" s="347"/>
      <c r="DP1145" s="2505"/>
    </row>
    <row r="1146" spans="12:120">
      <c r="L1146" s="347">
        <v>41.03</v>
      </c>
      <c r="M1146" s="347" t="s">
        <v>352</v>
      </c>
      <c r="AB1146" s="347">
        <v>142.04</v>
      </c>
      <c r="AC1146" s="347" t="s">
        <v>323</v>
      </c>
      <c r="AD1146" s="1138"/>
      <c r="AP1146" s="347">
        <v>402.05</v>
      </c>
      <c r="AQ1146" s="347" t="s">
        <v>344</v>
      </c>
      <c r="BF1146" s="347">
        <v>109.05</v>
      </c>
      <c r="BG1146" s="347" t="s">
        <v>318</v>
      </c>
      <c r="BH1146" s="1790"/>
      <c r="BN1146" s="237">
        <v>171.01</v>
      </c>
      <c r="BO1146" s="237" t="s">
        <v>323</v>
      </c>
      <c r="BT1146" s="347">
        <v>401.31</v>
      </c>
      <c r="BU1146" s="347" t="s">
        <v>344</v>
      </c>
      <c r="CD1146" s="237">
        <v>51.02</v>
      </c>
      <c r="CE1146" s="237" t="s">
        <v>352</v>
      </c>
      <c r="CJ1146" s="347">
        <v>110.05</v>
      </c>
      <c r="CK1146" s="347" t="s">
        <v>337</v>
      </c>
      <c r="CL1146" s="1789"/>
      <c r="CR1146" s="345"/>
      <c r="CS1146" s="345"/>
      <c r="CX1146" s="347"/>
      <c r="CY1146" s="347"/>
      <c r="DH1146" s="237"/>
      <c r="DI1146" s="237"/>
      <c r="DN1146" s="347"/>
      <c r="DO1146" s="347"/>
      <c r="DP1146" s="2505"/>
    </row>
    <row r="1147" spans="12:120">
      <c r="L1147" s="347">
        <v>41.05</v>
      </c>
      <c r="M1147" s="347" t="s">
        <v>352</v>
      </c>
      <c r="AB1147" s="347">
        <v>143</v>
      </c>
      <c r="AC1147" s="347" t="s">
        <v>352</v>
      </c>
      <c r="AD1147" s="1138"/>
      <c r="AP1147" s="347">
        <v>402.06</v>
      </c>
      <c r="AQ1147" s="347" t="s">
        <v>344</v>
      </c>
      <c r="BF1147" s="347">
        <v>109.07</v>
      </c>
      <c r="BG1147" s="347" t="s">
        <v>318</v>
      </c>
      <c r="BH1147" s="1790"/>
      <c r="BN1147" s="237">
        <v>171.02</v>
      </c>
      <c r="BO1147" s="237" t="s">
        <v>323</v>
      </c>
      <c r="BT1147" s="347">
        <v>401.32</v>
      </c>
      <c r="BU1147" s="347" t="s">
        <v>344</v>
      </c>
      <c r="CD1147" s="237">
        <v>51.02</v>
      </c>
      <c r="CE1147" s="237" t="s">
        <v>361</v>
      </c>
      <c r="CJ1147" s="347">
        <v>110.06</v>
      </c>
      <c r="CK1147" s="347" t="s">
        <v>337</v>
      </c>
      <c r="CL1147" s="1789"/>
      <c r="CR1147" s="345"/>
      <c r="CS1147" s="345"/>
      <c r="CX1147" s="347"/>
      <c r="CY1147" s="347"/>
      <c r="DH1147" s="237"/>
      <c r="DI1147" s="237"/>
      <c r="DN1147" s="347"/>
      <c r="DO1147" s="347"/>
      <c r="DP1147" s="2505"/>
    </row>
    <row r="1148" spans="12:120">
      <c r="L1148" s="347">
        <v>41.06</v>
      </c>
      <c r="M1148" s="347" t="s">
        <v>352</v>
      </c>
      <c r="AB1148" s="347">
        <v>143.02000000000001</v>
      </c>
      <c r="AC1148" s="347" t="s">
        <v>365</v>
      </c>
      <c r="AD1148" s="1138"/>
      <c r="AP1148" s="347">
        <v>402.09</v>
      </c>
      <c r="AQ1148" s="347" t="s">
        <v>344</v>
      </c>
      <c r="BF1148" s="347">
        <v>110</v>
      </c>
      <c r="BG1148" s="347" t="s">
        <v>310</v>
      </c>
      <c r="BH1148" s="1790"/>
      <c r="BN1148" s="237">
        <v>172</v>
      </c>
      <c r="BO1148" s="237" t="s">
        <v>323</v>
      </c>
      <c r="BT1148" s="347">
        <v>401.33</v>
      </c>
      <c r="BU1148" s="347" t="s">
        <v>344</v>
      </c>
      <c r="CD1148" s="237">
        <v>51.03</v>
      </c>
      <c r="CE1148" s="237" t="s">
        <v>352</v>
      </c>
      <c r="CJ1148" s="347">
        <v>110.07</v>
      </c>
      <c r="CK1148" s="347" t="s">
        <v>337</v>
      </c>
      <c r="CL1148" s="1789"/>
      <c r="CR1148" s="345"/>
      <c r="CS1148" s="345"/>
      <c r="CX1148" s="347"/>
      <c r="CY1148" s="347"/>
      <c r="DH1148" s="237"/>
      <c r="DI1148" s="237"/>
      <c r="DN1148" s="347"/>
      <c r="DO1148" s="347"/>
      <c r="DP1148" s="2505"/>
    </row>
    <row r="1149" spans="12:120">
      <c r="L1149" s="347">
        <v>42.03</v>
      </c>
      <c r="M1149" s="347" t="s">
        <v>352</v>
      </c>
      <c r="AB1149" s="347">
        <v>143.12</v>
      </c>
      <c r="AC1149" s="347" t="s">
        <v>323</v>
      </c>
      <c r="AD1149" s="1138"/>
      <c r="AP1149" s="347">
        <v>402.12</v>
      </c>
      <c r="AQ1149" s="347" t="s">
        <v>344</v>
      </c>
      <c r="BF1149" s="347">
        <v>110</v>
      </c>
      <c r="BG1149" s="347" t="s">
        <v>359</v>
      </c>
      <c r="BH1149" s="1790"/>
      <c r="BN1149" s="237">
        <v>173</v>
      </c>
      <c r="BO1149" s="237" t="s">
        <v>323</v>
      </c>
      <c r="BT1149" s="347">
        <v>401.34</v>
      </c>
      <c r="BU1149" s="347" t="s">
        <v>344</v>
      </c>
      <c r="CD1149" s="237">
        <v>51.04</v>
      </c>
      <c r="CE1149" s="237" t="s">
        <v>352</v>
      </c>
      <c r="CJ1149" s="347">
        <v>110.08</v>
      </c>
      <c r="CK1149" s="347" t="s">
        <v>337</v>
      </c>
      <c r="CL1149" s="1789"/>
      <c r="CR1149" s="345"/>
      <c r="CS1149" s="345"/>
      <c r="CX1149" s="347"/>
      <c r="CY1149" s="347"/>
      <c r="DH1149" s="237"/>
      <c r="DI1149" s="237"/>
      <c r="DN1149" s="347"/>
      <c r="DO1149" s="347"/>
      <c r="DP1149" s="2505"/>
    </row>
    <row r="1150" spans="12:120">
      <c r="L1150" s="347">
        <v>42.04</v>
      </c>
      <c r="M1150" s="347" t="s">
        <v>352</v>
      </c>
      <c r="AB1150" s="347">
        <v>143.26</v>
      </c>
      <c r="AC1150" s="347" t="s">
        <v>323</v>
      </c>
      <c r="AD1150" s="1138"/>
      <c r="AP1150" s="347">
        <v>403.02</v>
      </c>
      <c r="AQ1150" s="347" t="s">
        <v>344</v>
      </c>
      <c r="BF1150" s="347">
        <v>110.03</v>
      </c>
      <c r="BG1150" s="347" t="s">
        <v>318</v>
      </c>
      <c r="BH1150" s="1790"/>
      <c r="BN1150" s="237">
        <v>174</v>
      </c>
      <c r="BO1150" s="237" t="s">
        <v>323</v>
      </c>
      <c r="BT1150" s="347">
        <v>401.35</v>
      </c>
      <c r="BU1150" s="347" t="s">
        <v>344</v>
      </c>
      <c r="CD1150" s="237">
        <v>52.01</v>
      </c>
      <c r="CE1150" s="237" t="s">
        <v>352</v>
      </c>
      <c r="CJ1150" s="347">
        <v>110.08</v>
      </c>
      <c r="CK1150" s="347" t="s">
        <v>352</v>
      </c>
      <c r="CL1150" s="1789"/>
      <c r="CR1150" s="345"/>
      <c r="CS1150" s="345"/>
      <c r="CX1150" s="347"/>
      <c r="CY1150" s="347"/>
      <c r="DH1150" s="237"/>
      <c r="DI1150" s="237"/>
      <c r="DN1150" s="347"/>
      <c r="DO1150" s="347"/>
      <c r="DP1150" s="2505"/>
    </row>
    <row r="1151" spans="12:120">
      <c r="L1151" s="347">
        <v>42.05</v>
      </c>
      <c r="M1151" s="347" t="s">
        <v>352</v>
      </c>
      <c r="AB1151" s="347">
        <v>143.28</v>
      </c>
      <c r="AC1151" s="347" t="s">
        <v>323</v>
      </c>
      <c r="AD1151" s="1138"/>
      <c r="AP1151" s="347">
        <v>403.1</v>
      </c>
      <c r="AQ1151" s="347" t="s">
        <v>344</v>
      </c>
      <c r="BF1151" s="347">
        <v>110.03</v>
      </c>
      <c r="BG1151" s="347" t="s">
        <v>352</v>
      </c>
      <c r="BH1151" s="1790"/>
      <c r="BN1151" s="237">
        <v>9900</v>
      </c>
      <c r="BO1151" s="237" t="s">
        <v>323</v>
      </c>
      <c r="BT1151" s="347">
        <v>401.36</v>
      </c>
      <c r="BU1151" s="347" t="s">
        <v>344</v>
      </c>
      <c r="CD1151" s="237">
        <v>52.02</v>
      </c>
      <c r="CE1151" s="237" t="s">
        <v>352</v>
      </c>
      <c r="CJ1151" s="347">
        <v>110.09</v>
      </c>
      <c r="CK1151" s="347" t="s">
        <v>352</v>
      </c>
      <c r="CL1151" s="1789"/>
      <c r="CR1151" s="345"/>
      <c r="CS1151" s="345"/>
      <c r="CX1151" s="347"/>
      <c r="CY1151" s="347"/>
      <c r="DH1151" s="237"/>
      <c r="DI1151" s="237"/>
      <c r="DN1151" s="347"/>
      <c r="DO1151" s="347"/>
      <c r="DP1151" s="2505"/>
    </row>
    <row r="1152" spans="12:120">
      <c r="L1152" s="347">
        <v>43.01</v>
      </c>
      <c r="M1152" s="347" t="s">
        <v>352</v>
      </c>
      <c r="AB1152" s="347">
        <v>143.29</v>
      </c>
      <c r="AC1152" s="347" t="s">
        <v>323</v>
      </c>
      <c r="AD1152" s="1138"/>
      <c r="AP1152" s="347">
        <v>501.03</v>
      </c>
      <c r="AQ1152" s="347" t="s">
        <v>344</v>
      </c>
      <c r="BF1152" s="347">
        <v>110.05</v>
      </c>
      <c r="BG1152" s="347" t="s">
        <v>337</v>
      </c>
      <c r="BH1152" s="1790"/>
      <c r="BN1152" s="237">
        <v>1</v>
      </c>
      <c r="BO1152" s="237" t="s">
        <v>325</v>
      </c>
      <c r="BT1152" s="347">
        <v>401.37</v>
      </c>
      <c r="BU1152" s="347" t="s">
        <v>344</v>
      </c>
      <c r="CD1152" s="237">
        <v>52.02</v>
      </c>
      <c r="CE1152" s="237" t="s">
        <v>361</v>
      </c>
      <c r="CJ1152" s="347">
        <v>110.1</v>
      </c>
      <c r="CK1152" s="347" t="s">
        <v>337</v>
      </c>
      <c r="CL1152" s="1789"/>
      <c r="CR1152" s="345"/>
      <c r="CS1152" s="345"/>
      <c r="CX1152" s="347"/>
      <c r="CY1152" s="347"/>
      <c r="DH1152" s="237"/>
      <c r="DI1152" s="237"/>
      <c r="DN1152" s="347"/>
      <c r="DO1152" s="347"/>
      <c r="DP1152" s="2505"/>
    </row>
    <row r="1153" spans="12:120">
      <c r="L1153" s="347">
        <v>43.03</v>
      </c>
      <c r="M1153" s="347" t="s">
        <v>352</v>
      </c>
      <c r="AB1153" s="347">
        <v>143.30000000000001</v>
      </c>
      <c r="AC1153" s="347" t="s">
        <v>323</v>
      </c>
      <c r="AD1153" s="1138"/>
      <c r="AP1153" s="347">
        <v>501.04</v>
      </c>
      <c r="AQ1153" s="347" t="s">
        <v>344</v>
      </c>
      <c r="BF1153" s="347">
        <v>110.06</v>
      </c>
      <c r="BG1153" s="347" t="s">
        <v>337</v>
      </c>
      <c r="BH1153" s="1790"/>
      <c r="BN1153" s="237">
        <v>3</v>
      </c>
      <c r="BO1153" s="237" t="s">
        <v>325</v>
      </c>
      <c r="BT1153" s="347">
        <v>401.38</v>
      </c>
      <c r="BU1153" s="347" t="s">
        <v>344</v>
      </c>
      <c r="CD1153" s="237">
        <v>52.03</v>
      </c>
      <c r="CE1153" s="237" t="s">
        <v>361</v>
      </c>
      <c r="CJ1153" s="347">
        <v>110.13</v>
      </c>
      <c r="CK1153" s="347" t="s">
        <v>337</v>
      </c>
      <c r="CL1153" s="1789"/>
      <c r="CR1153" s="345"/>
      <c r="CS1153" s="345"/>
      <c r="CX1153" s="347"/>
      <c r="CY1153" s="347"/>
      <c r="DH1153" s="237"/>
      <c r="DI1153" s="237"/>
      <c r="DN1153" s="347"/>
      <c r="DO1153" s="347"/>
      <c r="DP1153" s="2505"/>
    </row>
    <row r="1154" spans="12:120">
      <c r="L1154" s="347">
        <v>43.04</v>
      </c>
      <c r="M1154" s="347" t="s">
        <v>352</v>
      </c>
      <c r="AB1154" s="347">
        <v>143.31</v>
      </c>
      <c r="AC1154" s="347" t="s">
        <v>323</v>
      </c>
      <c r="AD1154" s="1138"/>
      <c r="AP1154" s="347">
        <v>501.06</v>
      </c>
      <c r="AQ1154" s="347" t="s">
        <v>344</v>
      </c>
      <c r="BF1154" s="347">
        <v>110.07</v>
      </c>
      <c r="BG1154" s="347" t="s">
        <v>337</v>
      </c>
      <c r="BH1154" s="1790"/>
      <c r="BN1154" s="237">
        <v>4</v>
      </c>
      <c r="BO1154" s="237" t="s">
        <v>325</v>
      </c>
      <c r="BT1154" s="347">
        <v>402.06</v>
      </c>
      <c r="BU1154" s="347" t="s">
        <v>344</v>
      </c>
      <c r="CD1154" s="237">
        <v>52.04</v>
      </c>
      <c r="CE1154" s="237" t="s">
        <v>361</v>
      </c>
      <c r="CJ1154" s="347">
        <v>110.13</v>
      </c>
      <c r="CK1154" s="347" t="s">
        <v>352</v>
      </c>
      <c r="CL1154" s="1789"/>
      <c r="CR1154" s="345"/>
      <c r="CS1154" s="345"/>
      <c r="CX1154" s="347"/>
      <c r="CY1154" s="347"/>
      <c r="DH1154" s="237"/>
      <c r="DI1154" s="237"/>
      <c r="DN1154" s="347"/>
      <c r="DO1154" s="347"/>
      <c r="DP1154" s="2505"/>
    </row>
    <row r="1155" spans="12:120">
      <c r="L1155" s="347">
        <v>44.03</v>
      </c>
      <c r="M1155" s="347" t="s">
        <v>352</v>
      </c>
      <c r="AB1155" s="347">
        <v>143.32</v>
      </c>
      <c r="AC1155" s="347" t="s">
        <v>323</v>
      </c>
      <c r="AD1155" s="1138"/>
      <c r="AP1155" s="347">
        <v>502.04</v>
      </c>
      <c r="AQ1155" s="347" t="s">
        <v>344</v>
      </c>
      <c r="BF1155" s="347">
        <v>110.08</v>
      </c>
      <c r="BG1155" s="347" t="s">
        <v>337</v>
      </c>
      <c r="BH1155" s="1790"/>
      <c r="BN1155" s="237">
        <v>5</v>
      </c>
      <c r="BO1155" s="237" t="s">
        <v>325</v>
      </c>
      <c r="BT1155" s="347">
        <v>402.09</v>
      </c>
      <c r="BU1155" s="347" t="s">
        <v>344</v>
      </c>
      <c r="CD1155" s="237">
        <v>53</v>
      </c>
      <c r="CE1155" s="237" t="s">
        <v>361</v>
      </c>
      <c r="CJ1155" s="347">
        <v>110.14</v>
      </c>
      <c r="CK1155" s="347" t="s">
        <v>352</v>
      </c>
      <c r="CL1155" s="1789"/>
      <c r="CR1155" s="345"/>
      <c r="CS1155" s="345"/>
      <c r="CX1155" s="347"/>
      <c r="CY1155" s="347"/>
      <c r="DH1155" s="237"/>
      <c r="DI1155" s="237"/>
      <c r="DN1155" s="347"/>
      <c r="DO1155" s="347"/>
      <c r="DP1155" s="2505"/>
    </row>
    <row r="1156" spans="12:120">
      <c r="L1156" s="347">
        <v>44.04</v>
      </c>
      <c r="M1156" s="347" t="s">
        <v>352</v>
      </c>
      <c r="AB1156" s="347">
        <v>143.33000000000001</v>
      </c>
      <c r="AC1156" s="347" t="s">
        <v>323</v>
      </c>
      <c r="AD1156" s="1138"/>
      <c r="AP1156" s="347">
        <v>502.06</v>
      </c>
      <c r="AQ1156" s="347" t="s">
        <v>344</v>
      </c>
      <c r="BF1156" s="347">
        <v>110.08</v>
      </c>
      <c r="BG1156" s="347" t="s">
        <v>352</v>
      </c>
      <c r="BH1156" s="1790"/>
      <c r="BN1156" s="237">
        <v>6</v>
      </c>
      <c r="BO1156" s="237" t="s">
        <v>325</v>
      </c>
      <c r="BT1156" s="347">
        <v>403.02</v>
      </c>
      <c r="BU1156" s="347" t="s">
        <v>344</v>
      </c>
      <c r="CD1156" s="237">
        <v>53.01</v>
      </c>
      <c r="CE1156" s="237" t="s">
        <v>337</v>
      </c>
      <c r="CJ1156" s="347">
        <v>110.15</v>
      </c>
      <c r="CK1156" s="347" t="s">
        <v>352</v>
      </c>
      <c r="CL1156" s="1789"/>
      <c r="CR1156" s="345"/>
      <c r="CS1156" s="345"/>
      <c r="CX1156" s="347"/>
      <c r="CY1156" s="347"/>
      <c r="DH1156" s="237"/>
      <c r="DI1156" s="237"/>
      <c r="DN1156" s="347"/>
      <c r="DO1156" s="347"/>
      <c r="DP1156" s="2505"/>
    </row>
    <row r="1157" spans="12:120">
      <c r="L1157" s="347">
        <v>44.05</v>
      </c>
      <c r="M1157" s="347" t="s">
        <v>352</v>
      </c>
      <c r="AB1157" s="347">
        <v>143.34</v>
      </c>
      <c r="AC1157" s="347" t="s">
        <v>323</v>
      </c>
      <c r="AD1157" s="1138"/>
      <c r="AP1157" s="347">
        <v>502.07</v>
      </c>
      <c r="AQ1157" s="347" t="s">
        <v>344</v>
      </c>
      <c r="BF1157" s="347">
        <v>110.09</v>
      </c>
      <c r="BG1157" s="347" t="s">
        <v>352</v>
      </c>
      <c r="BH1157" s="1790"/>
      <c r="BN1157" s="237">
        <v>8.01</v>
      </c>
      <c r="BO1157" s="237" t="s">
        <v>325</v>
      </c>
      <c r="BT1157" s="347">
        <v>403.1</v>
      </c>
      <c r="BU1157" s="347" t="s">
        <v>344</v>
      </c>
      <c r="CD1157" s="237">
        <v>53.02</v>
      </c>
      <c r="CE1157" s="237" t="s">
        <v>337</v>
      </c>
      <c r="CJ1157" s="347">
        <v>110.16</v>
      </c>
      <c r="CK1157" s="347" t="s">
        <v>337</v>
      </c>
      <c r="CL1157" s="1789"/>
      <c r="CR1157" s="345"/>
      <c r="CS1157" s="345"/>
      <c r="CX1157" s="347"/>
      <c r="CY1157" s="347"/>
      <c r="DH1157" s="237"/>
      <c r="DI1157" s="237"/>
      <c r="DN1157" s="347"/>
      <c r="DO1157" s="347"/>
      <c r="DP1157" s="2505"/>
    </row>
    <row r="1158" spans="12:120">
      <c r="L1158" s="347">
        <v>44.06</v>
      </c>
      <c r="M1158" s="347" t="s">
        <v>352</v>
      </c>
      <c r="AB1158" s="347">
        <v>143.35</v>
      </c>
      <c r="AC1158" s="347" t="s">
        <v>323</v>
      </c>
      <c r="AD1158" s="1138"/>
      <c r="AP1158" s="347">
        <v>502.08</v>
      </c>
      <c r="AQ1158" s="347" t="s">
        <v>344</v>
      </c>
      <c r="BF1158" s="347">
        <v>110.1</v>
      </c>
      <c r="BG1158" s="347" t="s">
        <v>337</v>
      </c>
      <c r="BH1158" s="1790"/>
      <c r="BN1158" s="237">
        <v>8.02</v>
      </c>
      <c r="BO1158" s="237" t="s">
        <v>325</v>
      </c>
      <c r="BT1158" s="347">
        <v>501.03</v>
      </c>
      <c r="BU1158" s="347" t="s">
        <v>344</v>
      </c>
      <c r="CD1158" s="237">
        <v>53.03</v>
      </c>
      <c r="CE1158" s="237" t="s">
        <v>352</v>
      </c>
      <c r="CJ1158" s="347">
        <v>110.17</v>
      </c>
      <c r="CK1158" s="347" t="s">
        <v>337</v>
      </c>
      <c r="CL1158" s="1789"/>
      <c r="CR1158" s="345"/>
      <c r="CS1158" s="345"/>
      <c r="CX1158" s="347"/>
      <c r="CY1158" s="347"/>
      <c r="DH1158" s="237"/>
      <c r="DI1158" s="237"/>
      <c r="DN1158" s="347"/>
      <c r="DO1158" s="347"/>
      <c r="DP1158" s="2505"/>
    </row>
    <row r="1159" spans="12:120">
      <c r="L1159" s="347">
        <v>45</v>
      </c>
      <c r="M1159" s="347" t="s">
        <v>352</v>
      </c>
      <c r="AB1159" s="347">
        <v>143.36000000000001</v>
      </c>
      <c r="AC1159" s="347" t="s">
        <v>323</v>
      </c>
      <c r="AD1159" s="1138"/>
      <c r="AP1159" s="347">
        <v>502.1</v>
      </c>
      <c r="AQ1159" s="347" t="s">
        <v>344</v>
      </c>
      <c r="BF1159" s="347">
        <v>110.13</v>
      </c>
      <c r="BG1159" s="347" t="s">
        <v>337</v>
      </c>
      <c r="BH1159" s="1790"/>
      <c r="BN1159" s="237">
        <v>9</v>
      </c>
      <c r="BO1159" s="237" t="s">
        <v>325</v>
      </c>
      <c r="BT1159" s="347">
        <v>501.04</v>
      </c>
      <c r="BU1159" s="347" t="s">
        <v>344</v>
      </c>
      <c r="CD1159" s="237">
        <v>53.04</v>
      </c>
      <c r="CE1159" s="237" t="s">
        <v>352</v>
      </c>
      <c r="CJ1159" s="347">
        <v>110.18</v>
      </c>
      <c r="CK1159" s="347" t="s">
        <v>337</v>
      </c>
      <c r="CL1159" s="1789"/>
      <c r="CR1159" s="345"/>
      <c r="CS1159" s="345"/>
      <c r="CX1159" s="347"/>
      <c r="CY1159" s="347"/>
      <c r="DH1159" s="237"/>
      <c r="DI1159" s="237"/>
      <c r="DN1159" s="347"/>
      <c r="DO1159" s="347"/>
      <c r="DP1159" s="2505"/>
    </row>
    <row r="1160" spans="12:120">
      <c r="L1160" s="347">
        <v>46.02</v>
      </c>
      <c r="M1160" s="347" t="s">
        <v>352</v>
      </c>
      <c r="AB1160" s="347">
        <v>143.37</v>
      </c>
      <c r="AC1160" s="347" t="s">
        <v>323</v>
      </c>
      <c r="AD1160" s="1138"/>
      <c r="AP1160" s="347">
        <v>502.11</v>
      </c>
      <c r="AQ1160" s="347" t="s">
        <v>344</v>
      </c>
      <c r="BF1160" s="347">
        <v>110.13</v>
      </c>
      <c r="BG1160" s="347" t="s">
        <v>352</v>
      </c>
      <c r="BH1160" s="1790"/>
      <c r="BN1160" s="237">
        <v>10.01</v>
      </c>
      <c r="BO1160" s="237" t="s">
        <v>325</v>
      </c>
      <c r="BT1160" s="347">
        <v>501.05</v>
      </c>
      <c r="BU1160" s="347" t="s">
        <v>344</v>
      </c>
      <c r="CD1160" s="237">
        <v>53.05</v>
      </c>
      <c r="CE1160" s="237" t="s">
        <v>352</v>
      </c>
      <c r="CJ1160" s="347">
        <v>110.19</v>
      </c>
      <c r="CK1160" s="347" t="s">
        <v>337</v>
      </c>
      <c r="CL1160" s="1789"/>
      <c r="CR1160" s="345"/>
      <c r="CS1160" s="345"/>
      <c r="CX1160" s="347"/>
      <c r="CY1160" s="347"/>
      <c r="DH1160" s="237"/>
      <c r="DI1160" s="237"/>
      <c r="DN1160" s="347"/>
      <c r="DO1160" s="347"/>
      <c r="DP1160" s="2505"/>
    </row>
    <row r="1161" spans="12:120">
      <c r="L1161" s="347">
        <v>46.05</v>
      </c>
      <c r="M1161" s="347" t="s">
        <v>352</v>
      </c>
      <c r="AB1161" s="347">
        <v>143.38</v>
      </c>
      <c r="AC1161" s="347" t="s">
        <v>323</v>
      </c>
      <c r="AD1161" s="1138"/>
      <c r="AP1161" s="347">
        <v>502.12</v>
      </c>
      <c r="AQ1161" s="347" t="s">
        <v>344</v>
      </c>
      <c r="BF1161" s="347">
        <v>110.14</v>
      </c>
      <c r="BG1161" s="347" t="s">
        <v>352</v>
      </c>
      <c r="BH1161" s="1790"/>
      <c r="BN1161" s="237">
        <v>10.02</v>
      </c>
      <c r="BO1161" s="237" t="s">
        <v>325</v>
      </c>
      <c r="BT1161" s="347">
        <v>501.06</v>
      </c>
      <c r="BU1161" s="347" t="s">
        <v>344</v>
      </c>
      <c r="CD1161" s="237">
        <v>53.06</v>
      </c>
      <c r="CE1161" s="237" t="s">
        <v>352</v>
      </c>
      <c r="CJ1161" s="347">
        <v>111</v>
      </c>
      <c r="CK1161" s="347" t="s">
        <v>359</v>
      </c>
      <c r="CL1161" s="1789"/>
      <c r="CR1161" s="345"/>
      <c r="CS1161" s="345"/>
      <c r="CX1161" s="347"/>
      <c r="CY1161" s="347"/>
      <c r="DH1161" s="237"/>
      <c r="DI1161" s="237"/>
      <c r="DN1161" s="347"/>
      <c r="DO1161" s="347"/>
      <c r="DP1161" s="2505"/>
    </row>
    <row r="1162" spans="12:120">
      <c r="L1162" s="347">
        <v>46.07</v>
      </c>
      <c r="M1162" s="347" t="s">
        <v>352</v>
      </c>
      <c r="AB1162" s="347">
        <v>144</v>
      </c>
      <c r="AC1162" s="347" t="s">
        <v>352</v>
      </c>
      <c r="AD1162" s="1138"/>
      <c r="AP1162" s="347">
        <v>502.13</v>
      </c>
      <c r="AQ1162" s="347" t="s">
        <v>344</v>
      </c>
      <c r="BF1162" s="347">
        <v>110.15</v>
      </c>
      <c r="BG1162" s="347" t="s">
        <v>352</v>
      </c>
      <c r="BH1162" s="1790"/>
      <c r="BN1162" s="237">
        <v>11.01</v>
      </c>
      <c r="BO1162" s="237" t="s">
        <v>325</v>
      </c>
      <c r="BT1162" s="347">
        <v>502.04</v>
      </c>
      <c r="BU1162" s="347" t="s">
        <v>344</v>
      </c>
      <c r="CD1162" s="237">
        <v>54.01</v>
      </c>
      <c r="CE1162" s="237" t="s">
        <v>337</v>
      </c>
      <c r="CJ1162" s="347">
        <v>111.03</v>
      </c>
      <c r="CK1162" s="347" t="s">
        <v>337</v>
      </c>
      <c r="CL1162" s="1789"/>
      <c r="CR1162" s="345"/>
      <c r="CS1162" s="345"/>
      <c r="CX1162" s="347"/>
      <c r="CY1162" s="347"/>
      <c r="DH1162" s="237"/>
      <c r="DI1162" s="237"/>
      <c r="DN1162" s="347"/>
      <c r="DO1162" s="347"/>
      <c r="DP1162" s="2505"/>
    </row>
    <row r="1163" spans="12:120">
      <c r="L1163" s="347">
        <v>46.08</v>
      </c>
      <c r="M1163" s="347" t="s">
        <v>352</v>
      </c>
      <c r="AB1163" s="347">
        <v>144</v>
      </c>
      <c r="AC1163" s="347" t="s">
        <v>359</v>
      </c>
      <c r="AD1163" s="1138"/>
      <c r="AP1163" s="347">
        <v>503.05</v>
      </c>
      <c r="AQ1163" s="347" t="s">
        <v>344</v>
      </c>
      <c r="BF1163" s="347">
        <v>110.16</v>
      </c>
      <c r="BG1163" s="347" t="s">
        <v>337</v>
      </c>
      <c r="BH1163" s="1790"/>
      <c r="BN1163" s="237">
        <v>11.03</v>
      </c>
      <c r="BO1163" s="237" t="s">
        <v>325</v>
      </c>
      <c r="BT1163" s="347">
        <v>502.06</v>
      </c>
      <c r="BU1163" s="347" t="s">
        <v>344</v>
      </c>
      <c r="CD1163" s="237">
        <v>54.03</v>
      </c>
      <c r="CE1163" s="237" t="s">
        <v>352</v>
      </c>
      <c r="CJ1163" s="347">
        <v>111.05</v>
      </c>
      <c r="CK1163" s="347" t="s">
        <v>352</v>
      </c>
      <c r="CL1163" s="1789"/>
      <c r="CR1163" s="345"/>
      <c r="CS1163" s="345"/>
      <c r="CX1163" s="347"/>
      <c r="CY1163" s="347"/>
      <c r="DH1163" s="237"/>
      <c r="DI1163" s="237"/>
      <c r="DN1163" s="347"/>
      <c r="DO1163" s="347"/>
      <c r="DP1163" s="2505"/>
    </row>
    <row r="1164" spans="12:120">
      <c r="L1164" s="347">
        <v>47.01</v>
      </c>
      <c r="M1164" s="347" t="s">
        <v>352</v>
      </c>
      <c r="AB1164" s="347">
        <v>144</v>
      </c>
      <c r="AC1164" s="347" t="s">
        <v>365</v>
      </c>
      <c r="AD1164" s="1138"/>
      <c r="AP1164" s="347">
        <v>503.06</v>
      </c>
      <c r="AQ1164" s="347" t="s">
        <v>344</v>
      </c>
      <c r="BF1164" s="347">
        <v>110.17</v>
      </c>
      <c r="BG1164" s="347" t="s">
        <v>337</v>
      </c>
      <c r="BH1164" s="1790"/>
      <c r="BN1164" s="237">
        <v>11.04</v>
      </c>
      <c r="BO1164" s="237" t="s">
        <v>325</v>
      </c>
      <c r="BT1164" s="347">
        <v>502.07</v>
      </c>
      <c r="BU1164" s="347" t="s">
        <v>344</v>
      </c>
      <c r="CD1164" s="237">
        <v>54.05</v>
      </c>
      <c r="CE1164" s="237" t="s">
        <v>352</v>
      </c>
      <c r="CJ1164" s="347">
        <v>111.06</v>
      </c>
      <c r="CK1164" s="347" t="s">
        <v>352</v>
      </c>
      <c r="CL1164" s="1789"/>
      <c r="CR1164" s="345"/>
      <c r="CS1164" s="345"/>
      <c r="CX1164" s="347"/>
      <c r="CY1164" s="347"/>
      <c r="DH1164" s="237"/>
      <c r="DI1164" s="237"/>
      <c r="DN1164" s="347"/>
      <c r="DO1164" s="347"/>
      <c r="DP1164" s="2505"/>
    </row>
    <row r="1165" spans="12:120">
      <c r="L1165" s="347">
        <v>47.02</v>
      </c>
      <c r="M1165" s="347" t="s">
        <v>352</v>
      </c>
      <c r="AB1165" s="347">
        <v>144.01</v>
      </c>
      <c r="AC1165" s="347" t="s">
        <v>323</v>
      </c>
      <c r="AD1165" s="1138"/>
      <c r="AP1165" s="347">
        <v>503.11</v>
      </c>
      <c r="AQ1165" s="347" t="s">
        <v>344</v>
      </c>
      <c r="BF1165" s="347">
        <v>110.18</v>
      </c>
      <c r="BG1165" s="347" t="s">
        <v>337</v>
      </c>
      <c r="BH1165" s="1790"/>
      <c r="BN1165" s="237">
        <v>12.01</v>
      </c>
      <c r="BO1165" s="237" t="s">
        <v>325</v>
      </c>
      <c r="BT1165" s="347">
        <v>502.08</v>
      </c>
      <c r="BU1165" s="347" t="s">
        <v>344</v>
      </c>
      <c r="CD1165" s="237">
        <v>54.06</v>
      </c>
      <c r="CE1165" s="237" t="s">
        <v>352</v>
      </c>
      <c r="CJ1165" s="347">
        <v>111.07</v>
      </c>
      <c r="CK1165" s="347" t="s">
        <v>318</v>
      </c>
      <c r="CL1165" s="1789"/>
      <c r="CR1165" s="345"/>
      <c r="CS1165" s="345"/>
      <c r="CX1165" s="347"/>
      <c r="CY1165" s="347"/>
      <c r="DH1165" s="237"/>
      <c r="DI1165" s="237"/>
      <c r="DN1165" s="347"/>
      <c r="DO1165" s="347"/>
      <c r="DP1165" s="2505"/>
    </row>
    <row r="1166" spans="12:120">
      <c r="L1166" s="347">
        <v>47.03</v>
      </c>
      <c r="M1166" s="347" t="s">
        <v>352</v>
      </c>
      <c r="AB1166" s="347">
        <v>144.04</v>
      </c>
      <c r="AC1166" s="347" t="s">
        <v>323</v>
      </c>
      <c r="AD1166" s="1138"/>
      <c r="AP1166" s="347">
        <v>503.12</v>
      </c>
      <c r="AQ1166" s="347" t="s">
        <v>344</v>
      </c>
      <c r="BF1166" s="347">
        <v>110.19</v>
      </c>
      <c r="BG1166" s="347" t="s">
        <v>337</v>
      </c>
      <c r="BH1166" s="1790"/>
      <c r="BN1166" s="237">
        <v>12.02</v>
      </c>
      <c r="BO1166" s="237" t="s">
        <v>325</v>
      </c>
      <c r="BT1166" s="347">
        <v>502.1</v>
      </c>
      <c r="BU1166" s="347" t="s">
        <v>344</v>
      </c>
      <c r="CD1166" s="237">
        <v>54.07</v>
      </c>
      <c r="CE1166" s="237" t="s">
        <v>352</v>
      </c>
      <c r="CJ1166" s="347">
        <v>111.07</v>
      </c>
      <c r="CK1166" s="347" t="s">
        <v>337</v>
      </c>
      <c r="CL1166" s="1789"/>
      <c r="CR1166" s="345"/>
      <c r="CS1166" s="345"/>
      <c r="CX1166" s="347"/>
      <c r="CY1166" s="347"/>
      <c r="DH1166" s="237"/>
      <c r="DI1166" s="237"/>
      <c r="DN1166" s="347"/>
      <c r="DO1166" s="347"/>
      <c r="DP1166" s="2505"/>
    </row>
    <row r="1167" spans="12:120">
      <c r="L1167" s="347">
        <v>56</v>
      </c>
      <c r="M1167" s="347" t="s">
        <v>352</v>
      </c>
      <c r="AB1167" s="347">
        <v>144.06</v>
      </c>
      <c r="AC1167" s="347" t="s">
        <v>323</v>
      </c>
      <c r="AD1167" s="1138"/>
      <c r="AP1167" s="347">
        <v>503.15</v>
      </c>
      <c r="AQ1167" s="347" t="s">
        <v>344</v>
      </c>
      <c r="BF1167" s="347">
        <v>111</v>
      </c>
      <c r="BG1167" s="347" t="s">
        <v>359</v>
      </c>
      <c r="BH1167" s="1790"/>
      <c r="BN1167" s="237">
        <v>13</v>
      </c>
      <c r="BO1167" s="237" t="s">
        <v>325</v>
      </c>
      <c r="BT1167" s="347">
        <v>502.11</v>
      </c>
      <c r="BU1167" s="347" t="s">
        <v>344</v>
      </c>
      <c r="CD1167" s="237">
        <v>54.09</v>
      </c>
      <c r="CE1167" s="237" t="s">
        <v>352</v>
      </c>
      <c r="CJ1167" s="347">
        <v>111.08</v>
      </c>
      <c r="CK1167" s="347" t="s">
        <v>337</v>
      </c>
      <c r="CL1167" s="1789"/>
      <c r="CR1167" s="345"/>
      <c r="CS1167" s="345"/>
      <c r="CX1167" s="347"/>
      <c r="CY1167" s="347"/>
      <c r="DH1167" s="237"/>
      <c r="DI1167" s="237"/>
      <c r="DN1167" s="347"/>
      <c r="DO1167" s="347"/>
      <c r="DP1167" s="2505"/>
    </row>
    <row r="1168" spans="12:120">
      <c r="L1168" s="347">
        <v>59.01</v>
      </c>
      <c r="M1168" s="347" t="s">
        <v>352</v>
      </c>
      <c r="AB1168" s="347">
        <v>144.08000000000001</v>
      </c>
      <c r="AC1168" s="347" t="s">
        <v>323</v>
      </c>
      <c r="AD1168" s="1138"/>
      <c r="AP1168" s="347">
        <v>503.16</v>
      </c>
      <c r="AQ1168" s="347" t="s">
        <v>344</v>
      </c>
      <c r="BF1168" s="347">
        <v>111.03</v>
      </c>
      <c r="BG1168" s="347" t="s">
        <v>337</v>
      </c>
      <c r="BH1168" s="1790"/>
      <c r="BN1168" s="237">
        <v>14.01</v>
      </c>
      <c r="BO1168" s="237" t="s">
        <v>325</v>
      </c>
      <c r="BT1168" s="347">
        <v>502.12</v>
      </c>
      <c r="BU1168" s="347" t="s">
        <v>344</v>
      </c>
      <c r="CD1168" s="237">
        <v>54.1</v>
      </c>
      <c r="CE1168" s="237" t="s">
        <v>352</v>
      </c>
      <c r="CJ1168" s="347">
        <v>111.09</v>
      </c>
      <c r="CK1168" s="347" t="s">
        <v>318</v>
      </c>
      <c r="CL1168" s="1789"/>
      <c r="CR1168" s="345"/>
      <c r="CS1168" s="345"/>
      <c r="CX1168" s="347"/>
      <c r="CY1168" s="347"/>
      <c r="DH1168" s="237"/>
      <c r="DI1168" s="237"/>
      <c r="DN1168" s="347"/>
      <c r="DO1168" s="347"/>
      <c r="DP1168" s="2505"/>
    </row>
    <row r="1169" spans="12:120">
      <c r="L1169" s="347">
        <v>59.02</v>
      </c>
      <c r="M1169" s="347" t="s">
        <v>352</v>
      </c>
      <c r="AB1169" s="347">
        <v>144.09</v>
      </c>
      <c r="AC1169" s="347" t="s">
        <v>323</v>
      </c>
      <c r="AD1169" s="1138"/>
      <c r="AP1169" s="347">
        <v>503.17</v>
      </c>
      <c r="AQ1169" s="347" t="s">
        <v>344</v>
      </c>
      <c r="BF1169" s="347">
        <v>111.05</v>
      </c>
      <c r="BG1169" s="347" t="s">
        <v>352</v>
      </c>
      <c r="BH1169" s="1790"/>
      <c r="BN1169" s="237">
        <v>14.02</v>
      </c>
      <c r="BO1169" s="237" t="s">
        <v>325</v>
      </c>
      <c r="BT1169" s="347">
        <v>502.13</v>
      </c>
      <c r="BU1169" s="347" t="s">
        <v>344</v>
      </c>
      <c r="CD1169" s="237">
        <v>54.11</v>
      </c>
      <c r="CE1169" s="237" t="s">
        <v>361</v>
      </c>
      <c r="CJ1169" s="347">
        <v>111.09</v>
      </c>
      <c r="CK1169" s="347" t="s">
        <v>337</v>
      </c>
      <c r="CL1169" s="1789"/>
      <c r="CR1169" s="345"/>
      <c r="CS1169" s="345"/>
      <c r="CX1169" s="347"/>
      <c r="CY1169" s="347"/>
      <c r="DH1169" s="237"/>
      <c r="DI1169" s="237"/>
      <c r="DN1169" s="347"/>
      <c r="DO1169" s="347"/>
      <c r="DP1169" s="2505"/>
    </row>
    <row r="1170" spans="12:120">
      <c r="L1170" s="347">
        <v>59.04</v>
      </c>
      <c r="M1170" s="347" t="s">
        <v>352</v>
      </c>
      <c r="AB1170" s="347">
        <v>144.1</v>
      </c>
      <c r="AC1170" s="347" t="s">
        <v>323</v>
      </c>
      <c r="AD1170" s="1138"/>
      <c r="AP1170" s="347">
        <v>503.18</v>
      </c>
      <c r="AQ1170" s="347" t="s">
        <v>344</v>
      </c>
      <c r="BF1170" s="347">
        <v>111.06</v>
      </c>
      <c r="BG1170" s="347" t="s">
        <v>337</v>
      </c>
      <c r="BH1170" s="1790"/>
      <c r="BN1170" s="237">
        <v>15</v>
      </c>
      <c r="BO1170" s="237" t="s">
        <v>325</v>
      </c>
      <c r="BT1170" s="347">
        <v>503.05</v>
      </c>
      <c r="BU1170" s="347" t="s">
        <v>344</v>
      </c>
      <c r="CD1170" s="237">
        <v>54.12</v>
      </c>
      <c r="CE1170" s="237" t="s">
        <v>361</v>
      </c>
      <c r="CJ1170" s="347">
        <v>111.11</v>
      </c>
      <c r="CK1170" s="347" t="s">
        <v>318</v>
      </c>
      <c r="CL1170" s="1789"/>
      <c r="CR1170" s="345"/>
      <c r="CS1170" s="345"/>
      <c r="CX1170" s="347"/>
      <c r="CY1170" s="347"/>
      <c r="DH1170" s="237"/>
      <c r="DI1170" s="237"/>
      <c r="DN1170" s="347"/>
      <c r="DO1170" s="347"/>
      <c r="DP1170" s="2505"/>
    </row>
    <row r="1171" spans="12:120">
      <c r="L1171" s="347">
        <v>60.01</v>
      </c>
      <c r="M1171" s="347" t="s">
        <v>352</v>
      </c>
      <c r="AB1171" s="347">
        <v>144.11000000000001</v>
      </c>
      <c r="AC1171" s="347" t="s">
        <v>323</v>
      </c>
      <c r="AD1171" s="1138"/>
      <c r="AP1171" s="347">
        <v>503.19</v>
      </c>
      <c r="AQ1171" s="347" t="s">
        <v>344</v>
      </c>
      <c r="BF1171" s="347">
        <v>111.06</v>
      </c>
      <c r="BG1171" s="347" t="s">
        <v>352</v>
      </c>
      <c r="BH1171" s="1790"/>
      <c r="BN1171" s="237">
        <v>16</v>
      </c>
      <c r="BO1171" s="237" t="s">
        <v>325</v>
      </c>
      <c r="BT1171" s="347">
        <v>503.06</v>
      </c>
      <c r="BU1171" s="347" t="s">
        <v>344</v>
      </c>
      <c r="CD1171" s="237">
        <v>54.13</v>
      </c>
      <c r="CE1171" s="237" t="s">
        <v>361</v>
      </c>
      <c r="CJ1171" s="347">
        <v>111.12</v>
      </c>
      <c r="CK1171" s="347" t="s">
        <v>318</v>
      </c>
      <c r="CL1171" s="1789"/>
      <c r="CR1171" s="345"/>
      <c r="CS1171" s="345"/>
      <c r="CX1171" s="347"/>
      <c r="CY1171" s="347"/>
      <c r="DH1171" s="237"/>
      <c r="DI1171" s="237"/>
      <c r="DN1171" s="347"/>
      <c r="DO1171" s="347"/>
      <c r="DP1171" s="2505"/>
    </row>
    <row r="1172" spans="12:120">
      <c r="L1172" s="347">
        <v>60.02</v>
      </c>
      <c r="M1172" s="347" t="s">
        <v>352</v>
      </c>
      <c r="AB1172" s="347">
        <v>144.12</v>
      </c>
      <c r="AC1172" s="347" t="s">
        <v>323</v>
      </c>
      <c r="AD1172" s="1138"/>
      <c r="AP1172" s="347">
        <v>503.2</v>
      </c>
      <c r="AQ1172" s="347" t="s">
        <v>344</v>
      </c>
      <c r="BF1172" s="347">
        <v>111.07</v>
      </c>
      <c r="BG1172" s="347" t="s">
        <v>318</v>
      </c>
      <c r="BH1172" s="1790"/>
      <c r="BN1172" s="237">
        <v>17</v>
      </c>
      <c r="BO1172" s="237" t="s">
        <v>325</v>
      </c>
      <c r="BT1172" s="347">
        <v>503.11</v>
      </c>
      <c r="BU1172" s="347" t="s">
        <v>344</v>
      </c>
      <c r="CD1172" s="237">
        <v>55</v>
      </c>
      <c r="CE1172" s="237" t="s">
        <v>337</v>
      </c>
      <c r="CJ1172" s="347">
        <v>111.13</v>
      </c>
      <c r="CK1172" s="347" t="s">
        <v>318</v>
      </c>
      <c r="CL1172" s="1789"/>
      <c r="CR1172" s="345"/>
      <c r="CS1172" s="345"/>
      <c r="CX1172" s="347"/>
      <c r="CY1172" s="347"/>
      <c r="DH1172" s="237"/>
      <c r="DI1172" s="237"/>
      <c r="DN1172" s="347"/>
      <c r="DO1172" s="347"/>
      <c r="DP1172" s="2505"/>
    </row>
    <row r="1173" spans="12:120">
      <c r="L1173" s="347">
        <v>61.01</v>
      </c>
      <c r="M1173" s="347" t="s">
        <v>352</v>
      </c>
      <c r="AB1173" s="347">
        <v>144.13</v>
      </c>
      <c r="AC1173" s="347" t="s">
        <v>323</v>
      </c>
      <c r="AD1173" s="1138"/>
      <c r="AP1173" s="347">
        <v>503.21</v>
      </c>
      <c r="AQ1173" s="347" t="s">
        <v>344</v>
      </c>
      <c r="BF1173" s="347">
        <v>111.07</v>
      </c>
      <c r="BG1173" s="347" t="s">
        <v>337</v>
      </c>
      <c r="BH1173" s="1790"/>
      <c r="BN1173" s="237">
        <v>18</v>
      </c>
      <c r="BO1173" s="237" t="s">
        <v>325</v>
      </c>
      <c r="BT1173" s="347">
        <v>503.12</v>
      </c>
      <c r="BU1173" s="347" t="s">
        <v>344</v>
      </c>
      <c r="CD1173" s="237">
        <v>55.01</v>
      </c>
      <c r="CE1173" s="237" t="s">
        <v>361</v>
      </c>
      <c r="CJ1173" s="347">
        <v>112</v>
      </c>
      <c r="CK1173" s="347" t="s">
        <v>359</v>
      </c>
      <c r="CL1173" s="1789"/>
      <c r="CR1173" s="345"/>
      <c r="CS1173" s="345"/>
      <c r="CX1173" s="347"/>
      <c r="CY1173" s="347"/>
      <c r="DH1173" s="237"/>
      <c r="DI1173" s="237"/>
      <c r="DN1173" s="347"/>
      <c r="DO1173" s="347"/>
      <c r="DP1173" s="2505"/>
    </row>
    <row r="1174" spans="12:120">
      <c r="L1174" s="347">
        <v>61.02</v>
      </c>
      <c r="M1174" s="347" t="s">
        <v>352</v>
      </c>
      <c r="AB1174" s="347">
        <v>145.01</v>
      </c>
      <c r="AC1174" s="347" t="s">
        <v>365</v>
      </c>
      <c r="AD1174" s="1138"/>
      <c r="AP1174" s="347">
        <v>503.22</v>
      </c>
      <c r="AQ1174" s="347" t="s">
        <v>344</v>
      </c>
      <c r="BF1174" s="347">
        <v>111.08</v>
      </c>
      <c r="BG1174" s="347" t="s">
        <v>337</v>
      </c>
      <c r="BH1174" s="1790"/>
      <c r="BN1174" s="237">
        <v>19</v>
      </c>
      <c r="BO1174" s="237" t="s">
        <v>325</v>
      </c>
      <c r="BT1174" s="347">
        <v>503.15</v>
      </c>
      <c r="BU1174" s="347" t="s">
        <v>344</v>
      </c>
      <c r="CD1174" s="237">
        <v>55.02</v>
      </c>
      <c r="CE1174" s="237" t="s">
        <v>361</v>
      </c>
      <c r="CJ1174" s="347">
        <v>112.03</v>
      </c>
      <c r="CK1174" s="347" t="s">
        <v>337</v>
      </c>
      <c r="CL1174" s="1789"/>
      <c r="CR1174" s="345"/>
      <c r="CS1174" s="345"/>
      <c r="CX1174" s="347"/>
      <c r="CY1174" s="347"/>
      <c r="DH1174" s="237"/>
      <c r="DI1174" s="237"/>
      <c r="DN1174" s="347"/>
      <c r="DO1174" s="347"/>
      <c r="DP1174" s="2505"/>
    </row>
    <row r="1175" spans="12:120">
      <c r="L1175" s="347">
        <v>62.01</v>
      </c>
      <c r="M1175" s="347" t="s">
        <v>352</v>
      </c>
      <c r="AB1175" s="347">
        <v>145.04</v>
      </c>
      <c r="AC1175" s="347" t="s">
        <v>359</v>
      </c>
      <c r="AD1175" s="1138"/>
      <c r="AP1175" s="347">
        <v>503.23</v>
      </c>
      <c r="AQ1175" s="347" t="s">
        <v>344</v>
      </c>
      <c r="BF1175" s="347">
        <v>111.09</v>
      </c>
      <c r="BG1175" s="347" t="s">
        <v>318</v>
      </c>
      <c r="BH1175" s="1790"/>
      <c r="BN1175" s="237">
        <v>20</v>
      </c>
      <c r="BO1175" s="237" t="s">
        <v>325</v>
      </c>
      <c r="BT1175" s="347">
        <v>503.16</v>
      </c>
      <c r="BU1175" s="347" t="s">
        <v>344</v>
      </c>
      <c r="CD1175" s="237">
        <v>55.03</v>
      </c>
      <c r="CE1175" s="237" t="s">
        <v>352</v>
      </c>
      <c r="CJ1175" s="347">
        <v>112.04</v>
      </c>
      <c r="CK1175" s="347" t="s">
        <v>337</v>
      </c>
      <c r="CL1175" s="1789"/>
      <c r="CR1175" s="345"/>
      <c r="CS1175" s="345"/>
      <c r="CX1175" s="347"/>
      <c r="CY1175" s="347"/>
      <c r="DH1175" s="237"/>
      <c r="DI1175" s="237"/>
      <c r="DN1175" s="347"/>
      <c r="DO1175" s="347"/>
      <c r="DP1175" s="2505"/>
    </row>
    <row r="1176" spans="12:120">
      <c r="L1176" s="347">
        <v>62.03</v>
      </c>
      <c r="M1176" s="347" t="s">
        <v>352</v>
      </c>
      <c r="AB1176" s="347">
        <v>146.01</v>
      </c>
      <c r="AC1176" s="347" t="s">
        <v>323</v>
      </c>
      <c r="AD1176" s="1138"/>
      <c r="AP1176" s="347">
        <v>503.24</v>
      </c>
      <c r="AQ1176" s="347" t="s">
        <v>344</v>
      </c>
      <c r="BF1176" s="347">
        <v>111.09</v>
      </c>
      <c r="BG1176" s="347" t="s">
        <v>337</v>
      </c>
      <c r="BH1176" s="1790"/>
      <c r="BN1176" s="237">
        <v>21</v>
      </c>
      <c r="BO1176" s="237" t="s">
        <v>325</v>
      </c>
      <c r="BT1176" s="347">
        <v>503.17</v>
      </c>
      <c r="BU1176" s="347" t="s">
        <v>344</v>
      </c>
      <c r="CD1176" s="237">
        <v>55.04</v>
      </c>
      <c r="CE1176" s="237" t="s">
        <v>352</v>
      </c>
      <c r="CJ1176" s="347">
        <v>112.04</v>
      </c>
      <c r="CK1176" s="347" t="s">
        <v>352</v>
      </c>
      <c r="CL1176" s="1789"/>
      <c r="CR1176" s="345"/>
      <c r="CS1176" s="345"/>
      <c r="CX1176" s="347"/>
      <c r="CY1176" s="347"/>
      <c r="DH1176" s="237"/>
      <c r="DI1176" s="237"/>
      <c r="DN1176" s="347"/>
      <c r="DO1176" s="347"/>
      <c r="DP1176" s="2505"/>
    </row>
    <row r="1177" spans="12:120">
      <c r="L1177" s="347">
        <v>62.05</v>
      </c>
      <c r="M1177" s="347" t="s">
        <v>352</v>
      </c>
      <c r="AB1177" s="347">
        <v>146.03</v>
      </c>
      <c r="AC1177" s="347" t="s">
        <v>323</v>
      </c>
      <c r="AD1177" s="1138"/>
      <c r="AP1177" s="347">
        <v>503.25</v>
      </c>
      <c r="AQ1177" s="347" t="s">
        <v>344</v>
      </c>
      <c r="BF1177" s="347">
        <v>111.11</v>
      </c>
      <c r="BG1177" s="347" t="s">
        <v>318</v>
      </c>
      <c r="BH1177" s="1790"/>
      <c r="BN1177" s="237">
        <v>22</v>
      </c>
      <c r="BO1177" s="237" t="s">
        <v>325</v>
      </c>
      <c r="BT1177" s="347">
        <v>503.18</v>
      </c>
      <c r="BU1177" s="347" t="s">
        <v>344</v>
      </c>
      <c r="CD1177" s="237">
        <v>55.05</v>
      </c>
      <c r="CE1177" s="237" t="s">
        <v>352</v>
      </c>
      <c r="CJ1177" s="347">
        <v>112.05</v>
      </c>
      <c r="CK1177" s="347" t="s">
        <v>337</v>
      </c>
      <c r="CL1177" s="1789"/>
      <c r="CR1177" s="345"/>
      <c r="CS1177" s="345"/>
      <c r="CX1177" s="347"/>
      <c r="CY1177" s="347"/>
      <c r="DH1177" s="237"/>
      <c r="DI1177" s="237"/>
      <c r="DN1177" s="347"/>
      <c r="DO1177" s="347"/>
      <c r="DP1177" s="2505"/>
    </row>
    <row r="1178" spans="12:120">
      <c r="L1178" s="347">
        <v>62.06</v>
      </c>
      <c r="M1178" s="347" t="s">
        <v>352</v>
      </c>
      <c r="AB1178" s="347">
        <v>146.06</v>
      </c>
      <c r="AC1178" s="347" t="s">
        <v>359</v>
      </c>
      <c r="AD1178" s="1138"/>
      <c r="AP1178" s="347">
        <v>504.02</v>
      </c>
      <c r="AQ1178" s="347" t="s">
        <v>344</v>
      </c>
      <c r="BF1178" s="347">
        <v>111.12</v>
      </c>
      <c r="BG1178" s="347" t="s">
        <v>318</v>
      </c>
      <c r="BH1178" s="1790"/>
      <c r="BN1178" s="237">
        <v>23</v>
      </c>
      <c r="BO1178" s="237" t="s">
        <v>325</v>
      </c>
      <c r="BT1178" s="347">
        <v>503.19</v>
      </c>
      <c r="BU1178" s="347" t="s">
        <v>344</v>
      </c>
      <c r="CD1178" s="237">
        <v>55.06</v>
      </c>
      <c r="CE1178" s="237" t="s">
        <v>352</v>
      </c>
      <c r="CJ1178" s="347">
        <v>112.06</v>
      </c>
      <c r="CK1178" s="347" t="s">
        <v>318</v>
      </c>
      <c r="CL1178" s="1789"/>
      <c r="CR1178" s="345"/>
      <c r="CS1178" s="345"/>
      <c r="CX1178" s="347"/>
      <c r="CY1178" s="347"/>
      <c r="DH1178" s="237"/>
      <c r="DI1178" s="237"/>
      <c r="DN1178" s="347"/>
      <c r="DO1178" s="347"/>
      <c r="DP1178" s="2505"/>
    </row>
    <row r="1179" spans="12:120">
      <c r="L1179" s="347">
        <v>63.02</v>
      </c>
      <c r="M1179" s="347" t="s">
        <v>352</v>
      </c>
      <c r="AB1179" s="347">
        <v>146.07</v>
      </c>
      <c r="AC1179" s="347" t="s">
        <v>359</v>
      </c>
      <c r="AD1179" s="1138"/>
      <c r="AP1179" s="347">
        <v>505.01</v>
      </c>
      <c r="AQ1179" s="347" t="s">
        <v>344</v>
      </c>
      <c r="BF1179" s="347">
        <v>111.13</v>
      </c>
      <c r="BG1179" s="347" t="s">
        <v>318</v>
      </c>
      <c r="BH1179" s="1790"/>
      <c r="BN1179" s="237">
        <v>24</v>
      </c>
      <c r="BO1179" s="237" t="s">
        <v>325</v>
      </c>
      <c r="BT1179" s="347">
        <v>503.2</v>
      </c>
      <c r="BU1179" s="347" t="s">
        <v>344</v>
      </c>
      <c r="CD1179" s="237">
        <v>56</v>
      </c>
      <c r="CE1179" s="237" t="s">
        <v>352</v>
      </c>
      <c r="CJ1179" s="347">
        <v>112.06</v>
      </c>
      <c r="CK1179" s="347" t="s">
        <v>352</v>
      </c>
      <c r="CL1179" s="1789"/>
      <c r="CR1179" s="345"/>
      <c r="CS1179" s="345"/>
      <c r="CX1179" s="347"/>
      <c r="CY1179" s="347"/>
      <c r="DH1179" s="237"/>
      <c r="DI1179" s="237"/>
      <c r="DN1179" s="347"/>
      <c r="DO1179" s="347"/>
      <c r="DP1179" s="2505"/>
    </row>
    <row r="1180" spans="12:120">
      <c r="L1180" s="347">
        <v>65.010000000000005</v>
      </c>
      <c r="M1180" s="347" t="s">
        <v>352</v>
      </c>
      <c r="AB1180" s="347">
        <v>147</v>
      </c>
      <c r="AC1180" s="347" t="s">
        <v>352</v>
      </c>
      <c r="AD1180" s="1138"/>
      <c r="AP1180" s="347">
        <v>505.02</v>
      </c>
      <c r="AQ1180" s="347" t="s">
        <v>344</v>
      </c>
      <c r="BF1180" s="347">
        <v>112</v>
      </c>
      <c r="BG1180" s="347" t="s">
        <v>359</v>
      </c>
      <c r="BH1180" s="1790"/>
      <c r="BN1180" s="237">
        <v>25</v>
      </c>
      <c r="BO1180" s="237" t="s">
        <v>325</v>
      </c>
      <c r="BT1180" s="347">
        <v>503.21</v>
      </c>
      <c r="BU1180" s="347" t="s">
        <v>344</v>
      </c>
      <c r="CD1180" s="237">
        <v>56.01</v>
      </c>
      <c r="CE1180" s="237" t="s">
        <v>361</v>
      </c>
      <c r="CJ1180" s="347">
        <v>112.07</v>
      </c>
      <c r="CK1180" s="347" t="s">
        <v>318</v>
      </c>
      <c r="CL1180" s="1789"/>
      <c r="CR1180" s="345"/>
      <c r="CS1180" s="345"/>
      <c r="CX1180" s="347"/>
      <c r="CY1180" s="347"/>
      <c r="DH1180" s="237"/>
      <c r="DI1180" s="237"/>
      <c r="DN1180" s="347"/>
      <c r="DO1180" s="347"/>
      <c r="DP1180" s="2505"/>
    </row>
    <row r="1181" spans="12:120">
      <c r="L1181" s="347">
        <v>65.03</v>
      </c>
      <c r="M1181" s="347" t="s">
        <v>352</v>
      </c>
      <c r="AB1181" s="347">
        <v>147.01</v>
      </c>
      <c r="AC1181" s="347" t="s">
        <v>323</v>
      </c>
      <c r="AD1181" s="1138"/>
      <c r="AP1181" s="347">
        <v>506.01</v>
      </c>
      <c r="AQ1181" s="347" t="s">
        <v>344</v>
      </c>
      <c r="BF1181" s="347">
        <v>112.03</v>
      </c>
      <c r="BG1181" s="347" t="s">
        <v>337</v>
      </c>
      <c r="BH1181" s="1790"/>
      <c r="BN1181" s="237">
        <v>26.01</v>
      </c>
      <c r="BO1181" s="237" t="s">
        <v>325</v>
      </c>
      <c r="BT1181" s="347">
        <v>503.22</v>
      </c>
      <c r="BU1181" s="347" t="s">
        <v>344</v>
      </c>
      <c r="CD1181" s="237">
        <v>56.02</v>
      </c>
      <c r="CE1181" s="237" t="s">
        <v>361</v>
      </c>
      <c r="CJ1181" s="347">
        <v>112.08</v>
      </c>
      <c r="CK1181" s="347" t="s">
        <v>318</v>
      </c>
      <c r="CL1181" s="1789"/>
      <c r="CR1181" s="345"/>
      <c r="CS1181" s="345"/>
      <c r="CX1181" s="347"/>
      <c r="CY1181" s="347"/>
      <c r="DH1181" s="237"/>
      <c r="DI1181" s="237"/>
      <c r="DN1181" s="347"/>
      <c r="DO1181" s="347"/>
      <c r="DP1181" s="2505"/>
    </row>
    <row r="1182" spans="12:120">
      <c r="L1182" s="347">
        <v>65.040000000000006</v>
      </c>
      <c r="M1182" s="347" t="s">
        <v>352</v>
      </c>
      <c r="AB1182" s="347">
        <v>147.01</v>
      </c>
      <c r="AC1182" s="347" t="s">
        <v>365</v>
      </c>
      <c r="AD1182" s="1138"/>
      <c r="AP1182" s="347">
        <v>506.04</v>
      </c>
      <c r="AQ1182" s="347" t="s">
        <v>344</v>
      </c>
      <c r="BF1182" s="347">
        <v>112.04</v>
      </c>
      <c r="BG1182" s="347" t="s">
        <v>337</v>
      </c>
      <c r="BH1182" s="1790"/>
      <c r="BN1182" s="237">
        <v>26.02</v>
      </c>
      <c r="BO1182" s="237" t="s">
        <v>325</v>
      </c>
      <c r="BT1182" s="347">
        <v>503.23</v>
      </c>
      <c r="BU1182" s="347" t="s">
        <v>344</v>
      </c>
      <c r="CD1182" s="237">
        <v>57</v>
      </c>
      <c r="CE1182" s="237" t="s">
        <v>337</v>
      </c>
      <c r="CJ1182" s="347">
        <v>112.09</v>
      </c>
      <c r="CK1182" s="347" t="s">
        <v>318</v>
      </c>
      <c r="CL1182" s="1789"/>
      <c r="CR1182" s="345"/>
      <c r="CS1182" s="345"/>
      <c r="CX1182" s="347"/>
      <c r="CY1182" s="347"/>
      <c r="DH1182" s="237"/>
      <c r="DI1182" s="237"/>
      <c r="DN1182" s="347"/>
      <c r="DO1182" s="347"/>
      <c r="DP1182" s="2505"/>
    </row>
    <row r="1183" spans="12:120">
      <c r="L1183" s="347">
        <v>66.010000000000005</v>
      </c>
      <c r="M1183" s="347" t="s">
        <v>352</v>
      </c>
      <c r="AB1183" s="347">
        <v>147.02000000000001</v>
      </c>
      <c r="AC1183" s="347" t="s">
        <v>323</v>
      </c>
      <c r="AD1183" s="1138"/>
      <c r="AP1183" s="347">
        <v>601.02</v>
      </c>
      <c r="AQ1183" s="347" t="s">
        <v>344</v>
      </c>
      <c r="BF1183" s="347">
        <v>112.04</v>
      </c>
      <c r="BG1183" s="347" t="s">
        <v>352</v>
      </c>
      <c r="BH1183" s="1790"/>
      <c r="BN1183" s="237">
        <v>26.04</v>
      </c>
      <c r="BO1183" s="237" t="s">
        <v>325</v>
      </c>
      <c r="BT1183" s="347">
        <v>503.24</v>
      </c>
      <c r="BU1183" s="347" t="s">
        <v>344</v>
      </c>
      <c r="CD1183" s="237">
        <v>57.01</v>
      </c>
      <c r="CE1183" s="237" t="s">
        <v>352</v>
      </c>
      <c r="CJ1183" s="347">
        <v>112.1</v>
      </c>
      <c r="CK1183" s="347" t="s">
        <v>318</v>
      </c>
      <c r="CL1183" s="1789"/>
      <c r="CR1183" s="345"/>
      <c r="CS1183" s="345"/>
      <c r="CX1183" s="347"/>
      <c r="CY1183" s="347"/>
      <c r="DH1183" s="237"/>
      <c r="DI1183" s="237"/>
      <c r="DN1183" s="347"/>
      <c r="DO1183" s="347"/>
      <c r="DP1183" s="2505"/>
    </row>
    <row r="1184" spans="12:120">
      <c r="L1184" s="347">
        <v>66.02</v>
      </c>
      <c r="M1184" s="347" t="s">
        <v>352</v>
      </c>
      <c r="AB1184" s="347">
        <v>147.02000000000001</v>
      </c>
      <c r="AC1184" s="347" t="s">
        <v>359</v>
      </c>
      <c r="AD1184" s="1138"/>
      <c r="AP1184" s="347">
        <v>602.01</v>
      </c>
      <c r="AQ1184" s="347" t="s">
        <v>344</v>
      </c>
      <c r="BF1184" s="347">
        <v>112.05</v>
      </c>
      <c r="BG1184" s="347" t="s">
        <v>337</v>
      </c>
      <c r="BH1184" s="1790"/>
      <c r="BN1184" s="237">
        <v>26.05</v>
      </c>
      <c r="BO1184" s="237" t="s">
        <v>325</v>
      </c>
      <c r="BT1184" s="347">
        <v>503.25</v>
      </c>
      <c r="BU1184" s="347" t="s">
        <v>344</v>
      </c>
      <c r="CD1184" s="237">
        <v>57.02</v>
      </c>
      <c r="CE1184" s="237" t="s">
        <v>361</v>
      </c>
      <c r="CJ1184" s="347">
        <v>112.12</v>
      </c>
      <c r="CK1184" s="347" t="s">
        <v>318</v>
      </c>
      <c r="CL1184" s="1789"/>
      <c r="CR1184" s="345"/>
      <c r="CS1184" s="345"/>
      <c r="CX1184" s="347"/>
      <c r="CY1184" s="347"/>
      <c r="DH1184" s="237"/>
      <c r="DI1184" s="237"/>
      <c r="DN1184" s="347"/>
      <c r="DO1184" s="347"/>
      <c r="DP1184" s="2505"/>
    </row>
    <row r="1185" spans="12:120">
      <c r="L1185" s="347">
        <v>67.02</v>
      </c>
      <c r="M1185" s="347" t="s">
        <v>352</v>
      </c>
      <c r="AB1185" s="347">
        <v>147.02000000000001</v>
      </c>
      <c r="AC1185" s="347" t="s">
        <v>365</v>
      </c>
      <c r="AD1185" s="1138"/>
      <c r="AP1185" s="347">
        <v>602.02</v>
      </c>
      <c r="AQ1185" s="347" t="s">
        <v>344</v>
      </c>
      <c r="BF1185" s="347">
        <v>112.06</v>
      </c>
      <c r="BG1185" s="347" t="s">
        <v>318</v>
      </c>
      <c r="BH1185" s="1790"/>
      <c r="BN1185" s="237">
        <v>26.06</v>
      </c>
      <c r="BO1185" s="237" t="s">
        <v>325</v>
      </c>
      <c r="BT1185" s="347">
        <v>504.02</v>
      </c>
      <c r="BU1185" s="347" t="s">
        <v>344</v>
      </c>
      <c r="CD1185" s="237">
        <v>57.03</v>
      </c>
      <c r="CE1185" s="237" t="s">
        <v>361</v>
      </c>
      <c r="CJ1185" s="347">
        <v>112.13</v>
      </c>
      <c r="CK1185" s="347" t="s">
        <v>318</v>
      </c>
      <c r="CL1185" s="1789"/>
      <c r="CR1185" s="345"/>
      <c r="CS1185" s="345"/>
      <c r="CX1185" s="347"/>
      <c r="CY1185" s="347"/>
      <c r="DH1185" s="237"/>
      <c r="DI1185" s="237"/>
      <c r="DN1185" s="347"/>
      <c r="DO1185" s="347"/>
      <c r="DP1185" s="2505"/>
    </row>
    <row r="1186" spans="12:120">
      <c r="L1186" s="347">
        <v>67.05</v>
      </c>
      <c r="M1186" s="347" t="s">
        <v>352</v>
      </c>
      <c r="AB1186" s="347">
        <v>147.03</v>
      </c>
      <c r="AC1186" s="347" t="s">
        <v>359</v>
      </c>
      <c r="AD1186" s="1138"/>
      <c r="AP1186" s="347">
        <v>603</v>
      </c>
      <c r="AQ1186" s="347" t="s">
        <v>344</v>
      </c>
      <c r="BF1186" s="347">
        <v>112.06</v>
      </c>
      <c r="BG1186" s="347" t="s">
        <v>352</v>
      </c>
      <c r="BH1186" s="1790"/>
      <c r="BN1186" s="237">
        <v>26.07</v>
      </c>
      <c r="BO1186" s="237" t="s">
        <v>325</v>
      </c>
      <c r="BT1186" s="347">
        <v>505.02</v>
      </c>
      <c r="BU1186" s="347" t="s">
        <v>344</v>
      </c>
      <c r="CD1186" s="237">
        <v>57.04</v>
      </c>
      <c r="CE1186" s="237" t="s">
        <v>361</v>
      </c>
      <c r="CJ1186" s="347">
        <v>113</v>
      </c>
      <c r="CK1186" s="347" t="s">
        <v>359</v>
      </c>
      <c r="CL1186" s="1789"/>
      <c r="CR1186" s="345"/>
      <c r="CS1186" s="345"/>
      <c r="CX1186" s="347"/>
      <c r="CY1186" s="347"/>
      <c r="DH1186" s="237"/>
      <c r="DI1186" s="237"/>
      <c r="DN1186" s="347"/>
      <c r="DO1186" s="347"/>
      <c r="DP1186" s="2505"/>
    </row>
    <row r="1187" spans="12:120">
      <c r="L1187" s="347">
        <v>67.06</v>
      </c>
      <c r="M1187" s="347" t="s">
        <v>352</v>
      </c>
      <c r="AB1187" s="347">
        <v>147.04</v>
      </c>
      <c r="AC1187" s="347" t="s">
        <v>359</v>
      </c>
      <c r="AD1187" s="1138"/>
      <c r="AP1187" s="347">
        <v>701.01</v>
      </c>
      <c r="AQ1187" s="347" t="s">
        <v>344</v>
      </c>
      <c r="BF1187" s="347">
        <v>112.07</v>
      </c>
      <c r="BG1187" s="347" t="s">
        <v>318</v>
      </c>
      <c r="BH1187" s="1790"/>
      <c r="BN1187" s="237">
        <v>27.01</v>
      </c>
      <c r="BO1187" s="237" t="s">
        <v>325</v>
      </c>
      <c r="BT1187" s="347">
        <v>506.01</v>
      </c>
      <c r="BU1187" s="347" t="s">
        <v>344</v>
      </c>
      <c r="CD1187" s="237">
        <v>57.05</v>
      </c>
      <c r="CE1187" s="237" t="s">
        <v>352</v>
      </c>
      <c r="CJ1187" s="347">
        <v>113.01</v>
      </c>
      <c r="CK1187" s="347" t="s">
        <v>337</v>
      </c>
      <c r="CL1187" s="1789"/>
      <c r="CR1187" s="345"/>
      <c r="CS1187" s="345"/>
      <c r="CX1187" s="347"/>
      <c r="CY1187" s="347"/>
      <c r="DH1187" s="237"/>
      <c r="DI1187" s="237"/>
      <c r="DN1187" s="347"/>
      <c r="DO1187" s="347"/>
      <c r="DP1187" s="2505"/>
    </row>
    <row r="1188" spans="12:120">
      <c r="L1188" s="347">
        <v>67.069999999999993</v>
      </c>
      <c r="M1188" s="347" t="s">
        <v>352</v>
      </c>
      <c r="AB1188" s="347">
        <v>148.02000000000001</v>
      </c>
      <c r="AC1188" s="347" t="s">
        <v>365</v>
      </c>
      <c r="AD1188" s="1138"/>
      <c r="AP1188" s="347">
        <v>701.02</v>
      </c>
      <c r="AQ1188" s="347" t="s">
        <v>344</v>
      </c>
      <c r="BF1188" s="347">
        <v>112.09</v>
      </c>
      <c r="BG1188" s="347" t="s">
        <v>318</v>
      </c>
      <c r="BH1188" s="1790"/>
      <c r="BN1188" s="237">
        <v>27.03</v>
      </c>
      <c r="BO1188" s="237" t="s">
        <v>325</v>
      </c>
      <c r="BT1188" s="347">
        <v>506.04</v>
      </c>
      <c r="BU1188" s="347" t="s">
        <v>344</v>
      </c>
      <c r="CD1188" s="237">
        <v>57.06</v>
      </c>
      <c r="CE1188" s="237" t="s">
        <v>352</v>
      </c>
      <c r="CJ1188" s="347">
        <v>113.03</v>
      </c>
      <c r="CK1188" s="347" t="s">
        <v>337</v>
      </c>
      <c r="CL1188" s="1789"/>
      <c r="CR1188" s="345"/>
      <c r="CS1188" s="345"/>
      <c r="CX1188" s="347"/>
      <c r="CY1188" s="347"/>
      <c r="DH1188" s="237"/>
      <c r="DI1188" s="237"/>
      <c r="DN1188" s="347"/>
      <c r="DO1188" s="347"/>
      <c r="DP1188" s="2505"/>
    </row>
    <row r="1189" spans="12:120">
      <c r="L1189" s="347">
        <v>67.09</v>
      </c>
      <c r="M1189" s="347" t="s">
        <v>352</v>
      </c>
      <c r="AB1189" s="347">
        <v>148.03</v>
      </c>
      <c r="AC1189" s="347" t="s">
        <v>365</v>
      </c>
      <c r="AD1189" s="1138"/>
      <c r="AP1189" s="347">
        <v>802.02</v>
      </c>
      <c r="AQ1189" s="347" t="s">
        <v>344</v>
      </c>
      <c r="BF1189" s="347">
        <v>112.1</v>
      </c>
      <c r="BG1189" s="347" t="s">
        <v>318</v>
      </c>
      <c r="BH1189" s="1790"/>
      <c r="BN1189" s="237">
        <v>27.04</v>
      </c>
      <c r="BO1189" s="237" t="s">
        <v>325</v>
      </c>
      <c r="BT1189" s="347">
        <v>601.02</v>
      </c>
      <c r="BU1189" s="347" t="s">
        <v>344</v>
      </c>
      <c r="CD1189" s="237">
        <v>57.07</v>
      </c>
      <c r="CE1189" s="237" t="s">
        <v>352</v>
      </c>
      <c r="CJ1189" s="347">
        <v>113.04</v>
      </c>
      <c r="CK1189" s="347" t="s">
        <v>318</v>
      </c>
      <c r="CL1189" s="1789"/>
      <c r="CR1189" s="345"/>
      <c r="CS1189" s="345"/>
      <c r="CX1189" s="347"/>
      <c r="CY1189" s="347"/>
      <c r="DH1189" s="237"/>
      <c r="DI1189" s="237"/>
      <c r="DN1189" s="347"/>
      <c r="DO1189" s="347"/>
      <c r="DP1189" s="2505"/>
    </row>
    <row r="1190" spans="12:120">
      <c r="L1190" s="347">
        <v>67.11</v>
      </c>
      <c r="M1190" s="347" t="s">
        <v>352</v>
      </c>
      <c r="AB1190" s="347">
        <v>148.04</v>
      </c>
      <c r="AC1190" s="347" t="s">
        <v>365</v>
      </c>
      <c r="AD1190" s="1138"/>
      <c r="AP1190" s="347">
        <v>802.03</v>
      </c>
      <c r="AQ1190" s="347" t="s">
        <v>344</v>
      </c>
      <c r="BF1190" s="347">
        <v>112.12</v>
      </c>
      <c r="BG1190" s="347" t="s">
        <v>318</v>
      </c>
      <c r="BH1190" s="1790"/>
      <c r="BN1190" s="237">
        <v>28.01</v>
      </c>
      <c r="BO1190" s="237" t="s">
        <v>325</v>
      </c>
      <c r="BT1190" s="347">
        <v>602.01</v>
      </c>
      <c r="BU1190" s="347" t="s">
        <v>344</v>
      </c>
      <c r="CD1190" s="237">
        <v>57.08</v>
      </c>
      <c r="CE1190" s="237" t="s">
        <v>352</v>
      </c>
      <c r="CJ1190" s="347">
        <v>113.04</v>
      </c>
      <c r="CK1190" s="347" t="s">
        <v>337</v>
      </c>
      <c r="CL1190" s="1789"/>
      <c r="CR1190" s="345"/>
      <c r="CS1190" s="345"/>
      <c r="CX1190" s="347"/>
      <c r="CY1190" s="347"/>
      <c r="DH1190" s="237"/>
      <c r="DI1190" s="237"/>
      <c r="DN1190" s="347"/>
      <c r="DO1190" s="347"/>
      <c r="DP1190" s="2505"/>
    </row>
    <row r="1191" spans="12:120">
      <c r="L1191" s="347">
        <v>67.13</v>
      </c>
      <c r="M1191" s="347" t="s">
        <v>352</v>
      </c>
      <c r="AB1191" s="347">
        <v>148.06</v>
      </c>
      <c r="AC1191" s="347" t="s">
        <v>359</v>
      </c>
      <c r="AD1191" s="1138"/>
      <c r="AP1191" s="347">
        <v>2</v>
      </c>
      <c r="AQ1191" s="347" t="s">
        <v>345</v>
      </c>
      <c r="BF1191" s="347">
        <v>112.13</v>
      </c>
      <c r="BG1191" s="347" t="s">
        <v>318</v>
      </c>
      <c r="BH1191" s="1790"/>
      <c r="BN1191" s="237">
        <v>28.02</v>
      </c>
      <c r="BO1191" s="237" t="s">
        <v>325</v>
      </c>
      <c r="BT1191" s="347">
        <v>602.02</v>
      </c>
      <c r="BU1191" s="347" t="s">
        <v>344</v>
      </c>
      <c r="CD1191" s="237">
        <v>58</v>
      </c>
      <c r="CE1191" s="237" t="s">
        <v>337</v>
      </c>
      <c r="CJ1191" s="347">
        <v>114.07</v>
      </c>
      <c r="CK1191" s="347" t="s">
        <v>337</v>
      </c>
      <c r="CL1191" s="1789"/>
      <c r="CR1191" s="345"/>
      <c r="CS1191" s="345"/>
      <c r="CX1191" s="347"/>
      <c r="CY1191" s="347"/>
      <c r="DH1191" s="237"/>
      <c r="DI1191" s="237"/>
      <c r="DN1191" s="347"/>
      <c r="DO1191" s="347"/>
      <c r="DP1191" s="2505"/>
    </row>
    <row r="1192" spans="12:120">
      <c r="L1192" s="347">
        <v>67.14</v>
      </c>
      <c r="M1192" s="347" t="s">
        <v>352</v>
      </c>
      <c r="AB1192" s="347">
        <v>148.07</v>
      </c>
      <c r="AC1192" s="347" t="s">
        <v>359</v>
      </c>
      <c r="AD1192" s="1138"/>
      <c r="AP1192" s="347">
        <v>3.01</v>
      </c>
      <c r="AQ1192" s="347" t="s">
        <v>345</v>
      </c>
      <c r="BF1192" s="347">
        <v>112.14</v>
      </c>
      <c r="BG1192" s="347" t="s">
        <v>318</v>
      </c>
      <c r="BH1192" s="1790"/>
      <c r="BN1192" s="237">
        <v>28.03</v>
      </c>
      <c r="BO1192" s="237" t="s">
        <v>325</v>
      </c>
      <c r="BT1192" s="347">
        <v>602.03</v>
      </c>
      <c r="BU1192" s="347" t="s">
        <v>344</v>
      </c>
      <c r="CD1192" s="237">
        <v>58.03</v>
      </c>
      <c r="CE1192" s="237" t="s">
        <v>352</v>
      </c>
      <c r="CJ1192" s="347">
        <v>114.08</v>
      </c>
      <c r="CK1192" s="347" t="s">
        <v>337</v>
      </c>
      <c r="CL1192" s="1789"/>
      <c r="CR1192" s="345"/>
      <c r="CS1192" s="345"/>
      <c r="CX1192" s="347"/>
      <c r="CY1192" s="347"/>
      <c r="DH1192" s="237"/>
      <c r="DI1192" s="237"/>
      <c r="DN1192" s="347"/>
      <c r="DO1192" s="347"/>
      <c r="DP1192" s="2505"/>
    </row>
    <row r="1193" spans="12:120">
      <c r="L1193" s="347">
        <v>68.010000000000005</v>
      </c>
      <c r="M1193" s="347" t="s">
        <v>352</v>
      </c>
      <c r="AB1193" s="347">
        <v>148.08000000000001</v>
      </c>
      <c r="AC1193" s="347" t="s">
        <v>359</v>
      </c>
      <c r="AD1193" s="1138"/>
      <c r="AP1193" s="347">
        <v>3.02</v>
      </c>
      <c r="AQ1193" s="347" t="s">
        <v>345</v>
      </c>
      <c r="BF1193" s="347">
        <v>113</v>
      </c>
      <c r="BG1193" s="347" t="s">
        <v>359</v>
      </c>
      <c r="BH1193" s="1790"/>
      <c r="BN1193" s="237">
        <v>28.04</v>
      </c>
      <c r="BO1193" s="237" t="s">
        <v>325</v>
      </c>
      <c r="BT1193" s="347">
        <v>603</v>
      </c>
      <c r="BU1193" s="347" t="s">
        <v>344</v>
      </c>
      <c r="CD1193" s="237">
        <v>58.04</v>
      </c>
      <c r="CE1193" s="237" t="s">
        <v>352</v>
      </c>
      <c r="CJ1193" s="347">
        <v>114.09</v>
      </c>
      <c r="CK1193" s="347" t="s">
        <v>337</v>
      </c>
      <c r="CL1193" s="1789"/>
      <c r="CR1193" s="345"/>
      <c r="CS1193" s="345"/>
      <c r="CX1193" s="347"/>
      <c r="CY1193" s="347"/>
      <c r="DH1193" s="237"/>
      <c r="DI1193" s="237"/>
      <c r="DN1193" s="347"/>
      <c r="DO1193" s="347"/>
      <c r="DP1193" s="2505"/>
    </row>
    <row r="1194" spans="12:120">
      <c r="L1194" s="347">
        <v>68.02</v>
      </c>
      <c r="M1194" s="347" t="s">
        <v>352</v>
      </c>
      <c r="AB1194" s="347">
        <v>148.09</v>
      </c>
      <c r="AC1194" s="347" t="s">
        <v>359</v>
      </c>
      <c r="AD1194" s="1138"/>
      <c r="AP1194" s="347">
        <v>3.03</v>
      </c>
      <c r="AQ1194" s="347" t="s">
        <v>345</v>
      </c>
      <c r="BF1194" s="347">
        <v>113.01</v>
      </c>
      <c r="BG1194" s="347" t="s">
        <v>337</v>
      </c>
      <c r="BH1194" s="1790"/>
      <c r="BN1194" s="237">
        <v>29</v>
      </c>
      <c r="BO1194" s="237" t="s">
        <v>325</v>
      </c>
      <c r="BT1194" s="347">
        <v>701.02</v>
      </c>
      <c r="BU1194" s="347" t="s">
        <v>344</v>
      </c>
      <c r="CD1194" s="237">
        <v>58.05</v>
      </c>
      <c r="CE1194" s="237" t="s">
        <v>352</v>
      </c>
      <c r="CJ1194" s="347">
        <v>114.1</v>
      </c>
      <c r="CK1194" s="347" t="s">
        <v>337</v>
      </c>
      <c r="CL1194" s="1789"/>
      <c r="CR1194" s="345"/>
      <c r="CS1194" s="345"/>
      <c r="CX1194" s="347"/>
      <c r="CY1194" s="347"/>
      <c r="DH1194" s="237"/>
      <c r="DI1194" s="237"/>
      <c r="DN1194" s="347"/>
      <c r="DO1194" s="347"/>
      <c r="DP1194" s="2505"/>
    </row>
    <row r="1195" spans="12:120">
      <c r="L1195" s="347">
        <v>69</v>
      </c>
      <c r="M1195" s="347" t="s">
        <v>352</v>
      </c>
      <c r="AB1195" s="347">
        <v>148.1</v>
      </c>
      <c r="AC1195" s="347" t="s">
        <v>359</v>
      </c>
      <c r="AD1195" s="1138"/>
      <c r="AP1195" s="347">
        <v>7</v>
      </c>
      <c r="AQ1195" s="347" t="s">
        <v>345</v>
      </c>
      <c r="BF1195" s="347">
        <v>113.03</v>
      </c>
      <c r="BG1195" s="347" t="s">
        <v>337</v>
      </c>
      <c r="BH1195" s="1790"/>
      <c r="BN1195" s="237">
        <v>30.01</v>
      </c>
      <c r="BO1195" s="237" t="s">
        <v>325</v>
      </c>
      <c r="BT1195" s="347">
        <v>702.01</v>
      </c>
      <c r="BU1195" s="347" t="s">
        <v>344</v>
      </c>
      <c r="CD1195" s="237">
        <v>58.06</v>
      </c>
      <c r="CE1195" s="237" t="s">
        <v>352</v>
      </c>
      <c r="CJ1195" s="347">
        <v>114.1</v>
      </c>
      <c r="CK1195" s="347" t="s">
        <v>352</v>
      </c>
      <c r="CL1195" s="1789"/>
      <c r="CR1195" s="345"/>
      <c r="CS1195" s="345"/>
      <c r="CX1195" s="347"/>
      <c r="CY1195" s="347"/>
      <c r="DH1195" s="237"/>
      <c r="DI1195" s="237"/>
      <c r="DN1195" s="347"/>
      <c r="DO1195" s="347"/>
      <c r="DP1195" s="2505"/>
    </row>
    <row r="1196" spans="12:120">
      <c r="L1196" s="347">
        <v>70.010000000000005</v>
      </c>
      <c r="M1196" s="347" t="s">
        <v>352</v>
      </c>
      <c r="AB1196" s="347">
        <v>148.11000000000001</v>
      </c>
      <c r="AC1196" s="347" t="s">
        <v>359</v>
      </c>
      <c r="AD1196" s="1138"/>
      <c r="AP1196" s="347">
        <v>8</v>
      </c>
      <c r="AQ1196" s="347" t="s">
        <v>345</v>
      </c>
      <c r="BF1196" s="347">
        <v>113.04</v>
      </c>
      <c r="BG1196" s="347" t="s">
        <v>318</v>
      </c>
      <c r="BH1196" s="1790"/>
      <c r="BN1196" s="237">
        <v>30.02</v>
      </c>
      <c r="BO1196" s="237" t="s">
        <v>325</v>
      </c>
      <c r="BT1196" s="347">
        <v>801</v>
      </c>
      <c r="BU1196" s="347" t="s">
        <v>344</v>
      </c>
      <c r="CD1196" s="237">
        <v>58.07</v>
      </c>
      <c r="CE1196" s="237" t="s">
        <v>361</v>
      </c>
      <c r="CJ1196" s="347">
        <v>114.11</v>
      </c>
      <c r="CK1196" s="347" t="s">
        <v>337</v>
      </c>
      <c r="CL1196" s="1789"/>
      <c r="CR1196" s="345"/>
      <c r="CS1196" s="345"/>
      <c r="CX1196" s="347"/>
      <c r="CY1196" s="347"/>
      <c r="DH1196" s="237"/>
      <c r="DI1196" s="237"/>
      <c r="DN1196" s="347"/>
      <c r="DO1196" s="347"/>
      <c r="DP1196" s="2505"/>
    </row>
    <row r="1197" spans="12:120">
      <c r="L1197" s="347">
        <v>71.010000000000005</v>
      </c>
      <c r="M1197" s="347" t="s">
        <v>352</v>
      </c>
      <c r="AB1197" s="347">
        <v>148.12</v>
      </c>
      <c r="AC1197" s="347" t="s">
        <v>359</v>
      </c>
      <c r="AD1197" s="1138"/>
      <c r="AP1197" s="347">
        <v>9.0299999999999994</v>
      </c>
      <c r="AQ1197" s="347" t="s">
        <v>345</v>
      </c>
      <c r="BF1197" s="347">
        <v>113.04</v>
      </c>
      <c r="BG1197" s="347" t="s">
        <v>337</v>
      </c>
      <c r="BH1197" s="1790"/>
      <c r="BN1197" s="237">
        <v>31</v>
      </c>
      <c r="BO1197" s="237" t="s">
        <v>325</v>
      </c>
      <c r="BT1197" s="347">
        <v>802.02</v>
      </c>
      <c r="BU1197" s="347" t="s">
        <v>344</v>
      </c>
      <c r="CD1197" s="237">
        <v>58.1</v>
      </c>
      <c r="CE1197" s="237" t="s">
        <v>361</v>
      </c>
      <c r="CJ1197" s="347">
        <v>114.11</v>
      </c>
      <c r="CK1197" s="347" t="s">
        <v>352</v>
      </c>
      <c r="CL1197" s="1789"/>
      <c r="CR1197" s="345"/>
      <c r="CS1197" s="345"/>
      <c r="CX1197" s="347"/>
      <c r="CY1197" s="347"/>
      <c r="DH1197" s="237"/>
      <c r="DI1197" s="237"/>
      <c r="DN1197" s="347"/>
      <c r="DO1197" s="347"/>
      <c r="DP1197" s="2505"/>
    </row>
    <row r="1198" spans="12:120">
      <c r="L1198" s="347">
        <v>71.03</v>
      </c>
      <c r="M1198" s="347" t="s">
        <v>352</v>
      </c>
      <c r="AB1198" s="347">
        <v>148.13</v>
      </c>
      <c r="AC1198" s="347" t="s">
        <v>359</v>
      </c>
      <c r="AD1198" s="1138"/>
      <c r="AP1198" s="347">
        <v>9.0399999999999991</v>
      </c>
      <c r="AQ1198" s="347" t="s">
        <v>345</v>
      </c>
      <c r="BF1198" s="347">
        <v>114.07</v>
      </c>
      <c r="BG1198" s="347" t="s">
        <v>337</v>
      </c>
      <c r="BH1198" s="1790"/>
      <c r="BN1198" s="237">
        <v>32.01</v>
      </c>
      <c r="BO1198" s="237" t="s">
        <v>325</v>
      </c>
      <c r="BT1198" s="347">
        <v>802.03</v>
      </c>
      <c r="BU1198" s="347" t="s">
        <v>344</v>
      </c>
      <c r="CD1198" s="237">
        <v>58.11</v>
      </c>
      <c r="CE1198" s="237" t="s">
        <v>361</v>
      </c>
      <c r="CJ1198" s="347">
        <v>114.12</v>
      </c>
      <c r="CK1198" s="347" t="s">
        <v>337</v>
      </c>
      <c r="CL1198" s="1789"/>
      <c r="CR1198" s="345"/>
      <c r="CS1198" s="345"/>
      <c r="CX1198" s="347"/>
      <c r="CY1198" s="347"/>
      <c r="DH1198" s="237"/>
      <c r="DI1198" s="237"/>
      <c r="DN1198" s="347"/>
      <c r="DO1198" s="347"/>
      <c r="DP1198" s="2505"/>
    </row>
    <row r="1199" spans="12:120">
      <c r="L1199" s="347">
        <v>71.040000000000006</v>
      </c>
      <c r="M1199" s="347" t="s">
        <v>352</v>
      </c>
      <c r="AB1199" s="347">
        <v>149</v>
      </c>
      <c r="AC1199" s="347" t="s">
        <v>352</v>
      </c>
      <c r="AD1199" s="1138"/>
      <c r="AP1199" s="347">
        <v>9.0500000000000007</v>
      </c>
      <c r="AQ1199" s="347" t="s">
        <v>345</v>
      </c>
      <c r="BF1199" s="347">
        <v>114.08</v>
      </c>
      <c r="BG1199" s="347" t="s">
        <v>337</v>
      </c>
      <c r="BH1199" s="1790"/>
      <c r="BN1199" s="237">
        <v>32.03</v>
      </c>
      <c r="BO1199" s="237" t="s">
        <v>325</v>
      </c>
      <c r="BT1199" s="347">
        <v>802.04</v>
      </c>
      <c r="BU1199" s="347" t="s">
        <v>344</v>
      </c>
      <c r="CD1199" s="237">
        <v>58.12</v>
      </c>
      <c r="CE1199" s="237" t="s">
        <v>361</v>
      </c>
      <c r="CJ1199" s="347">
        <v>114.12</v>
      </c>
      <c r="CK1199" s="347" t="s">
        <v>352</v>
      </c>
      <c r="CL1199" s="1789"/>
      <c r="CR1199" s="345"/>
      <c r="CS1199" s="345"/>
      <c r="CX1199" s="347"/>
      <c r="CY1199" s="347"/>
      <c r="DH1199" s="237"/>
      <c r="DI1199" s="237"/>
      <c r="DN1199" s="347"/>
      <c r="DO1199" s="347"/>
      <c r="DP1199" s="2505"/>
    </row>
    <row r="1200" spans="12:120">
      <c r="L1200" s="347">
        <v>73</v>
      </c>
      <c r="M1200" s="347" t="s">
        <v>352</v>
      </c>
      <c r="AB1200" s="347">
        <v>149.01</v>
      </c>
      <c r="AC1200" s="347" t="s">
        <v>365</v>
      </c>
      <c r="AD1200" s="1138"/>
      <c r="AP1200" s="347">
        <v>9.06</v>
      </c>
      <c r="AQ1200" s="347" t="s">
        <v>345</v>
      </c>
      <c r="BF1200" s="347">
        <v>114.09</v>
      </c>
      <c r="BG1200" s="347" t="s">
        <v>337</v>
      </c>
      <c r="BH1200" s="1790"/>
      <c r="BN1200" s="237">
        <v>32.04</v>
      </c>
      <c r="BO1200" s="237" t="s">
        <v>325</v>
      </c>
      <c r="BT1200" s="347">
        <v>901</v>
      </c>
      <c r="BU1200" s="347" t="s">
        <v>344</v>
      </c>
      <c r="CD1200" s="237">
        <v>58.13</v>
      </c>
      <c r="CE1200" s="237" t="s">
        <v>361</v>
      </c>
      <c r="CJ1200" s="347">
        <v>114.13</v>
      </c>
      <c r="CK1200" s="347" t="s">
        <v>337</v>
      </c>
      <c r="CL1200" s="1789"/>
      <c r="CR1200" s="345"/>
      <c r="CS1200" s="345"/>
      <c r="CX1200" s="347"/>
      <c r="CY1200" s="347"/>
      <c r="DH1200" s="237"/>
      <c r="DI1200" s="237"/>
      <c r="DN1200" s="347"/>
      <c r="DO1200" s="347"/>
      <c r="DP1200" s="2505"/>
    </row>
    <row r="1201" spans="12:120">
      <c r="L1201" s="347">
        <v>74</v>
      </c>
      <c r="M1201" s="347" t="s">
        <v>352</v>
      </c>
      <c r="AB1201" s="347">
        <v>149.06</v>
      </c>
      <c r="AC1201" s="347" t="s">
        <v>359</v>
      </c>
      <c r="AD1201" s="1138"/>
      <c r="AP1201" s="347">
        <v>9.07</v>
      </c>
      <c r="AQ1201" s="347" t="s">
        <v>345</v>
      </c>
      <c r="BF1201" s="347">
        <v>114.09</v>
      </c>
      <c r="BG1201" s="347" t="s">
        <v>352</v>
      </c>
      <c r="BH1201" s="1790"/>
      <c r="BN1201" s="237">
        <v>33.01</v>
      </c>
      <c r="BO1201" s="237" t="s">
        <v>325</v>
      </c>
      <c r="BT1201" s="347">
        <v>2</v>
      </c>
      <c r="BU1201" s="347" t="s">
        <v>345</v>
      </c>
      <c r="CD1201" s="237">
        <v>58.14</v>
      </c>
      <c r="CE1201" s="237" t="s">
        <v>361</v>
      </c>
      <c r="CJ1201" s="347">
        <v>114.14</v>
      </c>
      <c r="CK1201" s="347" t="s">
        <v>337</v>
      </c>
      <c r="CL1201" s="1789"/>
      <c r="CR1201" s="345"/>
      <c r="CS1201" s="345"/>
      <c r="CX1201" s="347"/>
      <c r="CY1201" s="347"/>
      <c r="DH1201" s="237"/>
      <c r="DI1201" s="237"/>
      <c r="DN1201" s="347"/>
      <c r="DO1201" s="347"/>
      <c r="DP1201" s="2505"/>
    </row>
    <row r="1202" spans="12:120">
      <c r="L1202" s="347">
        <v>75.010000000000005</v>
      </c>
      <c r="M1202" s="347" t="s">
        <v>352</v>
      </c>
      <c r="AB1202" s="347">
        <v>150.02000000000001</v>
      </c>
      <c r="AC1202" s="347" t="s">
        <v>323</v>
      </c>
      <c r="AD1202" s="1138"/>
      <c r="AP1202" s="347">
        <v>15</v>
      </c>
      <c r="AQ1202" s="347" t="s">
        <v>345</v>
      </c>
      <c r="BF1202" s="347">
        <v>114.1</v>
      </c>
      <c r="BG1202" s="347" t="s">
        <v>337</v>
      </c>
      <c r="BH1202" s="1790"/>
      <c r="BN1202" s="237">
        <v>33.049999999999997</v>
      </c>
      <c r="BO1202" s="237" t="s">
        <v>325</v>
      </c>
      <c r="BT1202" s="347">
        <v>3.01</v>
      </c>
      <c r="BU1202" s="347" t="s">
        <v>345</v>
      </c>
      <c r="CD1202" s="237">
        <v>58.15</v>
      </c>
      <c r="CE1202" s="237" t="s">
        <v>361</v>
      </c>
      <c r="CJ1202" s="347">
        <v>114.15</v>
      </c>
      <c r="CK1202" s="347" t="s">
        <v>337</v>
      </c>
      <c r="CL1202" s="1789"/>
      <c r="CR1202" s="345"/>
      <c r="CS1202" s="345"/>
      <c r="CX1202" s="347"/>
      <c r="CY1202" s="347"/>
      <c r="DH1202" s="237"/>
      <c r="DI1202" s="237"/>
      <c r="DN1202" s="347"/>
      <c r="DO1202" s="347"/>
      <c r="DP1202" s="2505"/>
    </row>
    <row r="1203" spans="12:120">
      <c r="L1203" s="347">
        <v>75.03</v>
      </c>
      <c r="M1203" s="347" t="s">
        <v>352</v>
      </c>
      <c r="AB1203" s="347">
        <v>150.02000000000001</v>
      </c>
      <c r="AC1203" s="347" t="s">
        <v>359</v>
      </c>
      <c r="AD1203" s="1138"/>
      <c r="AP1203" s="347">
        <v>16.010000000000002</v>
      </c>
      <c r="AQ1203" s="347" t="s">
        <v>345</v>
      </c>
      <c r="BF1203" s="347">
        <v>114.1</v>
      </c>
      <c r="BG1203" s="347" t="s">
        <v>352</v>
      </c>
      <c r="BH1203" s="1790"/>
      <c r="BN1203" s="237">
        <v>33.07</v>
      </c>
      <c r="BO1203" s="237" t="s">
        <v>325</v>
      </c>
      <c r="BT1203" s="347">
        <v>3.02</v>
      </c>
      <c r="BU1203" s="347" t="s">
        <v>345</v>
      </c>
      <c r="CD1203" s="237">
        <v>58.18</v>
      </c>
      <c r="CE1203" s="237" t="s">
        <v>361</v>
      </c>
      <c r="CJ1203" s="347">
        <v>114.17</v>
      </c>
      <c r="CK1203" s="347" t="s">
        <v>337</v>
      </c>
      <c r="CL1203" s="1789"/>
      <c r="CR1203" s="345"/>
      <c r="CS1203" s="345"/>
      <c r="CX1203" s="347"/>
      <c r="CY1203" s="347"/>
      <c r="DH1203" s="237"/>
      <c r="DI1203" s="237"/>
      <c r="DN1203" s="347"/>
      <c r="DO1203" s="347"/>
      <c r="DP1203" s="2505"/>
    </row>
    <row r="1204" spans="12:120">
      <c r="L1204" s="347">
        <v>76.010000000000005</v>
      </c>
      <c r="M1204" s="347" t="s">
        <v>352</v>
      </c>
      <c r="AB1204" s="347">
        <v>150.04</v>
      </c>
      <c r="AC1204" s="347" t="s">
        <v>359</v>
      </c>
      <c r="AD1204" s="1138"/>
      <c r="AP1204" s="347">
        <v>16.02</v>
      </c>
      <c r="AQ1204" s="347" t="s">
        <v>345</v>
      </c>
      <c r="BF1204" s="347">
        <v>114.11</v>
      </c>
      <c r="BG1204" s="347" t="s">
        <v>337</v>
      </c>
      <c r="BH1204" s="1790"/>
      <c r="BN1204" s="237">
        <v>33.08</v>
      </c>
      <c r="BO1204" s="237" t="s">
        <v>325</v>
      </c>
      <c r="BT1204" s="347">
        <v>3.03</v>
      </c>
      <c r="BU1204" s="347" t="s">
        <v>345</v>
      </c>
      <c r="CD1204" s="237">
        <v>58.19</v>
      </c>
      <c r="CE1204" s="237" t="s">
        <v>361</v>
      </c>
      <c r="CJ1204" s="347">
        <v>114.18</v>
      </c>
      <c r="CK1204" s="347" t="s">
        <v>337</v>
      </c>
      <c r="CL1204" s="1789"/>
      <c r="CR1204" s="345"/>
      <c r="CS1204" s="345"/>
      <c r="CX1204" s="347"/>
      <c r="CY1204" s="347"/>
      <c r="DH1204" s="237"/>
      <c r="DI1204" s="237"/>
      <c r="DN1204" s="347"/>
      <c r="DO1204" s="347"/>
      <c r="DP1204" s="2505"/>
    </row>
    <row r="1205" spans="12:120">
      <c r="L1205" s="347">
        <v>76.040000000000006</v>
      </c>
      <c r="M1205" s="347" t="s">
        <v>352</v>
      </c>
      <c r="AB1205" s="347">
        <v>151</v>
      </c>
      <c r="AC1205" s="347" t="s">
        <v>352</v>
      </c>
      <c r="AD1205" s="1138"/>
      <c r="AP1205" s="347">
        <v>17.010000000000002</v>
      </c>
      <c r="AQ1205" s="347" t="s">
        <v>345</v>
      </c>
      <c r="BF1205" s="347">
        <v>114.11</v>
      </c>
      <c r="BG1205" s="347" t="s">
        <v>352</v>
      </c>
      <c r="BH1205" s="1790"/>
      <c r="BN1205" s="237">
        <v>33.1</v>
      </c>
      <c r="BO1205" s="237" t="s">
        <v>325</v>
      </c>
      <c r="BT1205" s="347">
        <v>7</v>
      </c>
      <c r="BU1205" s="347" t="s">
        <v>345</v>
      </c>
      <c r="CD1205" s="237">
        <v>58.2</v>
      </c>
      <c r="CE1205" s="237" t="s">
        <v>361</v>
      </c>
      <c r="CJ1205" s="347">
        <v>115</v>
      </c>
      <c r="CK1205" s="347" t="s">
        <v>352</v>
      </c>
      <c r="CL1205" s="1789"/>
      <c r="CR1205" s="345"/>
      <c r="CS1205" s="345"/>
      <c r="CX1205" s="347"/>
      <c r="CY1205" s="347"/>
      <c r="DH1205" s="237"/>
      <c r="DI1205" s="237"/>
      <c r="DN1205" s="347"/>
      <c r="DO1205" s="347"/>
      <c r="DP1205" s="2505"/>
    </row>
    <row r="1206" spans="12:120">
      <c r="L1206" s="347">
        <v>76.05</v>
      </c>
      <c r="M1206" s="347" t="s">
        <v>352</v>
      </c>
      <c r="AB1206" s="347">
        <v>151.01</v>
      </c>
      <c r="AC1206" s="347" t="s">
        <v>365</v>
      </c>
      <c r="AD1206" s="1138"/>
      <c r="AP1206" s="347">
        <v>17.02</v>
      </c>
      <c r="AQ1206" s="347" t="s">
        <v>345</v>
      </c>
      <c r="BF1206" s="347">
        <v>114.12</v>
      </c>
      <c r="BG1206" s="347" t="s">
        <v>337</v>
      </c>
      <c r="BH1206" s="1790"/>
      <c r="BN1206" s="237">
        <v>33.11</v>
      </c>
      <c r="BO1206" s="237" t="s">
        <v>325</v>
      </c>
      <c r="BT1206" s="347">
        <v>8</v>
      </c>
      <c r="BU1206" s="347" t="s">
        <v>345</v>
      </c>
      <c r="CD1206" s="237">
        <v>58.21</v>
      </c>
      <c r="CE1206" s="237" t="s">
        <v>361</v>
      </c>
      <c r="CJ1206" s="347">
        <v>115.02</v>
      </c>
      <c r="CK1206" s="347" t="s">
        <v>365</v>
      </c>
      <c r="CL1206" s="1789"/>
      <c r="CR1206" s="345"/>
      <c r="CS1206" s="345"/>
      <c r="CX1206" s="347"/>
      <c r="CY1206" s="347"/>
      <c r="DH1206" s="237"/>
      <c r="DI1206" s="237"/>
      <c r="DN1206" s="347"/>
      <c r="DO1206" s="347"/>
      <c r="DP1206" s="2505"/>
    </row>
    <row r="1207" spans="12:120">
      <c r="L1207" s="347">
        <v>76.06</v>
      </c>
      <c r="M1207" s="347" t="s">
        <v>352</v>
      </c>
      <c r="AB1207" s="347">
        <v>151.02000000000001</v>
      </c>
      <c r="AC1207" s="347" t="s">
        <v>365</v>
      </c>
      <c r="AD1207" s="1138"/>
      <c r="AP1207" s="347">
        <v>22.06</v>
      </c>
      <c r="AQ1207" s="347" t="s">
        <v>345</v>
      </c>
      <c r="BF1207" s="347">
        <v>114.12</v>
      </c>
      <c r="BG1207" s="347" t="s">
        <v>352</v>
      </c>
      <c r="BH1207" s="1790"/>
      <c r="BN1207" s="237">
        <v>33.119999999999997</v>
      </c>
      <c r="BO1207" s="237" t="s">
        <v>325</v>
      </c>
      <c r="BT1207" s="347">
        <v>9.0399999999999991</v>
      </c>
      <c r="BU1207" s="347" t="s">
        <v>345</v>
      </c>
      <c r="CD1207" s="237">
        <v>59</v>
      </c>
      <c r="CE1207" s="237" t="s">
        <v>337</v>
      </c>
      <c r="CJ1207" s="347">
        <v>115.04</v>
      </c>
      <c r="CK1207" s="347" t="s">
        <v>337</v>
      </c>
      <c r="CL1207" s="1789"/>
      <c r="CR1207" s="345"/>
      <c r="CS1207" s="345"/>
      <c r="CX1207" s="347"/>
      <c r="CY1207" s="347"/>
      <c r="DH1207" s="237"/>
      <c r="DI1207" s="237"/>
      <c r="DN1207" s="347"/>
      <c r="DO1207" s="347"/>
      <c r="DP1207" s="2505"/>
    </row>
    <row r="1208" spans="12:120">
      <c r="L1208" s="347">
        <v>77.010000000000005</v>
      </c>
      <c r="M1208" s="347" t="s">
        <v>352</v>
      </c>
      <c r="AB1208" s="347">
        <v>151.03</v>
      </c>
      <c r="AC1208" s="347" t="s">
        <v>359</v>
      </c>
      <c r="AD1208" s="1138"/>
      <c r="AP1208" s="347">
        <v>22.07</v>
      </c>
      <c r="AQ1208" s="347" t="s">
        <v>345</v>
      </c>
      <c r="BF1208" s="347">
        <v>114.13</v>
      </c>
      <c r="BG1208" s="347" t="s">
        <v>337</v>
      </c>
      <c r="BH1208" s="1790"/>
      <c r="BN1208" s="237">
        <v>33.130000000000003</v>
      </c>
      <c r="BO1208" s="237" t="s">
        <v>325</v>
      </c>
      <c r="BT1208" s="347">
        <v>9.06</v>
      </c>
      <c r="BU1208" s="347" t="s">
        <v>345</v>
      </c>
      <c r="CD1208" s="237">
        <v>59.01</v>
      </c>
      <c r="CE1208" s="237" t="s">
        <v>352</v>
      </c>
      <c r="CJ1208" s="347">
        <v>115.06</v>
      </c>
      <c r="CK1208" s="347" t="s">
        <v>337</v>
      </c>
      <c r="CL1208" s="1789"/>
      <c r="CR1208" s="345"/>
      <c r="CS1208" s="345"/>
      <c r="CX1208" s="347"/>
      <c r="CY1208" s="347"/>
      <c r="DH1208" s="237"/>
      <c r="DI1208" s="237"/>
      <c r="DN1208" s="347"/>
      <c r="DO1208" s="347"/>
      <c r="DP1208" s="2505"/>
    </row>
    <row r="1209" spans="12:120">
      <c r="L1209" s="347">
        <v>77.02</v>
      </c>
      <c r="M1209" s="347" t="s">
        <v>352</v>
      </c>
      <c r="AB1209" s="347">
        <v>152</v>
      </c>
      <c r="AC1209" s="347" t="s">
        <v>352</v>
      </c>
      <c r="AD1209" s="1138"/>
      <c r="AP1209" s="347">
        <v>22.08</v>
      </c>
      <c r="AQ1209" s="347" t="s">
        <v>345</v>
      </c>
      <c r="BF1209" s="347">
        <v>114.14</v>
      </c>
      <c r="BG1209" s="347" t="s">
        <v>337</v>
      </c>
      <c r="BH1209" s="1790"/>
      <c r="BN1209" s="237">
        <v>34</v>
      </c>
      <c r="BO1209" s="237" t="s">
        <v>325</v>
      </c>
      <c r="BT1209" s="347">
        <v>9.07</v>
      </c>
      <c r="BU1209" s="347" t="s">
        <v>345</v>
      </c>
      <c r="CD1209" s="237">
        <v>59.02</v>
      </c>
      <c r="CE1209" s="237" t="s">
        <v>352</v>
      </c>
      <c r="CJ1209" s="347">
        <v>115.09</v>
      </c>
      <c r="CK1209" s="347" t="s">
        <v>337</v>
      </c>
      <c r="CL1209" s="1789"/>
      <c r="CR1209" s="345"/>
      <c r="CS1209" s="345"/>
      <c r="CX1209" s="347"/>
      <c r="CY1209" s="347"/>
      <c r="DH1209" s="237"/>
      <c r="DI1209" s="237"/>
      <c r="DN1209" s="347"/>
      <c r="DO1209" s="347"/>
      <c r="DP1209" s="2505"/>
    </row>
    <row r="1210" spans="12:120">
      <c r="L1210" s="347">
        <v>77.040000000000006</v>
      </c>
      <c r="M1210" s="347" t="s">
        <v>352</v>
      </c>
      <c r="AB1210" s="347">
        <v>152.01</v>
      </c>
      <c r="AC1210" s="347" t="s">
        <v>359</v>
      </c>
      <c r="AD1210" s="1138"/>
      <c r="AP1210" s="347">
        <v>23.02</v>
      </c>
      <c r="AQ1210" s="347" t="s">
        <v>345</v>
      </c>
      <c r="BF1210" s="347">
        <v>114.15</v>
      </c>
      <c r="BG1210" s="347" t="s">
        <v>337</v>
      </c>
      <c r="BH1210" s="1790"/>
      <c r="BN1210" s="237">
        <v>35.049999999999997</v>
      </c>
      <c r="BO1210" s="237" t="s">
        <v>325</v>
      </c>
      <c r="BT1210" s="347">
        <v>15</v>
      </c>
      <c r="BU1210" s="347" t="s">
        <v>345</v>
      </c>
      <c r="CD1210" s="237">
        <v>59.03</v>
      </c>
      <c r="CE1210" s="237" t="s">
        <v>352</v>
      </c>
      <c r="CJ1210" s="347">
        <v>115.1</v>
      </c>
      <c r="CK1210" s="347" t="s">
        <v>337</v>
      </c>
      <c r="CL1210" s="1789"/>
      <c r="CR1210" s="345"/>
      <c r="CS1210" s="345"/>
      <c r="CX1210" s="347"/>
      <c r="CY1210" s="347"/>
      <c r="DH1210" s="237"/>
      <c r="DI1210" s="237"/>
      <c r="DN1210" s="347"/>
      <c r="DO1210" s="347"/>
      <c r="DP1210" s="2505"/>
    </row>
    <row r="1211" spans="12:120">
      <c r="L1211" s="347">
        <v>77.05</v>
      </c>
      <c r="M1211" s="347" t="s">
        <v>352</v>
      </c>
      <c r="AB1211" s="347">
        <v>153</v>
      </c>
      <c r="AC1211" s="347" t="s">
        <v>352</v>
      </c>
      <c r="AD1211" s="1138"/>
      <c r="AP1211" s="347">
        <v>23.03</v>
      </c>
      <c r="AQ1211" s="347" t="s">
        <v>345</v>
      </c>
      <c r="BF1211" s="347">
        <v>114.17</v>
      </c>
      <c r="BG1211" s="347" t="s">
        <v>337</v>
      </c>
      <c r="BH1211" s="1790"/>
      <c r="BN1211" s="237">
        <v>35.06</v>
      </c>
      <c r="BO1211" s="237" t="s">
        <v>325</v>
      </c>
      <c r="BT1211" s="347">
        <v>16.010000000000002</v>
      </c>
      <c r="BU1211" s="347" t="s">
        <v>345</v>
      </c>
      <c r="CD1211" s="237">
        <v>59.04</v>
      </c>
      <c r="CE1211" s="237" t="s">
        <v>352</v>
      </c>
      <c r="CJ1211" s="347">
        <v>115.12</v>
      </c>
      <c r="CK1211" s="347" t="s">
        <v>337</v>
      </c>
      <c r="CL1211" s="1789"/>
      <c r="CR1211" s="345"/>
      <c r="CS1211" s="345"/>
      <c r="CX1211" s="347"/>
      <c r="CY1211" s="347"/>
      <c r="DH1211" s="237"/>
      <c r="DI1211" s="237"/>
      <c r="DN1211" s="347"/>
      <c r="DO1211" s="347"/>
      <c r="DP1211" s="2505"/>
    </row>
    <row r="1212" spans="12:120">
      <c r="L1212" s="347">
        <v>78.010000000000005</v>
      </c>
      <c r="M1212" s="347" t="s">
        <v>352</v>
      </c>
      <c r="AB1212" s="347">
        <v>153</v>
      </c>
      <c r="AC1212" s="347" t="s">
        <v>359</v>
      </c>
      <c r="AD1212" s="1138"/>
      <c r="AP1212" s="347">
        <v>24.03</v>
      </c>
      <c r="AQ1212" s="347" t="s">
        <v>345</v>
      </c>
      <c r="BF1212" s="347">
        <v>114.18</v>
      </c>
      <c r="BG1212" s="347" t="s">
        <v>337</v>
      </c>
      <c r="BH1212" s="1790"/>
      <c r="BN1212" s="237">
        <v>35.07</v>
      </c>
      <c r="BO1212" s="237" t="s">
        <v>325</v>
      </c>
      <c r="BT1212" s="347">
        <v>16.02</v>
      </c>
      <c r="BU1212" s="347" t="s">
        <v>345</v>
      </c>
      <c r="CD1212" s="237">
        <v>59.16</v>
      </c>
      <c r="CE1212" s="237" t="s">
        <v>361</v>
      </c>
      <c r="CJ1212" s="347">
        <v>115.14</v>
      </c>
      <c r="CK1212" s="347" t="s">
        <v>337</v>
      </c>
      <c r="CL1212" s="1789"/>
      <c r="CR1212" s="345"/>
      <c r="CS1212" s="345"/>
      <c r="CX1212" s="347"/>
      <c r="CY1212" s="347"/>
      <c r="DH1212" s="237"/>
      <c r="DI1212" s="237"/>
      <c r="DN1212" s="347"/>
      <c r="DO1212" s="347"/>
      <c r="DP1212" s="2505"/>
    </row>
    <row r="1213" spans="12:120">
      <c r="L1213" s="347">
        <v>78.040000000000006</v>
      </c>
      <c r="M1213" s="347" t="s">
        <v>352</v>
      </c>
      <c r="AB1213" s="347">
        <v>154</v>
      </c>
      <c r="AC1213" s="347" t="s">
        <v>352</v>
      </c>
      <c r="AD1213" s="1138"/>
      <c r="AP1213" s="347">
        <v>24.1</v>
      </c>
      <c r="AQ1213" s="347" t="s">
        <v>345</v>
      </c>
      <c r="BF1213" s="347">
        <v>115</v>
      </c>
      <c r="BG1213" s="347" t="s">
        <v>352</v>
      </c>
      <c r="BH1213" s="1790"/>
      <c r="BN1213" s="237">
        <v>35.090000000000003</v>
      </c>
      <c r="BO1213" s="237" t="s">
        <v>325</v>
      </c>
      <c r="BT1213" s="347">
        <v>17.010000000000002</v>
      </c>
      <c r="BU1213" s="347" t="s">
        <v>345</v>
      </c>
      <c r="CD1213" s="237">
        <v>59.17</v>
      </c>
      <c r="CE1213" s="237" t="s">
        <v>361</v>
      </c>
      <c r="CJ1213" s="347">
        <v>115.15</v>
      </c>
      <c r="CK1213" s="347" t="s">
        <v>337</v>
      </c>
      <c r="CL1213" s="1789"/>
      <c r="CR1213" s="345"/>
      <c r="CS1213" s="345"/>
      <c r="CX1213" s="347"/>
      <c r="CY1213" s="347"/>
      <c r="DH1213" s="237"/>
      <c r="DI1213" s="237"/>
      <c r="DN1213" s="347"/>
      <c r="DO1213" s="347"/>
      <c r="DP1213" s="2505"/>
    </row>
    <row r="1214" spans="12:120">
      <c r="L1214" s="347">
        <v>78.05</v>
      </c>
      <c r="M1214" s="347" t="s">
        <v>352</v>
      </c>
      <c r="AB1214" s="347">
        <v>154.02000000000001</v>
      </c>
      <c r="AC1214" s="347" t="s">
        <v>359</v>
      </c>
      <c r="AD1214" s="1138"/>
      <c r="AP1214" s="347">
        <v>24.13</v>
      </c>
      <c r="AQ1214" s="347" t="s">
        <v>345</v>
      </c>
      <c r="BF1214" s="347">
        <v>115.02</v>
      </c>
      <c r="BG1214" s="347" t="s">
        <v>365</v>
      </c>
      <c r="BH1214" s="1790"/>
      <c r="BN1214" s="237">
        <v>35.1</v>
      </c>
      <c r="BO1214" s="237" t="s">
        <v>325</v>
      </c>
      <c r="BT1214" s="347">
        <v>17.02</v>
      </c>
      <c r="BU1214" s="347" t="s">
        <v>345</v>
      </c>
      <c r="CD1214" s="237">
        <v>59.18</v>
      </c>
      <c r="CE1214" s="237" t="s">
        <v>361</v>
      </c>
      <c r="CJ1214" s="347">
        <v>115.16</v>
      </c>
      <c r="CK1214" s="347" t="s">
        <v>337</v>
      </c>
      <c r="CL1214" s="1789"/>
      <c r="CR1214" s="345"/>
      <c r="CS1214" s="345"/>
      <c r="CX1214" s="347"/>
      <c r="CY1214" s="347"/>
      <c r="DH1214" s="237"/>
      <c r="DI1214" s="237"/>
      <c r="DN1214" s="347"/>
      <c r="DO1214" s="347"/>
      <c r="DP1214" s="2505"/>
    </row>
    <row r="1215" spans="12:120">
      <c r="L1215" s="347">
        <v>78.06</v>
      </c>
      <c r="M1215" s="347" t="s">
        <v>352</v>
      </c>
      <c r="AB1215" s="347">
        <v>154.04</v>
      </c>
      <c r="AC1215" s="347" t="s">
        <v>365</v>
      </c>
      <c r="AD1215" s="1138"/>
      <c r="AP1215" s="347">
        <v>24.14</v>
      </c>
      <c r="AQ1215" s="347" t="s">
        <v>345</v>
      </c>
      <c r="BF1215" s="347">
        <v>115.04</v>
      </c>
      <c r="BG1215" s="347" t="s">
        <v>337</v>
      </c>
      <c r="BH1215" s="1790"/>
      <c r="BN1215" s="237">
        <v>35.11</v>
      </c>
      <c r="BO1215" s="237" t="s">
        <v>325</v>
      </c>
      <c r="BT1215" s="347">
        <v>18.03</v>
      </c>
      <c r="BU1215" s="347" t="s">
        <v>345</v>
      </c>
      <c r="CD1215" s="237">
        <v>59.21</v>
      </c>
      <c r="CE1215" s="237" t="s">
        <v>361</v>
      </c>
      <c r="CJ1215" s="347">
        <v>115.18</v>
      </c>
      <c r="CK1215" s="347" t="s">
        <v>337</v>
      </c>
      <c r="CL1215" s="1789"/>
      <c r="CR1215" s="345"/>
      <c r="CS1215" s="345"/>
      <c r="CX1215" s="347"/>
      <c r="CY1215" s="347"/>
      <c r="DH1215" s="237"/>
      <c r="DI1215" s="237"/>
      <c r="DN1215" s="347"/>
      <c r="DO1215" s="347"/>
      <c r="DP1215" s="2505"/>
    </row>
    <row r="1216" spans="12:120">
      <c r="L1216" s="347">
        <v>78.069999999999993</v>
      </c>
      <c r="M1216" s="347" t="s">
        <v>352</v>
      </c>
      <c r="AB1216" s="347">
        <v>155</v>
      </c>
      <c r="AC1216" s="347" t="s">
        <v>352</v>
      </c>
      <c r="AD1216" s="1138"/>
      <c r="AP1216" s="347">
        <v>24.15</v>
      </c>
      <c r="AQ1216" s="347" t="s">
        <v>345</v>
      </c>
      <c r="BF1216" s="347">
        <v>115.06</v>
      </c>
      <c r="BG1216" s="347" t="s">
        <v>337</v>
      </c>
      <c r="BH1216" s="1790"/>
      <c r="BN1216" s="237">
        <v>35.119999999999997</v>
      </c>
      <c r="BO1216" s="237" t="s">
        <v>325</v>
      </c>
      <c r="BT1216" s="347">
        <v>22.06</v>
      </c>
      <c r="BU1216" s="347" t="s">
        <v>345</v>
      </c>
      <c r="CD1216" s="237">
        <v>59.22</v>
      </c>
      <c r="CE1216" s="237" t="s">
        <v>361</v>
      </c>
      <c r="CJ1216" s="347">
        <v>115.19</v>
      </c>
      <c r="CK1216" s="347" t="s">
        <v>337</v>
      </c>
      <c r="CL1216" s="1789"/>
      <c r="CR1216" s="345"/>
      <c r="CS1216" s="345"/>
      <c r="CX1216" s="347"/>
      <c r="CY1216" s="347"/>
      <c r="DH1216" s="237"/>
      <c r="DI1216" s="237"/>
      <c r="DN1216" s="347"/>
      <c r="DO1216" s="347"/>
      <c r="DP1216" s="2505"/>
    </row>
    <row r="1217" spans="12:120">
      <c r="L1217" s="347">
        <v>79.010000000000005</v>
      </c>
      <c r="M1217" s="347" t="s">
        <v>352</v>
      </c>
      <c r="AB1217" s="347">
        <v>155.01</v>
      </c>
      <c r="AC1217" s="347" t="s">
        <v>359</v>
      </c>
      <c r="AD1217" s="1138"/>
      <c r="AP1217" s="347">
        <v>24.16</v>
      </c>
      <c r="AQ1217" s="347" t="s">
        <v>345</v>
      </c>
      <c r="BF1217" s="347">
        <v>115.09</v>
      </c>
      <c r="BG1217" s="347" t="s">
        <v>337</v>
      </c>
      <c r="BH1217" s="1790"/>
      <c r="BN1217" s="237">
        <v>36.03</v>
      </c>
      <c r="BO1217" s="237" t="s">
        <v>325</v>
      </c>
      <c r="BT1217" s="347">
        <v>22.07</v>
      </c>
      <c r="BU1217" s="347" t="s">
        <v>345</v>
      </c>
      <c r="CD1217" s="237">
        <v>59.23</v>
      </c>
      <c r="CE1217" s="237" t="s">
        <v>361</v>
      </c>
      <c r="CJ1217" s="347">
        <v>115.2</v>
      </c>
      <c r="CK1217" s="347" t="s">
        <v>337</v>
      </c>
      <c r="CL1217" s="1789"/>
      <c r="CR1217" s="345"/>
      <c r="CS1217" s="345"/>
      <c r="CX1217" s="347"/>
      <c r="CY1217" s="347"/>
      <c r="DH1217" s="237"/>
      <c r="DI1217" s="237"/>
      <c r="DN1217" s="347"/>
      <c r="DO1217" s="347"/>
      <c r="DP1217" s="2505"/>
    </row>
    <row r="1218" spans="12:120">
      <c r="L1218" s="347">
        <v>79.02</v>
      </c>
      <c r="M1218" s="347" t="s">
        <v>352</v>
      </c>
      <c r="AB1218" s="347">
        <v>156</v>
      </c>
      <c r="AC1218" s="347" t="s">
        <v>323</v>
      </c>
      <c r="AD1218" s="1138"/>
      <c r="AP1218" s="347">
        <v>24.18</v>
      </c>
      <c r="AQ1218" s="347" t="s">
        <v>345</v>
      </c>
      <c r="BF1218" s="347">
        <v>115.1</v>
      </c>
      <c r="BG1218" s="347" t="s">
        <v>337</v>
      </c>
      <c r="BH1218" s="1790"/>
      <c r="BN1218" s="237">
        <v>36.07</v>
      </c>
      <c r="BO1218" s="237" t="s">
        <v>325</v>
      </c>
      <c r="BT1218" s="347">
        <v>22.08</v>
      </c>
      <c r="BU1218" s="347" t="s">
        <v>345</v>
      </c>
      <c r="CD1218" s="237">
        <v>59.26</v>
      </c>
      <c r="CE1218" s="237" t="s">
        <v>361</v>
      </c>
      <c r="CJ1218" s="347">
        <v>115.21</v>
      </c>
      <c r="CK1218" s="347" t="s">
        <v>337</v>
      </c>
      <c r="CL1218" s="1789"/>
      <c r="CR1218" s="345"/>
      <c r="CS1218" s="345"/>
      <c r="CX1218" s="347"/>
      <c r="CY1218" s="347"/>
      <c r="DH1218" s="237"/>
      <c r="DI1218" s="237"/>
      <c r="DN1218" s="347"/>
      <c r="DO1218" s="347"/>
      <c r="DP1218" s="2505"/>
    </row>
    <row r="1219" spans="12:120">
      <c r="L1219" s="347">
        <v>80</v>
      </c>
      <c r="M1219" s="347" t="s">
        <v>352</v>
      </c>
      <c r="AB1219" s="347">
        <v>156</v>
      </c>
      <c r="AC1219" s="347" t="s">
        <v>352</v>
      </c>
      <c r="AD1219" s="1138"/>
      <c r="AP1219" s="347">
        <v>24.19</v>
      </c>
      <c r="AQ1219" s="347" t="s">
        <v>345</v>
      </c>
      <c r="BF1219" s="347">
        <v>115.12</v>
      </c>
      <c r="BG1219" s="347" t="s">
        <v>337</v>
      </c>
      <c r="BH1219" s="1790"/>
      <c r="BN1219" s="237">
        <v>36.08</v>
      </c>
      <c r="BO1219" s="237" t="s">
        <v>325</v>
      </c>
      <c r="BT1219" s="347">
        <v>23.02</v>
      </c>
      <c r="BU1219" s="347" t="s">
        <v>345</v>
      </c>
      <c r="CD1219" s="237">
        <v>59.3</v>
      </c>
      <c r="CE1219" s="237" t="s">
        <v>361</v>
      </c>
      <c r="CJ1219" s="347">
        <v>115.22</v>
      </c>
      <c r="CK1219" s="347" t="s">
        <v>337</v>
      </c>
      <c r="CL1219" s="1789"/>
      <c r="CR1219" s="345"/>
      <c r="CS1219" s="345"/>
      <c r="CX1219" s="347"/>
      <c r="CY1219" s="347"/>
      <c r="DH1219" s="237"/>
      <c r="DI1219" s="237"/>
      <c r="DN1219" s="347"/>
      <c r="DO1219" s="347"/>
      <c r="DP1219" s="2505"/>
    </row>
    <row r="1220" spans="12:120">
      <c r="L1220" s="347">
        <v>81.010000000000005</v>
      </c>
      <c r="M1220" s="347" t="s">
        <v>352</v>
      </c>
      <c r="AB1220" s="347">
        <v>156.01</v>
      </c>
      <c r="AC1220" s="347" t="s">
        <v>359</v>
      </c>
      <c r="AD1220" s="1138"/>
      <c r="AP1220" s="347">
        <v>24.2</v>
      </c>
      <c r="AQ1220" s="347" t="s">
        <v>345</v>
      </c>
      <c r="BF1220" s="347">
        <v>115.14</v>
      </c>
      <c r="BG1220" s="347" t="s">
        <v>337</v>
      </c>
      <c r="BH1220" s="1790"/>
      <c r="BN1220" s="237">
        <v>36.090000000000003</v>
      </c>
      <c r="BO1220" s="237" t="s">
        <v>325</v>
      </c>
      <c r="BT1220" s="347">
        <v>23.03</v>
      </c>
      <c r="BU1220" s="347" t="s">
        <v>345</v>
      </c>
      <c r="CD1220" s="237">
        <v>59.31</v>
      </c>
      <c r="CE1220" s="237" t="s">
        <v>361</v>
      </c>
      <c r="CJ1220" s="347">
        <v>115.23</v>
      </c>
      <c r="CK1220" s="347" t="s">
        <v>337</v>
      </c>
      <c r="CL1220" s="1789"/>
      <c r="CR1220" s="345"/>
      <c r="CS1220" s="345"/>
      <c r="CX1220" s="347"/>
      <c r="CY1220" s="347"/>
      <c r="DH1220" s="237"/>
      <c r="DI1220" s="237"/>
      <c r="DN1220" s="347"/>
      <c r="DO1220" s="347"/>
      <c r="DP1220" s="2505"/>
    </row>
    <row r="1221" spans="12:120">
      <c r="L1221" s="347">
        <v>81.02</v>
      </c>
      <c r="M1221" s="347" t="s">
        <v>352</v>
      </c>
      <c r="AB1221" s="347">
        <v>156.02000000000001</v>
      </c>
      <c r="AC1221" s="347" t="s">
        <v>359</v>
      </c>
      <c r="AD1221" s="1138"/>
      <c r="AP1221" s="347">
        <v>24.21</v>
      </c>
      <c r="AQ1221" s="347" t="s">
        <v>345</v>
      </c>
      <c r="BF1221" s="347">
        <v>115.15</v>
      </c>
      <c r="BG1221" s="347" t="s">
        <v>337</v>
      </c>
      <c r="BH1221" s="1790"/>
      <c r="BN1221" s="237">
        <v>36.1</v>
      </c>
      <c r="BO1221" s="237" t="s">
        <v>325</v>
      </c>
      <c r="BT1221" s="347">
        <v>24.03</v>
      </c>
      <c r="BU1221" s="347" t="s">
        <v>345</v>
      </c>
      <c r="CD1221" s="237">
        <v>59.33</v>
      </c>
      <c r="CE1221" s="237" t="s">
        <v>361</v>
      </c>
      <c r="CJ1221" s="347">
        <v>115.24</v>
      </c>
      <c r="CK1221" s="347" t="s">
        <v>337</v>
      </c>
      <c r="CL1221" s="1789"/>
      <c r="CR1221" s="345"/>
      <c r="CS1221" s="345"/>
      <c r="CX1221" s="347"/>
      <c r="CY1221" s="347"/>
      <c r="DH1221" s="237"/>
      <c r="DI1221" s="237"/>
      <c r="DN1221" s="347"/>
      <c r="DO1221" s="347"/>
      <c r="DP1221" s="2505"/>
    </row>
    <row r="1222" spans="12:120">
      <c r="L1222" s="347">
        <v>82.02</v>
      </c>
      <c r="M1222" s="347" t="s">
        <v>352</v>
      </c>
      <c r="AB1222" s="347">
        <v>157</v>
      </c>
      <c r="AC1222" s="347" t="s">
        <v>352</v>
      </c>
      <c r="AD1222" s="1138"/>
      <c r="AP1222" s="347">
        <v>24.22</v>
      </c>
      <c r="AQ1222" s="347" t="s">
        <v>345</v>
      </c>
      <c r="BF1222" s="347">
        <v>115.16</v>
      </c>
      <c r="BG1222" s="347" t="s">
        <v>337</v>
      </c>
      <c r="BH1222" s="1790"/>
      <c r="BN1222" s="237">
        <v>36.11</v>
      </c>
      <c r="BO1222" s="237" t="s">
        <v>325</v>
      </c>
      <c r="BT1222" s="347">
        <v>24.1</v>
      </c>
      <c r="BU1222" s="347" t="s">
        <v>345</v>
      </c>
      <c r="CD1222" s="237">
        <v>59.34</v>
      </c>
      <c r="CE1222" s="237" t="s">
        <v>361</v>
      </c>
      <c r="CJ1222" s="347">
        <v>115.25</v>
      </c>
      <c r="CK1222" s="347" t="s">
        <v>337</v>
      </c>
      <c r="CL1222" s="1789"/>
      <c r="CR1222" s="345"/>
      <c r="CS1222" s="345"/>
      <c r="CX1222" s="347"/>
      <c r="CY1222" s="347"/>
      <c r="DH1222" s="237"/>
      <c r="DI1222" s="237"/>
      <c r="DN1222" s="347"/>
      <c r="DO1222" s="347"/>
      <c r="DP1222" s="2505"/>
    </row>
    <row r="1223" spans="12:120">
      <c r="L1223" s="347">
        <v>82.05</v>
      </c>
      <c r="M1223" s="347" t="s">
        <v>352</v>
      </c>
      <c r="AB1223" s="347">
        <v>157.01</v>
      </c>
      <c r="AC1223" s="347" t="s">
        <v>359</v>
      </c>
      <c r="AD1223" s="1138"/>
      <c r="AP1223" s="347">
        <v>24.23</v>
      </c>
      <c r="AQ1223" s="347" t="s">
        <v>345</v>
      </c>
      <c r="BF1223" s="347">
        <v>115.18</v>
      </c>
      <c r="BG1223" s="347" t="s">
        <v>337</v>
      </c>
      <c r="BH1223" s="1790"/>
      <c r="BN1223" s="237">
        <v>36.119999999999997</v>
      </c>
      <c r="BO1223" s="237" t="s">
        <v>325</v>
      </c>
      <c r="BT1223" s="347">
        <v>24.11</v>
      </c>
      <c r="BU1223" s="347" t="s">
        <v>345</v>
      </c>
      <c r="CD1223" s="237">
        <v>59.36</v>
      </c>
      <c r="CE1223" s="237" t="s">
        <v>361</v>
      </c>
      <c r="CJ1223" s="347">
        <v>115.26</v>
      </c>
      <c r="CK1223" s="347" t="s">
        <v>337</v>
      </c>
      <c r="CL1223" s="1789"/>
      <c r="CR1223" s="345"/>
      <c r="CS1223" s="345"/>
      <c r="CX1223" s="347"/>
      <c r="CY1223" s="347"/>
      <c r="DH1223" s="237"/>
      <c r="DI1223" s="237"/>
      <c r="DN1223" s="347"/>
      <c r="DO1223" s="347"/>
      <c r="DP1223" s="2505"/>
    </row>
    <row r="1224" spans="12:120">
      <c r="L1224" s="347">
        <v>82.06</v>
      </c>
      <c r="M1224" s="347" t="s">
        <v>352</v>
      </c>
      <c r="AB1224" s="347">
        <v>157.02000000000001</v>
      </c>
      <c r="AC1224" s="347" t="s">
        <v>359</v>
      </c>
      <c r="AD1224" s="1138"/>
      <c r="AP1224" s="347">
        <v>25.05</v>
      </c>
      <c r="AQ1224" s="347" t="s">
        <v>345</v>
      </c>
      <c r="BF1224" s="347">
        <v>115.19</v>
      </c>
      <c r="BG1224" s="347" t="s">
        <v>337</v>
      </c>
      <c r="BH1224" s="1790"/>
      <c r="BN1224" s="237">
        <v>36.130000000000003</v>
      </c>
      <c r="BO1224" s="237" t="s">
        <v>325</v>
      </c>
      <c r="BT1224" s="347">
        <v>24.13</v>
      </c>
      <c r="BU1224" s="347" t="s">
        <v>345</v>
      </c>
      <c r="CD1224" s="237">
        <v>59.37</v>
      </c>
      <c r="CE1224" s="237" t="s">
        <v>361</v>
      </c>
      <c r="CJ1224" s="347">
        <v>115.27</v>
      </c>
      <c r="CK1224" s="347" t="s">
        <v>337</v>
      </c>
      <c r="CL1224" s="1789"/>
      <c r="CR1224" s="345"/>
      <c r="CS1224" s="345"/>
      <c r="CX1224" s="347"/>
      <c r="CY1224" s="347"/>
      <c r="DH1224" s="237"/>
      <c r="DI1224" s="237"/>
      <c r="DN1224" s="347"/>
      <c r="DO1224" s="347"/>
      <c r="DP1224" s="2505"/>
    </row>
    <row r="1225" spans="12:120">
      <c r="L1225" s="347">
        <v>82.07</v>
      </c>
      <c r="M1225" s="347" t="s">
        <v>352</v>
      </c>
      <c r="AB1225" s="347">
        <v>158.01</v>
      </c>
      <c r="AC1225" s="347" t="s">
        <v>359</v>
      </c>
      <c r="AD1225" s="1138"/>
      <c r="AP1225" s="347">
        <v>25.07</v>
      </c>
      <c r="AQ1225" s="347" t="s">
        <v>345</v>
      </c>
      <c r="BF1225" s="347">
        <v>115.2</v>
      </c>
      <c r="BG1225" s="347" t="s">
        <v>337</v>
      </c>
      <c r="BH1225" s="1790"/>
      <c r="BN1225" s="237">
        <v>36.14</v>
      </c>
      <c r="BO1225" s="237" t="s">
        <v>325</v>
      </c>
      <c r="BT1225" s="347">
        <v>24.14</v>
      </c>
      <c r="BU1225" s="347" t="s">
        <v>345</v>
      </c>
      <c r="CD1225" s="237">
        <v>59.38</v>
      </c>
      <c r="CE1225" s="237" t="s">
        <v>361</v>
      </c>
      <c r="CJ1225" s="347">
        <v>115.28</v>
      </c>
      <c r="CK1225" s="347" t="s">
        <v>337</v>
      </c>
      <c r="CL1225" s="1789"/>
      <c r="CR1225" s="345"/>
      <c r="CS1225" s="345"/>
      <c r="CX1225" s="347"/>
      <c r="CY1225" s="347"/>
      <c r="DH1225" s="237"/>
      <c r="DI1225" s="237"/>
      <c r="DN1225" s="347"/>
      <c r="DO1225" s="347"/>
      <c r="DP1225" s="2505"/>
    </row>
    <row r="1226" spans="12:120">
      <c r="L1226" s="347">
        <v>82.08</v>
      </c>
      <c r="M1226" s="347" t="s">
        <v>352</v>
      </c>
      <c r="AB1226" s="347">
        <v>158.02000000000001</v>
      </c>
      <c r="AC1226" s="347" t="s">
        <v>359</v>
      </c>
      <c r="AD1226" s="1138"/>
      <c r="AP1226" s="347">
        <v>25.09</v>
      </c>
      <c r="AQ1226" s="347" t="s">
        <v>345</v>
      </c>
      <c r="BF1226" s="347">
        <v>115.21</v>
      </c>
      <c r="BG1226" s="347" t="s">
        <v>337</v>
      </c>
      <c r="BH1226" s="1790"/>
      <c r="BN1226" s="237">
        <v>37</v>
      </c>
      <c r="BO1226" s="237" t="s">
        <v>325</v>
      </c>
      <c r="BT1226" s="347">
        <v>24.15</v>
      </c>
      <c r="BU1226" s="347" t="s">
        <v>345</v>
      </c>
      <c r="CD1226" s="237">
        <v>59.39</v>
      </c>
      <c r="CE1226" s="237" t="s">
        <v>361</v>
      </c>
      <c r="CJ1226" s="347">
        <v>116.01</v>
      </c>
      <c r="CK1226" s="347" t="s">
        <v>352</v>
      </c>
      <c r="CL1226" s="1789"/>
      <c r="CR1226" s="345"/>
      <c r="CS1226" s="345"/>
      <c r="CX1226" s="347"/>
      <c r="CY1226" s="347"/>
      <c r="DH1226" s="237"/>
      <c r="DI1226" s="237"/>
      <c r="DN1226" s="347"/>
      <c r="DO1226" s="347"/>
      <c r="DP1226" s="2505"/>
    </row>
    <row r="1227" spans="12:120">
      <c r="L1227" s="347">
        <v>82.09</v>
      </c>
      <c r="M1227" s="347" t="s">
        <v>352</v>
      </c>
      <c r="AB1227" s="347">
        <v>159</v>
      </c>
      <c r="AC1227" s="347" t="s">
        <v>352</v>
      </c>
      <c r="AD1227" s="1138"/>
      <c r="AP1227" s="347">
        <v>25.11</v>
      </c>
      <c r="AQ1227" s="347" t="s">
        <v>345</v>
      </c>
      <c r="BF1227" s="347">
        <v>115.22</v>
      </c>
      <c r="BG1227" s="347" t="s">
        <v>337</v>
      </c>
      <c r="BH1227" s="1790"/>
      <c r="BN1227" s="237">
        <v>38</v>
      </c>
      <c r="BO1227" s="237" t="s">
        <v>325</v>
      </c>
      <c r="BT1227" s="347">
        <v>24.16</v>
      </c>
      <c r="BU1227" s="347" t="s">
        <v>345</v>
      </c>
      <c r="CD1227" s="237">
        <v>59.4</v>
      </c>
      <c r="CE1227" s="237" t="s">
        <v>361</v>
      </c>
      <c r="CJ1227" s="347">
        <v>116.02</v>
      </c>
      <c r="CK1227" s="347" t="s">
        <v>352</v>
      </c>
      <c r="CL1227" s="1789"/>
      <c r="CR1227" s="345"/>
      <c r="CS1227" s="345"/>
      <c r="CX1227" s="347"/>
      <c r="CY1227" s="347"/>
      <c r="DH1227" s="237"/>
      <c r="DI1227" s="237"/>
      <c r="DN1227" s="347"/>
      <c r="DO1227" s="347"/>
      <c r="DP1227" s="2505"/>
    </row>
    <row r="1228" spans="12:120">
      <c r="L1228" s="347">
        <v>83.05</v>
      </c>
      <c r="M1228" s="347" t="s">
        <v>352</v>
      </c>
      <c r="AB1228" s="347">
        <v>159</v>
      </c>
      <c r="AC1228" s="347" t="s">
        <v>365</v>
      </c>
      <c r="AD1228" s="1138"/>
      <c r="AP1228" s="347">
        <v>25.12</v>
      </c>
      <c r="AQ1228" s="347" t="s">
        <v>345</v>
      </c>
      <c r="BF1228" s="347">
        <v>115.23</v>
      </c>
      <c r="BG1228" s="347" t="s">
        <v>337</v>
      </c>
      <c r="BH1228" s="1790"/>
      <c r="BN1228" s="237">
        <v>39</v>
      </c>
      <c r="BO1228" s="237" t="s">
        <v>325</v>
      </c>
      <c r="BT1228" s="347">
        <v>24.18</v>
      </c>
      <c r="BU1228" s="347" t="s">
        <v>345</v>
      </c>
      <c r="CD1228" s="237">
        <v>59.42</v>
      </c>
      <c r="CE1228" s="237" t="s">
        <v>361</v>
      </c>
      <c r="CJ1228" s="347">
        <v>116.03</v>
      </c>
      <c r="CK1228" s="347" t="s">
        <v>337</v>
      </c>
      <c r="CL1228" s="1789"/>
      <c r="CR1228" s="345"/>
      <c r="CS1228" s="345"/>
      <c r="CX1228" s="347"/>
      <c r="CY1228" s="347"/>
      <c r="DH1228" s="237"/>
      <c r="DI1228" s="237"/>
      <c r="DN1228" s="347"/>
      <c r="DO1228" s="347"/>
      <c r="DP1228" s="2505"/>
    </row>
    <row r="1229" spans="12:120">
      <c r="L1229" s="347">
        <v>83.08</v>
      </c>
      <c r="M1229" s="347" t="s">
        <v>352</v>
      </c>
      <c r="AB1229" s="347">
        <v>159.02000000000001</v>
      </c>
      <c r="AC1229" s="347" t="s">
        <v>359</v>
      </c>
      <c r="AD1229" s="1138"/>
      <c r="AP1229" s="347">
        <v>25.13</v>
      </c>
      <c r="AQ1229" s="347" t="s">
        <v>345</v>
      </c>
      <c r="BF1229" s="347">
        <v>115.24</v>
      </c>
      <c r="BG1229" s="347" t="s">
        <v>337</v>
      </c>
      <c r="BH1229" s="1790"/>
      <c r="BN1229" s="237">
        <v>40</v>
      </c>
      <c r="BO1229" s="237" t="s">
        <v>325</v>
      </c>
      <c r="BT1229" s="347">
        <v>24.19</v>
      </c>
      <c r="BU1229" s="347" t="s">
        <v>345</v>
      </c>
      <c r="CD1229" s="237">
        <v>59.43</v>
      </c>
      <c r="CE1229" s="237" t="s">
        <v>361</v>
      </c>
      <c r="CJ1229" s="347">
        <v>116.05</v>
      </c>
      <c r="CK1229" s="347" t="s">
        <v>365</v>
      </c>
      <c r="CL1229" s="1789"/>
      <c r="CR1229" s="345"/>
      <c r="CS1229" s="345"/>
      <c r="CX1229" s="347"/>
      <c r="CY1229" s="347"/>
      <c r="DH1229" s="237"/>
      <c r="DI1229" s="237"/>
      <c r="DN1229" s="347"/>
      <c r="DO1229" s="347"/>
      <c r="DP1229" s="2505"/>
    </row>
    <row r="1230" spans="12:120">
      <c r="L1230" s="347">
        <v>84.05</v>
      </c>
      <c r="M1230" s="347" t="s">
        <v>352</v>
      </c>
      <c r="AB1230" s="347">
        <v>159.22</v>
      </c>
      <c r="AC1230" s="347" t="s">
        <v>323</v>
      </c>
      <c r="AD1230" s="1138"/>
      <c r="AP1230" s="347">
        <v>25.14</v>
      </c>
      <c r="AQ1230" s="347" t="s">
        <v>345</v>
      </c>
      <c r="BF1230" s="347">
        <v>115.25</v>
      </c>
      <c r="BG1230" s="347" t="s">
        <v>337</v>
      </c>
      <c r="BH1230" s="1790"/>
      <c r="BN1230" s="237">
        <v>9900</v>
      </c>
      <c r="BO1230" s="237" t="s">
        <v>325</v>
      </c>
      <c r="BT1230" s="347">
        <v>24.2</v>
      </c>
      <c r="BU1230" s="347" t="s">
        <v>345</v>
      </c>
      <c r="CD1230" s="237">
        <v>59.44</v>
      </c>
      <c r="CE1230" s="237" t="s">
        <v>361</v>
      </c>
      <c r="CJ1230" s="347">
        <v>116.12</v>
      </c>
      <c r="CK1230" s="347" t="s">
        <v>337</v>
      </c>
      <c r="CL1230" s="1789"/>
      <c r="CR1230" s="345"/>
      <c r="CS1230" s="345"/>
      <c r="CX1230" s="347"/>
      <c r="CY1230" s="347"/>
      <c r="DH1230" s="237"/>
      <c r="DI1230" s="237"/>
      <c r="DN1230" s="347"/>
      <c r="DO1230" s="347"/>
      <c r="DP1230" s="2505"/>
    </row>
    <row r="1231" spans="12:120">
      <c r="L1231" s="347">
        <v>84.07</v>
      </c>
      <c r="M1231" s="347" t="s">
        <v>352</v>
      </c>
      <c r="AB1231" s="347">
        <v>159.22999999999999</v>
      </c>
      <c r="AC1231" s="347" t="s">
        <v>323</v>
      </c>
      <c r="AD1231" s="1138"/>
      <c r="AP1231" s="347">
        <v>25.15</v>
      </c>
      <c r="AQ1231" s="347" t="s">
        <v>345</v>
      </c>
      <c r="BF1231" s="347">
        <v>115.26</v>
      </c>
      <c r="BG1231" s="347" t="s">
        <v>337</v>
      </c>
      <c r="BH1231" s="1790"/>
      <c r="BN1231" s="237">
        <v>601.03</v>
      </c>
      <c r="BO1231" s="237" t="s">
        <v>326</v>
      </c>
      <c r="BT1231" s="347">
        <v>24.21</v>
      </c>
      <c r="BU1231" s="347" t="s">
        <v>345</v>
      </c>
      <c r="CD1231" s="237">
        <v>59.45</v>
      </c>
      <c r="CE1231" s="237" t="s">
        <v>361</v>
      </c>
      <c r="CJ1231" s="347">
        <v>116.15</v>
      </c>
      <c r="CK1231" s="347" t="s">
        <v>337</v>
      </c>
      <c r="CL1231" s="1789"/>
      <c r="CR1231" s="345"/>
      <c r="CS1231" s="345"/>
      <c r="CX1231" s="347"/>
      <c r="CY1231" s="347"/>
      <c r="DH1231" s="237"/>
      <c r="DI1231" s="237"/>
      <c r="DN1231" s="347"/>
      <c r="DO1231" s="347"/>
      <c r="DP1231" s="2505"/>
    </row>
    <row r="1232" spans="12:120">
      <c r="L1232" s="347">
        <v>84.09</v>
      </c>
      <c r="M1232" s="347" t="s">
        <v>352</v>
      </c>
      <c r="AB1232" s="347">
        <v>159.24</v>
      </c>
      <c r="AC1232" s="347" t="s">
        <v>323</v>
      </c>
      <c r="AD1232" s="1138"/>
      <c r="AP1232" s="347">
        <v>25.16</v>
      </c>
      <c r="AQ1232" s="347" t="s">
        <v>345</v>
      </c>
      <c r="BF1232" s="347">
        <v>115.27</v>
      </c>
      <c r="BG1232" s="347" t="s">
        <v>337</v>
      </c>
      <c r="BH1232" s="1790"/>
      <c r="BN1232" s="237">
        <v>601.04</v>
      </c>
      <c r="BO1232" s="237" t="s">
        <v>326</v>
      </c>
      <c r="BT1232" s="347">
        <v>24.22</v>
      </c>
      <c r="BU1232" s="347" t="s">
        <v>345</v>
      </c>
      <c r="CD1232" s="237">
        <v>59.46</v>
      </c>
      <c r="CE1232" s="237" t="s">
        <v>361</v>
      </c>
      <c r="CJ1232" s="347">
        <v>116.17</v>
      </c>
      <c r="CK1232" s="347" t="s">
        <v>337</v>
      </c>
      <c r="CL1232" s="1789"/>
      <c r="CR1232" s="345"/>
      <c r="CS1232" s="345"/>
      <c r="CX1232" s="347"/>
      <c r="CY1232" s="347"/>
      <c r="DH1232" s="237"/>
      <c r="DI1232" s="237"/>
      <c r="DN1232" s="347"/>
      <c r="DO1232" s="347"/>
      <c r="DP1232" s="2505"/>
    </row>
    <row r="1233" spans="12:120">
      <c r="L1233" s="347">
        <v>84.1</v>
      </c>
      <c r="M1233" s="347" t="s">
        <v>352</v>
      </c>
      <c r="AB1233" s="347">
        <v>159.25</v>
      </c>
      <c r="AC1233" s="347" t="s">
        <v>323</v>
      </c>
      <c r="AD1233" s="1138"/>
      <c r="AP1233" s="347">
        <v>25.17</v>
      </c>
      <c r="AQ1233" s="347" t="s">
        <v>345</v>
      </c>
      <c r="BF1233" s="347">
        <v>115.28</v>
      </c>
      <c r="BG1233" s="347" t="s">
        <v>337</v>
      </c>
      <c r="BH1233" s="1790"/>
      <c r="BN1233" s="237">
        <v>601.04999999999995</v>
      </c>
      <c r="BO1233" s="237" t="s">
        <v>326</v>
      </c>
      <c r="BT1233" s="347">
        <v>24.23</v>
      </c>
      <c r="BU1233" s="347" t="s">
        <v>345</v>
      </c>
      <c r="CD1233" s="237">
        <v>59.47</v>
      </c>
      <c r="CE1233" s="237" t="s">
        <v>361</v>
      </c>
      <c r="CJ1233" s="347">
        <v>117</v>
      </c>
      <c r="CK1233" s="347" t="s">
        <v>323</v>
      </c>
      <c r="CL1233" s="1789"/>
      <c r="CR1233" s="345"/>
      <c r="CS1233" s="345"/>
      <c r="CX1233" s="347"/>
      <c r="CY1233" s="347"/>
      <c r="DH1233" s="237"/>
      <c r="DI1233" s="237"/>
      <c r="DN1233" s="347"/>
      <c r="DO1233" s="347"/>
      <c r="DP1233" s="2505"/>
    </row>
    <row r="1234" spans="12:120">
      <c r="L1234" s="347">
        <v>84.12</v>
      </c>
      <c r="M1234" s="347" t="s">
        <v>352</v>
      </c>
      <c r="AB1234" s="347">
        <v>159.26</v>
      </c>
      <c r="AC1234" s="347" t="s">
        <v>323</v>
      </c>
      <c r="AD1234" s="1138"/>
      <c r="AP1234" s="347">
        <v>26.05</v>
      </c>
      <c r="AQ1234" s="347" t="s">
        <v>345</v>
      </c>
      <c r="BF1234" s="347">
        <v>116.02</v>
      </c>
      <c r="BG1234" s="347" t="s">
        <v>352</v>
      </c>
      <c r="BH1234" s="1790"/>
      <c r="BN1234" s="237">
        <v>601.05999999999995</v>
      </c>
      <c r="BO1234" s="237" t="s">
        <v>326</v>
      </c>
      <c r="BT1234" s="347">
        <v>25.07</v>
      </c>
      <c r="BU1234" s="347" t="s">
        <v>345</v>
      </c>
      <c r="CD1234" s="237">
        <v>59.49</v>
      </c>
      <c r="CE1234" s="237" t="s">
        <v>361</v>
      </c>
      <c r="CJ1234" s="347">
        <v>117.01</v>
      </c>
      <c r="CK1234" s="347" t="s">
        <v>352</v>
      </c>
      <c r="CL1234" s="1789"/>
      <c r="CR1234" s="345"/>
      <c r="CS1234" s="345"/>
      <c r="CX1234" s="347"/>
      <c r="CY1234" s="347"/>
      <c r="DH1234" s="237"/>
      <c r="DI1234" s="237"/>
      <c r="DN1234" s="347"/>
      <c r="DO1234" s="347"/>
      <c r="DP1234" s="2505"/>
    </row>
    <row r="1235" spans="12:120">
      <c r="L1235" s="347">
        <v>84.14</v>
      </c>
      <c r="M1235" s="347" t="s">
        <v>352</v>
      </c>
      <c r="AB1235" s="347">
        <v>160</v>
      </c>
      <c r="AC1235" s="347" t="s">
        <v>352</v>
      </c>
      <c r="AD1235" s="1138"/>
      <c r="AP1235" s="347">
        <v>26.06</v>
      </c>
      <c r="AQ1235" s="347" t="s">
        <v>345</v>
      </c>
      <c r="BF1235" s="347">
        <v>116.03</v>
      </c>
      <c r="BG1235" s="347" t="s">
        <v>337</v>
      </c>
      <c r="BH1235" s="1790"/>
      <c r="BN1235" s="237">
        <v>601.07000000000005</v>
      </c>
      <c r="BO1235" s="237" t="s">
        <v>326</v>
      </c>
      <c r="BT1235" s="347">
        <v>25.11</v>
      </c>
      <c r="BU1235" s="347" t="s">
        <v>345</v>
      </c>
      <c r="CD1235" s="237">
        <v>59.5</v>
      </c>
      <c r="CE1235" s="237" t="s">
        <v>361</v>
      </c>
      <c r="CJ1235" s="347">
        <v>117.08</v>
      </c>
      <c r="CK1235" s="347" t="s">
        <v>337</v>
      </c>
      <c r="CL1235" s="1789"/>
      <c r="CR1235" s="345"/>
      <c r="CS1235" s="345"/>
      <c r="CX1235" s="347"/>
      <c r="CY1235" s="347"/>
      <c r="DH1235" s="237"/>
      <c r="DI1235" s="237"/>
      <c r="DN1235" s="347"/>
      <c r="DO1235" s="347"/>
      <c r="DP1235" s="2505"/>
    </row>
    <row r="1236" spans="12:120">
      <c r="L1236" s="347">
        <v>84.15</v>
      </c>
      <c r="M1236" s="347" t="s">
        <v>352</v>
      </c>
      <c r="AB1236" s="347">
        <v>160.01</v>
      </c>
      <c r="AC1236" s="347" t="s">
        <v>359</v>
      </c>
      <c r="AD1236" s="1138"/>
      <c r="AP1236" s="347">
        <v>9701.01</v>
      </c>
      <c r="AQ1236" s="347" t="s">
        <v>346</v>
      </c>
      <c r="BF1236" s="347">
        <v>116.05</v>
      </c>
      <c r="BG1236" s="347" t="s">
        <v>365</v>
      </c>
      <c r="BH1236" s="1790"/>
      <c r="BN1236" s="237">
        <v>602.05999999999995</v>
      </c>
      <c r="BO1236" s="237" t="s">
        <v>326</v>
      </c>
      <c r="BT1236" s="347">
        <v>25.12</v>
      </c>
      <c r="BU1236" s="347" t="s">
        <v>345</v>
      </c>
      <c r="CD1236" s="237">
        <v>59.51</v>
      </c>
      <c r="CE1236" s="237" t="s">
        <v>361</v>
      </c>
      <c r="CJ1236" s="347">
        <v>117.12</v>
      </c>
      <c r="CK1236" s="347" t="s">
        <v>337</v>
      </c>
      <c r="CL1236" s="1789"/>
      <c r="CR1236" s="345"/>
      <c r="CS1236" s="345"/>
      <c r="CX1236" s="347"/>
      <c r="CY1236" s="347"/>
      <c r="DH1236" s="237"/>
      <c r="DI1236" s="237"/>
      <c r="DN1236" s="347"/>
      <c r="DO1236" s="347"/>
      <c r="DP1236" s="2505"/>
    </row>
    <row r="1237" spans="12:120">
      <c r="L1237" s="347">
        <v>84.16</v>
      </c>
      <c r="M1237" s="347" t="s">
        <v>352</v>
      </c>
      <c r="AB1237" s="347">
        <v>160.02000000000001</v>
      </c>
      <c r="AC1237" s="347" t="s">
        <v>359</v>
      </c>
      <c r="AD1237" s="1138"/>
      <c r="AP1237" s="347">
        <v>9701.0300000000007</v>
      </c>
      <c r="AQ1237" s="347" t="s">
        <v>346</v>
      </c>
      <c r="BF1237" s="347">
        <v>116.06</v>
      </c>
      <c r="BG1237" s="347" t="s">
        <v>365</v>
      </c>
      <c r="BH1237" s="1790"/>
      <c r="BN1237" s="237">
        <v>602.07000000000005</v>
      </c>
      <c r="BO1237" s="237" t="s">
        <v>326</v>
      </c>
      <c r="BT1237" s="347">
        <v>25.13</v>
      </c>
      <c r="BU1237" s="347" t="s">
        <v>345</v>
      </c>
      <c r="CD1237" s="237">
        <v>59.52</v>
      </c>
      <c r="CE1237" s="237" t="s">
        <v>361</v>
      </c>
      <c r="CJ1237" s="347">
        <v>117.13</v>
      </c>
      <c r="CK1237" s="347" t="s">
        <v>337</v>
      </c>
      <c r="CL1237" s="1789"/>
      <c r="CR1237" s="345"/>
      <c r="CS1237" s="345"/>
      <c r="CX1237" s="347"/>
      <c r="CY1237" s="347"/>
      <c r="DH1237" s="237"/>
      <c r="DI1237" s="237"/>
      <c r="DN1237" s="347"/>
      <c r="DO1237" s="347"/>
      <c r="DP1237" s="2505"/>
    </row>
    <row r="1238" spans="12:120">
      <c r="L1238" s="347">
        <v>84.17</v>
      </c>
      <c r="M1238" s="347" t="s">
        <v>352</v>
      </c>
      <c r="AB1238" s="347">
        <v>161</v>
      </c>
      <c r="AC1238" s="347" t="s">
        <v>352</v>
      </c>
      <c r="AD1238" s="1138"/>
      <c r="AP1238" s="347">
        <v>9702</v>
      </c>
      <c r="AQ1238" s="347" t="s">
        <v>346</v>
      </c>
      <c r="BF1238" s="347">
        <v>116.11</v>
      </c>
      <c r="BG1238" s="347" t="s">
        <v>337</v>
      </c>
      <c r="BH1238" s="1790"/>
      <c r="BN1238" s="237">
        <v>602.08000000000004</v>
      </c>
      <c r="BO1238" s="237" t="s">
        <v>326</v>
      </c>
      <c r="BT1238" s="347">
        <v>25.14</v>
      </c>
      <c r="BU1238" s="347" t="s">
        <v>345</v>
      </c>
      <c r="CD1238" s="237">
        <v>59.53</v>
      </c>
      <c r="CE1238" s="237" t="s">
        <v>361</v>
      </c>
      <c r="CJ1238" s="347">
        <v>117.14</v>
      </c>
      <c r="CK1238" s="347" t="s">
        <v>337</v>
      </c>
      <c r="CL1238" s="1789"/>
      <c r="CR1238" s="345"/>
      <c r="CS1238" s="345"/>
      <c r="CX1238" s="347"/>
      <c r="CY1238" s="347"/>
      <c r="DH1238" s="237"/>
      <c r="DI1238" s="237"/>
      <c r="DN1238" s="347"/>
      <c r="DO1238" s="347"/>
      <c r="DP1238" s="2505"/>
    </row>
    <row r="1239" spans="12:120">
      <c r="L1239" s="347">
        <v>84.18</v>
      </c>
      <c r="M1239" s="347" t="s">
        <v>352</v>
      </c>
      <c r="AB1239" s="347">
        <v>161</v>
      </c>
      <c r="AC1239" s="347" t="s">
        <v>359</v>
      </c>
      <c r="AD1239" s="1138"/>
      <c r="AP1239" s="347">
        <v>9703.01</v>
      </c>
      <c r="AQ1239" s="347" t="s">
        <v>346</v>
      </c>
      <c r="BF1239" s="347">
        <v>116.12</v>
      </c>
      <c r="BG1239" s="347" t="s">
        <v>337</v>
      </c>
      <c r="BH1239" s="1790"/>
      <c r="BN1239" s="237">
        <v>602.1</v>
      </c>
      <c r="BO1239" s="237" t="s">
        <v>326</v>
      </c>
      <c r="BT1239" s="347">
        <v>25.15</v>
      </c>
      <c r="BU1239" s="347" t="s">
        <v>345</v>
      </c>
      <c r="CD1239" s="237">
        <v>59.54</v>
      </c>
      <c r="CE1239" s="237" t="s">
        <v>361</v>
      </c>
      <c r="CJ1239" s="347">
        <v>117.16</v>
      </c>
      <c r="CK1239" s="347" t="s">
        <v>337</v>
      </c>
      <c r="CL1239" s="1789"/>
      <c r="CR1239" s="345"/>
      <c r="CS1239" s="345"/>
      <c r="CX1239" s="347"/>
      <c r="CY1239" s="347"/>
      <c r="DH1239" s="237"/>
      <c r="DI1239" s="237"/>
      <c r="DN1239" s="347"/>
      <c r="DO1239" s="347"/>
      <c r="DP1239" s="2505"/>
    </row>
    <row r="1240" spans="12:120">
      <c r="L1240" s="347">
        <v>84.19</v>
      </c>
      <c r="M1240" s="347" t="s">
        <v>352</v>
      </c>
      <c r="AB1240" s="347">
        <v>162</v>
      </c>
      <c r="AC1240" s="347" t="s">
        <v>352</v>
      </c>
      <c r="AD1240" s="1138"/>
      <c r="AP1240" s="347">
        <v>9703.0300000000007</v>
      </c>
      <c r="AQ1240" s="347" t="s">
        <v>346</v>
      </c>
      <c r="BF1240" s="347">
        <v>116.15</v>
      </c>
      <c r="BG1240" s="347" t="s">
        <v>337</v>
      </c>
      <c r="BH1240" s="1790"/>
      <c r="BN1240" s="237">
        <v>602.11</v>
      </c>
      <c r="BO1240" s="237" t="s">
        <v>326</v>
      </c>
      <c r="BT1240" s="347">
        <v>25.16</v>
      </c>
      <c r="BU1240" s="347" t="s">
        <v>345</v>
      </c>
      <c r="CD1240" s="237">
        <v>59.55</v>
      </c>
      <c r="CE1240" s="237" t="s">
        <v>361</v>
      </c>
      <c r="CJ1240" s="347">
        <v>117.31</v>
      </c>
      <c r="CK1240" s="347" t="s">
        <v>365</v>
      </c>
      <c r="CL1240" s="1789"/>
      <c r="CR1240" s="345"/>
      <c r="CS1240" s="345"/>
      <c r="CX1240" s="347"/>
      <c r="CY1240" s="347"/>
      <c r="DH1240" s="237"/>
      <c r="DI1240" s="237"/>
      <c r="DN1240" s="347"/>
      <c r="DO1240" s="347"/>
      <c r="DP1240" s="2505"/>
    </row>
    <row r="1241" spans="12:120">
      <c r="L1241" s="347">
        <v>85.01</v>
      </c>
      <c r="M1241" s="347" t="s">
        <v>352</v>
      </c>
      <c r="AB1241" s="347">
        <v>162</v>
      </c>
      <c r="AC1241" s="347" t="s">
        <v>359</v>
      </c>
      <c r="AD1241" s="1138"/>
      <c r="AP1241" s="347">
        <v>9704</v>
      </c>
      <c r="AQ1241" s="347" t="s">
        <v>346</v>
      </c>
      <c r="BF1241" s="347">
        <v>116.16</v>
      </c>
      <c r="BG1241" s="347" t="s">
        <v>337</v>
      </c>
      <c r="BH1241" s="1790"/>
      <c r="BN1241" s="237">
        <v>602.12</v>
      </c>
      <c r="BO1241" s="237" t="s">
        <v>326</v>
      </c>
      <c r="BT1241" s="347">
        <v>25.17</v>
      </c>
      <c r="BU1241" s="347" t="s">
        <v>345</v>
      </c>
      <c r="CD1241" s="237">
        <v>59.57</v>
      </c>
      <c r="CE1241" s="237" t="s">
        <v>361</v>
      </c>
      <c r="CJ1241" s="347">
        <v>118</v>
      </c>
      <c r="CK1241" s="347" t="s">
        <v>352</v>
      </c>
      <c r="CL1241" s="1789"/>
      <c r="CR1241" s="345"/>
      <c r="CS1241" s="345"/>
      <c r="CX1241" s="347"/>
      <c r="CY1241" s="347"/>
      <c r="DH1241" s="237"/>
      <c r="DI1241" s="237"/>
      <c r="DN1241" s="347"/>
      <c r="DO1241" s="347"/>
      <c r="DP1241" s="2505"/>
    </row>
    <row r="1242" spans="12:120">
      <c r="L1242" s="347">
        <v>85.02</v>
      </c>
      <c r="M1242" s="347" t="s">
        <v>352</v>
      </c>
      <c r="AB1242" s="347">
        <v>163</v>
      </c>
      <c r="AC1242" s="347" t="s">
        <v>352</v>
      </c>
      <c r="AD1242" s="1138"/>
      <c r="AP1242" s="347">
        <v>9705.01</v>
      </c>
      <c r="AQ1242" s="347" t="s">
        <v>346</v>
      </c>
      <c r="BF1242" s="347">
        <v>116.17</v>
      </c>
      <c r="BG1242" s="347" t="s">
        <v>337</v>
      </c>
      <c r="BH1242" s="1790"/>
      <c r="BN1242" s="237">
        <v>602.13</v>
      </c>
      <c r="BO1242" s="237" t="s">
        <v>326</v>
      </c>
      <c r="BT1242" s="347">
        <v>26.05</v>
      </c>
      <c r="BU1242" s="347" t="s">
        <v>345</v>
      </c>
      <c r="CD1242" s="237">
        <v>59.58</v>
      </c>
      <c r="CE1242" s="237" t="s">
        <v>361</v>
      </c>
      <c r="CJ1242" s="347">
        <v>118.21</v>
      </c>
      <c r="CK1242" s="347" t="s">
        <v>365</v>
      </c>
      <c r="CL1242" s="1789"/>
      <c r="CR1242" s="345"/>
      <c r="CS1242" s="345"/>
      <c r="CX1242" s="347"/>
      <c r="CY1242" s="347"/>
      <c r="DH1242" s="237"/>
      <c r="DI1242" s="237"/>
      <c r="DN1242" s="347"/>
      <c r="DO1242" s="347"/>
      <c r="DP1242" s="2505"/>
    </row>
    <row r="1243" spans="12:120">
      <c r="L1243" s="347">
        <v>86.01</v>
      </c>
      <c r="M1243" s="347" t="s">
        <v>352</v>
      </c>
      <c r="AB1243" s="347">
        <v>163.01</v>
      </c>
      <c r="AC1243" s="347" t="s">
        <v>359</v>
      </c>
      <c r="AD1243" s="1138"/>
      <c r="AP1243" s="347">
        <v>9705.02</v>
      </c>
      <c r="AQ1243" s="347" t="s">
        <v>346</v>
      </c>
      <c r="BF1243" s="347">
        <v>117</v>
      </c>
      <c r="BG1243" s="347" t="s">
        <v>323</v>
      </c>
      <c r="BH1243" s="1790"/>
      <c r="BN1243" s="237">
        <v>602.14</v>
      </c>
      <c r="BO1243" s="237" t="s">
        <v>326</v>
      </c>
      <c r="BT1243" s="347">
        <v>26.06</v>
      </c>
      <c r="BU1243" s="347" t="s">
        <v>345</v>
      </c>
      <c r="CD1243" s="237">
        <v>59.59</v>
      </c>
      <c r="CE1243" s="237" t="s">
        <v>361</v>
      </c>
      <c r="CJ1243" s="347">
        <v>118.22</v>
      </c>
      <c r="CK1243" s="347" t="s">
        <v>365</v>
      </c>
      <c r="CL1243" s="1789"/>
      <c r="CR1243" s="345"/>
      <c r="CS1243" s="345"/>
      <c r="CX1243" s="347"/>
      <c r="CY1243" s="347"/>
      <c r="DH1243" s="237"/>
      <c r="DI1243" s="237"/>
      <c r="DN1243" s="347"/>
      <c r="DO1243" s="347"/>
      <c r="DP1243" s="2505"/>
    </row>
    <row r="1244" spans="12:120">
      <c r="L1244" s="347">
        <v>86.02</v>
      </c>
      <c r="M1244" s="347" t="s">
        <v>352</v>
      </c>
      <c r="AB1244" s="347">
        <v>164</v>
      </c>
      <c r="AC1244" s="347" t="s">
        <v>323</v>
      </c>
      <c r="AD1244" s="1138"/>
      <c r="AP1244" s="347">
        <v>9501</v>
      </c>
      <c r="AQ1244" s="347" t="s">
        <v>347</v>
      </c>
      <c r="BF1244" s="347">
        <v>117.08</v>
      </c>
      <c r="BG1244" s="347" t="s">
        <v>337</v>
      </c>
      <c r="BH1244" s="1790"/>
      <c r="BN1244" s="237">
        <v>602.15</v>
      </c>
      <c r="BO1244" s="237" t="s">
        <v>326</v>
      </c>
      <c r="BT1244" s="347">
        <v>9701.01</v>
      </c>
      <c r="BU1244" s="347" t="s">
        <v>346</v>
      </c>
      <c r="CD1244" s="237">
        <v>59.6</v>
      </c>
      <c r="CE1244" s="237" t="s">
        <v>361</v>
      </c>
      <c r="CJ1244" s="347">
        <v>118.32</v>
      </c>
      <c r="CK1244" s="347" t="s">
        <v>365</v>
      </c>
      <c r="CL1244" s="1789"/>
      <c r="CR1244" s="345"/>
      <c r="CS1244" s="345"/>
      <c r="CX1244" s="347"/>
      <c r="CY1244" s="347"/>
      <c r="DH1244" s="237"/>
      <c r="DI1244" s="237"/>
      <c r="DN1244" s="347"/>
      <c r="DO1244" s="347"/>
      <c r="DP1244" s="2505"/>
    </row>
    <row r="1245" spans="12:120">
      <c r="L1245" s="347">
        <v>87.01</v>
      </c>
      <c r="M1245" s="347" t="s">
        <v>352</v>
      </c>
      <c r="AB1245" s="347">
        <v>164</v>
      </c>
      <c r="AC1245" s="347" t="s">
        <v>352</v>
      </c>
      <c r="AD1245" s="1138"/>
      <c r="AP1245" s="347">
        <v>9502.01</v>
      </c>
      <c r="AQ1245" s="347" t="s">
        <v>347</v>
      </c>
      <c r="BF1245" s="347">
        <v>117.12</v>
      </c>
      <c r="BG1245" s="347" t="s">
        <v>337</v>
      </c>
      <c r="BH1245" s="1790"/>
      <c r="BN1245" s="237">
        <v>602.16</v>
      </c>
      <c r="BO1245" s="237" t="s">
        <v>326</v>
      </c>
      <c r="BT1245" s="347">
        <v>9701.0300000000007</v>
      </c>
      <c r="BU1245" s="347" t="s">
        <v>346</v>
      </c>
      <c r="CD1245" s="237">
        <v>59.61</v>
      </c>
      <c r="CE1245" s="237" t="s">
        <v>361</v>
      </c>
      <c r="CJ1245" s="347">
        <v>118.34</v>
      </c>
      <c r="CK1245" s="347" t="s">
        <v>365</v>
      </c>
      <c r="CL1245" s="1789"/>
      <c r="CR1245" s="345"/>
      <c r="CS1245" s="345"/>
      <c r="CX1245" s="347"/>
      <c r="CY1245" s="347"/>
      <c r="DH1245" s="237"/>
      <c r="DI1245" s="237"/>
      <c r="DN1245" s="347"/>
      <c r="DO1245" s="347"/>
      <c r="DP1245" s="2505"/>
    </row>
    <row r="1246" spans="12:120">
      <c r="L1246" s="347">
        <v>87.02</v>
      </c>
      <c r="M1246" s="347" t="s">
        <v>352</v>
      </c>
      <c r="AB1246" s="347">
        <v>164.02</v>
      </c>
      <c r="AC1246" s="347" t="s">
        <v>359</v>
      </c>
      <c r="AD1246" s="1138"/>
      <c r="AP1246" s="347">
        <v>9502.02</v>
      </c>
      <c r="AQ1246" s="347" t="s">
        <v>347</v>
      </c>
      <c r="BF1246" s="347">
        <v>117.13</v>
      </c>
      <c r="BG1246" s="347" t="s">
        <v>337</v>
      </c>
      <c r="BH1246" s="1790"/>
      <c r="BN1246" s="237">
        <v>602.16999999999996</v>
      </c>
      <c r="BO1246" s="237" t="s">
        <v>326</v>
      </c>
      <c r="BT1246" s="347">
        <v>9702</v>
      </c>
      <c r="BU1246" s="347" t="s">
        <v>346</v>
      </c>
      <c r="CD1246" s="237">
        <v>60</v>
      </c>
      <c r="CE1246" s="237" t="s">
        <v>337</v>
      </c>
      <c r="CJ1246" s="347">
        <v>118.35</v>
      </c>
      <c r="CK1246" s="347" t="s">
        <v>365</v>
      </c>
      <c r="CL1246" s="1789"/>
      <c r="CR1246" s="345"/>
      <c r="CS1246" s="345"/>
      <c r="CX1246" s="347"/>
      <c r="CY1246" s="347"/>
      <c r="DH1246" s="237"/>
      <c r="DI1246" s="237"/>
      <c r="DN1246" s="347"/>
      <c r="DO1246" s="347"/>
      <c r="DP1246" s="2505"/>
    </row>
    <row r="1247" spans="12:120">
      <c r="L1247" s="347">
        <v>88.03</v>
      </c>
      <c r="M1247" s="347" t="s">
        <v>352</v>
      </c>
      <c r="AB1247" s="347">
        <v>164.07</v>
      </c>
      <c r="AC1247" s="347" t="s">
        <v>359</v>
      </c>
      <c r="AD1247" s="1138"/>
      <c r="AP1247" s="347">
        <v>1101</v>
      </c>
      <c r="AQ1247" s="347" t="s">
        <v>348</v>
      </c>
      <c r="BF1247" s="347">
        <v>117.14</v>
      </c>
      <c r="BG1247" s="347" t="s">
        <v>337</v>
      </c>
      <c r="BH1247" s="1790"/>
      <c r="BN1247" s="237">
        <v>602.17999999999995</v>
      </c>
      <c r="BO1247" s="237" t="s">
        <v>326</v>
      </c>
      <c r="BT1247" s="347">
        <v>9703.01</v>
      </c>
      <c r="BU1247" s="347" t="s">
        <v>346</v>
      </c>
      <c r="CD1247" s="237">
        <v>60.02</v>
      </c>
      <c r="CE1247" s="237" t="s">
        <v>352</v>
      </c>
      <c r="CJ1247" s="347">
        <v>118.36</v>
      </c>
      <c r="CK1247" s="347" t="s">
        <v>365</v>
      </c>
      <c r="CL1247" s="1789"/>
      <c r="CR1247" s="345"/>
      <c r="CS1247" s="345"/>
      <c r="CX1247" s="347"/>
      <c r="CY1247" s="347"/>
      <c r="DH1247" s="237"/>
      <c r="DI1247" s="237"/>
      <c r="DN1247" s="347"/>
      <c r="DO1247" s="347"/>
      <c r="DP1247" s="2505"/>
    </row>
    <row r="1248" spans="12:120">
      <c r="L1248" s="347">
        <v>88.04</v>
      </c>
      <c r="M1248" s="347" t="s">
        <v>352</v>
      </c>
      <c r="AB1248" s="347">
        <v>164.08</v>
      </c>
      <c r="AC1248" s="347" t="s">
        <v>359</v>
      </c>
      <c r="AD1248" s="1138"/>
      <c r="AP1248" s="347">
        <v>1104</v>
      </c>
      <c r="AQ1248" s="347" t="s">
        <v>348</v>
      </c>
      <c r="BF1248" s="347">
        <v>117.16</v>
      </c>
      <c r="BG1248" s="347" t="s">
        <v>337</v>
      </c>
      <c r="BH1248" s="1790"/>
      <c r="BN1248" s="237">
        <v>602.19000000000005</v>
      </c>
      <c r="BO1248" s="237" t="s">
        <v>326</v>
      </c>
      <c r="BT1248" s="347">
        <v>9704</v>
      </c>
      <c r="BU1248" s="347" t="s">
        <v>346</v>
      </c>
      <c r="CD1248" s="237">
        <v>60.03</v>
      </c>
      <c r="CE1248" s="237" t="s">
        <v>352</v>
      </c>
      <c r="CJ1248" s="347">
        <v>118.37</v>
      </c>
      <c r="CK1248" s="347" t="s">
        <v>365</v>
      </c>
      <c r="CL1248" s="1789"/>
      <c r="CR1248" s="345"/>
      <c r="CS1248" s="345"/>
      <c r="CX1248" s="347"/>
      <c r="CY1248" s="347"/>
      <c r="DH1248" s="237"/>
      <c r="DI1248" s="237"/>
      <c r="DN1248" s="347"/>
      <c r="DO1248" s="347"/>
      <c r="DP1248" s="2505"/>
    </row>
    <row r="1249" spans="12:120">
      <c r="L1249" s="347">
        <v>89.01</v>
      </c>
      <c r="M1249" s="347" t="s">
        <v>352</v>
      </c>
      <c r="AB1249" s="347">
        <v>164.09</v>
      </c>
      <c r="AC1249" s="347" t="s">
        <v>359</v>
      </c>
      <c r="AD1249" s="1138"/>
      <c r="AP1249" s="347">
        <v>1.01</v>
      </c>
      <c r="AQ1249" s="347" t="s">
        <v>349</v>
      </c>
      <c r="BF1249" s="347">
        <v>117.21</v>
      </c>
      <c r="BG1249" s="347" t="s">
        <v>365</v>
      </c>
      <c r="BH1249" s="1790"/>
      <c r="BN1249" s="237">
        <v>602.20000000000005</v>
      </c>
      <c r="BO1249" s="237" t="s">
        <v>326</v>
      </c>
      <c r="BT1249" s="347">
        <v>9705.01</v>
      </c>
      <c r="BU1249" s="347" t="s">
        <v>346</v>
      </c>
      <c r="CD1249" s="237">
        <v>60.04</v>
      </c>
      <c r="CE1249" s="237" t="s">
        <v>352</v>
      </c>
      <c r="CJ1249" s="347">
        <v>118.38</v>
      </c>
      <c r="CK1249" s="347" t="s">
        <v>365</v>
      </c>
      <c r="CL1249" s="1789"/>
      <c r="CR1249" s="345"/>
      <c r="CS1249" s="345"/>
      <c r="CX1249" s="347"/>
      <c r="CY1249" s="347"/>
      <c r="DH1249" s="237"/>
      <c r="DI1249" s="237"/>
      <c r="DN1249" s="347"/>
      <c r="DO1249" s="347"/>
      <c r="DP1249" s="2505"/>
    </row>
    <row r="1250" spans="12:120">
      <c r="L1250" s="347">
        <v>89.02</v>
      </c>
      <c r="M1250" s="347" t="s">
        <v>352</v>
      </c>
      <c r="AB1250" s="347">
        <v>164.1</v>
      </c>
      <c r="AC1250" s="347" t="s">
        <v>359</v>
      </c>
      <c r="AD1250" s="1138"/>
      <c r="AP1250" s="347">
        <v>4.03</v>
      </c>
      <c r="AQ1250" s="347" t="s">
        <v>349</v>
      </c>
      <c r="BF1250" s="347">
        <v>118</v>
      </c>
      <c r="BG1250" s="347" t="s">
        <v>352</v>
      </c>
      <c r="BH1250" s="1790"/>
      <c r="BN1250" s="237">
        <v>603.01</v>
      </c>
      <c r="BO1250" s="237" t="s">
        <v>326</v>
      </c>
      <c r="BT1250" s="347">
        <v>9705.02</v>
      </c>
      <c r="BU1250" s="347" t="s">
        <v>346</v>
      </c>
      <c r="CD1250" s="237">
        <v>60.05</v>
      </c>
      <c r="CE1250" s="237" t="s">
        <v>361</v>
      </c>
      <c r="CJ1250" s="347">
        <v>119</v>
      </c>
      <c r="CK1250" s="347" t="s">
        <v>352</v>
      </c>
      <c r="CL1250" s="1789"/>
      <c r="CR1250" s="345"/>
      <c r="CS1250" s="345"/>
      <c r="CX1250" s="347"/>
      <c r="CY1250" s="347"/>
      <c r="DH1250" s="237"/>
      <c r="DI1250" s="237"/>
      <c r="DN1250" s="347"/>
      <c r="DO1250" s="347"/>
      <c r="DP1250" s="2505"/>
    </row>
    <row r="1251" spans="12:120">
      <c r="L1251" s="347">
        <v>89.06</v>
      </c>
      <c r="M1251" s="347" t="s">
        <v>352</v>
      </c>
      <c r="AB1251" s="347">
        <v>164.11</v>
      </c>
      <c r="AC1251" s="347" t="s">
        <v>359</v>
      </c>
      <c r="AD1251" s="1138"/>
      <c r="AP1251" s="347">
        <v>4.05</v>
      </c>
      <c r="AQ1251" s="347" t="s">
        <v>349</v>
      </c>
      <c r="BF1251" s="347">
        <v>118.21</v>
      </c>
      <c r="BG1251" s="347" t="s">
        <v>365</v>
      </c>
      <c r="BH1251" s="1790"/>
      <c r="BN1251" s="237">
        <v>603.02</v>
      </c>
      <c r="BO1251" s="237" t="s">
        <v>326</v>
      </c>
      <c r="BT1251" s="347">
        <v>9501</v>
      </c>
      <c r="BU1251" s="347" t="s">
        <v>347</v>
      </c>
      <c r="CD1251" s="237">
        <v>60.06</v>
      </c>
      <c r="CE1251" s="237" t="s">
        <v>361</v>
      </c>
      <c r="CJ1251" s="347">
        <v>119.01</v>
      </c>
      <c r="CK1251" s="347" t="s">
        <v>323</v>
      </c>
      <c r="CL1251" s="1789"/>
      <c r="CR1251" s="345"/>
      <c r="CS1251" s="345"/>
      <c r="CX1251" s="347"/>
      <c r="CY1251" s="347"/>
      <c r="DH1251" s="237"/>
      <c r="DI1251" s="237"/>
      <c r="DN1251" s="347"/>
      <c r="DO1251" s="347"/>
      <c r="DP1251" s="2505"/>
    </row>
    <row r="1252" spans="12:120">
      <c r="L1252" s="347">
        <v>89.07</v>
      </c>
      <c r="M1252" s="347" t="s">
        <v>352</v>
      </c>
      <c r="AB1252" s="347">
        <v>164.12</v>
      </c>
      <c r="AC1252" s="347" t="s">
        <v>359</v>
      </c>
      <c r="AD1252" s="1138"/>
      <c r="AP1252" s="347">
        <v>4.0599999999999996</v>
      </c>
      <c r="AQ1252" s="347" t="s">
        <v>349</v>
      </c>
      <c r="BF1252" s="347">
        <v>118.22</v>
      </c>
      <c r="BG1252" s="347" t="s">
        <v>365</v>
      </c>
      <c r="BH1252" s="1790"/>
      <c r="BN1252" s="237">
        <v>603.03</v>
      </c>
      <c r="BO1252" s="237" t="s">
        <v>326</v>
      </c>
      <c r="BT1252" s="347">
        <v>9502.01</v>
      </c>
      <c r="BU1252" s="347" t="s">
        <v>347</v>
      </c>
      <c r="CD1252" s="237">
        <v>60.07</v>
      </c>
      <c r="CE1252" s="237" t="s">
        <v>361</v>
      </c>
      <c r="CJ1252" s="347">
        <v>119.01</v>
      </c>
      <c r="CK1252" s="347" t="s">
        <v>365</v>
      </c>
      <c r="CL1252" s="1789"/>
      <c r="CR1252" s="345"/>
      <c r="CS1252" s="345"/>
      <c r="CX1252" s="347"/>
      <c r="CY1252" s="347"/>
      <c r="DH1252" s="237"/>
      <c r="DI1252" s="237"/>
      <c r="DN1252" s="347"/>
      <c r="DO1252" s="347"/>
      <c r="DP1252" s="2505"/>
    </row>
    <row r="1253" spans="12:120">
      <c r="L1253" s="347">
        <v>90.06</v>
      </c>
      <c r="M1253" s="347" t="s">
        <v>352</v>
      </c>
      <c r="AB1253" s="347">
        <v>165</v>
      </c>
      <c r="AC1253" s="347" t="s">
        <v>323</v>
      </c>
      <c r="AD1253" s="1138"/>
      <c r="AP1253" s="347">
        <v>4.07</v>
      </c>
      <c r="AQ1253" s="347" t="s">
        <v>349</v>
      </c>
      <c r="BF1253" s="347">
        <v>118.32</v>
      </c>
      <c r="BG1253" s="347" t="s">
        <v>365</v>
      </c>
      <c r="BH1253" s="1790"/>
      <c r="BN1253" s="237">
        <v>603.04</v>
      </c>
      <c r="BO1253" s="237" t="s">
        <v>326</v>
      </c>
      <c r="BT1253" s="347">
        <v>1101</v>
      </c>
      <c r="BU1253" s="347" t="s">
        <v>348</v>
      </c>
      <c r="CD1253" s="237">
        <v>60.08</v>
      </c>
      <c r="CE1253" s="237" t="s">
        <v>361</v>
      </c>
      <c r="CJ1253" s="347">
        <v>119.02</v>
      </c>
      <c r="CK1253" s="347" t="s">
        <v>365</v>
      </c>
      <c r="CL1253" s="1789"/>
      <c r="CR1253" s="345"/>
      <c r="CS1253" s="345"/>
      <c r="CX1253" s="347"/>
      <c r="CY1253" s="347"/>
      <c r="DH1253" s="237"/>
      <c r="DI1253" s="237"/>
      <c r="DN1253" s="347"/>
      <c r="DO1253" s="347"/>
      <c r="DP1253" s="2505"/>
    </row>
    <row r="1254" spans="12:120">
      <c r="L1254" s="347">
        <v>90.1</v>
      </c>
      <c r="M1254" s="347" t="s">
        <v>352</v>
      </c>
      <c r="AB1254" s="347">
        <v>165</v>
      </c>
      <c r="AC1254" s="347" t="s">
        <v>352</v>
      </c>
      <c r="AD1254" s="1138"/>
      <c r="AP1254" s="347">
        <v>5.03</v>
      </c>
      <c r="AQ1254" s="347" t="s">
        <v>349</v>
      </c>
      <c r="BF1254" s="347">
        <v>118.34</v>
      </c>
      <c r="BG1254" s="347" t="s">
        <v>365</v>
      </c>
      <c r="BH1254" s="1790"/>
      <c r="BN1254" s="237">
        <v>9900</v>
      </c>
      <c r="BO1254" s="237" t="s">
        <v>326</v>
      </c>
      <c r="BT1254" s="347">
        <v>1102</v>
      </c>
      <c r="BU1254" s="347" t="s">
        <v>348</v>
      </c>
      <c r="CD1254" s="237">
        <v>60.09</v>
      </c>
      <c r="CE1254" s="237" t="s">
        <v>361</v>
      </c>
      <c r="CJ1254" s="347">
        <v>119.03</v>
      </c>
      <c r="CK1254" s="347" t="s">
        <v>323</v>
      </c>
      <c r="CL1254" s="1789"/>
      <c r="CR1254" s="345"/>
      <c r="CS1254" s="345"/>
      <c r="CX1254" s="347"/>
      <c r="CY1254" s="347"/>
      <c r="DH1254" s="237"/>
      <c r="DI1254" s="237"/>
      <c r="DN1254" s="347"/>
      <c r="DO1254" s="347"/>
      <c r="DP1254" s="2505"/>
    </row>
    <row r="1255" spans="12:120">
      <c r="L1255" s="347">
        <v>90.14</v>
      </c>
      <c r="M1255" s="347" t="s">
        <v>352</v>
      </c>
      <c r="AB1255" s="347">
        <v>165.03</v>
      </c>
      <c r="AC1255" s="347" t="s">
        <v>359</v>
      </c>
      <c r="AD1255" s="1138"/>
      <c r="AP1255" s="347">
        <v>8.0399999999999991</v>
      </c>
      <c r="AQ1255" s="347" t="s">
        <v>349</v>
      </c>
      <c r="BF1255" s="347">
        <v>118.35</v>
      </c>
      <c r="BG1255" s="347" t="s">
        <v>365</v>
      </c>
      <c r="BH1255" s="1790"/>
      <c r="BN1255" s="237">
        <v>201.01</v>
      </c>
      <c r="BO1255" s="237" t="s">
        <v>328</v>
      </c>
      <c r="BT1255" s="347">
        <v>1103.01</v>
      </c>
      <c r="BU1255" s="347" t="s">
        <v>348</v>
      </c>
      <c r="CD1255" s="237">
        <v>60.1</v>
      </c>
      <c r="CE1255" s="237" t="s">
        <v>361</v>
      </c>
      <c r="CJ1255" s="347">
        <v>119.04</v>
      </c>
      <c r="CK1255" s="347" t="s">
        <v>323</v>
      </c>
      <c r="CL1255" s="1789"/>
      <c r="CR1255" s="345"/>
      <c r="CS1255" s="345"/>
      <c r="CX1255" s="347"/>
      <c r="CY1255" s="347"/>
      <c r="DH1255" s="237"/>
      <c r="DI1255" s="237"/>
      <c r="DN1255" s="347"/>
      <c r="DO1255" s="347"/>
      <c r="DP1255" s="2505"/>
    </row>
    <row r="1256" spans="12:120">
      <c r="L1256" s="347">
        <v>90.15</v>
      </c>
      <c r="M1256" s="347" t="s">
        <v>352</v>
      </c>
      <c r="AB1256" s="347">
        <v>165.04</v>
      </c>
      <c r="AC1256" s="347" t="s">
        <v>359</v>
      </c>
      <c r="AD1256" s="1138"/>
      <c r="AP1256" s="347">
        <v>8.0500000000000007</v>
      </c>
      <c r="AQ1256" s="347" t="s">
        <v>349</v>
      </c>
      <c r="BF1256" s="347">
        <v>118.36</v>
      </c>
      <c r="BG1256" s="347" t="s">
        <v>365</v>
      </c>
      <c r="BH1256" s="1790"/>
      <c r="BN1256" s="237">
        <v>201.03</v>
      </c>
      <c r="BO1256" s="237" t="s">
        <v>328</v>
      </c>
      <c r="BT1256" s="347">
        <v>1104</v>
      </c>
      <c r="BU1256" s="347" t="s">
        <v>348</v>
      </c>
      <c r="CD1256" s="237">
        <v>60.11</v>
      </c>
      <c r="CE1256" s="237" t="s">
        <v>361</v>
      </c>
      <c r="CJ1256" s="347">
        <v>119.07</v>
      </c>
      <c r="CK1256" s="347" t="s">
        <v>337</v>
      </c>
      <c r="CL1256" s="1789"/>
      <c r="CR1256" s="345"/>
      <c r="CS1256" s="345"/>
      <c r="CX1256" s="347"/>
      <c r="CY1256" s="347"/>
      <c r="DH1256" s="237"/>
      <c r="DI1256" s="237"/>
      <c r="DN1256" s="347"/>
      <c r="DO1256" s="347"/>
      <c r="DP1256" s="2505"/>
    </row>
    <row r="1257" spans="12:120">
      <c r="L1257" s="347">
        <v>90.19</v>
      </c>
      <c r="M1257" s="347" t="s">
        <v>352</v>
      </c>
      <c r="AB1257" s="347">
        <v>165.05</v>
      </c>
      <c r="AC1257" s="347" t="s">
        <v>359</v>
      </c>
      <c r="AD1257" s="1138"/>
      <c r="AP1257" s="347">
        <v>8.08</v>
      </c>
      <c r="AQ1257" s="347" t="s">
        <v>349</v>
      </c>
      <c r="BF1257" s="347">
        <v>118.37</v>
      </c>
      <c r="BG1257" s="347" t="s">
        <v>365</v>
      </c>
      <c r="BH1257" s="1790"/>
      <c r="BN1257" s="237">
        <v>201.04</v>
      </c>
      <c r="BO1257" s="237" t="s">
        <v>328</v>
      </c>
      <c r="BT1257" s="347">
        <v>1.01</v>
      </c>
      <c r="BU1257" s="347" t="s">
        <v>349</v>
      </c>
      <c r="CD1257" s="237">
        <v>60.12</v>
      </c>
      <c r="CE1257" s="237" t="s">
        <v>361</v>
      </c>
      <c r="CJ1257" s="347">
        <v>119.08</v>
      </c>
      <c r="CK1257" s="347" t="s">
        <v>365</v>
      </c>
      <c r="CL1257" s="1789"/>
      <c r="CR1257" s="345"/>
      <c r="CS1257" s="345"/>
      <c r="CX1257" s="347"/>
      <c r="CY1257" s="347"/>
      <c r="DH1257" s="237"/>
      <c r="DI1257" s="237"/>
      <c r="DN1257" s="347"/>
      <c r="DO1257" s="347"/>
      <c r="DP1257" s="2505"/>
    </row>
    <row r="1258" spans="12:120">
      <c r="L1258" s="347">
        <v>90.23</v>
      </c>
      <c r="M1258" s="347" t="s">
        <v>352</v>
      </c>
      <c r="AB1258" s="347">
        <v>165.07</v>
      </c>
      <c r="AC1258" s="347" t="s">
        <v>359</v>
      </c>
      <c r="AD1258" s="1138"/>
      <c r="AP1258" s="347">
        <v>8.09</v>
      </c>
      <c r="AQ1258" s="347" t="s">
        <v>349</v>
      </c>
      <c r="BF1258" s="347">
        <v>118.38</v>
      </c>
      <c r="BG1258" s="347" t="s">
        <v>365</v>
      </c>
      <c r="BH1258" s="1790"/>
      <c r="BN1258" s="237">
        <v>203</v>
      </c>
      <c r="BO1258" s="237" t="s">
        <v>328</v>
      </c>
      <c r="BT1258" s="347">
        <v>4.03</v>
      </c>
      <c r="BU1258" s="347" t="s">
        <v>349</v>
      </c>
      <c r="CD1258" s="237">
        <v>61</v>
      </c>
      <c r="CE1258" s="237" t="s">
        <v>361</v>
      </c>
      <c r="CJ1258" s="347">
        <v>119.09</v>
      </c>
      <c r="CK1258" s="347" t="s">
        <v>365</v>
      </c>
      <c r="CL1258" s="1789"/>
      <c r="CR1258" s="345"/>
      <c r="CS1258" s="345"/>
      <c r="CX1258" s="347"/>
      <c r="CY1258" s="347"/>
      <c r="DH1258" s="237"/>
      <c r="DI1258" s="237"/>
      <c r="DN1258" s="347"/>
      <c r="DO1258" s="347"/>
      <c r="DP1258" s="2505"/>
    </row>
    <row r="1259" spans="12:120">
      <c r="L1259" s="347">
        <v>90.24</v>
      </c>
      <c r="M1259" s="347" t="s">
        <v>352</v>
      </c>
      <c r="AB1259" s="347">
        <v>165.11</v>
      </c>
      <c r="AC1259" s="347" t="s">
        <v>359</v>
      </c>
      <c r="AD1259" s="1138"/>
      <c r="AP1259" s="347">
        <v>8.1</v>
      </c>
      <c r="AQ1259" s="347" t="s">
        <v>349</v>
      </c>
      <c r="BF1259" s="347">
        <v>119</v>
      </c>
      <c r="BG1259" s="347" t="s">
        <v>352</v>
      </c>
      <c r="BH1259" s="1790"/>
      <c r="BN1259" s="237">
        <v>204</v>
      </c>
      <c r="BO1259" s="237" t="s">
        <v>328</v>
      </c>
      <c r="BT1259" s="347">
        <v>4.05</v>
      </c>
      <c r="BU1259" s="347" t="s">
        <v>349</v>
      </c>
      <c r="CD1259" s="237">
        <v>61.01</v>
      </c>
      <c r="CE1259" s="237" t="s">
        <v>337</v>
      </c>
      <c r="CJ1259" s="347">
        <v>119.11</v>
      </c>
      <c r="CK1259" s="347" t="s">
        <v>365</v>
      </c>
      <c r="CL1259" s="1789"/>
      <c r="CR1259" s="345"/>
      <c r="CS1259" s="345"/>
      <c r="CX1259" s="347"/>
      <c r="CY1259" s="347"/>
      <c r="DH1259" s="237"/>
      <c r="DI1259" s="237"/>
      <c r="DN1259" s="347"/>
      <c r="DO1259" s="347"/>
      <c r="DP1259" s="2505"/>
    </row>
    <row r="1260" spans="12:120">
      <c r="L1260" s="347">
        <v>90.28</v>
      </c>
      <c r="M1260" s="347" t="s">
        <v>352</v>
      </c>
      <c r="AB1260" s="347">
        <v>166</v>
      </c>
      <c r="AC1260" s="347" t="s">
        <v>352</v>
      </c>
      <c r="AD1260" s="1138"/>
      <c r="AP1260" s="347">
        <v>8.1199999999999992</v>
      </c>
      <c r="AQ1260" s="347" t="s">
        <v>349</v>
      </c>
      <c r="BF1260" s="347">
        <v>119.01</v>
      </c>
      <c r="BG1260" s="347" t="s">
        <v>323</v>
      </c>
      <c r="BH1260" s="1790"/>
      <c r="BN1260" s="237">
        <v>205</v>
      </c>
      <c r="BO1260" s="237" t="s">
        <v>328</v>
      </c>
      <c r="BT1260" s="347">
        <v>4.0599999999999996</v>
      </c>
      <c r="BU1260" s="347" t="s">
        <v>349</v>
      </c>
      <c r="CD1260" s="237">
        <v>61.03</v>
      </c>
      <c r="CE1260" s="237" t="s">
        <v>337</v>
      </c>
      <c r="CJ1260" s="347">
        <v>119.12</v>
      </c>
      <c r="CK1260" s="347" t="s">
        <v>365</v>
      </c>
      <c r="CL1260" s="1789"/>
      <c r="CR1260" s="345"/>
      <c r="CS1260" s="345"/>
      <c r="CX1260" s="347"/>
      <c r="CY1260" s="347"/>
      <c r="DH1260" s="237"/>
      <c r="DI1260" s="237"/>
      <c r="DN1260" s="347"/>
      <c r="DO1260" s="347"/>
      <c r="DP1260" s="2505"/>
    </row>
    <row r="1261" spans="12:120">
      <c r="L1261" s="347">
        <v>90.29</v>
      </c>
      <c r="M1261" s="347" t="s">
        <v>352</v>
      </c>
      <c r="AB1261" s="347">
        <v>166.01</v>
      </c>
      <c r="AC1261" s="347" t="s">
        <v>359</v>
      </c>
      <c r="AD1261" s="1138"/>
      <c r="AP1261" s="347">
        <v>8.1300000000000008</v>
      </c>
      <c r="AQ1261" s="347" t="s">
        <v>349</v>
      </c>
      <c r="BF1261" s="347">
        <v>119.01</v>
      </c>
      <c r="BG1261" s="347" t="s">
        <v>365</v>
      </c>
      <c r="BH1261" s="1790"/>
      <c r="BN1261" s="237">
        <v>206</v>
      </c>
      <c r="BO1261" s="237" t="s">
        <v>328</v>
      </c>
      <c r="BT1261" s="347">
        <v>4.09</v>
      </c>
      <c r="BU1261" s="347" t="s">
        <v>349</v>
      </c>
      <c r="CD1261" s="237">
        <v>61.03</v>
      </c>
      <c r="CE1261" s="237" t="s">
        <v>352</v>
      </c>
      <c r="CJ1261" s="347">
        <v>120.01</v>
      </c>
      <c r="CK1261" s="347" t="s">
        <v>365</v>
      </c>
      <c r="CL1261" s="1789"/>
      <c r="CR1261" s="345"/>
      <c r="CS1261" s="345"/>
      <c r="CX1261" s="347"/>
      <c r="CY1261" s="347"/>
      <c r="DH1261" s="237"/>
      <c r="DI1261" s="237"/>
      <c r="DN1261" s="347"/>
      <c r="DO1261" s="347"/>
      <c r="DP1261" s="2505"/>
    </row>
    <row r="1262" spans="12:120">
      <c r="L1262" s="347">
        <v>90.3</v>
      </c>
      <c r="M1262" s="347" t="s">
        <v>352</v>
      </c>
      <c r="AB1262" s="347">
        <v>166.02</v>
      </c>
      <c r="AC1262" s="347" t="s">
        <v>359</v>
      </c>
      <c r="AD1262" s="1138"/>
      <c r="AP1262" s="347">
        <v>8.14</v>
      </c>
      <c r="AQ1262" s="347" t="s">
        <v>349</v>
      </c>
      <c r="BF1262" s="347">
        <v>119.02</v>
      </c>
      <c r="BG1262" s="347" t="s">
        <v>365</v>
      </c>
      <c r="BH1262" s="1790"/>
      <c r="BN1262" s="237">
        <v>207.01</v>
      </c>
      <c r="BO1262" s="237" t="s">
        <v>328</v>
      </c>
      <c r="BT1262" s="347">
        <v>5.03</v>
      </c>
      <c r="BU1262" s="347" t="s">
        <v>349</v>
      </c>
      <c r="CD1262" s="237">
        <v>61.04</v>
      </c>
      <c r="CE1262" s="237" t="s">
        <v>352</v>
      </c>
      <c r="CJ1262" s="347">
        <v>120.02</v>
      </c>
      <c r="CK1262" s="347" t="s">
        <v>365</v>
      </c>
      <c r="CL1262" s="1789"/>
      <c r="CR1262" s="345"/>
      <c r="CS1262" s="345"/>
      <c r="CX1262" s="347"/>
      <c r="CY1262" s="347"/>
      <c r="DH1262" s="237"/>
      <c r="DI1262" s="237"/>
      <c r="DN1262" s="347"/>
      <c r="DO1262" s="347"/>
      <c r="DP1262" s="2505"/>
    </row>
    <row r="1263" spans="12:120">
      <c r="L1263" s="347">
        <v>90.31</v>
      </c>
      <c r="M1263" s="347" t="s">
        <v>352</v>
      </c>
      <c r="AB1263" s="347">
        <v>166.03</v>
      </c>
      <c r="AC1263" s="347" t="s">
        <v>323</v>
      </c>
      <c r="AD1263" s="1138"/>
      <c r="AP1263" s="347">
        <v>9.02</v>
      </c>
      <c r="AQ1263" s="347" t="s">
        <v>349</v>
      </c>
      <c r="BF1263" s="347">
        <v>119.03</v>
      </c>
      <c r="BG1263" s="347" t="s">
        <v>323</v>
      </c>
      <c r="BH1263" s="1790"/>
      <c r="BN1263" s="237">
        <v>207.02</v>
      </c>
      <c r="BO1263" s="237" t="s">
        <v>328</v>
      </c>
      <c r="BT1263" s="347">
        <v>8.0399999999999991</v>
      </c>
      <c r="BU1263" s="347" t="s">
        <v>349</v>
      </c>
      <c r="CD1263" s="237">
        <v>61.05</v>
      </c>
      <c r="CE1263" s="237" t="s">
        <v>352</v>
      </c>
      <c r="CJ1263" s="347">
        <v>120.03</v>
      </c>
      <c r="CK1263" s="347" t="s">
        <v>365</v>
      </c>
      <c r="CL1263" s="1789"/>
      <c r="CR1263" s="345"/>
      <c r="CS1263" s="345"/>
      <c r="CX1263" s="347"/>
      <c r="CY1263" s="347"/>
      <c r="DH1263" s="237"/>
      <c r="DI1263" s="237"/>
      <c r="DN1263" s="347"/>
      <c r="DO1263" s="347"/>
      <c r="DP1263" s="2505"/>
    </row>
    <row r="1264" spans="12:120">
      <c r="L1264" s="347">
        <v>90.34</v>
      </c>
      <c r="M1264" s="347" t="s">
        <v>352</v>
      </c>
      <c r="AB1264" s="347">
        <v>166.04</v>
      </c>
      <c r="AC1264" s="347" t="s">
        <v>323</v>
      </c>
      <c r="AD1264" s="1138"/>
      <c r="AP1264" s="347">
        <v>10.01</v>
      </c>
      <c r="AQ1264" s="347" t="s">
        <v>349</v>
      </c>
      <c r="BF1264" s="347">
        <v>119.04</v>
      </c>
      <c r="BG1264" s="347" t="s">
        <v>323</v>
      </c>
      <c r="BH1264" s="1790"/>
      <c r="BN1264" s="237">
        <v>208</v>
      </c>
      <c r="BO1264" s="237" t="s">
        <v>328</v>
      </c>
      <c r="BT1264" s="347">
        <v>8.0500000000000007</v>
      </c>
      <c r="BU1264" s="347" t="s">
        <v>349</v>
      </c>
      <c r="CD1264" s="237">
        <v>61.06</v>
      </c>
      <c r="CE1264" s="237" t="s">
        <v>352</v>
      </c>
      <c r="CJ1264" s="347">
        <v>120.04</v>
      </c>
      <c r="CK1264" s="347" t="s">
        <v>365</v>
      </c>
      <c r="CL1264" s="1789"/>
      <c r="CR1264" s="345"/>
      <c r="CS1264" s="345"/>
      <c r="CX1264" s="347"/>
      <c r="CY1264" s="347"/>
      <c r="DH1264" s="237"/>
      <c r="DI1264" s="237"/>
      <c r="DN1264" s="347"/>
      <c r="DO1264" s="347"/>
      <c r="DP1264" s="2505"/>
    </row>
    <row r="1265" spans="12:120">
      <c r="L1265" s="347">
        <v>90.35</v>
      </c>
      <c r="M1265" s="347" t="s">
        <v>352</v>
      </c>
      <c r="AB1265" s="347">
        <v>167.04</v>
      </c>
      <c r="AC1265" s="347" t="s">
        <v>359</v>
      </c>
      <c r="AD1265" s="1138"/>
      <c r="AP1265" s="347">
        <v>11.04</v>
      </c>
      <c r="AQ1265" s="347" t="s">
        <v>349</v>
      </c>
      <c r="BF1265" s="347">
        <v>119.07</v>
      </c>
      <c r="BG1265" s="347" t="s">
        <v>337</v>
      </c>
      <c r="BH1265" s="1790"/>
      <c r="BN1265" s="237">
        <v>9501</v>
      </c>
      <c r="BO1265" s="237" t="s">
        <v>329</v>
      </c>
      <c r="BT1265" s="347">
        <v>8.08</v>
      </c>
      <c r="BU1265" s="347" t="s">
        <v>349</v>
      </c>
      <c r="CD1265" s="237">
        <v>62</v>
      </c>
      <c r="CE1265" s="237" t="s">
        <v>337</v>
      </c>
      <c r="CJ1265" s="347">
        <v>121.01</v>
      </c>
      <c r="CK1265" s="347" t="s">
        <v>352</v>
      </c>
      <c r="CL1265" s="1789"/>
      <c r="CR1265" s="345"/>
      <c r="CS1265" s="345"/>
      <c r="CX1265" s="347"/>
      <c r="CY1265" s="347"/>
      <c r="DH1265" s="237"/>
      <c r="DI1265" s="237"/>
      <c r="DN1265" s="347"/>
      <c r="DO1265" s="347"/>
      <c r="DP1265" s="2505"/>
    </row>
    <row r="1266" spans="12:120">
      <c r="L1266" s="347">
        <v>90.36</v>
      </c>
      <c r="M1266" s="347" t="s">
        <v>352</v>
      </c>
      <c r="AB1266" s="347">
        <v>167.1</v>
      </c>
      <c r="AC1266" s="347" t="s">
        <v>359</v>
      </c>
      <c r="AD1266" s="1138"/>
      <c r="AP1266" s="347">
        <v>11.05</v>
      </c>
      <c r="AQ1266" s="347" t="s">
        <v>349</v>
      </c>
      <c r="BF1266" s="347">
        <v>119.08</v>
      </c>
      <c r="BG1266" s="347" t="s">
        <v>365</v>
      </c>
      <c r="BH1266" s="1790"/>
      <c r="BN1266" s="237">
        <v>9502.01</v>
      </c>
      <c r="BO1266" s="237" t="s">
        <v>329</v>
      </c>
      <c r="BT1266" s="347">
        <v>8.09</v>
      </c>
      <c r="BU1266" s="347" t="s">
        <v>349</v>
      </c>
      <c r="CD1266" s="237">
        <v>62.01</v>
      </c>
      <c r="CE1266" s="237" t="s">
        <v>352</v>
      </c>
      <c r="CJ1266" s="347">
        <v>121.02</v>
      </c>
      <c r="CK1266" s="347" t="s">
        <v>352</v>
      </c>
      <c r="CL1266" s="1789"/>
      <c r="CR1266" s="345"/>
      <c r="CS1266" s="345"/>
      <c r="CX1266" s="347"/>
      <c r="CY1266" s="347"/>
      <c r="DH1266" s="237"/>
      <c r="DI1266" s="237"/>
      <c r="DN1266" s="347"/>
      <c r="DO1266" s="347"/>
      <c r="DP1266" s="2505"/>
    </row>
    <row r="1267" spans="12:120">
      <c r="L1267" s="347">
        <v>90.38</v>
      </c>
      <c r="M1267" s="347" t="s">
        <v>352</v>
      </c>
      <c r="AB1267" s="347">
        <v>167.11</v>
      </c>
      <c r="AC1267" s="347" t="s">
        <v>323</v>
      </c>
      <c r="AD1267" s="1138"/>
      <c r="AP1267" s="347">
        <v>11.07</v>
      </c>
      <c r="AQ1267" s="347" t="s">
        <v>349</v>
      </c>
      <c r="BF1267" s="347">
        <v>119.09</v>
      </c>
      <c r="BG1267" s="347" t="s">
        <v>365</v>
      </c>
      <c r="BH1267" s="1790"/>
      <c r="BN1267" s="237">
        <v>9502.02</v>
      </c>
      <c r="BO1267" s="237" t="s">
        <v>329</v>
      </c>
      <c r="BT1267" s="347">
        <v>8.1</v>
      </c>
      <c r="BU1267" s="347" t="s">
        <v>349</v>
      </c>
      <c r="CD1267" s="237">
        <v>62.01</v>
      </c>
      <c r="CE1267" s="237" t="s">
        <v>361</v>
      </c>
      <c r="CJ1267" s="347">
        <v>121.03</v>
      </c>
      <c r="CK1267" s="347" t="s">
        <v>352</v>
      </c>
      <c r="CL1267" s="1789"/>
      <c r="CR1267" s="345"/>
      <c r="CS1267" s="345"/>
      <c r="CX1267" s="347"/>
      <c r="CY1267" s="347"/>
      <c r="DH1267" s="237"/>
      <c r="DI1267" s="237"/>
      <c r="DN1267" s="347"/>
      <c r="DO1267" s="347"/>
      <c r="DP1267" s="2505"/>
    </row>
    <row r="1268" spans="12:120">
      <c r="L1268" s="347">
        <v>90.39</v>
      </c>
      <c r="M1268" s="347" t="s">
        <v>352</v>
      </c>
      <c r="AB1268" s="347">
        <v>167.14</v>
      </c>
      <c r="AC1268" s="347" t="s">
        <v>359</v>
      </c>
      <c r="AD1268" s="1138"/>
      <c r="AP1268" s="347">
        <v>11.08</v>
      </c>
      <c r="AQ1268" s="347" t="s">
        <v>349</v>
      </c>
      <c r="BF1268" s="347">
        <v>119.1</v>
      </c>
      <c r="BG1268" s="347" t="s">
        <v>365</v>
      </c>
      <c r="BH1268" s="1790"/>
      <c r="BN1268" s="237">
        <v>9502.0300000000007</v>
      </c>
      <c r="BO1268" s="237" t="s">
        <v>329</v>
      </c>
      <c r="BT1268" s="347">
        <v>8.1199999999999992</v>
      </c>
      <c r="BU1268" s="347" t="s">
        <v>349</v>
      </c>
      <c r="CD1268" s="237">
        <v>62.02</v>
      </c>
      <c r="CE1268" s="237" t="s">
        <v>361</v>
      </c>
      <c r="CJ1268" s="347">
        <v>121.05</v>
      </c>
      <c r="CK1268" s="347" t="s">
        <v>352</v>
      </c>
      <c r="CL1268" s="1789"/>
      <c r="CR1268" s="345"/>
      <c r="CS1268" s="345"/>
      <c r="CX1268" s="347"/>
      <c r="CY1268" s="347"/>
      <c r="DH1268" s="237"/>
      <c r="DI1268" s="237"/>
      <c r="DN1268" s="347"/>
      <c r="DO1268" s="347"/>
      <c r="DP1268" s="2505"/>
    </row>
    <row r="1269" spans="12:120">
      <c r="L1269" s="347">
        <v>90.4</v>
      </c>
      <c r="M1269" s="347" t="s">
        <v>352</v>
      </c>
      <c r="AB1269" s="347">
        <v>167.16</v>
      </c>
      <c r="AC1269" s="347" t="s">
        <v>359</v>
      </c>
      <c r="AD1269" s="1138"/>
      <c r="AP1269" s="347">
        <v>12.02</v>
      </c>
      <c r="AQ1269" s="347" t="s">
        <v>349</v>
      </c>
      <c r="BF1269" s="347">
        <v>119.11</v>
      </c>
      <c r="BG1269" s="347" t="s">
        <v>365</v>
      </c>
      <c r="BH1269" s="1790"/>
      <c r="BN1269" s="237">
        <v>9502.0400000000009</v>
      </c>
      <c r="BO1269" s="237" t="s">
        <v>329</v>
      </c>
      <c r="BT1269" s="347">
        <v>8.1300000000000008</v>
      </c>
      <c r="BU1269" s="347" t="s">
        <v>349</v>
      </c>
      <c r="CD1269" s="237">
        <v>62.03</v>
      </c>
      <c r="CE1269" s="237" t="s">
        <v>352</v>
      </c>
      <c r="CJ1269" s="347">
        <v>121.06</v>
      </c>
      <c r="CK1269" s="347" t="s">
        <v>337</v>
      </c>
      <c r="CL1269" s="1789"/>
      <c r="CR1269" s="345"/>
      <c r="CS1269" s="345"/>
      <c r="CX1269" s="347"/>
      <c r="CY1269" s="347"/>
      <c r="DH1269" s="237"/>
      <c r="DI1269" s="237"/>
      <c r="DN1269" s="347"/>
      <c r="DO1269" s="347"/>
      <c r="DP1269" s="2505"/>
    </row>
    <row r="1270" spans="12:120">
      <c r="L1270" s="347">
        <v>90.43</v>
      </c>
      <c r="M1270" s="347" t="s">
        <v>352</v>
      </c>
      <c r="AB1270" s="347">
        <v>167.17</v>
      </c>
      <c r="AC1270" s="347" t="s">
        <v>359</v>
      </c>
      <c r="AD1270" s="1138"/>
      <c r="AP1270" s="347">
        <v>12.03</v>
      </c>
      <c r="AQ1270" s="347" t="s">
        <v>349</v>
      </c>
      <c r="BF1270" s="347">
        <v>119.12</v>
      </c>
      <c r="BG1270" s="347" t="s">
        <v>365</v>
      </c>
      <c r="BH1270" s="1790"/>
      <c r="BN1270" s="237">
        <v>401.01</v>
      </c>
      <c r="BO1270" s="237" t="s">
        <v>335</v>
      </c>
      <c r="BT1270" s="347">
        <v>8.14</v>
      </c>
      <c r="BU1270" s="347" t="s">
        <v>349</v>
      </c>
      <c r="CD1270" s="237">
        <v>62.03</v>
      </c>
      <c r="CE1270" s="237" t="s">
        <v>361</v>
      </c>
      <c r="CJ1270" s="347">
        <v>121.08</v>
      </c>
      <c r="CK1270" s="347" t="s">
        <v>337</v>
      </c>
      <c r="CL1270" s="1789"/>
      <c r="CR1270" s="345"/>
      <c r="CS1270" s="345"/>
      <c r="CX1270" s="347"/>
      <c r="CY1270" s="347"/>
      <c r="DH1270" s="237"/>
      <c r="DI1270" s="237"/>
      <c r="DN1270" s="347"/>
      <c r="DO1270" s="347"/>
      <c r="DP1270" s="2505"/>
    </row>
    <row r="1271" spans="12:120">
      <c r="L1271" s="347">
        <v>90.44</v>
      </c>
      <c r="M1271" s="347" t="s">
        <v>352</v>
      </c>
      <c r="AB1271" s="347">
        <v>167.22</v>
      </c>
      <c r="AC1271" s="347" t="s">
        <v>323</v>
      </c>
      <c r="AD1271" s="1138"/>
      <c r="AP1271" s="347">
        <v>12.04</v>
      </c>
      <c r="AQ1271" s="347" t="s">
        <v>349</v>
      </c>
      <c r="BF1271" s="347">
        <v>119.13</v>
      </c>
      <c r="BG1271" s="347" t="s">
        <v>365</v>
      </c>
      <c r="BH1271" s="1790"/>
      <c r="BN1271" s="237">
        <v>401.02</v>
      </c>
      <c r="BO1271" s="237" t="s">
        <v>335</v>
      </c>
      <c r="BT1271" s="347">
        <v>9.02</v>
      </c>
      <c r="BU1271" s="347" t="s">
        <v>349</v>
      </c>
      <c r="CD1271" s="237">
        <v>62.05</v>
      </c>
      <c r="CE1271" s="237" t="s">
        <v>352</v>
      </c>
      <c r="CJ1271" s="347">
        <v>121.13</v>
      </c>
      <c r="CK1271" s="347" t="s">
        <v>365</v>
      </c>
      <c r="CL1271" s="1789"/>
      <c r="CR1271" s="345"/>
      <c r="CS1271" s="345"/>
      <c r="CX1271" s="347"/>
      <c r="CY1271" s="347"/>
      <c r="DH1271" s="237"/>
      <c r="DI1271" s="237"/>
      <c r="DN1271" s="347"/>
      <c r="DO1271" s="347"/>
      <c r="DP1271" s="2505"/>
    </row>
    <row r="1272" spans="12:120">
      <c r="L1272" s="347">
        <v>90.46</v>
      </c>
      <c r="M1272" s="347" t="s">
        <v>352</v>
      </c>
      <c r="AB1272" s="347">
        <v>167.23</v>
      </c>
      <c r="AC1272" s="347" t="s">
        <v>359</v>
      </c>
      <c r="AD1272" s="1138"/>
      <c r="AP1272" s="347">
        <v>14.02</v>
      </c>
      <c r="AQ1272" s="347" t="s">
        <v>349</v>
      </c>
      <c r="BF1272" s="347">
        <v>120.01</v>
      </c>
      <c r="BG1272" s="347" t="s">
        <v>365</v>
      </c>
      <c r="BH1272" s="1790"/>
      <c r="BN1272" s="237">
        <v>402.01</v>
      </c>
      <c r="BO1272" s="237" t="s">
        <v>335</v>
      </c>
      <c r="BT1272" s="347">
        <v>10.01</v>
      </c>
      <c r="BU1272" s="347" t="s">
        <v>349</v>
      </c>
      <c r="CD1272" s="237">
        <v>62.06</v>
      </c>
      <c r="CE1272" s="237" t="s">
        <v>352</v>
      </c>
      <c r="CJ1272" s="347">
        <v>121.25</v>
      </c>
      <c r="CK1272" s="347" t="s">
        <v>365</v>
      </c>
      <c r="CL1272" s="1789"/>
      <c r="CR1272" s="345"/>
      <c r="CS1272" s="345"/>
      <c r="CX1272" s="347"/>
      <c r="CY1272" s="347"/>
      <c r="DH1272" s="237"/>
      <c r="DI1272" s="237"/>
      <c r="DN1272" s="347"/>
      <c r="DO1272" s="347"/>
      <c r="DP1272" s="2505"/>
    </row>
    <row r="1273" spans="12:120">
      <c r="L1273" s="347">
        <v>90.47</v>
      </c>
      <c r="M1273" s="347" t="s">
        <v>352</v>
      </c>
      <c r="AB1273" s="347">
        <v>167.25</v>
      </c>
      <c r="AC1273" s="347" t="s">
        <v>323</v>
      </c>
      <c r="AD1273" s="1138"/>
      <c r="AP1273" s="347">
        <v>14.04</v>
      </c>
      <c r="AQ1273" s="347" t="s">
        <v>349</v>
      </c>
      <c r="BF1273" s="347">
        <v>120.03</v>
      </c>
      <c r="BG1273" s="347" t="s">
        <v>365</v>
      </c>
      <c r="BH1273" s="1790"/>
      <c r="BN1273" s="237">
        <v>402.02</v>
      </c>
      <c r="BO1273" s="237" t="s">
        <v>335</v>
      </c>
      <c r="BT1273" s="347">
        <v>11.05</v>
      </c>
      <c r="BU1273" s="347" t="s">
        <v>349</v>
      </c>
      <c r="CD1273" s="237">
        <v>63</v>
      </c>
      <c r="CE1273" s="237" t="s">
        <v>337</v>
      </c>
      <c r="CJ1273" s="347">
        <v>121.26</v>
      </c>
      <c r="CK1273" s="347" t="s">
        <v>365</v>
      </c>
      <c r="CL1273" s="1789"/>
      <c r="CR1273" s="345"/>
      <c r="CS1273" s="345"/>
      <c r="CX1273" s="347"/>
      <c r="CY1273" s="347"/>
      <c r="DH1273" s="237"/>
      <c r="DI1273" s="237"/>
      <c r="DN1273" s="347"/>
      <c r="DO1273" s="347"/>
      <c r="DP1273" s="2505"/>
    </row>
    <row r="1274" spans="12:120">
      <c r="L1274" s="347">
        <v>92</v>
      </c>
      <c r="M1274" s="347" t="s">
        <v>352</v>
      </c>
      <c r="AB1274" s="347">
        <v>167.26</v>
      </c>
      <c r="AC1274" s="347" t="s">
        <v>323</v>
      </c>
      <c r="AD1274" s="1138"/>
      <c r="AP1274" s="347">
        <v>16.03</v>
      </c>
      <c r="AQ1274" s="347" t="s">
        <v>349</v>
      </c>
      <c r="BF1274" s="347">
        <v>120.04</v>
      </c>
      <c r="BG1274" s="347" t="s">
        <v>365</v>
      </c>
      <c r="BH1274" s="1790"/>
      <c r="BN1274" s="237">
        <v>403.01</v>
      </c>
      <c r="BO1274" s="237" t="s">
        <v>335</v>
      </c>
      <c r="BT1274" s="347">
        <v>11.07</v>
      </c>
      <c r="BU1274" s="347" t="s">
        <v>349</v>
      </c>
      <c r="CD1274" s="237">
        <v>63.01</v>
      </c>
      <c r="CE1274" s="237" t="s">
        <v>361</v>
      </c>
      <c r="CJ1274" s="347">
        <v>121.27</v>
      </c>
      <c r="CK1274" s="347" t="s">
        <v>365</v>
      </c>
      <c r="CL1274" s="1789"/>
      <c r="CR1274" s="345"/>
      <c r="CS1274" s="345"/>
      <c r="CX1274" s="347"/>
      <c r="CY1274" s="347"/>
      <c r="DH1274" s="237"/>
      <c r="DI1274" s="237"/>
      <c r="DN1274" s="347"/>
      <c r="DO1274" s="347"/>
      <c r="DP1274" s="2505"/>
    </row>
    <row r="1275" spans="12:120">
      <c r="L1275" s="347">
        <v>93.05</v>
      </c>
      <c r="M1275" s="347" t="s">
        <v>352</v>
      </c>
      <c r="AB1275" s="347">
        <v>167.27</v>
      </c>
      <c r="AC1275" s="347" t="s">
        <v>359</v>
      </c>
      <c r="AD1275" s="1138"/>
      <c r="AP1275" s="347">
        <v>17.010000000000002</v>
      </c>
      <c r="AQ1275" s="347" t="s">
        <v>349</v>
      </c>
      <c r="BF1275" s="347">
        <v>121.01</v>
      </c>
      <c r="BG1275" s="347" t="s">
        <v>352</v>
      </c>
      <c r="BH1275" s="1790"/>
      <c r="BN1275" s="237">
        <v>403.02</v>
      </c>
      <c r="BO1275" s="237" t="s">
        <v>335</v>
      </c>
      <c r="BT1275" s="347">
        <v>11.08</v>
      </c>
      <c r="BU1275" s="347" t="s">
        <v>349</v>
      </c>
      <c r="CD1275" s="237">
        <v>63.02</v>
      </c>
      <c r="CE1275" s="237" t="s">
        <v>352</v>
      </c>
      <c r="CJ1275" s="347">
        <v>121.3</v>
      </c>
      <c r="CK1275" s="347" t="s">
        <v>365</v>
      </c>
      <c r="CL1275" s="1789"/>
      <c r="CR1275" s="345"/>
      <c r="CS1275" s="345"/>
      <c r="CX1275" s="347"/>
      <c r="CY1275" s="347"/>
      <c r="DH1275" s="237"/>
      <c r="DI1275" s="237"/>
      <c r="DN1275" s="347"/>
      <c r="DO1275" s="347"/>
      <c r="DP1275" s="2505"/>
    </row>
    <row r="1276" spans="12:120">
      <c r="L1276" s="347">
        <v>93.12</v>
      </c>
      <c r="M1276" s="347" t="s">
        <v>352</v>
      </c>
      <c r="AB1276" s="347">
        <v>167.28</v>
      </c>
      <c r="AC1276" s="347" t="s">
        <v>323</v>
      </c>
      <c r="AD1276" s="1138"/>
      <c r="AP1276" s="347">
        <v>17.05</v>
      </c>
      <c r="AQ1276" s="347" t="s">
        <v>349</v>
      </c>
      <c r="BF1276" s="347">
        <v>121.02</v>
      </c>
      <c r="BG1276" s="347" t="s">
        <v>352</v>
      </c>
      <c r="BH1276" s="1790"/>
      <c r="BN1276" s="237">
        <v>403.03</v>
      </c>
      <c r="BO1276" s="237" t="s">
        <v>335</v>
      </c>
      <c r="BT1276" s="347">
        <v>12.02</v>
      </c>
      <c r="BU1276" s="347" t="s">
        <v>349</v>
      </c>
      <c r="CD1276" s="237">
        <v>63.02</v>
      </c>
      <c r="CE1276" s="237" t="s">
        <v>361</v>
      </c>
      <c r="CJ1276" s="347">
        <v>121.32</v>
      </c>
      <c r="CK1276" s="347" t="s">
        <v>365</v>
      </c>
      <c r="CL1276" s="1789"/>
      <c r="CR1276" s="345"/>
      <c r="CS1276" s="345"/>
      <c r="CX1276" s="347"/>
      <c r="CY1276" s="347"/>
      <c r="DH1276" s="237"/>
      <c r="DI1276" s="237"/>
      <c r="DN1276" s="347"/>
      <c r="DO1276" s="347"/>
      <c r="DP1276" s="2505"/>
    </row>
    <row r="1277" spans="12:120">
      <c r="L1277" s="347">
        <v>93.13</v>
      </c>
      <c r="M1277" s="347" t="s">
        <v>352</v>
      </c>
      <c r="AB1277" s="347">
        <v>167.28</v>
      </c>
      <c r="AC1277" s="347" t="s">
        <v>359</v>
      </c>
      <c r="AD1277" s="1138"/>
      <c r="AP1277" s="347">
        <v>18.010000000000002</v>
      </c>
      <c r="AQ1277" s="347" t="s">
        <v>349</v>
      </c>
      <c r="BF1277" s="347">
        <v>121.04</v>
      </c>
      <c r="BG1277" s="347" t="s">
        <v>352</v>
      </c>
      <c r="BH1277" s="1790"/>
      <c r="BN1277" s="237">
        <v>404</v>
      </c>
      <c r="BO1277" s="237" t="s">
        <v>335</v>
      </c>
      <c r="BT1277" s="347">
        <v>12.03</v>
      </c>
      <c r="BU1277" s="347" t="s">
        <v>349</v>
      </c>
      <c r="CD1277" s="237">
        <v>63.03</v>
      </c>
      <c r="CE1277" s="237" t="s">
        <v>352</v>
      </c>
      <c r="CJ1277" s="347">
        <v>121.33</v>
      </c>
      <c r="CK1277" s="347" t="s">
        <v>365</v>
      </c>
      <c r="CL1277" s="1789"/>
      <c r="CR1277" s="345"/>
      <c r="CS1277" s="345"/>
      <c r="CX1277" s="347"/>
      <c r="CY1277" s="347"/>
      <c r="DH1277" s="237"/>
      <c r="DI1277" s="237"/>
      <c r="DN1277" s="347"/>
      <c r="DO1277" s="347"/>
      <c r="DP1277" s="2505"/>
    </row>
    <row r="1278" spans="12:120">
      <c r="L1278" s="347">
        <v>97.03</v>
      </c>
      <c r="M1278" s="347" t="s">
        <v>352</v>
      </c>
      <c r="AB1278" s="347">
        <v>167.29</v>
      </c>
      <c r="AC1278" s="347" t="s">
        <v>323</v>
      </c>
      <c r="AD1278" s="1138"/>
      <c r="AP1278" s="347">
        <v>18.02</v>
      </c>
      <c r="AQ1278" s="347" t="s">
        <v>349</v>
      </c>
      <c r="BF1278" s="347">
        <v>121.05</v>
      </c>
      <c r="BG1278" s="347" t="s">
        <v>352</v>
      </c>
      <c r="BH1278" s="1790"/>
      <c r="BN1278" s="237">
        <v>405.01</v>
      </c>
      <c r="BO1278" s="237" t="s">
        <v>335</v>
      </c>
      <c r="BT1278" s="347">
        <v>12.04</v>
      </c>
      <c r="BU1278" s="347" t="s">
        <v>349</v>
      </c>
      <c r="CD1278" s="237">
        <v>63.04</v>
      </c>
      <c r="CE1278" s="237" t="s">
        <v>352</v>
      </c>
      <c r="CJ1278" s="347">
        <v>122</v>
      </c>
      <c r="CK1278" s="347" t="s">
        <v>352</v>
      </c>
      <c r="CL1278" s="1789"/>
      <c r="CR1278" s="345"/>
      <c r="CS1278" s="345"/>
      <c r="CX1278" s="347"/>
      <c r="CY1278" s="347"/>
      <c r="DH1278" s="237"/>
      <c r="DI1278" s="237"/>
      <c r="DN1278" s="347"/>
      <c r="DO1278" s="347"/>
      <c r="DP1278" s="2505"/>
    </row>
    <row r="1279" spans="12:120">
      <c r="L1279" s="347">
        <v>97.04</v>
      </c>
      <c r="M1279" s="347" t="s">
        <v>352</v>
      </c>
      <c r="AB1279" s="347">
        <v>167.3</v>
      </c>
      <c r="AC1279" s="347" t="s">
        <v>359</v>
      </c>
      <c r="AD1279" s="1138"/>
      <c r="AP1279" s="347">
        <v>19.04</v>
      </c>
      <c r="AQ1279" s="347" t="s">
        <v>349</v>
      </c>
      <c r="BF1279" s="347">
        <v>121.06</v>
      </c>
      <c r="BG1279" s="347" t="s">
        <v>337</v>
      </c>
      <c r="BH1279" s="1790"/>
      <c r="BN1279" s="237">
        <v>405.02</v>
      </c>
      <c r="BO1279" s="237" t="s">
        <v>335</v>
      </c>
      <c r="BT1279" s="347">
        <v>14.02</v>
      </c>
      <c r="BU1279" s="347" t="s">
        <v>349</v>
      </c>
      <c r="CD1279" s="237">
        <v>64</v>
      </c>
      <c r="CE1279" s="237" t="s">
        <v>337</v>
      </c>
      <c r="CJ1279" s="347">
        <v>122.07</v>
      </c>
      <c r="CK1279" s="347" t="s">
        <v>337</v>
      </c>
      <c r="CL1279" s="1789"/>
      <c r="CR1279" s="345"/>
      <c r="CS1279" s="345"/>
      <c r="CX1279" s="347"/>
      <c r="CY1279" s="347"/>
      <c r="DH1279" s="237"/>
      <c r="DI1279" s="237"/>
      <c r="DN1279" s="347"/>
      <c r="DO1279" s="347"/>
      <c r="DP1279" s="2505"/>
    </row>
    <row r="1280" spans="12:120">
      <c r="L1280" s="347">
        <v>97.05</v>
      </c>
      <c r="M1280" s="347" t="s">
        <v>352</v>
      </c>
      <c r="AB1280" s="347">
        <v>167.31</v>
      </c>
      <c r="AC1280" s="347" t="s">
        <v>359</v>
      </c>
      <c r="AD1280" s="1138"/>
      <c r="AP1280" s="347">
        <v>19.07</v>
      </c>
      <c r="AQ1280" s="347" t="s">
        <v>349</v>
      </c>
      <c r="BF1280" s="347">
        <v>121.08</v>
      </c>
      <c r="BG1280" s="347" t="s">
        <v>337</v>
      </c>
      <c r="BH1280" s="1790"/>
      <c r="BN1280" s="237">
        <v>406.01</v>
      </c>
      <c r="BO1280" s="237" t="s">
        <v>335</v>
      </c>
      <c r="BT1280" s="347">
        <v>14.04</v>
      </c>
      <c r="BU1280" s="347" t="s">
        <v>349</v>
      </c>
      <c r="CD1280" s="237">
        <v>64.010000000000005</v>
      </c>
      <c r="CE1280" s="237" t="s">
        <v>352</v>
      </c>
      <c r="CJ1280" s="347">
        <v>122.08</v>
      </c>
      <c r="CK1280" s="347" t="s">
        <v>337</v>
      </c>
      <c r="CL1280" s="1789"/>
      <c r="CR1280" s="345"/>
      <c r="CS1280" s="345"/>
      <c r="CX1280" s="347"/>
      <c r="CY1280" s="347"/>
      <c r="DH1280" s="237"/>
      <c r="DI1280" s="237"/>
      <c r="DN1280" s="347"/>
      <c r="DO1280" s="347"/>
      <c r="DP1280" s="2505"/>
    </row>
    <row r="1281" spans="12:120">
      <c r="L1281" s="347">
        <v>97.06</v>
      </c>
      <c r="M1281" s="347" t="s">
        <v>352</v>
      </c>
      <c r="AB1281" s="347">
        <v>167.32</v>
      </c>
      <c r="AC1281" s="347" t="s">
        <v>359</v>
      </c>
      <c r="AD1281" s="1138"/>
      <c r="AP1281" s="347">
        <v>19.079999999999998</v>
      </c>
      <c r="AQ1281" s="347" t="s">
        <v>349</v>
      </c>
      <c r="BF1281" s="347">
        <v>121.13</v>
      </c>
      <c r="BG1281" s="347" t="s">
        <v>365</v>
      </c>
      <c r="BH1281" s="1790"/>
      <c r="BN1281" s="237">
        <v>406.02</v>
      </c>
      <c r="BO1281" s="237" t="s">
        <v>335</v>
      </c>
      <c r="BT1281" s="347">
        <v>16.03</v>
      </c>
      <c r="BU1281" s="347" t="s">
        <v>349</v>
      </c>
      <c r="CD1281" s="237">
        <v>64.010000000000005</v>
      </c>
      <c r="CE1281" s="237" t="s">
        <v>361</v>
      </c>
      <c r="CJ1281" s="347">
        <v>122.08</v>
      </c>
      <c r="CK1281" s="347" t="s">
        <v>365</v>
      </c>
      <c r="CL1281" s="1789"/>
      <c r="CR1281" s="345"/>
      <c r="CS1281" s="345"/>
      <c r="CX1281" s="347"/>
      <c r="CY1281" s="347"/>
      <c r="DH1281" s="237"/>
      <c r="DI1281" s="237"/>
      <c r="DN1281" s="347"/>
      <c r="DO1281" s="347"/>
      <c r="DP1281" s="2505"/>
    </row>
    <row r="1282" spans="12:120">
      <c r="L1282" s="347">
        <v>98.03</v>
      </c>
      <c r="M1282" s="347" t="s">
        <v>352</v>
      </c>
      <c r="AB1282" s="347">
        <v>167.33</v>
      </c>
      <c r="AC1282" s="347" t="s">
        <v>359</v>
      </c>
      <c r="AD1282" s="1138"/>
      <c r="AP1282" s="347">
        <v>19.09</v>
      </c>
      <c r="AQ1282" s="347" t="s">
        <v>349</v>
      </c>
      <c r="BF1282" s="347">
        <v>121.26</v>
      </c>
      <c r="BG1282" s="347" t="s">
        <v>365</v>
      </c>
      <c r="BH1282" s="1790"/>
      <c r="BN1282" s="237">
        <v>407.01</v>
      </c>
      <c r="BO1282" s="237" t="s">
        <v>335</v>
      </c>
      <c r="BT1282" s="347">
        <v>17.010000000000002</v>
      </c>
      <c r="BU1282" s="347" t="s">
        <v>349</v>
      </c>
      <c r="CD1282" s="237">
        <v>64.02</v>
      </c>
      <c r="CE1282" s="237" t="s">
        <v>352</v>
      </c>
      <c r="CJ1282" s="347">
        <v>122.09</v>
      </c>
      <c r="CK1282" s="347" t="s">
        <v>337</v>
      </c>
      <c r="CL1282" s="1789"/>
      <c r="CR1282" s="345"/>
      <c r="CS1282" s="345"/>
      <c r="CX1282" s="347"/>
      <c r="CY1282" s="347"/>
      <c r="DH1282" s="237"/>
      <c r="DI1282" s="237"/>
      <c r="DN1282" s="347"/>
      <c r="DO1282" s="347"/>
      <c r="DP1282" s="2505"/>
    </row>
    <row r="1283" spans="12:120">
      <c r="L1283" s="347">
        <v>98.04</v>
      </c>
      <c r="M1283" s="347" t="s">
        <v>352</v>
      </c>
      <c r="AB1283" s="347">
        <v>167.34</v>
      </c>
      <c r="AC1283" s="347" t="s">
        <v>359</v>
      </c>
      <c r="AD1283" s="1138"/>
      <c r="AP1283" s="347">
        <v>19.100000000000001</v>
      </c>
      <c r="AQ1283" s="347" t="s">
        <v>349</v>
      </c>
      <c r="BF1283" s="347">
        <v>121.27</v>
      </c>
      <c r="BG1283" s="347" t="s">
        <v>365</v>
      </c>
      <c r="BH1283" s="1790"/>
      <c r="BN1283" s="237">
        <v>407.02</v>
      </c>
      <c r="BO1283" s="237" t="s">
        <v>335</v>
      </c>
      <c r="BT1283" s="347">
        <v>17.05</v>
      </c>
      <c r="BU1283" s="347" t="s">
        <v>349</v>
      </c>
      <c r="CD1283" s="237">
        <v>64.02</v>
      </c>
      <c r="CE1283" s="237" t="s">
        <v>361</v>
      </c>
      <c r="CJ1283" s="347">
        <v>122.09</v>
      </c>
      <c r="CK1283" s="347" t="s">
        <v>365</v>
      </c>
      <c r="CL1283" s="1789"/>
      <c r="CR1283" s="345"/>
      <c r="CS1283" s="345"/>
      <c r="CX1283" s="347"/>
      <c r="CY1283" s="347"/>
      <c r="DH1283" s="237"/>
      <c r="DI1283" s="237"/>
      <c r="DN1283" s="347"/>
      <c r="DO1283" s="347"/>
      <c r="DP1283" s="2505"/>
    </row>
    <row r="1284" spans="12:120">
      <c r="L1284" s="347">
        <v>98.07</v>
      </c>
      <c r="M1284" s="347" t="s">
        <v>352</v>
      </c>
      <c r="AB1284" s="347">
        <v>168</v>
      </c>
      <c r="AC1284" s="347" t="s">
        <v>352</v>
      </c>
      <c r="AD1284" s="1138"/>
      <c r="AP1284" s="347">
        <v>19.11</v>
      </c>
      <c r="AQ1284" s="347" t="s">
        <v>349</v>
      </c>
      <c r="BF1284" s="347">
        <v>121.3</v>
      </c>
      <c r="BG1284" s="347" t="s">
        <v>365</v>
      </c>
      <c r="BH1284" s="1790"/>
      <c r="BN1284" s="237">
        <v>408.01</v>
      </c>
      <c r="BO1284" s="237" t="s">
        <v>335</v>
      </c>
      <c r="BT1284" s="347">
        <v>18.010000000000002</v>
      </c>
      <c r="BU1284" s="347" t="s">
        <v>349</v>
      </c>
      <c r="CD1284" s="237">
        <v>64.03</v>
      </c>
      <c r="CE1284" s="237" t="s">
        <v>352</v>
      </c>
      <c r="CJ1284" s="347">
        <v>122.1</v>
      </c>
      <c r="CK1284" s="347" t="s">
        <v>337</v>
      </c>
      <c r="CL1284" s="1789"/>
      <c r="CR1284" s="345"/>
      <c r="CS1284" s="345"/>
      <c r="CX1284" s="347"/>
      <c r="CY1284" s="347"/>
      <c r="DH1284" s="237"/>
      <c r="DI1284" s="237"/>
      <c r="DN1284" s="347"/>
      <c r="DO1284" s="347"/>
      <c r="DP1284" s="2505"/>
    </row>
    <row r="1285" spans="12:120">
      <c r="L1285" s="347">
        <v>99.01</v>
      </c>
      <c r="M1285" s="347" t="s">
        <v>352</v>
      </c>
      <c r="AB1285" s="347">
        <v>168.01</v>
      </c>
      <c r="AC1285" s="347" t="s">
        <v>323</v>
      </c>
      <c r="AD1285" s="1138"/>
      <c r="AP1285" s="347">
        <v>19.13</v>
      </c>
      <c r="AQ1285" s="347" t="s">
        <v>349</v>
      </c>
      <c r="BF1285" s="347">
        <v>121.31</v>
      </c>
      <c r="BG1285" s="347" t="s">
        <v>365</v>
      </c>
      <c r="BH1285" s="1790"/>
      <c r="BN1285" s="237">
        <v>408.02</v>
      </c>
      <c r="BO1285" s="237" t="s">
        <v>335</v>
      </c>
      <c r="BT1285" s="347">
        <v>18.02</v>
      </c>
      <c r="BU1285" s="347" t="s">
        <v>349</v>
      </c>
      <c r="CD1285" s="237">
        <v>65.010000000000005</v>
      </c>
      <c r="CE1285" s="237" t="s">
        <v>337</v>
      </c>
      <c r="CJ1285" s="347">
        <v>122.13</v>
      </c>
      <c r="CK1285" s="347" t="s">
        <v>337</v>
      </c>
      <c r="CL1285" s="1789"/>
      <c r="CR1285" s="345"/>
      <c r="CS1285" s="345"/>
      <c r="CX1285" s="347"/>
      <c r="CY1285" s="347"/>
      <c r="DH1285" s="237"/>
      <c r="DI1285" s="237"/>
      <c r="DN1285" s="347"/>
      <c r="DO1285" s="347"/>
      <c r="DP1285" s="2505"/>
    </row>
    <row r="1286" spans="12:120">
      <c r="L1286" s="347">
        <v>99.03</v>
      </c>
      <c r="M1286" s="347" t="s">
        <v>352</v>
      </c>
      <c r="AB1286" s="347">
        <v>168.02</v>
      </c>
      <c r="AC1286" s="347" t="s">
        <v>359</v>
      </c>
      <c r="AD1286" s="1138"/>
      <c r="AP1286" s="347">
        <v>19.14</v>
      </c>
      <c r="AQ1286" s="347" t="s">
        <v>349</v>
      </c>
      <c r="BF1286" s="347">
        <v>121.32</v>
      </c>
      <c r="BG1286" s="347" t="s">
        <v>365</v>
      </c>
      <c r="BH1286" s="1790"/>
      <c r="BN1286" s="237">
        <v>409.01</v>
      </c>
      <c r="BO1286" s="237" t="s">
        <v>335</v>
      </c>
      <c r="BT1286" s="347">
        <v>19.04</v>
      </c>
      <c r="BU1286" s="347" t="s">
        <v>349</v>
      </c>
      <c r="CD1286" s="237">
        <v>65.010000000000005</v>
      </c>
      <c r="CE1286" s="237" t="s">
        <v>352</v>
      </c>
      <c r="CJ1286" s="347">
        <v>123</v>
      </c>
      <c r="CK1286" s="347" t="s">
        <v>323</v>
      </c>
      <c r="CL1286" s="1789"/>
      <c r="CR1286" s="345"/>
      <c r="CS1286" s="345"/>
      <c r="CX1286" s="347"/>
      <c r="CY1286" s="347"/>
      <c r="DH1286" s="237"/>
      <c r="DI1286" s="237"/>
      <c r="DN1286" s="347"/>
      <c r="DO1286" s="347"/>
      <c r="DP1286" s="2505"/>
    </row>
    <row r="1287" spans="12:120">
      <c r="L1287" s="347">
        <v>100.09</v>
      </c>
      <c r="M1287" s="347" t="s">
        <v>352</v>
      </c>
      <c r="AB1287" s="347">
        <v>168.03</v>
      </c>
      <c r="AC1287" s="347" t="s">
        <v>323</v>
      </c>
      <c r="AD1287" s="1138"/>
      <c r="AP1287" s="347">
        <v>19.149999999999999</v>
      </c>
      <c r="AQ1287" s="347" t="s">
        <v>349</v>
      </c>
      <c r="BF1287" s="347">
        <v>121.33</v>
      </c>
      <c r="BG1287" s="347" t="s">
        <v>365</v>
      </c>
      <c r="BH1287" s="1790"/>
      <c r="BN1287" s="237">
        <v>409.06</v>
      </c>
      <c r="BO1287" s="237" t="s">
        <v>335</v>
      </c>
      <c r="BT1287" s="347">
        <v>19.07</v>
      </c>
      <c r="BU1287" s="347" t="s">
        <v>349</v>
      </c>
      <c r="CD1287" s="237">
        <v>65.010000000000005</v>
      </c>
      <c r="CE1287" s="237" t="s">
        <v>361</v>
      </c>
      <c r="CJ1287" s="347">
        <v>123.01</v>
      </c>
      <c r="CK1287" s="347" t="s">
        <v>337</v>
      </c>
      <c r="CL1287" s="1789"/>
      <c r="CR1287" s="345"/>
      <c r="CS1287" s="345"/>
      <c r="CX1287" s="347"/>
      <c r="CY1287" s="347"/>
      <c r="DH1287" s="237"/>
      <c r="DI1287" s="237"/>
      <c r="DN1287" s="347"/>
      <c r="DO1287" s="347"/>
      <c r="DP1287" s="2505"/>
    </row>
    <row r="1288" spans="12:120">
      <c r="L1288" s="347">
        <v>101.93</v>
      </c>
      <c r="M1288" s="347" t="s">
        <v>352</v>
      </c>
      <c r="AB1288" s="347">
        <v>168.03</v>
      </c>
      <c r="AC1288" s="347" t="s">
        <v>359</v>
      </c>
      <c r="AD1288" s="1138"/>
      <c r="AP1288" s="347">
        <v>19.16</v>
      </c>
      <c r="AQ1288" s="347" t="s">
        <v>349</v>
      </c>
      <c r="BF1288" s="347">
        <v>122</v>
      </c>
      <c r="BG1288" s="347" t="s">
        <v>352</v>
      </c>
      <c r="BH1288" s="1790"/>
      <c r="BN1288" s="237">
        <v>409.07</v>
      </c>
      <c r="BO1288" s="237" t="s">
        <v>335</v>
      </c>
      <c r="BT1288" s="347">
        <v>19.079999999999998</v>
      </c>
      <c r="BU1288" s="347" t="s">
        <v>349</v>
      </c>
      <c r="CD1288" s="237">
        <v>65.02</v>
      </c>
      <c r="CE1288" s="237" t="s">
        <v>361</v>
      </c>
      <c r="CJ1288" s="347">
        <v>123.01</v>
      </c>
      <c r="CK1288" s="347" t="s">
        <v>352</v>
      </c>
      <c r="CL1288" s="1789"/>
      <c r="CR1288" s="345"/>
      <c r="CS1288" s="345"/>
      <c r="CX1288" s="347"/>
      <c r="CY1288" s="347"/>
      <c r="DH1288" s="237"/>
      <c r="DI1288" s="237"/>
      <c r="DN1288" s="347"/>
      <c r="DO1288" s="347"/>
      <c r="DP1288" s="2505"/>
    </row>
    <row r="1289" spans="12:120">
      <c r="L1289" s="347">
        <v>101.98</v>
      </c>
      <c r="M1289" s="347" t="s">
        <v>352</v>
      </c>
      <c r="AB1289" s="347">
        <v>168.04</v>
      </c>
      <c r="AC1289" s="347" t="s">
        <v>323</v>
      </c>
      <c r="AD1289" s="1138"/>
      <c r="AP1289" s="347">
        <v>20.03</v>
      </c>
      <c r="AQ1289" s="347" t="s">
        <v>349</v>
      </c>
      <c r="BF1289" s="347">
        <v>122.08</v>
      </c>
      <c r="BG1289" s="347" t="s">
        <v>337</v>
      </c>
      <c r="BH1289" s="1790"/>
      <c r="BN1289" s="237">
        <v>409.08</v>
      </c>
      <c r="BO1289" s="237" t="s">
        <v>335</v>
      </c>
      <c r="BT1289" s="347">
        <v>19.09</v>
      </c>
      <c r="BU1289" s="347" t="s">
        <v>349</v>
      </c>
      <c r="CD1289" s="237">
        <v>65.03</v>
      </c>
      <c r="CE1289" s="237" t="s">
        <v>337</v>
      </c>
      <c r="CJ1289" s="347">
        <v>123.02</v>
      </c>
      <c r="CK1289" s="347" t="s">
        <v>352</v>
      </c>
      <c r="CL1289" s="1789"/>
      <c r="CR1289" s="345"/>
      <c r="CS1289" s="345"/>
      <c r="CX1289" s="347"/>
      <c r="CY1289" s="347"/>
      <c r="DH1289" s="237"/>
      <c r="DI1289" s="237"/>
      <c r="DN1289" s="347"/>
      <c r="DO1289" s="347"/>
      <c r="DP1289" s="2505"/>
    </row>
    <row r="1290" spans="12:120">
      <c r="L1290" s="347">
        <v>102.01</v>
      </c>
      <c r="M1290" s="347" t="s">
        <v>352</v>
      </c>
      <c r="AB1290" s="347">
        <v>168.04</v>
      </c>
      <c r="AC1290" s="347" t="s">
        <v>359</v>
      </c>
      <c r="AD1290" s="1138"/>
      <c r="AP1290" s="347">
        <v>20.05</v>
      </c>
      <c r="AQ1290" s="347" t="s">
        <v>349</v>
      </c>
      <c r="BF1290" s="347">
        <v>122.08</v>
      </c>
      <c r="BG1290" s="347" t="s">
        <v>365</v>
      </c>
      <c r="BH1290" s="1790"/>
      <c r="BN1290" s="237">
        <v>409.09</v>
      </c>
      <c r="BO1290" s="237" t="s">
        <v>335</v>
      </c>
      <c r="BT1290" s="347">
        <v>19.100000000000001</v>
      </c>
      <c r="BU1290" s="347" t="s">
        <v>349</v>
      </c>
      <c r="CD1290" s="237">
        <v>65.03</v>
      </c>
      <c r="CE1290" s="237" t="s">
        <v>352</v>
      </c>
      <c r="CJ1290" s="347">
        <v>123.03</v>
      </c>
      <c r="CK1290" s="347" t="s">
        <v>337</v>
      </c>
      <c r="CL1290" s="1789"/>
      <c r="CR1290" s="345"/>
      <c r="CS1290" s="345"/>
      <c r="CX1290" s="347"/>
      <c r="CY1290" s="347"/>
      <c r="DH1290" s="237"/>
      <c r="DI1290" s="237"/>
      <c r="DN1290" s="347"/>
      <c r="DO1290" s="347"/>
      <c r="DP1290" s="2505"/>
    </row>
    <row r="1291" spans="12:120">
      <c r="L1291" s="347">
        <v>102.09</v>
      </c>
      <c r="M1291" s="347" t="s">
        <v>352</v>
      </c>
      <c r="AB1291" s="347">
        <v>168.05</v>
      </c>
      <c r="AC1291" s="347" t="s">
        <v>323</v>
      </c>
      <c r="AD1291" s="1138"/>
      <c r="AP1291" s="347">
        <v>20.079999999999998</v>
      </c>
      <c r="AQ1291" s="347" t="s">
        <v>349</v>
      </c>
      <c r="BF1291" s="347">
        <v>122.09</v>
      </c>
      <c r="BG1291" s="347" t="s">
        <v>337</v>
      </c>
      <c r="BH1291" s="1790"/>
      <c r="BN1291" s="237">
        <v>409.1</v>
      </c>
      <c r="BO1291" s="237" t="s">
        <v>335</v>
      </c>
      <c r="BT1291" s="347">
        <v>19.11</v>
      </c>
      <c r="BU1291" s="347" t="s">
        <v>349</v>
      </c>
      <c r="CD1291" s="237">
        <v>65.040000000000006</v>
      </c>
      <c r="CE1291" s="237" t="s">
        <v>337</v>
      </c>
      <c r="CJ1291" s="347">
        <v>123.04</v>
      </c>
      <c r="CK1291" s="347" t="s">
        <v>337</v>
      </c>
      <c r="CL1291" s="1789"/>
      <c r="CR1291" s="345"/>
      <c r="CS1291" s="345"/>
      <c r="CX1291" s="347"/>
      <c r="CY1291" s="347"/>
      <c r="DH1291" s="237"/>
      <c r="DI1291" s="237"/>
      <c r="DN1291" s="347"/>
      <c r="DO1291" s="347"/>
      <c r="DP1291" s="2505"/>
    </row>
    <row r="1292" spans="12:120">
      <c r="L1292" s="347">
        <v>103</v>
      </c>
      <c r="M1292" s="347" t="s">
        <v>352</v>
      </c>
      <c r="AB1292" s="347">
        <v>168.06</v>
      </c>
      <c r="AC1292" s="347" t="s">
        <v>323</v>
      </c>
      <c r="AD1292" s="1138"/>
      <c r="AP1292" s="347">
        <v>20.100000000000001</v>
      </c>
      <c r="AQ1292" s="347" t="s">
        <v>349</v>
      </c>
      <c r="BF1292" s="347">
        <v>122.09</v>
      </c>
      <c r="BG1292" s="347" t="s">
        <v>365</v>
      </c>
      <c r="BH1292" s="1790"/>
      <c r="BN1292" s="237">
        <v>409.11</v>
      </c>
      <c r="BO1292" s="237" t="s">
        <v>335</v>
      </c>
      <c r="BT1292" s="347">
        <v>19.13</v>
      </c>
      <c r="BU1292" s="347" t="s">
        <v>349</v>
      </c>
      <c r="CD1292" s="237">
        <v>65.040000000000006</v>
      </c>
      <c r="CE1292" s="237" t="s">
        <v>352</v>
      </c>
      <c r="CJ1292" s="347">
        <v>123.04</v>
      </c>
      <c r="CK1292" s="347" t="s">
        <v>365</v>
      </c>
      <c r="CL1292" s="1789"/>
      <c r="CR1292" s="345"/>
      <c r="CS1292" s="345"/>
      <c r="CX1292" s="347"/>
      <c r="CY1292" s="347"/>
      <c r="DH1292" s="237"/>
      <c r="DI1292" s="237"/>
      <c r="DN1292" s="347"/>
      <c r="DO1292" s="347"/>
      <c r="DP1292" s="2505"/>
    </row>
    <row r="1293" spans="12:120">
      <c r="L1293" s="347">
        <v>106.04</v>
      </c>
      <c r="M1293" s="347" t="s">
        <v>352</v>
      </c>
      <c r="AB1293" s="347">
        <v>168.07</v>
      </c>
      <c r="AC1293" s="347" t="s">
        <v>323</v>
      </c>
      <c r="AD1293" s="1138"/>
      <c r="AP1293" s="347">
        <v>20.11</v>
      </c>
      <c r="AQ1293" s="347" t="s">
        <v>349</v>
      </c>
      <c r="BF1293" s="347">
        <v>122.1</v>
      </c>
      <c r="BG1293" s="347" t="s">
        <v>337</v>
      </c>
      <c r="BH1293" s="1790"/>
      <c r="BN1293" s="237">
        <v>409.12</v>
      </c>
      <c r="BO1293" s="237" t="s">
        <v>335</v>
      </c>
      <c r="BT1293" s="347">
        <v>19.14</v>
      </c>
      <c r="BU1293" s="347" t="s">
        <v>349</v>
      </c>
      <c r="CD1293" s="237">
        <v>66</v>
      </c>
      <c r="CE1293" s="237" t="s">
        <v>337</v>
      </c>
      <c r="CJ1293" s="347">
        <v>123.07</v>
      </c>
      <c r="CK1293" s="347" t="s">
        <v>365</v>
      </c>
      <c r="CL1293" s="1789"/>
      <c r="CR1293" s="345"/>
      <c r="CS1293" s="345"/>
      <c r="CX1293" s="347"/>
      <c r="CY1293" s="347"/>
      <c r="DH1293" s="237"/>
      <c r="DI1293" s="237"/>
      <c r="DN1293" s="347"/>
      <c r="DO1293" s="347"/>
      <c r="DP1293" s="2505"/>
    </row>
    <row r="1294" spans="12:120">
      <c r="L1294" s="347">
        <v>106.06</v>
      </c>
      <c r="M1294" s="347" t="s">
        <v>352</v>
      </c>
      <c r="AB1294" s="347">
        <v>168.07</v>
      </c>
      <c r="AC1294" s="347" t="s">
        <v>359</v>
      </c>
      <c r="AD1294" s="1138"/>
      <c r="AP1294" s="347">
        <v>20.12</v>
      </c>
      <c r="AQ1294" s="347" t="s">
        <v>349</v>
      </c>
      <c r="BF1294" s="347">
        <v>122.12</v>
      </c>
      <c r="BG1294" s="347" t="s">
        <v>337</v>
      </c>
      <c r="BH1294" s="1790"/>
      <c r="BN1294" s="237">
        <v>409.13</v>
      </c>
      <c r="BO1294" s="237" t="s">
        <v>335</v>
      </c>
      <c r="BT1294" s="347">
        <v>19.149999999999999</v>
      </c>
      <c r="BU1294" s="347" t="s">
        <v>349</v>
      </c>
      <c r="CD1294" s="237">
        <v>66.02</v>
      </c>
      <c r="CE1294" s="237" t="s">
        <v>361</v>
      </c>
      <c r="CJ1294" s="347">
        <v>124</v>
      </c>
      <c r="CK1294" s="347" t="s">
        <v>323</v>
      </c>
      <c r="CL1294" s="1789"/>
      <c r="CR1294" s="345"/>
      <c r="CS1294" s="345"/>
      <c r="CX1294" s="347"/>
      <c r="CY1294" s="347"/>
      <c r="DH1294" s="237"/>
      <c r="DI1294" s="237"/>
      <c r="DN1294" s="347"/>
      <c r="DO1294" s="347"/>
      <c r="DP1294" s="2505"/>
    </row>
    <row r="1295" spans="12:120">
      <c r="L1295" s="347">
        <v>106.08</v>
      </c>
      <c r="M1295" s="347" t="s">
        <v>352</v>
      </c>
      <c r="AB1295" s="347">
        <v>169</v>
      </c>
      <c r="AC1295" s="347" t="s">
        <v>352</v>
      </c>
      <c r="AD1295" s="1138"/>
      <c r="AP1295" s="347">
        <v>20.14</v>
      </c>
      <c r="AQ1295" s="347" t="s">
        <v>349</v>
      </c>
      <c r="BF1295" s="347">
        <v>122.13</v>
      </c>
      <c r="BG1295" s="347" t="s">
        <v>337</v>
      </c>
      <c r="BH1295" s="1790"/>
      <c r="BN1295" s="237">
        <v>410.03</v>
      </c>
      <c r="BO1295" s="237" t="s">
        <v>335</v>
      </c>
      <c r="BT1295" s="347">
        <v>19.16</v>
      </c>
      <c r="BU1295" s="347" t="s">
        <v>349</v>
      </c>
      <c r="CD1295" s="237">
        <v>66.03</v>
      </c>
      <c r="CE1295" s="237" t="s">
        <v>352</v>
      </c>
      <c r="CJ1295" s="347">
        <v>124.01</v>
      </c>
      <c r="CK1295" s="347" t="s">
        <v>352</v>
      </c>
      <c r="CL1295" s="1789"/>
      <c r="CR1295" s="345"/>
      <c r="CS1295" s="345"/>
      <c r="CX1295" s="347"/>
      <c r="CY1295" s="347"/>
      <c r="DH1295" s="237"/>
      <c r="DI1295" s="237"/>
      <c r="DN1295" s="347"/>
      <c r="DO1295" s="347"/>
      <c r="DP1295" s="2505"/>
    </row>
    <row r="1296" spans="12:120">
      <c r="L1296" s="347">
        <v>106.1</v>
      </c>
      <c r="M1296" s="347" t="s">
        <v>352</v>
      </c>
      <c r="AB1296" s="347">
        <v>170</v>
      </c>
      <c r="AC1296" s="347" t="s">
        <v>352</v>
      </c>
      <c r="AD1296" s="1138"/>
      <c r="AP1296" s="347">
        <v>20.16</v>
      </c>
      <c r="AQ1296" s="347" t="s">
        <v>349</v>
      </c>
      <c r="BF1296" s="347">
        <v>123.01</v>
      </c>
      <c r="BG1296" s="347" t="s">
        <v>337</v>
      </c>
      <c r="BH1296" s="1790"/>
      <c r="BN1296" s="237">
        <v>410.04</v>
      </c>
      <c r="BO1296" s="237" t="s">
        <v>335</v>
      </c>
      <c r="BT1296" s="347">
        <v>20.03</v>
      </c>
      <c r="BU1296" s="347" t="s">
        <v>349</v>
      </c>
      <c r="CD1296" s="237">
        <v>66.040000000000006</v>
      </c>
      <c r="CE1296" s="237" t="s">
        <v>352</v>
      </c>
      <c r="CJ1296" s="347">
        <v>124.02</v>
      </c>
      <c r="CK1296" s="347" t="s">
        <v>352</v>
      </c>
      <c r="CL1296" s="1789"/>
      <c r="CR1296" s="345"/>
      <c r="CS1296" s="345"/>
      <c r="CX1296" s="347"/>
      <c r="CY1296" s="347"/>
      <c r="DH1296" s="237"/>
      <c r="DI1296" s="237"/>
      <c r="DN1296" s="347"/>
      <c r="DO1296" s="347"/>
      <c r="DP1296" s="2505"/>
    </row>
    <row r="1297" spans="12:120">
      <c r="L1297" s="347">
        <v>106.12</v>
      </c>
      <c r="M1297" s="347" t="s">
        <v>352</v>
      </c>
      <c r="AB1297" s="347">
        <v>170.04</v>
      </c>
      <c r="AC1297" s="347" t="s">
        <v>359</v>
      </c>
      <c r="AD1297" s="1138"/>
      <c r="AP1297" s="347">
        <v>20.170000000000002</v>
      </c>
      <c r="AQ1297" s="347" t="s">
        <v>349</v>
      </c>
      <c r="BF1297" s="347">
        <v>123.01</v>
      </c>
      <c r="BG1297" s="347" t="s">
        <v>352</v>
      </c>
      <c r="BH1297" s="1790"/>
      <c r="BN1297" s="237">
        <v>410.05</v>
      </c>
      <c r="BO1297" s="237" t="s">
        <v>335</v>
      </c>
      <c r="BT1297" s="347">
        <v>20.05</v>
      </c>
      <c r="BU1297" s="347" t="s">
        <v>349</v>
      </c>
      <c r="CD1297" s="237">
        <v>66.040000000000006</v>
      </c>
      <c r="CE1297" s="237" t="s">
        <v>361</v>
      </c>
      <c r="CJ1297" s="347">
        <v>124.03</v>
      </c>
      <c r="CK1297" s="347" t="s">
        <v>337</v>
      </c>
      <c r="CL1297" s="1789"/>
      <c r="CR1297" s="345"/>
      <c r="CS1297" s="345"/>
      <c r="CX1297" s="347"/>
      <c r="CY1297" s="347"/>
      <c r="DH1297" s="237"/>
      <c r="DI1297" s="237"/>
      <c r="DN1297" s="347"/>
      <c r="DO1297" s="347"/>
      <c r="DP1297" s="2505"/>
    </row>
    <row r="1298" spans="12:120">
      <c r="L1298" s="347">
        <v>106.13</v>
      </c>
      <c r="M1298" s="347" t="s">
        <v>352</v>
      </c>
      <c r="AB1298" s="347">
        <v>170.06</v>
      </c>
      <c r="AC1298" s="347" t="s">
        <v>359</v>
      </c>
      <c r="AD1298" s="1138"/>
      <c r="AP1298" s="347">
        <v>20.18</v>
      </c>
      <c r="AQ1298" s="347" t="s">
        <v>349</v>
      </c>
      <c r="BF1298" s="347">
        <v>123.02</v>
      </c>
      <c r="BG1298" s="347" t="s">
        <v>352</v>
      </c>
      <c r="BH1298" s="1790"/>
      <c r="BN1298" s="237">
        <v>410.06</v>
      </c>
      <c r="BO1298" s="237" t="s">
        <v>335</v>
      </c>
      <c r="BT1298" s="347">
        <v>20.079999999999998</v>
      </c>
      <c r="BU1298" s="347" t="s">
        <v>349</v>
      </c>
      <c r="CD1298" s="237">
        <v>66.05</v>
      </c>
      <c r="CE1298" s="237" t="s">
        <v>352</v>
      </c>
      <c r="CJ1298" s="347">
        <v>124.03</v>
      </c>
      <c r="CK1298" s="347" t="s">
        <v>352</v>
      </c>
      <c r="CL1298" s="1789"/>
      <c r="CR1298" s="345"/>
      <c r="CS1298" s="345"/>
      <c r="CX1298" s="347"/>
      <c r="CY1298" s="347"/>
      <c r="DH1298" s="237"/>
      <c r="DI1298" s="237"/>
      <c r="DN1298" s="347"/>
      <c r="DO1298" s="347"/>
      <c r="DP1298" s="2505"/>
    </row>
    <row r="1299" spans="12:120">
      <c r="L1299" s="347">
        <v>106.17</v>
      </c>
      <c r="M1299" s="347" t="s">
        <v>352</v>
      </c>
      <c r="AB1299" s="347">
        <v>170.08</v>
      </c>
      <c r="AC1299" s="347" t="s">
        <v>359</v>
      </c>
      <c r="AD1299" s="1138"/>
      <c r="AP1299" s="347">
        <v>20.190000000000001</v>
      </c>
      <c r="AQ1299" s="347" t="s">
        <v>349</v>
      </c>
      <c r="BF1299" s="347">
        <v>123.03</v>
      </c>
      <c r="BG1299" s="347" t="s">
        <v>337</v>
      </c>
      <c r="BH1299" s="1790"/>
      <c r="BN1299" s="237">
        <v>411.03</v>
      </c>
      <c r="BO1299" s="237" t="s">
        <v>335</v>
      </c>
      <c r="BT1299" s="347">
        <v>20.100000000000001</v>
      </c>
      <c r="BU1299" s="347" t="s">
        <v>349</v>
      </c>
      <c r="CD1299" s="237">
        <v>66.06</v>
      </c>
      <c r="CE1299" s="237" t="s">
        <v>352</v>
      </c>
      <c r="CJ1299" s="347">
        <v>124.05</v>
      </c>
      <c r="CK1299" s="347" t="s">
        <v>365</v>
      </c>
      <c r="CL1299" s="1789"/>
      <c r="CR1299" s="345"/>
      <c r="CS1299" s="345"/>
      <c r="CX1299" s="347"/>
      <c r="CY1299" s="347"/>
      <c r="DH1299" s="237"/>
      <c r="DI1299" s="237"/>
      <c r="DN1299" s="347"/>
      <c r="DO1299" s="347"/>
      <c r="DP1299" s="2505"/>
    </row>
    <row r="1300" spans="12:120">
      <c r="L1300" s="347">
        <v>110.07</v>
      </c>
      <c r="M1300" s="347" t="s">
        <v>352</v>
      </c>
      <c r="AB1300" s="347">
        <v>170.12</v>
      </c>
      <c r="AC1300" s="347" t="s">
        <v>359</v>
      </c>
      <c r="AD1300" s="1138"/>
      <c r="AP1300" s="347">
        <v>20.2</v>
      </c>
      <c r="AQ1300" s="347" t="s">
        <v>349</v>
      </c>
      <c r="BF1300" s="347">
        <v>123.03</v>
      </c>
      <c r="BG1300" s="347" t="s">
        <v>365</v>
      </c>
      <c r="BH1300" s="1790"/>
      <c r="BN1300" s="237">
        <v>411.04</v>
      </c>
      <c r="BO1300" s="237" t="s">
        <v>335</v>
      </c>
      <c r="BT1300" s="347">
        <v>20.12</v>
      </c>
      <c r="BU1300" s="347" t="s">
        <v>349</v>
      </c>
      <c r="CD1300" s="237">
        <v>66.06</v>
      </c>
      <c r="CE1300" s="237" t="s">
        <v>361</v>
      </c>
      <c r="CJ1300" s="347">
        <v>124.07</v>
      </c>
      <c r="CK1300" s="347" t="s">
        <v>365</v>
      </c>
      <c r="CL1300" s="1789"/>
      <c r="CR1300" s="345"/>
      <c r="CS1300" s="345"/>
      <c r="CX1300" s="347"/>
      <c r="CY1300" s="347"/>
      <c r="DH1300" s="237"/>
      <c r="DI1300" s="237"/>
      <c r="DN1300" s="347"/>
      <c r="DO1300" s="347"/>
      <c r="DP1300" s="2505"/>
    </row>
    <row r="1301" spans="12:120">
      <c r="L1301" s="347">
        <v>110.08</v>
      </c>
      <c r="M1301" s="347" t="s">
        <v>352</v>
      </c>
      <c r="AB1301" s="347">
        <v>170.13</v>
      </c>
      <c r="AC1301" s="347" t="s">
        <v>359</v>
      </c>
      <c r="AD1301" s="1138"/>
      <c r="AP1301" s="347">
        <v>20.21</v>
      </c>
      <c r="AQ1301" s="347" t="s">
        <v>349</v>
      </c>
      <c r="BF1301" s="347">
        <v>123.04</v>
      </c>
      <c r="BG1301" s="347" t="s">
        <v>337</v>
      </c>
      <c r="BH1301" s="1790"/>
      <c r="BN1301" s="237">
        <v>411.05</v>
      </c>
      <c r="BO1301" s="237" t="s">
        <v>335</v>
      </c>
      <c r="BT1301" s="347">
        <v>20.14</v>
      </c>
      <c r="BU1301" s="347" t="s">
        <v>349</v>
      </c>
      <c r="CD1301" s="237">
        <v>66.069999999999993</v>
      </c>
      <c r="CE1301" s="237" t="s">
        <v>352</v>
      </c>
      <c r="CJ1301" s="347">
        <v>124.08</v>
      </c>
      <c r="CK1301" s="347" t="s">
        <v>365</v>
      </c>
      <c r="CL1301" s="1789"/>
      <c r="CR1301" s="345"/>
      <c r="CS1301" s="345"/>
      <c r="CX1301" s="347"/>
      <c r="CY1301" s="347"/>
      <c r="DH1301" s="237"/>
      <c r="DI1301" s="237"/>
      <c r="DN1301" s="347"/>
      <c r="DO1301" s="347"/>
      <c r="DP1301" s="2505"/>
    </row>
    <row r="1302" spans="12:120">
      <c r="L1302" s="347">
        <v>110.09</v>
      </c>
      <c r="M1302" s="347" t="s">
        <v>352</v>
      </c>
      <c r="AB1302" s="347">
        <v>170.14</v>
      </c>
      <c r="AC1302" s="347" t="s">
        <v>359</v>
      </c>
      <c r="AD1302" s="1138"/>
      <c r="AP1302" s="347">
        <v>20.22</v>
      </c>
      <c r="AQ1302" s="347" t="s">
        <v>349</v>
      </c>
      <c r="BF1302" s="347">
        <v>123.04</v>
      </c>
      <c r="BG1302" s="347" t="s">
        <v>365</v>
      </c>
      <c r="BH1302" s="1790"/>
      <c r="BN1302" s="237">
        <v>411.06</v>
      </c>
      <c r="BO1302" s="237" t="s">
        <v>335</v>
      </c>
      <c r="BT1302" s="347">
        <v>20.16</v>
      </c>
      <c r="BU1302" s="347" t="s">
        <v>349</v>
      </c>
      <c r="CD1302" s="237">
        <v>66.069999999999993</v>
      </c>
      <c r="CE1302" s="237" t="s">
        <v>361</v>
      </c>
      <c r="CJ1302" s="347">
        <v>124.09</v>
      </c>
      <c r="CK1302" s="347" t="s">
        <v>365</v>
      </c>
      <c r="CL1302" s="1789"/>
      <c r="CR1302" s="345"/>
      <c r="CS1302" s="345"/>
      <c r="CX1302" s="347"/>
      <c r="CY1302" s="347"/>
      <c r="DH1302" s="237"/>
      <c r="DI1302" s="237"/>
      <c r="DN1302" s="347"/>
      <c r="DO1302" s="347"/>
      <c r="DP1302" s="2505"/>
    </row>
    <row r="1303" spans="12:120">
      <c r="L1303" s="347">
        <v>111.02</v>
      </c>
      <c r="M1303" s="347" t="s">
        <v>352</v>
      </c>
      <c r="AB1303" s="347">
        <v>170.15</v>
      </c>
      <c r="AC1303" s="347" t="s">
        <v>359</v>
      </c>
      <c r="AD1303" s="1138"/>
      <c r="AP1303" s="347">
        <v>20.23</v>
      </c>
      <c r="AQ1303" s="347" t="s">
        <v>349</v>
      </c>
      <c r="BF1303" s="347">
        <v>123.07</v>
      </c>
      <c r="BG1303" s="347" t="s">
        <v>365</v>
      </c>
      <c r="BH1303" s="1790"/>
      <c r="BN1303" s="237">
        <v>412.01</v>
      </c>
      <c r="BO1303" s="237" t="s">
        <v>335</v>
      </c>
      <c r="BT1303" s="347">
        <v>20.170000000000002</v>
      </c>
      <c r="BU1303" s="347" t="s">
        <v>349</v>
      </c>
      <c r="CD1303" s="237">
        <v>66.08</v>
      </c>
      <c r="CE1303" s="237" t="s">
        <v>352</v>
      </c>
      <c r="CJ1303" s="347">
        <v>124.1</v>
      </c>
      <c r="CK1303" s="347" t="s">
        <v>365</v>
      </c>
      <c r="CL1303" s="1789"/>
      <c r="CR1303" s="345"/>
      <c r="CS1303" s="345"/>
      <c r="CX1303" s="347"/>
      <c r="CY1303" s="347"/>
      <c r="DH1303" s="237"/>
      <c r="DI1303" s="237"/>
      <c r="DN1303" s="347"/>
      <c r="DO1303" s="347"/>
      <c r="DP1303" s="2505"/>
    </row>
    <row r="1304" spans="12:120">
      <c r="L1304" s="347">
        <v>114.01</v>
      </c>
      <c r="M1304" s="347" t="s">
        <v>352</v>
      </c>
      <c r="AB1304" s="347">
        <v>170.16</v>
      </c>
      <c r="AC1304" s="347" t="s">
        <v>359</v>
      </c>
      <c r="AD1304" s="1138"/>
      <c r="AP1304" s="347">
        <v>20.239999999999998</v>
      </c>
      <c r="AQ1304" s="347" t="s">
        <v>349</v>
      </c>
      <c r="BF1304" s="347">
        <v>124.01</v>
      </c>
      <c r="BG1304" s="347" t="s">
        <v>352</v>
      </c>
      <c r="BH1304" s="1790"/>
      <c r="BN1304" s="237">
        <v>412.03</v>
      </c>
      <c r="BO1304" s="237" t="s">
        <v>335</v>
      </c>
      <c r="BT1304" s="347">
        <v>20.18</v>
      </c>
      <c r="BU1304" s="347" t="s">
        <v>349</v>
      </c>
      <c r="CD1304" s="237">
        <v>67</v>
      </c>
      <c r="CE1304" s="237" t="s">
        <v>337</v>
      </c>
      <c r="CJ1304" s="347">
        <v>124.11</v>
      </c>
      <c r="CK1304" s="347" t="s">
        <v>365</v>
      </c>
      <c r="CL1304" s="1789"/>
      <c r="CR1304" s="345"/>
      <c r="CS1304" s="345"/>
      <c r="CX1304" s="347"/>
      <c r="CY1304" s="347"/>
      <c r="DH1304" s="237"/>
      <c r="DI1304" s="237"/>
      <c r="DN1304" s="347"/>
      <c r="DO1304" s="347"/>
      <c r="DP1304" s="2505"/>
    </row>
    <row r="1305" spans="12:120">
      <c r="L1305" s="347">
        <v>115</v>
      </c>
      <c r="M1305" s="347" t="s">
        <v>352</v>
      </c>
      <c r="AB1305" s="347">
        <v>170.17</v>
      </c>
      <c r="AC1305" s="347" t="s">
        <v>359</v>
      </c>
      <c r="AD1305" s="1138"/>
      <c r="AP1305" s="347">
        <v>20.25</v>
      </c>
      <c r="AQ1305" s="347" t="s">
        <v>349</v>
      </c>
      <c r="BF1305" s="347">
        <v>124.02</v>
      </c>
      <c r="BG1305" s="347" t="s">
        <v>352</v>
      </c>
      <c r="BH1305" s="1790"/>
      <c r="BN1305" s="237">
        <v>412.04</v>
      </c>
      <c r="BO1305" s="237" t="s">
        <v>335</v>
      </c>
      <c r="BT1305" s="347">
        <v>20.190000000000001</v>
      </c>
      <c r="BU1305" s="347" t="s">
        <v>349</v>
      </c>
      <c r="CD1305" s="237">
        <v>67</v>
      </c>
      <c r="CE1305" s="237" t="s">
        <v>361</v>
      </c>
      <c r="CJ1305" s="347">
        <v>124.12</v>
      </c>
      <c r="CK1305" s="347" t="s">
        <v>365</v>
      </c>
      <c r="CL1305" s="1789"/>
      <c r="CR1305" s="345"/>
      <c r="CS1305" s="345"/>
      <c r="CX1305" s="347"/>
      <c r="CY1305" s="347"/>
      <c r="DH1305" s="237"/>
      <c r="DI1305" s="237"/>
      <c r="DN1305" s="347"/>
      <c r="DO1305" s="347"/>
      <c r="DP1305" s="2505"/>
    </row>
    <row r="1306" spans="12:120">
      <c r="L1306" s="347">
        <v>116</v>
      </c>
      <c r="M1306" s="347" t="s">
        <v>352</v>
      </c>
      <c r="AB1306" s="347">
        <v>171</v>
      </c>
      <c r="AC1306" s="347" t="s">
        <v>323</v>
      </c>
      <c r="AD1306" s="1138"/>
      <c r="AP1306" s="347">
        <v>1.01</v>
      </c>
      <c r="AQ1306" s="347" t="s">
        <v>350</v>
      </c>
      <c r="BF1306" s="347">
        <v>124.03</v>
      </c>
      <c r="BG1306" s="347" t="s">
        <v>337</v>
      </c>
      <c r="BH1306" s="1790"/>
      <c r="BN1306" s="237">
        <v>413.02</v>
      </c>
      <c r="BO1306" s="237" t="s">
        <v>335</v>
      </c>
      <c r="BT1306" s="347">
        <v>20.2</v>
      </c>
      <c r="BU1306" s="347" t="s">
        <v>349</v>
      </c>
      <c r="CD1306" s="237">
        <v>67.05</v>
      </c>
      <c r="CE1306" s="237" t="s">
        <v>352</v>
      </c>
      <c r="CJ1306" s="347">
        <v>124.13</v>
      </c>
      <c r="CK1306" s="347" t="s">
        <v>365</v>
      </c>
      <c r="CL1306" s="1789"/>
      <c r="CR1306" s="345"/>
      <c r="CS1306" s="345"/>
      <c r="CX1306" s="347"/>
      <c r="CY1306" s="347"/>
      <c r="DH1306" s="237"/>
      <c r="DI1306" s="237"/>
      <c r="DN1306" s="347"/>
      <c r="DO1306" s="347"/>
      <c r="DP1306" s="2505"/>
    </row>
    <row r="1307" spans="12:120">
      <c r="L1307" s="347">
        <v>118</v>
      </c>
      <c r="M1307" s="347" t="s">
        <v>352</v>
      </c>
      <c r="AB1307" s="347">
        <v>171</v>
      </c>
      <c r="AC1307" s="347" t="s">
        <v>352</v>
      </c>
      <c r="AD1307" s="1138"/>
      <c r="AP1307" s="347">
        <v>2.02</v>
      </c>
      <c r="AQ1307" s="347" t="s">
        <v>350</v>
      </c>
      <c r="BF1307" s="347">
        <v>124.03</v>
      </c>
      <c r="BG1307" s="347" t="s">
        <v>352</v>
      </c>
      <c r="BH1307" s="1790"/>
      <c r="BN1307" s="237">
        <v>413.03</v>
      </c>
      <c r="BO1307" s="237" t="s">
        <v>335</v>
      </c>
      <c r="BT1307" s="347">
        <v>20.21</v>
      </c>
      <c r="BU1307" s="347" t="s">
        <v>349</v>
      </c>
      <c r="CD1307" s="237">
        <v>67.06</v>
      </c>
      <c r="CE1307" s="237" t="s">
        <v>352</v>
      </c>
      <c r="CJ1307" s="347">
        <v>124.14</v>
      </c>
      <c r="CK1307" s="347" t="s">
        <v>365</v>
      </c>
      <c r="CL1307" s="1789"/>
      <c r="CR1307" s="345"/>
      <c r="CS1307" s="345"/>
      <c r="CX1307" s="347"/>
      <c r="CY1307" s="347"/>
      <c r="DH1307" s="237"/>
      <c r="DI1307" s="237"/>
      <c r="DN1307" s="347"/>
      <c r="DO1307" s="347"/>
      <c r="DP1307" s="2505"/>
    </row>
    <row r="1308" spans="12:120">
      <c r="L1308" s="347">
        <v>119</v>
      </c>
      <c r="M1308" s="347" t="s">
        <v>352</v>
      </c>
      <c r="AB1308" s="347">
        <v>171.03</v>
      </c>
      <c r="AC1308" s="347" t="s">
        <v>359</v>
      </c>
      <c r="AD1308" s="1138"/>
      <c r="AP1308" s="347">
        <v>2.0299999999999998</v>
      </c>
      <c r="AQ1308" s="347" t="s">
        <v>350</v>
      </c>
      <c r="BF1308" s="347">
        <v>124.05</v>
      </c>
      <c r="BG1308" s="347" t="s">
        <v>365</v>
      </c>
      <c r="BH1308" s="1790"/>
      <c r="BN1308" s="237">
        <v>413.04</v>
      </c>
      <c r="BO1308" s="237" t="s">
        <v>335</v>
      </c>
      <c r="BT1308" s="347">
        <v>20.22</v>
      </c>
      <c r="BU1308" s="347" t="s">
        <v>349</v>
      </c>
      <c r="CD1308" s="237">
        <v>67.069999999999993</v>
      </c>
      <c r="CE1308" s="237" t="s">
        <v>352</v>
      </c>
      <c r="CJ1308" s="347">
        <v>124.15</v>
      </c>
      <c r="CK1308" s="347" t="s">
        <v>365</v>
      </c>
      <c r="CL1308" s="1789"/>
      <c r="CR1308" s="345"/>
      <c r="CS1308" s="345"/>
      <c r="CX1308" s="347"/>
      <c r="CY1308" s="347"/>
      <c r="DH1308" s="237"/>
      <c r="DI1308" s="237"/>
      <c r="DN1308" s="347"/>
      <c r="DO1308" s="347"/>
      <c r="DP1308" s="2505"/>
    </row>
    <row r="1309" spans="12:120">
      <c r="L1309" s="347">
        <v>121</v>
      </c>
      <c r="M1309" s="347" t="s">
        <v>352</v>
      </c>
      <c r="AB1309" s="347">
        <v>171.04</v>
      </c>
      <c r="AC1309" s="347" t="s">
        <v>359</v>
      </c>
      <c r="AD1309" s="1138"/>
      <c r="AP1309" s="347">
        <v>4.01</v>
      </c>
      <c r="AQ1309" s="347" t="s">
        <v>350</v>
      </c>
      <c r="BF1309" s="347">
        <v>124.07</v>
      </c>
      <c r="BG1309" s="347" t="s">
        <v>365</v>
      </c>
      <c r="BH1309" s="1790"/>
      <c r="BN1309" s="237">
        <v>413.05</v>
      </c>
      <c r="BO1309" s="237" t="s">
        <v>335</v>
      </c>
      <c r="BT1309" s="347">
        <v>20.23</v>
      </c>
      <c r="BU1309" s="347" t="s">
        <v>349</v>
      </c>
      <c r="CD1309" s="237">
        <v>67.09</v>
      </c>
      <c r="CE1309" s="237" t="s">
        <v>352</v>
      </c>
      <c r="CJ1309" s="347">
        <v>125</v>
      </c>
      <c r="CK1309" s="347" t="s">
        <v>359</v>
      </c>
      <c r="CL1309" s="1789"/>
      <c r="CR1309" s="345"/>
      <c r="CS1309" s="345"/>
      <c r="CX1309" s="347"/>
      <c r="CY1309" s="347"/>
      <c r="DH1309" s="237"/>
      <c r="DI1309" s="237"/>
      <c r="DN1309" s="347"/>
      <c r="DO1309" s="347"/>
      <c r="DP1309" s="2505"/>
    </row>
    <row r="1310" spans="12:120">
      <c r="L1310" s="347">
        <v>122</v>
      </c>
      <c r="M1310" s="347" t="s">
        <v>352</v>
      </c>
      <c r="AB1310" s="347">
        <v>171.05</v>
      </c>
      <c r="AC1310" s="347" t="s">
        <v>359</v>
      </c>
      <c r="AD1310" s="1138"/>
      <c r="AP1310" s="347">
        <v>6.05</v>
      </c>
      <c r="AQ1310" s="347" t="s">
        <v>350</v>
      </c>
      <c r="BF1310" s="347">
        <v>124.08</v>
      </c>
      <c r="BG1310" s="347" t="s">
        <v>365</v>
      </c>
      <c r="BH1310" s="1790"/>
      <c r="BN1310" s="237">
        <v>414.01</v>
      </c>
      <c r="BO1310" s="237" t="s">
        <v>335</v>
      </c>
      <c r="BT1310" s="347">
        <v>20.239999999999998</v>
      </c>
      <c r="BU1310" s="347" t="s">
        <v>349</v>
      </c>
      <c r="CD1310" s="237">
        <v>67.13</v>
      </c>
      <c r="CE1310" s="237" t="s">
        <v>352</v>
      </c>
      <c r="CJ1310" s="347">
        <v>125.01</v>
      </c>
      <c r="CK1310" s="347" t="s">
        <v>352</v>
      </c>
      <c r="CL1310" s="1789"/>
      <c r="CR1310" s="345"/>
      <c r="CS1310" s="345"/>
      <c r="CX1310" s="347"/>
      <c r="CY1310" s="347"/>
      <c r="DH1310" s="237"/>
      <c r="DI1310" s="237"/>
      <c r="DN1310" s="347"/>
      <c r="DO1310" s="347"/>
      <c r="DP1310" s="2505"/>
    </row>
    <row r="1311" spans="12:120">
      <c r="L1311" s="347">
        <v>123</v>
      </c>
      <c r="M1311" s="347" t="s">
        <v>352</v>
      </c>
      <c r="AB1311" s="347">
        <v>171.07</v>
      </c>
      <c r="AC1311" s="347" t="s">
        <v>359</v>
      </c>
      <c r="AD1311" s="1138"/>
      <c r="AP1311" s="347">
        <v>7.04</v>
      </c>
      <c r="AQ1311" s="347" t="s">
        <v>350</v>
      </c>
      <c r="BF1311" s="347">
        <v>124.09</v>
      </c>
      <c r="BG1311" s="347" t="s">
        <v>365</v>
      </c>
      <c r="BH1311" s="1790"/>
      <c r="BN1311" s="237">
        <v>414.02</v>
      </c>
      <c r="BO1311" s="237" t="s">
        <v>335</v>
      </c>
      <c r="BT1311" s="347">
        <v>20.25</v>
      </c>
      <c r="BU1311" s="347" t="s">
        <v>349</v>
      </c>
      <c r="CD1311" s="237">
        <v>67.14</v>
      </c>
      <c r="CE1311" s="237" t="s">
        <v>352</v>
      </c>
      <c r="CJ1311" s="347">
        <v>125.02</v>
      </c>
      <c r="CK1311" s="347" t="s">
        <v>352</v>
      </c>
      <c r="CL1311" s="1789"/>
      <c r="CR1311" s="345"/>
      <c r="CS1311" s="345"/>
      <c r="CX1311" s="347"/>
      <c r="CY1311" s="347"/>
      <c r="DH1311" s="237"/>
      <c r="DI1311" s="237"/>
      <c r="DN1311" s="347"/>
      <c r="DO1311" s="347"/>
      <c r="DP1311" s="2505"/>
    </row>
    <row r="1312" spans="12:120">
      <c r="L1312" s="347">
        <v>124</v>
      </c>
      <c r="M1312" s="347" t="s">
        <v>352</v>
      </c>
      <c r="AB1312" s="347">
        <v>171.08</v>
      </c>
      <c r="AC1312" s="347" t="s">
        <v>359</v>
      </c>
      <c r="AD1312" s="1138"/>
      <c r="AP1312" s="347">
        <v>7.05</v>
      </c>
      <c r="AQ1312" s="347" t="s">
        <v>350</v>
      </c>
      <c r="BF1312" s="347">
        <v>124.1</v>
      </c>
      <c r="BG1312" s="347" t="s">
        <v>365</v>
      </c>
      <c r="BH1312" s="1790"/>
      <c r="BN1312" s="237">
        <v>415.01</v>
      </c>
      <c r="BO1312" s="237" t="s">
        <v>335</v>
      </c>
      <c r="BT1312" s="347">
        <v>1.02</v>
      </c>
      <c r="BU1312" s="347" t="s">
        <v>350</v>
      </c>
      <c r="CD1312" s="237">
        <v>67.150000000000006</v>
      </c>
      <c r="CE1312" s="237" t="s">
        <v>352</v>
      </c>
      <c r="CJ1312" s="347">
        <v>125.02</v>
      </c>
      <c r="CK1312" s="347" t="s">
        <v>365</v>
      </c>
      <c r="CL1312" s="1789"/>
      <c r="CR1312" s="345"/>
      <c r="CS1312" s="345"/>
      <c r="CX1312" s="347"/>
      <c r="CY1312" s="347"/>
      <c r="DH1312" s="237"/>
      <c r="DI1312" s="237"/>
      <c r="DN1312" s="347"/>
      <c r="DO1312" s="347"/>
      <c r="DP1312" s="2505"/>
    </row>
    <row r="1313" spans="12:120">
      <c r="L1313" s="347">
        <v>125</v>
      </c>
      <c r="M1313" s="347" t="s">
        <v>352</v>
      </c>
      <c r="AB1313" s="347">
        <v>171.09</v>
      </c>
      <c r="AC1313" s="347" t="s">
        <v>359</v>
      </c>
      <c r="AD1313" s="1138"/>
      <c r="AP1313" s="347">
        <v>7.06</v>
      </c>
      <c r="AQ1313" s="347" t="s">
        <v>350</v>
      </c>
      <c r="BF1313" s="347">
        <v>124.11</v>
      </c>
      <c r="BG1313" s="347" t="s">
        <v>365</v>
      </c>
      <c r="BH1313" s="1790"/>
      <c r="BN1313" s="237">
        <v>415.02</v>
      </c>
      <c r="BO1313" s="237" t="s">
        <v>335</v>
      </c>
      <c r="BT1313" s="347">
        <v>2.02</v>
      </c>
      <c r="BU1313" s="347" t="s">
        <v>350</v>
      </c>
      <c r="CD1313" s="237">
        <v>67.16</v>
      </c>
      <c r="CE1313" s="237" t="s">
        <v>352</v>
      </c>
      <c r="CJ1313" s="347">
        <v>125.03</v>
      </c>
      <c r="CK1313" s="347" t="s">
        <v>337</v>
      </c>
      <c r="CL1313" s="1789"/>
      <c r="CR1313" s="345"/>
      <c r="CS1313" s="345"/>
      <c r="CX1313" s="347"/>
      <c r="CY1313" s="347"/>
      <c r="DH1313" s="237"/>
      <c r="DI1313" s="237"/>
      <c r="DN1313" s="347"/>
      <c r="DO1313" s="347"/>
      <c r="DP1313" s="2505"/>
    </row>
    <row r="1314" spans="12:120">
      <c r="L1314" s="347">
        <v>126</v>
      </c>
      <c r="M1314" s="347" t="s">
        <v>352</v>
      </c>
      <c r="AB1314" s="347">
        <v>172</v>
      </c>
      <c r="AC1314" s="347" t="s">
        <v>352</v>
      </c>
      <c r="AD1314" s="1138"/>
      <c r="AP1314" s="347">
        <v>7.07</v>
      </c>
      <c r="AQ1314" s="347" t="s">
        <v>350</v>
      </c>
      <c r="BF1314" s="347">
        <v>124.12</v>
      </c>
      <c r="BG1314" s="347" t="s">
        <v>365</v>
      </c>
      <c r="BH1314" s="1790"/>
      <c r="BN1314" s="237">
        <v>416.01</v>
      </c>
      <c r="BO1314" s="237" t="s">
        <v>335</v>
      </c>
      <c r="BT1314" s="347">
        <v>2.0299999999999998</v>
      </c>
      <c r="BU1314" s="347" t="s">
        <v>350</v>
      </c>
      <c r="CD1314" s="237">
        <v>67.17</v>
      </c>
      <c r="CE1314" s="237" t="s">
        <v>352</v>
      </c>
      <c r="CJ1314" s="347">
        <v>125.06</v>
      </c>
      <c r="CK1314" s="347" t="s">
        <v>365</v>
      </c>
      <c r="CL1314" s="1789"/>
      <c r="CR1314" s="345"/>
      <c r="CS1314" s="345"/>
      <c r="CX1314" s="347"/>
      <c r="CY1314" s="347"/>
      <c r="DH1314" s="237"/>
      <c r="DI1314" s="237"/>
      <c r="DN1314" s="347"/>
      <c r="DO1314" s="347"/>
      <c r="DP1314" s="2505"/>
    </row>
    <row r="1315" spans="12:120">
      <c r="L1315" s="347">
        <v>127</v>
      </c>
      <c r="M1315" s="347" t="s">
        <v>352</v>
      </c>
      <c r="AB1315" s="347">
        <v>172</v>
      </c>
      <c r="AC1315" s="347" t="s">
        <v>359</v>
      </c>
      <c r="AD1315" s="1138"/>
      <c r="AP1315" s="347">
        <v>8.07</v>
      </c>
      <c r="AQ1315" s="347" t="s">
        <v>350</v>
      </c>
      <c r="BF1315" s="347">
        <v>124.13</v>
      </c>
      <c r="BG1315" s="347" t="s">
        <v>365</v>
      </c>
      <c r="BH1315" s="1790"/>
      <c r="BN1315" s="237">
        <v>416.02</v>
      </c>
      <c r="BO1315" s="237" t="s">
        <v>335</v>
      </c>
      <c r="BT1315" s="347">
        <v>3.04</v>
      </c>
      <c r="BU1315" s="347" t="s">
        <v>350</v>
      </c>
      <c r="CD1315" s="237">
        <v>67.180000000000007</v>
      </c>
      <c r="CE1315" s="237" t="s">
        <v>352</v>
      </c>
      <c r="CJ1315" s="347">
        <v>125.08</v>
      </c>
      <c r="CK1315" s="347" t="s">
        <v>365</v>
      </c>
      <c r="CL1315" s="1789"/>
      <c r="CR1315" s="345"/>
      <c r="CS1315" s="345"/>
      <c r="CX1315" s="347"/>
      <c r="CY1315" s="347"/>
      <c r="DH1315" s="237"/>
      <c r="DI1315" s="237"/>
      <c r="DN1315" s="347"/>
      <c r="DO1315" s="347"/>
      <c r="DP1315" s="2505"/>
    </row>
    <row r="1316" spans="12:120">
      <c r="L1316" s="347">
        <v>128</v>
      </c>
      <c r="M1316" s="347" t="s">
        <v>352</v>
      </c>
      <c r="AB1316" s="347">
        <v>173</v>
      </c>
      <c r="AC1316" s="347" t="s">
        <v>323</v>
      </c>
      <c r="AD1316" s="1138"/>
      <c r="AP1316" s="347">
        <v>8.08</v>
      </c>
      <c r="AQ1316" s="347" t="s">
        <v>350</v>
      </c>
      <c r="BF1316" s="347">
        <v>124.14</v>
      </c>
      <c r="BG1316" s="347" t="s">
        <v>365</v>
      </c>
      <c r="BH1316" s="1790"/>
      <c r="BN1316" s="237">
        <v>9900</v>
      </c>
      <c r="BO1316" s="237" t="s">
        <v>335</v>
      </c>
      <c r="BT1316" s="347">
        <v>4.01</v>
      </c>
      <c r="BU1316" s="347" t="s">
        <v>350</v>
      </c>
      <c r="CD1316" s="237">
        <v>67.19</v>
      </c>
      <c r="CE1316" s="237" t="s">
        <v>352</v>
      </c>
      <c r="CJ1316" s="347">
        <v>125.09</v>
      </c>
      <c r="CK1316" s="347" t="s">
        <v>365</v>
      </c>
      <c r="CL1316" s="1789"/>
      <c r="CR1316" s="345"/>
      <c r="CS1316" s="345"/>
      <c r="CX1316" s="347"/>
      <c r="CY1316" s="347"/>
      <c r="DH1316" s="237"/>
      <c r="DI1316" s="237"/>
      <c r="DN1316" s="347"/>
      <c r="DO1316" s="347"/>
      <c r="DP1316" s="2505"/>
    </row>
    <row r="1317" spans="12:120">
      <c r="L1317" s="347">
        <v>130</v>
      </c>
      <c r="M1317" s="347" t="s">
        <v>352</v>
      </c>
      <c r="AB1317" s="347">
        <v>173</v>
      </c>
      <c r="AC1317" s="347" t="s">
        <v>352</v>
      </c>
      <c r="AD1317" s="1138"/>
      <c r="AP1317" s="347">
        <v>8.09</v>
      </c>
      <c r="AQ1317" s="347" t="s">
        <v>350</v>
      </c>
      <c r="BF1317" s="347">
        <v>124.15</v>
      </c>
      <c r="BG1317" s="347" t="s">
        <v>365</v>
      </c>
      <c r="BH1317" s="1790"/>
      <c r="BN1317" s="237">
        <v>9601.01</v>
      </c>
      <c r="BO1317" s="237" t="s">
        <v>336</v>
      </c>
      <c r="BT1317" s="347">
        <v>6.05</v>
      </c>
      <c r="BU1317" s="347" t="s">
        <v>350</v>
      </c>
      <c r="CD1317" s="237">
        <v>67.2</v>
      </c>
      <c r="CE1317" s="237" t="s">
        <v>352</v>
      </c>
      <c r="CJ1317" s="347">
        <v>125.11</v>
      </c>
      <c r="CK1317" s="347" t="s">
        <v>365</v>
      </c>
      <c r="CL1317" s="1789"/>
      <c r="CR1317" s="345"/>
      <c r="CS1317" s="345"/>
      <c r="CX1317" s="347"/>
      <c r="CY1317" s="347"/>
      <c r="DH1317" s="237"/>
      <c r="DI1317" s="237"/>
      <c r="DN1317" s="347"/>
      <c r="DO1317" s="347"/>
      <c r="DP1317" s="2505"/>
    </row>
    <row r="1318" spans="12:120">
      <c r="L1318" s="347">
        <v>132</v>
      </c>
      <c r="M1318" s="347" t="s">
        <v>352</v>
      </c>
      <c r="AB1318" s="347">
        <v>174</v>
      </c>
      <c r="AC1318" s="347" t="s">
        <v>352</v>
      </c>
      <c r="AD1318" s="1138"/>
      <c r="AP1318" s="347">
        <v>8.1</v>
      </c>
      <c r="AQ1318" s="347" t="s">
        <v>350</v>
      </c>
      <c r="BF1318" s="347">
        <v>125.01</v>
      </c>
      <c r="BG1318" s="347" t="s">
        <v>352</v>
      </c>
      <c r="BH1318" s="1790"/>
      <c r="BN1318" s="237">
        <v>9601.02</v>
      </c>
      <c r="BO1318" s="237" t="s">
        <v>336</v>
      </c>
      <c r="BT1318" s="347">
        <v>7.04</v>
      </c>
      <c r="BU1318" s="347" t="s">
        <v>350</v>
      </c>
      <c r="CD1318" s="237">
        <v>67.209999999999994</v>
      </c>
      <c r="CE1318" s="237" t="s">
        <v>352</v>
      </c>
      <c r="CJ1318" s="347">
        <v>125.12</v>
      </c>
      <c r="CK1318" s="347" t="s">
        <v>365</v>
      </c>
      <c r="CL1318" s="1789"/>
      <c r="CR1318" s="345"/>
      <c r="CS1318" s="345"/>
      <c r="CX1318" s="347"/>
      <c r="CY1318" s="347"/>
      <c r="DH1318" s="237"/>
      <c r="DI1318" s="237"/>
      <c r="DN1318" s="347"/>
      <c r="DO1318" s="347"/>
      <c r="DP1318" s="2505"/>
    </row>
    <row r="1319" spans="12:120">
      <c r="L1319" s="347">
        <v>133</v>
      </c>
      <c r="M1319" s="347" t="s">
        <v>352</v>
      </c>
      <c r="AB1319" s="347">
        <v>174</v>
      </c>
      <c r="AC1319" s="347" t="s">
        <v>359</v>
      </c>
      <c r="AD1319" s="1138"/>
      <c r="AP1319" s="347">
        <v>8.11</v>
      </c>
      <c r="AQ1319" s="347" t="s">
        <v>350</v>
      </c>
      <c r="BF1319" s="347">
        <v>125.02</v>
      </c>
      <c r="BG1319" s="347" t="s">
        <v>352</v>
      </c>
      <c r="BH1319" s="1790"/>
      <c r="BN1319" s="237">
        <v>9601.0400000000009</v>
      </c>
      <c r="BO1319" s="237" t="s">
        <v>336</v>
      </c>
      <c r="BT1319" s="347">
        <v>7.05</v>
      </c>
      <c r="BU1319" s="347" t="s">
        <v>350</v>
      </c>
      <c r="CD1319" s="237">
        <v>67.22</v>
      </c>
      <c r="CE1319" s="237" t="s">
        <v>352</v>
      </c>
      <c r="CJ1319" s="347">
        <v>125.13</v>
      </c>
      <c r="CK1319" s="347" t="s">
        <v>365</v>
      </c>
      <c r="CL1319" s="1789"/>
      <c r="CR1319" s="345"/>
      <c r="CS1319" s="345"/>
      <c r="CX1319" s="347"/>
      <c r="CY1319" s="347"/>
      <c r="DH1319" s="237"/>
      <c r="DI1319" s="237"/>
      <c r="DN1319" s="347"/>
      <c r="DO1319" s="347"/>
      <c r="DP1319" s="2505"/>
    </row>
    <row r="1320" spans="12:120">
      <c r="L1320" s="347">
        <v>139</v>
      </c>
      <c r="M1320" s="347" t="s">
        <v>352</v>
      </c>
      <c r="AB1320" s="347">
        <v>175.01</v>
      </c>
      <c r="AC1320" s="347" t="s">
        <v>359</v>
      </c>
      <c r="AD1320" s="1138"/>
      <c r="AP1320" s="347">
        <v>9.01</v>
      </c>
      <c r="AQ1320" s="347" t="s">
        <v>350</v>
      </c>
      <c r="BF1320" s="347">
        <v>125.02</v>
      </c>
      <c r="BG1320" s="347" t="s">
        <v>365</v>
      </c>
      <c r="BH1320" s="1790"/>
      <c r="BN1320" s="237">
        <v>9601.0499999999993</v>
      </c>
      <c r="BO1320" s="237" t="s">
        <v>336</v>
      </c>
      <c r="BT1320" s="347">
        <v>7.06</v>
      </c>
      <c r="BU1320" s="347" t="s">
        <v>350</v>
      </c>
      <c r="CD1320" s="237">
        <v>68.010000000000005</v>
      </c>
      <c r="CE1320" s="237" t="s">
        <v>337</v>
      </c>
      <c r="CJ1320" s="347">
        <v>125.14</v>
      </c>
      <c r="CK1320" s="347" t="s">
        <v>365</v>
      </c>
      <c r="CL1320" s="1789"/>
      <c r="CR1320" s="345"/>
      <c r="CS1320" s="345"/>
      <c r="CX1320" s="347"/>
      <c r="CY1320" s="347"/>
      <c r="DH1320" s="237"/>
      <c r="DI1320" s="237"/>
      <c r="DN1320" s="347"/>
      <c r="DO1320" s="347"/>
      <c r="DP1320" s="2505"/>
    </row>
    <row r="1321" spans="12:120">
      <c r="L1321" s="347">
        <v>142</v>
      </c>
      <c r="M1321" s="347" t="s">
        <v>352</v>
      </c>
      <c r="AB1321" s="347">
        <v>176</v>
      </c>
      <c r="AC1321" s="347" t="s">
        <v>352</v>
      </c>
      <c r="AD1321" s="1138"/>
      <c r="AP1321" s="347">
        <v>9.0299999999999994</v>
      </c>
      <c r="AQ1321" s="347" t="s">
        <v>350</v>
      </c>
      <c r="BF1321" s="347">
        <v>125.03</v>
      </c>
      <c r="BG1321" s="347" t="s">
        <v>337</v>
      </c>
      <c r="BH1321" s="1790"/>
      <c r="BN1321" s="237">
        <v>9602</v>
      </c>
      <c r="BO1321" s="237" t="s">
        <v>336</v>
      </c>
      <c r="BT1321" s="347">
        <v>8.06</v>
      </c>
      <c r="BU1321" s="347" t="s">
        <v>350</v>
      </c>
      <c r="CD1321" s="237">
        <v>68.010000000000005</v>
      </c>
      <c r="CE1321" s="237" t="s">
        <v>352</v>
      </c>
      <c r="CJ1321" s="347">
        <v>125.15</v>
      </c>
      <c r="CK1321" s="347" t="s">
        <v>365</v>
      </c>
      <c r="CL1321" s="1789"/>
      <c r="CR1321" s="345"/>
      <c r="CS1321" s="345"/>
      <c r="CX1321" s="347"/>
      <c r="CY1321" s="347"/>
      <c r="DH1321" s="237"/>
      <c r="DI1321" s="237"/>
      <c r="DN1321" s="347"/>
      <c r="DO1321" s="347"/>
      <c r="DP1321" s="2505"/>
    </row>
    <row r="1322" spans="12:120">
      <c r="L1322" s="347">
        <v>143</v>
      </c>
      <c r="M1322" s="347" t="s">
        <v>352</v>
      </c>
      <c r="AB1322" s="347">
        <v>177</v>
      </c>
      <c r="AC1322" s="347" t="s">
        <v>352</v>
      </c>
      <c r="AD1322" s="1138"/>
      <c r="AP1322" s="347">
        <v>9.0399999999999991</v>
      </c>
      <c r="AQ1322" s="347" t="s">
        <v>350</v>
      </c>
      <c r="BF1322" s="347">
        <v>125.06</v>
      </c>
      <c r="BG1322" s="347" t="s">
        <v>365</v>
      </c>
      <c r="BH1322" s="1790"/>
      <c r="BN1322" s="237">
        <v>9603</v>
      </c>
      <c r="BO1322" s="237" t="s">
        <v>336</v>
      </c>
      <c r="BT1322" s="347">
        <v>8.07</v>
      </c>
      <c r="BU1322" s="347" t="s">
        <v>350</v>
      </c>
      <c r="CD1322" s="237">
        <v>68.010000000000005</v>
      </c>
      <c r="CE1322" s="237" t="s">
        <v>361</v>
      </c>
      <c r="CJ1322" s="347">
        <v>126</v>
      </c>
      <c r="CK1322" s="347" t="s">
        <v>359</v>
      </c>
      <c r="CL1322" s="1789"/>
      <c r="CR1322" s="345"/>
      <c r="CS1322" s="345"/>
      <c r="CX1322" s="347"/>
      <c r="CY1322" s="347"/>
      <c r="DH1322" s="237"/>
      <c r="DI1322" s="237"/>
      <c r="DN1322" s="347"/>
      <c r="DO1322" s="347"/>
      <c r="DP1322" s="2505"/>
    </row>
    <row r="1323" spans="12:120">
      <c r="L1323" s="347">
        <v>144</v>
      </c>
      <c r="M1323" s="347" t="s">
        <v>352</v>
      </c>
      <c r="AB1323" s="347">
        <v>177.02</v>
      </c>
      <c r="AC1323" s="347" t="s">
        <v>359</v>
      </c>
      <c r="AD1323" s="1138"/>
      <c r="AP1323" s="347">
        <v>10.050000000000001</v>
      </c>
      <c r="AQ1323" s="347" t="s">
        <v>350</v>
      </c>
      <c r="BF1323" s="347">
        <v>125.08</v>
      </c>
      <c r="BG1323" s="347" t="s">
        <v>365</v>
      </c>
      <c r="BH1323" s="1790"/>
      <c r="BN1323" s="237">
        <v>9604.01</v>
      </c>
      <c r="BO1323" s="237" t="s">
        <v>336</v>
      </c>
      <c r="BT1323" s="347">
        <v>8.08</v>
      </c>
      <c r="BU1323" s="347" t="s">
        <v>350</v>
      </c>
      <c r="CD1323" s="237">
        <v>68.02</v>
      </c>
      <c r="CE1323" s="237" t="s">
        <v>337</v>
      </c>
      <c r="CJ1323" s="347">
        <v>126.01</v>
      </c>
      <c r="CK1323" s="347" t="s">
        <v>352</v>
      </c>
      <c r="CL1323" s="1789"/>
      <c r="CR1323" s="345"/>
      <c r="CS1323" s="345"/>
      <c r="CX1323" s="347"/>
      <c r="CY1323" s="347"/>
      <c r="DH1323" s="237"/>
      <c r="DI1323" s="237"/>
      <c r="DN1323" s="347"/>
      <c r="DO1323" s="347"/>
      <c r="DP1323" s="2505"/>
    </row>
    <row r="1324" spans="12:120">
      <c r="L1324" s="347">
        <v>147</v>
      </c>
      <c r="M1324" s="347" t="s">
        <v>352</v>
      </c>
      <c r="AB1324" s="347">
        <v>178.02</v>
      </c>
      <c r="AC1324" s="347" t="s">
        <v>359</v>
      </c>
      <c r="AD1324" s="1138"/>
      <c r="AP1324" s="347">
        <v>10.07</v>
      </c>
      <c r="AQ1324" s="347" t="s">
        <v>350</v>
      </c>
      <c r="BF1324" s="347">
        <v>125.09</v>
      </c>
      <c r="BG1324" s="347" t="s">
        <v>365</v>
      </c>
      <c r="BH1324" s="1790"/>
      <c r="BN1324" s="237">
        <v>9604.02</v>
      </c>
      <c r="BO1324" s="237" t="s">
        <v>336</v>
      </c>
      <c r="BT1324" s="347">
        <v>8.09</v>
      </c>
      <c r="BU1324" s="347" t="s">
        <v>350</v>
      </c>
      <c r="CD1324" s="237">
        <v>68.02</v>
      </c>
      <c r="CE1324" s="237" t="s">
        <v>352</v>
      </c>
      <c r="CJ1324" s="347">
        <v>126.01</v>
      </c>
      <c r="CK1324" s="347" t="s">
        <v>365</v>
      </c>
      <c r="CL1324" s="1789"/>
      <c r="CR1324" s="345"/>
      <c r="CS1324" s="345"/>
      <c r="CX1324" s="347"/>
      <c r="CY1324" s="347"/>
      <c r="DH1324" s="237"/>
      <c r="DI1324" s="237"/>
      <c r="DN1324" s="347"/>
      <c r="DO1324" s="347"/>
      <c r="DP1324" s="2505"/>
    </row>
    <row r="1325" spans="12:120">
      <c r="L1325" s="347">
        <v>149</v>
      </c>
      <c r="M1325" s="347" t="s">
        <v>352</v>
      </c>
      <c r="AB1325" s="347">
        <v>178.04</v>
      </c>
      <c r="AC1325" s="347" t="s">
        <v>359</v>
      </c>
      <c r="AD1325" s="1138"/>
      <c r="AP1325" s="347">
        <v>10.08</v>
      </c>
      <c r="AQ1325" s="347" t="s">
        <v>350</v>
      </c>
      <c r="BF1325" s="347">
        <v>125.12</v>
      </c>
      <c r="BG1325" s="347" t="s">
        <v>365</v>
      </c>
      <c r="BH1325" s="1790"/>
      <c r="BN1325" s="237">
        <v>9605.01</v>
      </c>
      <c r="BO1325" s="237" t="s">
        <v>336</v>
      </c>
      <c r="BT1325" s="347">
        <v>8.1</v>
      </c>
      <c r="BU1325" s="347" t="s">
        <v>350</v>
      </c>
      <c r="CD1325" s="237">
        <v>68.02</v>
      </c>
      <c r="CE1325" s="237" t="s">
        <v>361</v>
      </c>
      <c r="CJ1325" s="347">
        <v>127.01</v>
      </c>
      <c r="CK1325" s="347" t="s">
        <v>337</v>
      </c>
      <c r="CL1325" s="1789"/>
      <c r="CR1325" s="345"/>
      <c r="CS1325" s="345"/>
      <c r="CX1325" s="347"/>
      <c r="CY1325" s="347"/>
      <c r="DH1325" s="237"/>
      <c r="DI1325" s="237"/>
      <c r="DN1325" s="347"/>
      <c r="DO1325" s="347"/>
      <c r="DP1325" s="2505"/>
    </row>
    <row r="1326" spans="12:120">
      <c r="L1326" s="347">
        <v>151</v>
      </c>
      <c r="M1326" s="347" t="s">
        <v>352</v>
      </c>
      <c r="AB1326" s="347">
        <v>178.05</v>
      </c>
      <c r="AC1326" s="347" t="s">
        <v>359</v>
      </c>
      <c r="AD1326" s="1138"/>
      <c r="AP1326" s="347">
        <v>10.09</v>
      </c>
      <c r="AQ1326" s="347" t="s">
        <v>350</v>
      </c>
      <c r="BF1326" s="347">
        <v>125.13</v>
      </c>
      <c r="BG1326" s="347" t="s">
        <v>365</v>
      </c>
      <c r="BH1326" s="1790"/>
      <c r="BN1326" s="237">
        <v>9605.0300000000007</v>
      </c>
      <c r="BO1326" s="237" t="s">
        <v>336</v>
      </c>
      <c r="BT1326" s="347">
        <v>8.11</v>
      </c>
      <c r="BU1326" s="347" t="s">
        <v>350</v>
      </c>
      <c r="CD1326" s="237">
        <v>69</v>
      </c>
      <c r="CE1326" s="237" t="s">
        <v>337</v>
      </c>
      <c r="CJ1326" s="347">
        <v>127.01</v>
      </c>
      <c r="CK1326" s="347" t="s">
        <v>352</v>
      </c>
      <c r="CL1326" s="1789"/>
      <c r="CR1326" s="345"/>
      <c r="CS1326" s="345"/>
      <c r="CX1326" s="347"/>
      <c r="CY1326" s="347"/>
      <c r="DH1326" s="237"/>
      <c r="DI1326" s="237"/>
      <c r="DN1326" s="347"/>
      <c r="DO1326" s="347"/>
      <c r="DP1326" s="2505"/>
    </row>
    <row r="1327" spans="12:120">
      <c r="L1327" s="347">
        <v>152</v>
      </c>
      <c r="M1327" s="347" t="s">
        <v>352</v>
      </c>
      <c r="AB1327" s="347">
        <v>178.06</v>
      </c>
      <c r="AC1327" s="347" t="s">
        <v>359</v>
      </c>
      <c r="AD1327" s="1138"/>
      <c r="AP1327" s="347">
        <v>10.11</v>
      </c>
      <c r="AQ1327" s="347" t="s">
        <v>350</v>
      </c>
      <c r="BF1327" s="347">
        <v>125.14</v>
      </c>
      <c r="BG1327" s="347" t="s">
        <v>365</v>
      </c>
      <c r="BH1327" s="1790"/>
      <c r="BN1327" s="237">
        <v>9605.0400000000009</v>
      </c>
      <c r="BO1327" s="237" t="s">
        <v>336</v>
      </c>
      <c r="BT1327" s="347">
        <v>9.0299999999999994</v>
      </c>
      <c r="BU1327" s="347" t="s">
        <v>350</v>
      </c>
      <c r="CD1327" s="237">
        <v>69.010000000000005</v>
      </c>
      <c r="CE1327" s="237" t="s">
        <v>352</v>
      </c>
      <c r="CJ1327" s="347">
        <v>127.01</v>
      </c>
      <c r="CK1327" s="347" t="s">
        <v>359</v>
      </c>
      <c r="CL1327" s="1789"/>
      <c r="CR1327" s="345"/>
      <c r="CS1327" s="345"/>
      <c r="CX1327" s="347"/>
      <c r="CY1327" s="347"/>
      <c r="DH1327" s="237"/>
      <c r="DI1327" s="237"/>
      <c r="DN1327" s="347"/>
      <c r="DO1327" s="347"/>
      <c r="DP1327" s="2505"/>
    </row>
    <row r="1328" spans="12:120">
      <c r="L1328" s="347">
        <v>153</v>
      </c>
      <c r="M1328" s="347" t="s">
        <v>352</v>
      </c>
      <c r="AB1328" s="347">
        <v>178.08</v>
      </c>
      <c r="AC1328" s="347" t="s">
        <v>359</v>
      </c>
      <c r="AD1328" s="1138"/>
      <c r="AP1328" s="347">
        <v>10.119999999999999</v>
      </c>
      <c r="AQ1328" s="347" t="s">
        <v>350</v>
      </c>
      <c r="BF1328" s="347">
        <v>125.15</v>
      </c>
      <c r="BG1328" s="347" t="s">
        <v>365</v>
      </c>
      <c r="BH1328" s="1790"/>
      <c r="BN1328" s="237">
        <v>9606.01</v>
      </c>
      <c r="BO1328" s="237" t="s">
        <v>336</v>
      </c>
      <c r="BT1328" s="347">
        <v>10.050000000000001</v>
      </c>
      <c r="BU1328" s="347" t="s">
        <v>350</v>
      </c>
      <c r="CD1328" s="237">
        <v>69.02</v>
      </c>
      <c r="CE1328" s="237" t="s">
        <v>352</v>
      </c>
      <c r="CJ1328" s="347">
        <v>127.01</v>
      </c>
      <c r="CK1328" s="347" t="s">
        <v>365</v>
      </c>
      <c r="CL1328" s="1789"/>
      <c r="CR1328" s="345"/>
      <c r="CS1328" s="345"/>
      <c r="CX1328" s="347"/>
      <c r="CY1328" s="347"/>
      <c r="DH1328" s="237"/>
      <c r="DI1328" s="237"/>
      <c r="DN1328" s="347"/>
      <c r="DO1328" s="347"/>
      <c r="DP1328" s="2505"/>
    </row>
    <row r="1329" spans="12:120">
      <c r="L1329" s="347">
        <v>154</v>
      </c>
      <c r="M1329" s="347" t="s">
        <v>352</v>
      </c>
      <c r="AB1329" s="347">
        <v>179</v>
      </c>
      <c r="AC1329" s="347" t="s">
        <v>352</v>
      </c>
      <c r="AD1329" s="1138"/>
      <c r="AP1329" s="347">
        <v>11.03</v>
      </c>
      <c r="AQ1329" s="347" t="s">
        <v>350</v>
      </c>
      <c r="BF1329" s="347">
        <v>126</v>
      </c>
      <c r="BG1329" s="347" t="s">
        <v>359</v>
      </c>
      <c r="BH1329" s="1790"/>
      <c r="BN1329" s="237">
        <v>9606.02</v>
      </c>
      <c r="BO1329" s="237" t="s">
        <v>336</v>
      </c>
      <c r="BT1329" s="347">
        <v>10.07</v>
      </c>
      <c r="BU1329" s="347" t="s">
        <v>350</v>
      </c>
      <c r="CD1329" s="237">
        <v>69.06</v>
      </c>
      <c r="CE1329" s="237" t="s">
        <v>361</v>
      </c>
      <c r="CJ1329" s="347">
        <v>127.02</v>
      </c>
      <c r="CK1329" s="347" t="s">
        <v>352</v>
      </c>
      <c r="CL1329" s="1789"/>
      <c r="CR1329" s="345"/>
      <c r="CS1329" s="345"/>
      <c r="CX1329" s="347"/>
      <c r="CY1329" s="347"/>
      <c r="DH1329" s="237"/>
      <c r="DI1329" s="237"/>
      <c r="DN1329" s="347"/>
      <c r="DO1329" s="347"/>
      <c r="DP1329" s="2505"/>
    </row>
    <row r="1330" spans="12:120">
      <c r="L1330" s="347">
        <v>155</v>
      </c>
      <c r="M1330" s="347" t="s">
        <v>352</v>
      </c>
      <c r="AB1330" s="347">
        <v>179.01</v>
      </c>
      <c r="AC1330" s="347" t="s">
        <v>359</v>
      </c>
      <c r="AD1330" s="1138"/>
      <c r="AP1330" s="347">
        <v>11.05</v>
      </c>
      <c r="AQ1330" s="347" t="s">
        <v>350</v>
      </c>
      <c r="BF1330" s="347">
        <v>126.01</v>
      </c>
      <c r="BG1330" s="347" t="s">
        <v>352</v>
      </c>
      <c r="BH1330" s="1790"/>
      <c r="BN1330" s="237">
        <v>9607</v>
      </c>
      <c r="BO1330" s="237" t="s">
        <v>336</v>
      </c>
      <c r="BT1330" s="347">
        <v>10.08</v>
      </c>
      <c r="BU1330" s="347" t="s">
        <v>350</v>
      </c>
      <c r="CD1330" s="237">
        <v>69.069999999999993</v>
      </c>
      <c r="CE1330" s="237" t="s">
        <v>361</v>
      </c>
      <c r="CJ1330" s="347">
        <v>127.03</v>
      </c>
      <c r="CK1330" s="347" t="s">
        <v>323</v>
      </c>
      <c r="CL1330" s="1789"/>
      <c r="CR1330" s="345"/>
      <c r="CS1330" s="345"/>
      <c r="CX1330" s="347"/>
      <c r="CY1330" s="347"/>
      <c r="DH1330" s="237"/>
      <c r="DI1330" s="237"/>
      <c r="DN1330" s="347"/>
      <c r="DO1330" s="347"/>
      <c r="DP1330" s="2505"/>
    </row>
    <row r="1331" spans="12:120">
      <c r="L1331" s="347">
        <v>156</v>
      </c>
      <c r="M1331" s="347" t="s">
        <v>352</v>
      </c>
      <c r="AB1331" s="347">
        <v>180</v>
      </c>
      <c r="AC1331" s="347" t="s">
        <v>352</v>
      </c>
      <c r="AD1331" s="1138"/>
      <c r="AP1331" s="347">
        <v>12.05</v>
      </c>
      <c r="AQ1331" s="347" t="s">
        <v>350</v>
      </c>
      <c r="BF1331" s="347">
        <v>126.01</v>
      </c>
      <c r="BG1331" s="347" t="s">
        <v>365</v>
      </c>
      <c r="BH1331" s="1790"/>
      <c r="BN1331" s="237">
        <v>9608</v>
      </c>
      <c r="BO1331" s="237" t="s">
        <v>336</v>
      </c>
      <c r="BT1331" s="347">
        <v>10.09</v>
      </c>
      <c r="BU1331" s="347" t="s">
        <v>350</v>
      </c>
      <c r="CD1331" s="237">
        <v>69.08</v>
      </c>
      <c r="CE1331" s="237" t="s">
        <v>361</v>
      </c>
      <c r="CJ1331" s="347">
        <v>128</v>
      </c>
      <c r="CK1331" s="347" t="s">
        <v>359</v>
      </c>
      <c r="CL1331" s="1789"/>
      <c r="CR1331" s="345"/>
      <c r="CS1331" s="345"/>
      <c r="CX1331" s="347"/>
      <c r="CY1331" s="347"/>
      <c r="DH1331" s="237"/>
      <c r="DI1331" s="237"/>
      <c r="DN1331" s="347"/>
      <c r="DO1331" s="347"/>
      <c r="DP1331" s="2505"/>
    </row>
    <row r="1332" spans="12:120">
      <c r="L1332" s="347">
        <v>157</v>
      </c>
      <c r="M1332" s="347" t="s">
        <v>352</v>
      </c>
      <c r="AB1332" s="347">
        <v>181</v>
      </c>
      <c r="AC1332" s="347" t="s">
        <v>352</v>
      </c>
      <c r="AD1332" s="1138"/>
      <c r="AP1332" s="347">
        <v>12.08</v>
      </c>
      <c r="AQ1332" s="347" t="s">
        <v>350</v>
      </c>
      <c r="BF1332" s="347">
        <v>126.02</v>
      </c>
      <c r="BG1332" s="347" t="s">
        <v>352</v>
      </c>
      <c r="BH1332" s="1790"/>
      <c r="BN1332" s="237">
        <v>9609</v>
      </c>
      <c r="BO1332" s="237" t="s">
        <v>336</v>
      </c>
      <c r="BT1332" s="347">
        <v>10.11</v>
      </c>
      <c r="BU1332" s="347" t="s">
        <v>350</v>
      </c>
      <c r="CD1332" s="237">
        <v>69.09</v>
      </c>
      <c r="CE1332" s="237" t="s">
        <v>361</v>
      </c>
      <c r="CJ1332" s="347">
        <v>128.01</v>
      </c>
      <c r="CK1332" s="347" t="s">
        <v>352</v>
      </c>
      <c r="CL1332" s="1789"/>
      <c r="CR1332" s="345"/>
      <c r="CS1332" s="345"/>
      <c r="CX1332" s="347"/>
      <c r="CY1332" s="347"/>
      <c r="DH1332" s="237"/>
      <c r="DI1332" s="237"/>
      <c r="DN1332" s="347"/>
      <c r="DO1332" s="347"/>
      <c r="DP1332" s="2505"/>
    </row>
    <row r="1333" spans="12:120">
      <c r="L1333" s="347">
        <v>159</v>
      </c>
      <c r="M1333" s="347" t="s">
        <v>352</v>
      </c>
      <c r="AB1333" s="347">
        <v>181</v>
      </c>
      <c r="AC1333" s="347" t="s">
        <v>359</v>
      </c>
      <c r="AD1333" s="1138"/>
      <c r="AP1333" s="347">
        <v>12.09</v>
      </c>
      <c r="AQ1333" s="347" t="s">
        <v>350</v>
      </c>
      <c r="BF1333" s="347">
        <v>127.01</v>
      </c>
      <c r="BG1333" s="347" t="s">
        <v>337</v>
      </c>
      <c r="BH1333" s="1790"/>
      <c r="BN1333" s="237">
        <v>9610</v>
      </c>
      <c r="BO1333" s="237" t="s">
        <v>336</v>
      </c>
      <c r="BT1333" s="347">
        <v>10.119999999999999</v>
      </c>
      <c r="BU1333" s="347" t="s">
        <v>350</v>
      </c>
      <c r="CD1333" s="237">
        <v>69.099999999999994</v>
      </c>
      <c r="CE1333" s="237" t="s">
        <v>361</v>
      </c>
      <c r="CJ1333" s="347">
        <v>128.02000000000001</v>
      </c>
      <c r="CK1333" s="347" t="s">
        <v>352</v>
      </c>
      <c r="CL1333" s="1789"/>
      <c r="CR1333" s="345"/>
      <c r="CS1333" s="345"/>
      <c r="CX1333" s="347"/>
      <c r="CY1333" s="347"/>
      <c r="DH1333" s="237"/>
      <c r="DI1333" s="237"/>
      <c r="DN1333" s="347"/>
      <c r="DO1333" s="347"/>
      <c r="DP1333" s="2505"/>
    </row>
    <row r="1334" spans="12:120">
      <c r="L1334" s="347">
        <v>160</v>
      </c>
      <c r="M1334" s="347" t="s">
        <v>352</v>
      </c>
      <c r="AB1334" s="347">
        <v>182</v>
      </c>
      <c r="AC1334" s="347" t="s">
        <v>352</v>
      </c>
      <c r="AD1334" s="1138"/>
      <c r="AP1334" s="347">
        <v>12.1</v>
      </c>
      <c r="AQ1334" s="347" t="s">
        <v>350</v>
      </c>
      <c r="BF1334" s="347">
        <v>127.01</v>
      </c>
      <c r="BG1334" s="347" t="s">
        <v>352</v>
      </c>
      <c r="BH1334" s="1790"/>
      <c r="BN1334" s="237">
        <v>9611</v>
      </c>
      <c r="BO1334" s="237" t="s">
        <v>336</v>
      </c>
      <c r="BT1334" s="347">
        <v>11.03</v>
      </c>
      <c r="BU1334" s="347" t="s">
        <v>350</v>
      </c>
      <c r="CD1334" s="237">
        <v>69.11</v>
      </c>
      <c r="CE1334" s="237" t="s">
        <v>361</v>
      </c>
      <c r="CJ1334" s="347">
        <v>128.02000000000001</v>
      </c>
      <c r="CK1334" s="347" t="s">
        <v>365</v>
      </c>
      <c r="CL1334" s="1789"/>
      <c r="CR1334" s="345"/>
      <c r="CS1334" s="345"/>
      <c r="CX1334" s="347"/>
      <c r="CY1334" s="347"/>
      <c r="DH1334" s="237"/>
      <c r="DI1334" s="237"/>
      <c r="DN1334" s="347"/>
      <c r="DO1334" s="347"/>
      <c r="DP1334" s="2505"/>
    </row>
    <row r="1335" spans="12:120">
      <c r="L1335" s="347">
        <v>161</v>
      </c>
      <c r="M1335" s="347" t="s">
        <v>352</v>
      </c>
      <c r="AB1335" s="347">
        <v>182</v>
      </c>
      <c r="AC1335" s="347" t="s">
        <v>359</v>
      </c>
      <c r="AD1335" s="1138"/>
      <c r="AP1335" s="347">
        <v>13.01</v>
      </c>
      <c r="AQ1335" s="347" t="s">
        <v>350</v>
      </c>
      <c r="BF1335" s="347">
        <v>127.01</v>
      </c>
      <c r="BG1335" s="347" t="s">
        <v>359</v>
      </c>
      <c r="BH1335" s="1790"/>
      <c r="BN1335" s="237">
        <v>9612.01</v>
      </c>
      <c r="BO1335" s="237" t="s">
        <v>336</v>
      </c>
      <c r="BT1335" s="347">
        <v>11.05</v>
      </c>
      <c r="BU1335" s="347" t="s">
        <v>350</v>
      </c>
      <c r="CD1335" s="237">
        <v>69.12</v>
      </c>
      <c r="CE1335" s="237" t="s">
        <v>361</v>
      </c>
      <c r="CJ1335" s="347">
        <v>128.03</v>
      </c>
      <c r="CK1335" s="347" t="s">
        <v>365</v>
      </c>
      <c r="CL1335" s="1789"/>
      <c r="CR1335" s="345"/>
      <c r="CS1335" s="345"/>
      <c r="CX1335" s="347"/>
      <c r="CY1335" s="347"/>
      <c r="DH1335" s="237"/>
      <c r="DI1335" s="237"/>
      <c r="DN1335" s="347"/>
      <c r="DO1335" s="347"/>
      <c r="DP1335" s="2505"/>
    </row>
    <row r="1336" spans="12:120">
      <c r="L1336" s="347">
        <v>162</v>
      </c>
      <c r="M1336" s="347" t="s">
        <v>352</v>
      </c>
      <c r="AB1336" s="347">
        <v>183</v>
      </c>
      <c r="AC1336" s="347" t="s">
        <v>352</v>
      </c>
      <c r="AD1336" s="1138"/>
      <c r="AP1336" s="347">
        <v>13.02</v>
      </c>
      <c r="AQ1336" s="347" t="s">
        <v>350</v>
      </c>
      <c r="BF1336" s="347">
        <v>127.01</v>
      </c>
      <c r="BG1336" s="347" t="s">
        <v>365</v>
      </c>
      <c r="BH1336" s="1790"/>
      <c r="BN1336" s="237">
        <v>9612.02</v>
      </c>
      <c r="BO1336" s="237" t="s">
        <v>336</v>
      </c>
      <c r="BT1336" s="347">
        <v>11.06</v>
      </c>
      <c r="BU1336" s="347" t="s">
        <v>350</v>
      </c>
      <c r="CD1336" s="237">
        <v>70.010000000000005</v>
      </c>
      <c r="CE1336" s="237" t="s">
        <v>337</v>
      </c>
      <c r="CJ1336" s="347">
        <v>128.04</v>
      </c>
      <c r="CK1336" s="347" t="s">
        <v>365</v>
      </c>
      <c r="CL1336" s="1789"/>
      <c r="CR1336" s="345"/>
      <c r="CS1336" s="345"/>
      <c r="CX1336" s="347"/>
      <c r="CY1336" s="347"/>
      <c r="DH1336" s="237"/>
      <c r="DI1336" s="237"/>
      <c r="DN1336" s="347"/>
      <c r="DO1336" s="347"/>
      <c r="DP1336" s="2505"/>
    </row>
    <row r="1337" spans="12:120">
      <c r="L1337" s="347">
        <v>163</v>
      </c>
      <c r="M1337" s="347" t="s">
        <v>352</v>
      </c>
      <c r="AB1337" s="347">
        <v>184</v>
      </c>
      <c r="AC1337" s="347" t="s">
        <v>352</v>
      </c>
      <c r="AD1337" s="1138"/>
      <c r="AP1337" s="347">
        <v>14.03</v>
      </c>
      <c r="AQ1337" s="347" t="s">
        <v>350</v>
      </c>
      <c r="BF1337" s="347">
        <v>127.02</v>
      </c>
      <c r="BG1337" s="347" t="s">
        <v>352</v>
      </c>
      <c r="BH1337" s="1790"/>
      <c r="BN1337" s="237">
        <v>9613.01</v>
      </c>
      <c r="BO1337" s="237" t="s">
        <v>336</v>
      </c>
      <c r="BT1337" s="347">
        <v>12.05</v>
      </c>
      <c r="BU1337" s="347" t="s">
        <v>350</v>
      </c>
      <c r="CD1337" s="237">
        <v>70.02</v>
      </c>
      <c r="CE1337" s="237" t="s">
        <v>337</v>
      </c>
      <c r="CJ1337" s="347">
        <v>129</v>
      </c>
      <c r="CK1337" s="347" t="s">
        <v>352</v>
      </c>
      <c r="CL1337" s="1789"/>
      <c r="CR1337" s="345"/>
      <c r="CS1337" s="345"/>
      <c r="CX1337" s="347"/>
      <c r="CY1337" s="347"/>
      <c r="DH1337" s="237"/>
      <c r="DI1337" s="237"/>
      <c r="DN1337" s="347"/>
      <c r="DO1337" s="347"/>
      <c r="DP1337" s="2505"/>
    </row>
    <row r="1338" spans="12:120">
      <c r="L1338" s="347">
        <v>164</v>
      </c>
      <c r="M1338" s="347" t="s">
        <v>352</v>
      </c>
      <c r="AB1338" s="347">
        <v>184</v>
      </c>
      <c r="AC1338" s="347" t="s">
        <v>359</v>
      </c>
      <c r="AD1338" s="1138"/>
      <c r="AP1338" s="347">
        <v>19</v>
      </c>
      <c r="AQ1338" s="347" t="s">
        <v>350</v>
      </c>
      <c r="BF1338" s="347">
        <v>127.03</v>
      </c>
      <c r="BG1338" s="347" t="s">
        <v>323</v>
      </c>
      <c r="BH1338" s="1790"/>
      <c r="BN1338" s="237">
        <v>9613.0300000000007</v>
      </c>
      <c r="BO1338" s="237" t="s">
        <v>336</v>
      </c>
      <c r="BT1338" s="347">
        <v>12.08</v>
      </c>
      <c r="BU1338" s="347" t="s">
        <v>350</v>
      </c>
      <c r="CD1338" s="237">
        <v>70.03</v>
      </c>
      <c r="CE1338" s="237" t="s">
        <v>352</v>
      </c>
      <c r="CJ1338" s="347">
        <v>129</v>
      </c>
      <c r="CK1338" s="347" t="s">
        <v>359</v>
      </c>
      <c r="CL1338" s="1789"/>
      <c r="CR1338" s="345"/>
      <c r="CS1338" s="345"/>
      <c r="CX1338" s="347"/>
      <c r="CY1338" s="347"/>
      <c r="DH1338" s="237"/>
      <c r="DI1338" s="237"/>
      <c r="DN1338" s="347"/>
      <c r="DO1338" s="347"/>
      <c r="DP1338" s="2505"/>
    </row>
    <row r="1339" spans="12:120">
      <c r="L1339" s="347">
        <v>165</v>
      </c>
      <c r="M1339" s="347" t="s">
        <v>352</v>
      </c>
      <c r="AB1339" s="347">
        <v>185</v>
      </c>
      <c r="AC1339" s="347" t="s">
        <v>352</v>
      </c>
      <c r="AD1339" s="1138"/>
      <c r="AP1339" s="347">
        <v>20.010000000000002</v>
      </c>
      <c r="AQ1339" s="347" t="s">
        <v>350</v>
      </c>
      <c r="BF1339" s="347">
        <v>128</v>
      </c>
      <c r="BG1339" s="347" t="s">
        <v>359</v>
      </c>
      <c r="BH1339" s="1790"/>
      <c r="BN1339" s="237">
        <v>9613.0400000000009</v>
      </c>
      <c r="BO1339" s="237" t="s">
        <v>336</v>
      </c>
      <c r="BT1339" s="347">
        <v>12.09</v>
      </c>
      <c r="BU1339" s="347" t="s">
        <v>350</v>
      </c>
      <c r="CD1339" s="237">
        <v>70.040000000000006</v>
      </c>
      <c r="CE1339" s="237" t="s">
        <v>352</v>
      </c>
      <c r="CJ1339" s="347">
        <v>130</v>
      </c>
      <c r="CK1339" s="347" t="s">
        <v>323</v>
      </c>
      <c r="CL1339" s="1789"/>
      <c r="CR1339" s="345"/>
      <c r="CS1339" s="345"/>
      <c r="CX1339" s="347"/>
      <c r="CY1339" s="347"/>
      <c r="DH1339" s="237"/>
      <c r="DI1339" s="237"/>
      <c r="DN1339" s="347"/>
      <c r="DO1339" s="347"/>
      <c r="DP1339" s="2505"/>
    </row>
    <row r="1340" spans="12:120">
      <c r="L1340" s="347">
        <v>166</v>
      </c>
      <c r="M1340" s="347" t="s">
        <v>352</v>
      </c>
      <c r="AB1340" s="347">
        <v>186</v>
      </c>
      <c r="AC1340" s="347" t="s">
        <v>352</v>
      </c>
      <c r="AD1340" s="1138"/>
      <c r="AP1340" s="347">
        <v>21</v>
      </c>
      <c r="AQ1340" s="347" t="s">
        <v>350</v>
      </c>
      <c r="BF1340" s="347">
        <v>128.01</v>
      </c>
      <c r="BG1340" s="347" t="s">
        <v>352</v>
      </c>
      <c r="BH1340" s="1790"/>
      <c r="BN1340" s="237">
        <v>9614.01</v>
      </c>
      <c r="BO1340" s="237" t="s">
        <v>336</v>
      </c>
      <c r="BT1340" s="347">
        <v>12.1</v>
      </c>
      <c r="BU1340" s="347" t="s">
        <v>350</v>
      </c>
      <c r="CD1340" s="237">
        <v>70.05</v>
      </c>
      <c r="CE1340" s="237" t="s">
        <v>352</v>
      </c>
      <c r="CJ1340" s="347">
        <v>130</v>
      </c>
      <c r="CK1340" s="347" t="s">
        <v>352</v>
      </c>
      <c r="CL1340" s="1789"/>
      <c r="CR1340" s="345"/>
      <c r="CS1340" s="345"/>
      <c r="CX1340" s="347"/>
      <c r="CY1340" s="347"/>
      <c r="DH1340" s="237"/>
      <c r="DI1340" s="237"/>
      <c r="DN1340" s="347"/>
      <c r="DO1340" s="347"/>
      <c r="DP1340" s="2505"/>
    </row>
    <row r="1341" spans="12:120">
      <c r="L1341" s="347">
        <v>168</v>
      </c>
      <c r="M1341" s="347" t="s">
        <v>352</v>
      </c>
      <c r="AB1341" s="347">
        <v>187</v>
      </c>
      <c r="AC1341" s="347" t="s">
        <v>352</v>
      </c>
      <c r="AD1341" s="1138"/>
      <c r="AP1341" s="347">
        <v>22.01</v>
      </c>
      <c r="AQ1341" s="347" t="s">
        <v>350</v>
      </c>
      <c r="BF1341" s="347">
        <v>128.02000000000001</v>
      </c>
      <c r="BG1341" s="347" t="s">
        <v>352</v>
      </c>
      <c r="BH1341" s="1790"/>
      <c r="BN1341" s="237">
        <v>9614.02</v>
      </c>
      <c r="BO1341" s="237" t="s">
        <v>336</v>
      </c>
      <c r="BT1341" s="347">
        <v>13.01</v>
      </c>
      <c r="BU1341" s="347" t="s">
        <v>350</v>
      </c>
      <c r="CD1341" s="237">
        <v>70.05</v>
      </c>
      <c r="CE1341" s="237" t="s">
        <v>361</v>
      </c>
      <c r="CJ1341" s="347">
        <v>130.01</v>
      </c>
      <c r="CK1341" s="347" t="s">
        <v>365</v>
      </c>
      <c r="CL1341" s="1789"/>
      <c r="CR1341" s="345"/>
      <c r="CS1341" s="345"/>
      <c r="CX1341" s="347"/>
      <c r="CY1341" s="347"/>
      <c r="DH1341" s="237"/>
      <c r="DI1341" s="237"/>
      <c r="DN1341" s="347"/>
      <c r="DO1341" s="347"/>
      <c r="DP1341" s="2505"/>
    </row>
    <row r="1342" spans="12:120">
      <c r="L1342" s="347">
        <v>169</v>
      </c>
      <c r="M1342" s="347" t="s">
        <v>352</v>
      </c>
      <c r="AB1342" s="347">
        <v>188</v>
      </c>
      <c r="AC1342" s="347" t="s">
        <v>352</v>
      </c>
      <c r="AD1342" s="1138"/>
      <c r="AP1342" s="347">
        <v>22.02</v>
      </c>
      <c r="AQ1342" s="347" t="s">
        <v>350</v>
      </c>
      <c r="BF1342" s="347">
        <v>128.02000000000001</v>
      </c>
      <c r="BG1342" s="347" t="s">
        <v>365</v>
      </c>
      <c r="BH1342" s="1790"/>
      <c r="BN1342" s="237">
        <v>9615</v>
      </c>
      <c r="BO1342" s="237" t="s">
        <v>336</v>
      </c>
      <c r="BT1342" s="347">
        <v>14.03</v>
      </c>
      <c r="BU1342" s="347" t="s">
        <v>350</v>
      </c>
      <c r="CD1342" s="237">
        <v>70.06</v>
      </c>
      <c r="CE1342" s="237" t="s">
        <v>352</v>
      </c>
      <c r="CJ1342" s="347">
        <v>130.02000000000001</v>
      </c>
      <c r="CK1342" s="347" t="s">
        <v>337</v>
      </c>
      <c r="CL1342" s="1789"/>
      <c r="CR1342" s="345"/>
      <c r="CS1342" s="345"/>
      <c r="CX1342" s="347"/>
      <c r="CY1342" s="347"/>
      <c r="DH1342" s="237"/>
      <c r="DI1342" s="237"/>
      <c r="DN1342" s="347"/>
      <c r="DO1342" s="347"/>
      <c r="DP1342" s="2505"/>
    </row>
    <row r="1343" spans="12:120">
      <c r="L1343" s="347">
        <v>170</v>
      </c>
      <c r="M1343" s="347" t="s">
        <v>352</v>
      </c>
      <c r="AB1343" s="347">
        <v>188</v>
      </c>
      <c r="AC1343" s="347" t="s">
        <v>359</v>
      </c>
      <c r="AD1343" s="1138"/>
      <c r="AP1343" s="347">
        <v>22.03</v>
      </c>
      <c r="AQ1343" s="347" t="s">
        <v>350</v>
      </c>
      <c r="BF1343" s="347">
        <v>128.03</v>
      </c>
      <c r="BG1343" s="347" t="s">
        <v>365</v>
      </c>
      <c r="BH1343" s="1790"/>
      <c r="BN1343" s="237">
        <v>9616.01</v>
      </c>
      <c r="BO1343" s="237" t="s">
        <v>336</v>
      </c>
      <c r="BT1343" s="347">
        <v>19</v>
      </c>
      <c r="BU1343" s="347" t="s">
        <v>350</v>
      </c>
      <c r="CD1343" s="237">
        <v>70.06</v>
      </c>
      <c r="CE1343" s="237" t="s">
        <v>361</v>
      </c>
      <c r="CJ1343" s="347">
        <v>130.04</v>
      </c>
      <c r="CK1343" s="347" t="s">
        <v>337</v>
      </c>
      <c r="CL1343" s="1789"/>
      <c r="CR1343" s="345"/>
      <c r="CS1343" s="345"/>
      <c r="CX1343" s="347"/>
      <c r="CY1343" s="347"/>
      <c r="DH1343" s="237"/>
      <c r="DI1343" s="237"/>
      <c r="DN1343" s="347"/>
      <c r="DO1343" s="347"/>
      <c r="DP1343" s="2505"/>
    </row>
    <row r="1344" spans="12:120">
      <c r="L1344" s="347">
        <v>171</v>
      </c>
      <c r="M1344" s="347" t="s">
        <v>352</v>
      </c>
      <c r="AB1344" s="347">
        <v>189</v>
      </c>
      <c r="AC1344" s="347" t="s">
        <v>352</v>
      </c>
      <c r="AD1344" s="1138"/>
      <c r="AP1344" s="347">
        <v>23.02</v>
      </c>
      <c r="AQ1344" s="347" t="s">
        <v>350</v>
      </c>
      <c r="BF1344" s="347">
        <v>129</v>
      </c>
      <c r="BG1344" s="347" t="s">
        <v>352</v>
      </c>
      <c r="BH1344" s="1790"/>
      <c r="BN1344" s="237">
        <v>9616.02</v>
      </c>
      <c r="BO1344" s="237" t="s">
        <v>336</v>
      </c>
      <c r="BT1344" s="347">
        <v>21</v>
      </c>
      <c r="BU1344" s="347" t="s">
        <v>350</v>
      </c>
      <c r="CD1344" s="237">
        <v>70.069999999999993</v>
      </c>
      <c r="CE1344" s="237" t="s">
        <v>352</v>
      </c>
      <c r="CJ1344" s="347">
        <v>131</v>
      </c>
      <c r="CK1344" s="347" t="s">
        <v>323</v>
      </c>
      <c r="CL1344" s="1789"/>
      <c r="CR1344" s="345"/>
      <c r="CS1344" s="345"/>
      <c r="CX1344" s="347"/>
      <c r="CY1344" s="347"/>
      <c r="DH1344" s="237"/>
      <c r="DI1344" s="237"/>
      <c r="DN1344" s="347"/>
      <c r="DO1344" s="347"/>
      <c r="DP1344" s="2505"/>
    </row>
    <row r="1345" spans="12:120">
      <c r="L1345" s="347">
        <v>172</v>
      </c>
      <c r="M1345" s="347" t="s">
        <v>352</v>
      </c>
      <c r="AB1345" s="347">
        <v>190</v>
      </c>
      <c r="AC1345" s="347" t="s">
        <v>352</v>
      </c>
      <c r="AD1345" s="1138"/>
      <c r="AP1345" s="347">
        <v>23.04</v>
      </c>
      <c r="AQ1345" s="347" t="s">
        <v>350</v>
      </c>
      <c r="BF1345" s="347">
        <v>129</v>
      </c>
      <c r="BG1345" s="347" t="s">
        <v>359</v>
      </c>
      <c r="BH1345" s="1790"/>
      <c r="BN1345" s="237">
        <v>9616.0400000000009</v>
      </c>
      <c r="BO1345" s="237" t="s">
        <v>336</v>
      </c>
      <c r="BT1345" s="347">
        <v>22.01</v>
      </c>
      <c r="BU1345" s="347" t="s">
        <v>350</v>
      </c>
      <c r="CD1345" s="237">
        <v>70.069999999999993</v>
      </c>
      <c r="CE1345" s="237" t="s">
        <v>361</v>
      </c>
      <c r="CJ1345" s="347">
        <v>131.01</v>
      </c>
      <c r="CK1345" s="347" t="s">
        <v>365</v>
      </c>
      <c r="CL1345" s="1789"/>
      <c r="CR1345" s="345"/>
      <c r="CS1345" s="345"/>
      <c r="CX1345" s="347"/>
      <c r="CY1345" s="347"/>
      <c r="DH1345" s="237"/>
      <c r="DI1345" s="237"/>
      <c r="DN1345" s="347"/>
      <c r="DO1345" s="347"/>
      <c r="DP1345" s="2505"/>
    </row>
    <row r="1346" spans="12:120">
      <c r="L1346" s="347">
        <v>173</v>
      </c>
      <c r="M1346" s="347" t="s">
        <v>352</v>
      </c>
      <c r="AB1346" s="347">
        <v>191</v>
      </c>
      <c r="AC1346" s="347" t="s">
        <v>352</v>
      </c>
      <c r="AD1346" s="1138"/>
      <c r="AP1346" s="347">
        <v>24.01</v>
      </c>
      <c r="AQ1346" s="347" t="s">
        <v>350</v>
      </c>
      <c r="BF1346" s="347">
        <v>130</v>
      </c>
      <c r="BG1346" s="347" t="s">
        <v>323</v>
      </c>
      <c r="BH1346" s="1790"/>
      <c r="BN1346" s="237">
        <v>9616.0499999999993</v>
      </c>
      <c r="BO1346" s="237" t="s">
        <v>336</v>
      </c>
      <c r="BT1346" s="347">
        <v>22.02</v>
      </c>
      <c r="BU1346" s="347" t="s">
        <v>350</v>
      </c>
      <c r="CD1346" s="237">
        <v>70.08</v>
      </c>
      <c r="CE1346" s="237" t="s">
        <v>361</v>
      </c>
      <c r="CJ1346" s="347">
        <v>131.03</v>
      </c>
      <c r="CK1346" s="347" t="s">
        <v>365</v>
      </c>
      <c r="CL1346" s="1789"/>
      <c r="CR1346" s="345"/>
      <c r="CS1346" s="345"/>
      <c r="CX1346" s="347"/>
      <c r="CY1346" s="347"/>
      <c r="DH1346" s="237"/>
      <c r="DI1346" s="237"/>
      <c r="DN1346" s="347"/>
      <c r="DO1346" s="347"/>
      <c r="DP1346" s="2505"/>
    </row>
    <row r="1347" spans="12:120">
      <c r="L1347" s="347">
        <v>174</v>
      </c>
      <c r="M1347" s="347" t="s">
        <v>352</v>
      </c>
      <c r="AB1347" s="347">
        <v>192</v>
      </c>
      <c r="AC1347" s="347" t="s">
        <v>352</v>
      </c>
      <c r="AD1347" s="1138"/>
      <c r="AP1347" s="347">
        <v>24.02</v>
      </c>
      <c r="AQ1347" s="347" t="s">
        <v>350</v>
      </c>
      <c r="BF1347" s="347">
        <v>130</v>
      </c>
      <c r="BG1347" s="347" t="s">
        <v>352</v>
      </c>
      <c r="BH1347" s="1790"/>
      <c r="BN1347" s="237">
        <v>9617.01</v>
      </c>
      <c r="BO1347" s="237" t="s">
        <v>336</v>
      </c>
      <c r="BT1347" s="347">
        <v>22.03</v>
      </c>
      <c r="BU1347" s="347" t="s">
        <v>350</v>
      </c>
      <c r="CD1347" s="237">
        <v>70.09</v>
      </c>
      <c r="CE1347" s="237" t="s">
        <v>361</v>
      </c>
      <c r="CJ1347" s="347">
        <v>132</v>
      </c>
      <c r="CK1347" s="347" t="s">
        <v>323</v>
      </c>
      <c r="CL1347" s="1789"/>
      <c r="CR1347" s="345"/>
      <c r="CS1347" s="345"/>
      <c r="CX1347" s="347"/>
      <c r="CY1347" s="347"/>
      <c r="DH1347" s="237"/>
      <c r="DI1347" s="237"/>
      <c r="DN1347" s="347"/>
      <c r="DO1347" s="347"/>
      <c r="DP1347" s="2505"/>
    </row>
    <row r="1348" spans="12:120">
      <c r="L1348" s="347">
        <v>176</v>
      </c>
      <c r="M1348" s="347" t="s">
        <v>352</v>
      </c>
      <c r="AB1348" s="347">
        <v>193</v>
      </c>
      <c r="AC1348" s="347" t="s">
        <v>352</v>
      </c>
      <c r="AD1348" s="1138"/>
      <c r="AP1348" s="347">
        <v>25.03</v>
      </c>
      <c r="AQ1348" s="347" t="s">
        <v>350</v>
      </c>
      <c r="BF1348" s="347">
        <v>130.01</v>
      </c>
      <c r="BG1348" s="347" t="s">
        <v>365</v>
      </c>
      <c r="BH1348" s="1790"/>
      <c r="BN1348" s="237">
        <v>9617.02</v>
      </c>
      <c r="BO1348" s="237" t="s">
        <v>336</v>
      </c>
      <c r="BT1348" s="347">
        <v>23.02</v>
      </c>
      <c r="BU1348" s="347" t="s">
        <v>350</v>
      </c>
      <c r="CD1348" s="237">
        <v>70.099999999999994</v>
      </c>
      <c r="CE1348" s="237" t="s">
        <v>361</v>
      </c>
      <c r="CJ1348" s="347">
        <v>132.01</v>
      </c>
      <c r="CK1348" s="347" t="s">
        <v>352</v>
      </c>
      <c r="CL1348" s="1789"/>
      <c r="CR1348" s="345"/>
      <c r="CS1348" s="345"/>
      <c r="CX1348" s="347"/>
      <c r="CY1348" s="347"/>
      <c r="DH1348" s="237"/>
      <c r="DI1348" s="237"/>
      <c r="DN1348" s="347"/>
      <c r="DO1348" s="347"/>
      <c r="DP1348" s="2505"/>
    </row>
    <row r="1349" spans="12:120">
      <c r="L1349" s="347">
        <v>177</v>
      </c>
      <c r="M1349" s="347" t="s">
        <v>352</v>
      </c>
      <c r="AB1349" s="347">
        <v>194</v>
      </c>
      <c r="AC1349" s="347" t="s">
        <v>352</v>
      </c>
      <c r="AD1349" s="1138"/>
      <c r="AP1349" s="347">
        <v>25.04</v>
      </c>
      <c r="AQ1349" s="347" t="s">
        <v>350</v>
      </c>
      <c r="BF1349" s="347">
        <v>130.02000000000001</v>
      </c>
      <c r="BG1349" s="347" t="s">
        <v>337</v>
      </c>
      <c r="BH1349" s="1790"/>
      <c r="BN1349" s="237">
        <v>9800</v>
      </c>
      <c r="BO1349" s="237" t="s">
        <v>336</v>
      </c>
      <c r="BT1349" s="347">
        <v>23.04</v>
      </c>
      <c r="BU1349" s="347" t="s">
        <v>350</v>
      </c>
      <c r="CD1349" s="237">
        <v>70.11</v>
      </c>
      <c r="CE1349" s="237" t="s">
        <v>361</v>
      </c>
      <c r="CJ1349" s="347">
        <v>132.02000000000001</v>
      </c>
      <c r="CK1349" s="347" t="s">
        <v>352</v>
      </c>
      <c r="CL1349" s="1789"/>
      <c r="CR1349" s="345"/>
      <c r="CS1349" s="345"/>
      <c r="CX1349" s="347"/>
      <c r="CY1349" s="347"/>
      <c r="DH1349" s="237"/>
      <c r="DI1349" s="237"/>
      <c r="DN1349" s="347"/>
      <c r="DO1349" s="347"/>
      <c r="DP1349" s="2505"/>
    </row>
    <row r="1350" spans="12:120">
      <c r="L1350" s="347">
        <v>179</v>
      </c>
      <c r="M1350" s="347" t="s">
        <v>352</v>
      </c>
      <c r="AB1350" s="347">
        <v>195</v>
      </c>
      <c r="AC1350" s="347" t="s">
        <v>352</v>
      </c>
      <c r="AD1350" s="1138"/>
      <c r="AP1350" s="347">
        <v>25.05</v>
      </c>
      <c r="AQ1350" s="347" t="s">
        <v>350</v>
      </c>
      <c r="BF1350" s="347">
        <v>130.03</v>
      </c>
      <c r="BG1350" s="347" t="s">
        <v>337</v>
      </c>
      <c r="BH1350" s="1790"/>
      <c r="BN1350" s="237">
        <v>9801</v>
      </c>
      <c r="BO1350" s="237" t="s">
        <v>336</v>
      </c>
      <c r="BT1350" s="347">
        <v>24.01</v>
      </c>
      <c r="BU1350" s="347" t="s">
        <v>350</v>
      </c>
      <c r="CD1350" s="237">
        <v>70.12</v>
      </c>
      <c r="CE1350" s="237" t="s">
        <v>361</v>
      </c>
      <c r="CJ1350" s="347">
        <v>132.03</v>
      </c>
      <c r="CK1350" s="347" t="s">
        <v>337</v>
      </c>
      <c r="CL1350" s="1789"/>
      <c r="CR1350" s="345"/>
      <c r="CS1350" s="345"/>
      <c r="CX1350" s="347"/>
      <c r="CY1350" s="347"/>
      <c r="DH1350" s="237"/>
      <c r="DI1350" s="237"/>
      <c r="DN1350" s="347"/>
      <c r="DO1350" s="347"/>
      <c r="DP1350" s="2505"/>
    </row>
    <row r="1351" spans="12:120">
      <c r="L1351" s="347">
        <v>180</v>
      </c>
      <c r="M1351" s="347" t="s">
        <v>352</v>
      </c>
      <c r="AB1351" s="347">
        <v>196</v>
      </c>
      <c r="AC1351" s="347" t="s">
        <v>352</v>
      </c>
      <c r="AD1351" s="1138"/>
      <c r="AP1351" s="347">
        <v>25.07</v>
      </c>
      <c r="AQ1351" s="347" t="s">
        <v>350</v>
      </c>
      <c r="BF1351" s="347">
        <v>130.04</v>
      </c>
      <c r="BG1351" s="347" t="s">
        <v>337</v>
      </c>
      <c r="BH1351" s="1790"/>
      <c r="BN1351" s="237">
        <v>9802</v>
      </c>
      <c r="BO1351" s="237" t="s">
        <v>336</v>
      </c>
      <c r="BT1351" s="347">
        <v>24.02</v>
      </c>
      <c r="BU1351" s="347" t="s">
        <v>350</v>
      </c>
      <c r="CD1351" s="237">
        <v>70.13</v>
      </c>
      <c r="CE1351" s="237" t="s">
        <v>361</v>
      </c>
      <c r="CJ1351" s="347">
        <v>132.05000000000001</v>
      </c>
      <c r="CK1351" s="347" t="s">
        <v>337</v>
      </c>
      <c r="CL1351" s="1789"/>
      <c r="CR1351" s="345"/>
      <c r="CS1351" s="345"/>
      <c r="CX1351" s="347"/>
      <c r="CY1351" s="347"/>
      <c r="DH1351" s="237"/>
      <c r="DI1351" s="237"/>
      <c r="DN1351" s="347"/>
      <c r="DO1351" s="347"/>
      <c r="DP1351" s="2505"/>
    </row>
    <row r="1352" spans="12:120">
      <c r="L1352" s="347">
        <v>181</v>
      </c>
      <c r="M1352" s="347" t="s">
        <v>352</v>
      </c>
      <c r="AB1352" s="347">
        <v>197</v>
      </c>
      <c r="AC1352" s="347" t="s">
        <v>352</v>
      </c>
      <c r="AD1352" s="1138"/>
      <c r="AP1352" s="347">
        <v>26.05</v>
      </c>
      <c r="AQ1352" s="347" t="s">
        <v>350</v>
      </c>
      <c r="BF1352" s="347">
        <v>131</v>
      </c>
      <c r="BG1352" s="347" t="s">
        <v>323</v>
      </c>
      <c r="BH1352" s="1790"/>
      <c r="BN1352" s="237">
        <v>1.01</v>
      </c>
      <c r="BO1352" s="237" t="s">
        <v>337</v>
      </c>
      <c r="BT1352" s="347">
        <v>25.03</v>
      </c>
      <c r="BU1352" s="347" t="s">
        <v>350</v>
      </c>
      <c r="CD1352" s="237">
        <v>71</v>
      </c>
      <c r="CE1352" s="237" t="s">
        <v>361</v>
      </c>
      <c r="CJ1352" s="347">
        <v>132.06</v>
      </c>
      <c r="CK1352" s="347" t="s">
        <v>337</v>
      </c>
      <c r="CL1352" s="1789"/>
      <c r="CR1352" s="345"/>
      <c r="CS1352" s="345"/>
      <c r="CX1352" s="347"/>
      <c r="CY1352" s="347"/>
      <c r="DH1352" s="237"/>
      <c r="DI1352" s="237"/>
      <c r="DN1352" s="347"/>
      <c r="DO1352" s="347"/>
      <c r="DP1352" s="2505"/>
    </row>
    <row r="1353" spans="12:120">
      <c r="L1353" s="347">
        <v>182</v>
      </c>
      <c r="M1353" s="347" t="s">
        <v>352</v>
      </c>
      <c r="AB1353" s="347">
        <v>198</v>
      </c>
      <c r="AC1353" s="347" t="s">
        <v>352</v>
      </c>
      <c r="AD1353" s="1138"/>
      <c r="AP1353" s="347">
        <v>27.04</v>
      </c>
      <c r="AQ1353" s="347" t="s">
        <v>350</v>
      </c>
      <c r="BF1353" s="347">
        <v>131</v>
      </c>
      <c r="BG1353" s="347" t="s">
        <v>352</v>
      </c>
      <c r="BH1353" s="1790"/>
      <c r="BN1353" s="237">
        <v>1.02</v>
      </c>
      <c r="BO1353" s="237" t="s">
        <v>337</v>
      </c>
      <c r="BT1353" s="347">
        <v>25.04</v>
      </c>
      <c r="BU1353" s="347" t="s">
        <v>350</v>
      </c>
      <c r="CD1353" s="237">
        <v>71.010000000000005</v>
      </c>
      <c r="CE1353" s="237" t="s">
        <v>352</v>
      </c>
      <c r="CJ1353" s="347">
        <v>132.07</v>
      </c>
      <c r="CK1353" s="347" t="s">
        <v>337</v>
      </c>
      <c r="CL1353" s="1789"/>
      <c r="CR1353" s="345"/>
      <c r="CS1353" s="345"/>
      <c r="CX1353" s="347"/>
      <c r="CY1353" s="347"/>
      <c r="DH1353" s="237"/>
      <c r="DI1353" s="237"/>
      <c r="DN1353" s="347"/>
      <c r="DO1353" s="347"/>
      <c r="DP1353" s="2505"/>
    </row>
    <row r="1354" spans="12:120">
      <c r="L1354" s="347">
        <v>183</v>
      </c>
      <c r="M1354" s="347" t="s">
        <v>352</v>
      </c>
      <c r="AB1354" s="347">
        <v>200</v>
      </c>
      <c r="AC1354" s="347" t="s">
        <v>352</v>
      </c>
      <c r="AD1354" s="1138"/>
      <c r="AP1354" s="347">
        <v>1</v>
      </c>
      <c r="AQ1354" s="347" t="s">
        <v>351</v>
      </c>
      <c r="BF1354" s="347">
        <v>131.01</v>
      </c>
      <c r="BG1354" s="347" t="s">
        <v>365</v>
      </c>
      <c r="BH1354" s="1790"/>
      <c r="BN1354" s="237">
        <v>2.0099999999999998</v>
      </c>
      <c r="BO1354" s="237" t="s">
        <v>337</v>
      </c>
      <c r="BT1354" s="347">
        <v>25.05</v>
      </c>
      <c r="BU1354" s="347" t="s">
        <v>350</v>
      </c>
      <c r="CD1354" s="237">
        <v>71.02</v>
      </c>
      <c r="CE1354" s="237" t="s">
        <v>337</v>
      </c>
      <c r="CJ1354" s="347">
        <v>132.08000000000001</v>
      </c>
      <c r="CK1354" s="347" t="s">
        <v>337</v>
      </c>
      <c r="CL1354" s="1789"/>
      <c r="CR1354" s="345"/>
      <c r="CS1354" s="345"/>
      <c r="CX1354" s="347"/>
      <c r="CY1354" s="347"/>
      <c r="DH1354" s="237"/>
      <c r="DI1354" s="237"/>
      <c r="DN1354" s="347"/>
      <c r="DO1354" s="347"/>
      <c r="DP1354" s="2505"/>
    </row>
    <row r="1355" spans="12:120">
      <c r="L1355" s="347">
        <v>184</v>
      </c>
      <c r="M1355" s="347" t="s">
        <v>352</v>
      </c>
      <c r="AB1355" s="347">
        <v>201</v>
      </c>
      <c r="AC1355" s="347" t="s">
        <v>352</v>
      </c>
      <c r="AD1355" s="1138"/>
      <c r="AP1355" s="347">
        <v>2</v>
      </c>
      <c r="AQ1355" s="347" t="s">
        <v>351</v>
      </c>
      <c r="BF1355" s="347">
        <v>131.03</v>
      </c>
      <c r="BG1355" s="347" t="s">
        <v>365</v>
      </c>
      <c r="BH1355" s="1790"/>
      <c r="BN1355" s="237">
        <v>2.02</v>
      </c>
      <c r="BO1355" s="237" t="s">
        <v>337</v>
      </c>
      <c r="BT1355" s="347">
        <v>25.07</v>
      </c>
      <c r="BU1355" s="347" t="s">
        <v>350</v>
      </c>
      <c r="CD1355" s="237">
        <v>71.03</v>
      </c>
      <c r="CE1355" s="237" t="s">
        <v>337</v>
      </c>
      <c r="CJ1355" s="347">
        <v>133.01</v>
      </c>
      <c r="CK1355" s="347" t="s">
        <v>323</v>
      </c>
      <c r="CL1355" s="1789"/>
      <c r="CR1355" s="345"/>
      <c r="CS1355" s="345"/>
      <c r="CX1355" s="347"/>
      <c r="CY1355" s="347"/>
      <c r="DH1355" s="237"/>
      <c r="DI1355" s="237"/>
      <c r="DN1355" s="347"/>
      <c r="DO1355" s="347"/>
      <c r="DP1355" s="2505"/>
    </row>
    <row r="1356" spans="12:120">
      <c r="L1356" s="347">
        <v>185</v>
      </c>
      <c r="M1356" s="347" t="s">
        <v>352</v>
      </c>
      <c r="AB1356" s="347">
        <v>201.01</v>
      </c>
      <c r="AC1356" s="347" t="s">
        <v>315</v>
      </c>
      <c r="AD1356" s="1138"/>
      <c r="AP1356" s="347">
        <v>3</v>
      </c>
      <c r="AQ1356" s="347" t="s">
        <v>351</v>
      </c>
      <c r="BF1356" s="347">
        <v>132</v>
      </c>
      <c r="BG1356" s="347" t="s">
        <v>323</v>
      </c>
      <c r="BH1356" s="1790"/>
      <c r="BN1356" s="237">
        <v>3.01</v>
      </c>
      <c r="BO1356" s="237" t="s">
        <v>337</v>
      </c>
      <c r="BT1356" s="347">
        <v>26.05</v>
      </c>
      <c r="BU1356" s="347" t="s">
        <v>350</v>
      </c>
      <c r="CD1356" s="237">
        <v>71.03</v>
      </c>
      <c r="CE1356" s="237" t="s">
        <v>352</v>
      </c>
      <c r="CJ1356" s="347">
        <v>133.01</v>
      </c>
      <c r="CK1356" s="347" t="s">
        <v>352</v>
      </c>
      <c r="CL1356" s="1789"/>
      <c r="CR1356" s="345"/>
      <c r="CS1356" s="345"/>
      <c r="CX1356" s="347"/>
      <c r="CY1356" s="347"/>
      <c r="DH1356" s="237"/>
      <c r="DI1356" s="237"/>
      <c r="DN1356" s="347"/>
      <c r="DO1356" s="347"/>
      <c r="DP1356" s="2505"/>
    </row>
    <row r="1357" spans="12:120">
      <c r="L1357" s="347">
        <v>186</v>
      </c>
      <c r="M1357" s="347" t="s">
        <v>352</v>
      </c>
      <c r="AB1357" s="347">
        <v>201.01</v>
      </c>
      <c r="AC1357" s="347" t="s">
        <v>328</v>
      </c>
      <c r="AD1357" s="1138"/>
      <c r="AP1357" s="347">
        <v>4</v>
      </c>
      <c r="AQ1357" s="347" t="s">
        <v>351</v>
      </c>
      <c r="BF1357" s="347">
        <v>132.01</v>
      </c>
      <c r="BG1357" s="347" t="s">
        <v>352</v>
      </c>
      <c r="BH1357" s="1790"/>
      <c r="BN1357" s="237">
        <v>3.02</v>
      </c>
      <c r="BO1357" s="237" t="s">
        <v>337</v>
      </c>
      <c r="BT1357" s="347">
        <v>26.08</v>
      </c>
      <c r="BU1357" s="347" t="s">
        <v>350</v>
      </c>
      <c r="CD1357" s="237">
        <v>71.040000000000006</v>
      </c>
      <c r="CE1357" s="237" t="s">
        <v>352</v>
      </c>
      <c r="CJ1357" s="347">
        <v>133.02000000000001</v>
      </c>
      <c r="CK1357" s="347" t="s">
        <v>352</v>
      </c>
      <c r="CL1357" s="1789"/>
      <c r="CR1357" s="345"/>
      <c r="CS1357" s="345"/>
      <c r="CX1357" s="347"/>
      <c r="CY1357" s="347"/>
      <c r="DH1357" s="237"/>
      <c r="DI1357" s="237"/>
      <c r="DN1357" s="347"/>
      <c r="DO1357" s="347"/>
      <c r="DP1357" s="2505"/>
    </row>
    <row r="1358" spans="12:120">
      <c r="L1358" s="347">
        <v>187</v>
      </c>
      <c r="M1358" s="347" t="s">
        <v>352</v>
      </c>
      <c r="AB1358" s="347">
        <v>201.01</v>
      </c>
      <c r="AC1358" s="347" t="s">
        <v>344</v>
      </c>
      <c r="AD1358" s="1138"/>
      <c r="AP1358" s="347">
        <v>5.0199999999999996</v>
      </c>
      <c r="AQ1358" s="347" t="s">
        <v>351</v>
      </c>
      <c r="BF1358" s="347">
        <v>132.02000000000001</v>
      </c>
      <c r="BG1358" s="347" t="s">
        <v>352</v>
      </c>
      <c r="BH1358" s="1790"/>
      <c r="BN1358" s="237">
        <v>4.01</v>
      </c>
      <c r="BO1358" s="237" t="s">
        <v>337</v>
      </c>
      <c r="BT1358" s="347">
        <v>26.1</v>
      </c>
      <c r="BU1358" s="347" t="s">
        <v>350</v>
      </c>
      <c r="CD1358" s="237">
        <v>72</v>
      </c>
      <c r="CE1358" s="237" t="s">
        <v>337</v>
      </c>
      <c r="CJ1358" s="347">
        <v>133.05000000000001</v>
      </c>
      <c r="CK1358" s="347" t="s">
        <v>337</v>
      </c>
      <c r="CL1358" s="1789"/>
      <c r="CR1358" s="345"/>
      <c r="CS1358" s="345"/>
      <c r="CX1358" s="347"/>
      <c r="CY1358" s="347"/>
      <c r="DH1358" s="237"/>
      <c r="DI1358" s="237"/>
      <c r="DN1358" s="347"/>
      <c r="DO1358" s="347"/>
      <c r="DP1358" s="2505"/>
    </row>
    <row r="1359" spans="12:120">
      <c r="L1359" s="347">
        <v>188</v>
      </c>
      <c r="M1359" s="347" t="s">
        <v>352</v>
      </c>
      <c r="AB1359" s="347">
        <v>201.02</v>
      </c>
      <c r="AC1359" s="347" t="s">
        <v>328</v>
      </c>
      <c r="AD1359" s="1138"/>
      <c r="AP1359" s="347">
        <v>6.03</v>
      </c>
      <c r="AQ1359" s="347" t="s">
        <v>351</v>
      </c>
      <c r="BF1359" s="347">
        <v>132.03</v>
      </c>
      <c r="BG1359" s="347" t="s">
        <v>337</v>
      </c>
      <c r="BH1359" s="1790"/>
      <c r="BN1359" s="237">
        <v>4.0199999999999996</v>
      </c>
      <c r="BO1359" s="237" t="s">
        <v>337</v>
      </c>
      <c r="BT1359" s="347">
        <v>27.03</v>
      </c>
      <c r="BU1359" s="347" t="s">
        <v>350</v>
      </c>
      <c r="CD1359" s="237">
        <v>72</v>
      </c>
      <c r="CE1359" s="237" t="s">
        <v>352</v>
      </c>
      <c r="CJ1359" s="347">
        <v>133.07</v>
      </c>
      <c r="CK1359" s="347" t="s">
        <v>337</v>
      </c>
      <c r="CL1359" s="1789"/>
      <c r="CR1359" s="345"/>
      <c r="CS1359" s="345"/>
      <c r="CX1359" s="347"/>
      <c r="CY1359" s="347"/>
      <c r="DH1359" s="237"/>
      <c r="DI1359" s="237"/>
      <c r="DN1359" s="347"/>
      <c r="DO1359" s="347"/>
      <c r="DP1359" s="2505"/>
    </row>
    <row r="1360" spans="12:120">
      <c r="L1360" s="347">
        <v>189</v>
      </c>
      <c r="M1360" s="347" t="s">
        <v>352</v>
      </c>
      <c r="AB1360" s="347">
        <v>201.03</v>
      </c>
      <c r="AC1360" s="347" t="s">
        <v>315</v>
      </c>
      <c r="AD1360" s="1138"/>
      <c r="AP1360" s="347">
        <v>6.04</v>
      </c>
      <c r="AQ1360" s="347" t="s">
        <v>351</v>
      </c>
      <c r="BF1360" s="347">
        <v>132.05000000000001</v>
      </c>
      <c r="BG1360" s="347" t="s">
        <v>337</v>
      </c>
      <c r="BH1360" s="1790"/>
      <c r="BN1360" s="237">
        <v>5</v>
      </c>
      <c r="BO1360" s="237" t="s">
        <v>337</v>
      </c>
      <c r="BT1360" s="347">
        <v>27.04</v>
      </c>
      <c r="BU1360" s="347" t="s">
        <v>350</v>
      </c>
      <c r="CD1360" s="237">
        <v>72.02</v>
      </c>
      <c r="CE1360" s="237" t="s">
        <v>361</v>
      </c>
      <c r="CJ1360" s="347">
        <v>133.1</v>
      </c>
      <c r="CK1360" s="347" t="s">
        <v>337</v>
      </c>
      <c r="CL1360" s="1789"/>
      <c r="CR1360" s="345"/>
      <c r="CS1360" s="345"/>
      <c r="CX1360" s="347"/>
      <c r="CY1360" s="347"/>
      <c r="DH1360" s="237"/>
      <c r="DI1360" s="237"/>
      <c r="DN1360" s="347"/>
      <c r="DO1360" s="347"/>
      <c r="DP1360" s="2505"/>
    </row>
    <row r="1361" spans="12:120">
      <c r="L1361" s="347">
        <v>190</v>
      </c>
      <c r="M1361" s="347" t="s">
        <v>352</v>
      </c>
      <c r="AB1361" s="347">
        <v>201.04</v>
      </c>
      <c r="AC1361" s="347" t="s">
        <v>315</v>
      </c>
      <c r="AD1361" s="1138"/>
      <c r="AP1361" s="347">
        <v>6.06</v>
      </c>
      <c r="AQ1361" s="347" t="s">
        <v>351</v>
      </c>
      <c r="BF1361" s="347">
        <v>132.06</v>
      </c>
      <c r="BG1361" s="347" t="s">
        <v>337</v>
      </c>
      <c r="BH1361" s="1790"/>
      <c r="BN1361" s="237">
        <v>6.01</v>
      </c>
      <c r="BO1361" s="237" t="s">
        <v>337</v>
      </c>
      <c r="BT1361" s="347">
        <v>27.06</v>
      </c>
      <c r="BU1361" s="347" t="s">
        <v>350</v>
      </c>
      <c r="CD1361" s="237">
        <v>72.040000000000006</v>
      </c>
      <c r="CE1361" s="237" t="s">
        <v>361</v>
      </c>
      <c r="CJ1361" s="347">
        <v>133.12</v>
      </c>
      <c r="CK1361" s="347" t="s">
        <v>337</v>
      </c>
      <c r="CL1361" s="1789"/>
      <c r="CR1361" s="345"/>
      <c r="CS1361" s="345"/>
      <c r="CX1361" s="347"/>
      <c r="CY1361" s="347"/>
      <c r="DH1361" s="237"/>
      <c r="DI1361" s="237"/>
      <c r="DN1361" s="347"/>
      <c r="DO1361" s="347"/>
      <c r="DP1361" s="2505"/>
    </row>
    <row r="1362" spans="12:120">
      <c r="L1362" s="347">
        <v>191</v>
      </c>
      <c r="M1362" s="347" t="s">
        <v>352</v>
      </c>
      <c r="AB1362" s="347">
        <v>201.05</v>
      </c>
      <c r="AC1362" s="347" t="s">
        <v>363</v>
      </c>
      <c r="AD1362" s="1138"/>
      <c r="AP1362" s="347">
        <v>6.07</v>
      </c>
      <c r="AQ1362" s="347" t="s">
        <v>351</v>
      </c>
      <c r="BF1362" s="347">
        <v>132.08000000000001</v>
      </c>
      <c r="BG1362" s="347" t="s">
        <v>337</v>
      </c>
      <c r="BH1362" s="1790"/>
      <c r="BN1362" s="237">
        <v>6.02</v>
      </c>
      <c r="BO1362" s="237" t="s">
        <v>337</v>
      </c>
      <c r="BT1362" s="347">
        <v>1</v>
      </c>
      <c r="BU1362" s="347" t="s">
        <v>351</v>
      </c>
      <c r="CD1362" s="237">
        <v>72.05</v>
      </c>
      <c r="CE1362" s="237" t="s">
        <v>361</v>
      </c>
      <c r="CJ1362" s="347">
        <v>133.13</v>
      </c>
      <c r="CK1362" s="347" t="s">
        <v>337</v>
      </c>
      <c r="CL1362" s="1789"/>
      <c r="CR1362" s="345"/>
      <c r="CS1362" s="345"/>
      <c r="CX1362" s="347"/>
      <c r="CY1362" s="347"/>
      <c r="DH1362" s="237"/>
      <c r="DI1362" s="237"/>
      <c r="DN1362" s="347"/>
      <c r="DO1362" s="347"/>
      <c r="DP1362" s="2505"/>
    </row>
    <row r="1363" spans="12:120">
      <c r="L1363" s="347">
        <v>192</v>
      </c>
      <c r="M1363" s="347" t="s">
        <v>352</v>
      </c>
      <c r="AB1363" s="347">
        <v>201.06</v>
      </c>
      <c r="AC1363" s="347" t="s">
        <v>363</v>
      </c>
      <c r="AD1363" s="1138"/>
      <c r="AP1363" s="347">
        <v>6.1</v>
      </c>
      <c r="AQ1363" s="347" t="s">
        <v>351</v>
      </c>
      <c r="BF1363" s="347">
        <v>133.01</v>
      </c>
      <c r="BG1363" s="347" t="s">
        <v>323</v>
      </c>
      <c r="BH1363" s="1790"/>
      <c r="BN1363" s="237">
        <v>7.01</v>
      </c>
      <c r="BO1363" s="237" t="s">
        <v>337</v>
      </c>
      <c r="BT1363" s="347">
        <v>2</v>
      </c>
      <c r="BU1363" s="347" t="s">
        <v>351</v>
      </c>
      <c r="CD1363" s="237">
        <v>72.06</v>
      </c>
      <c r="CE1363" s="237" t="s">
        <v>361</v>
      </c>
      <c r="CJ1363" s="347">
        <v>133.15</v>
      </c>
      <c r="CK1363" s="347" t="s">
        <v>337</v>
      </c>
      <c r="CL1363" s="1789"/>
      <c r="CR1363" s="345"/>
      <c r="CS1363" s="345"/>
      <c r="CX1363" s="347"/>
      <c r="CY1363" s="347"/>
      <c r="DH1363" s="237"/>
      <c r="DI1363" s="237"/>
      <c r="DN1363" s="347"/>
      <c r="DO1363" s="347"/>
      <c r="DP1363" s="2505"/>
    </row>
    <row r="1364" spans="12:120">
      <c r="L1364" s="347">
        <v>193</v>
      </c>
      <c r="M1364" s="347" t="s">
        <v>352</v>
      </c>
      <c r="AB1364" s="347">
        <v>201.07</v>
      </c>
      <c r="AC1364" s="347" t="s">
        <v>363</v>
      </c>
      <c r="AD1364" s="1138"/>
      <c r="AP1364" s="347">
        <v>9.01</v>
      </c>
      <c r="AQ1364" s="347" t="s">
        <v>351</v>
      </c>
      <c r="BF1364" s="347">
        <v>133.01</v>
      </c>
      <c r="BG1364" s="347" t="s">
        <v>352</v>
      </c>
      <c r="BH1364" s="1790"/>
      <c r="BN1364" s="237">
        <v>7.02</v>
      </c>
      <c r="BO1364" s="237" t="s">
        <v>337</v>
      </c>
      <c r="BT1364" s="347">
        <v>3</v>
      </c>
      <c r="BU1364" s="347" t="s">
        <v>351</v>
      </c>
      <c r="CD1364" s="237">
        <v>72.069999999999993</v>
      </c>
      <c r="CE1364" s="237" t="s">
        <v>361</v>
      </c>
      <c r="CJ1364" s="347">
        <v>133.16999999999999</v>
      </c>
      <c r="CK1364" s="347" t="s">
        <v>337</v>
      </c>
      <c r="CL1364" s="1789"/>
      <c r="CR1364" s="345"/>
      <c r="CS1364" s="345"/>
      <c r="CX1364" s="347"/>
      <c r="CY1364" s="347"/>
      <c r="DH1364" s="237"/>
      <c r="DI1364" s="237"/>
      <c r="DN1364" s="347"/>
      <c r="DO1364" s="347"/>
      <c r="DP1364" s="2505"/>
    </row>
    <row r="1365" spans="12:120">
      <c r="L1365" s="347">
        <v>194</v>
      </c>
      <c r="M1365" s="347" t="s">
        <v>352</v>
      </c>
      <c r="AB1365" s="347">
        <v>201.08</v>
      </c>
      <c r="AC1365" s="347" t="s">
        <v>363</v>
      </c>
      <c r="AD1365" s="1138"/>
      <c r="AP1365" s="347">
        <v>9.02</v>
      </c>
      <c r="AQ1365" s="347" t="s">
        <v>351</v>
      </c>
      <c r="BF1365" s="347">
        <v>133.02000000000001</v>
      </c>
      <c r="BG1365" s="347" t="s">
        <v>352</v>
      </c>
      <c r="BH1365" s="1790"/>
      <c r="BN1365" s="237">
        <v>8</v>
      </c>
      <c r="BO1365" s="237" t="s">
        <v>337</v>
      </c>
      <c r="BT1365" s="347">
        <v>5.01</v>
      </c>
      <c r="BU1365" s="347" t="s">
        <v>351</v>
      </c>
      <c r="CD1365" s="237">
        <v>72.08</v>
      </c>
      <c r="CE1365" s="237" t="s">
        <v>361</v>
      </c>
      <c r="CJ1365" s="347">
        <v>133.19</v>
      </c>
      <c r="CK1365" s="347" t="s">
        <v>337</v>
      </c>
      <c r="CL1365" s="1789"/>
      <c r="CR1365" s="345"/>
      <c r="CS1365" s="345"/>
      <c r="CX1365" s="347"/>
      <c r="CY1365" s="347"/>
      <c r="DH1365" s="237"/>
      <c r="DI1365" s="237"/>
      <c r="DN1365" s="347"/>
      <c r="DO1365" s="347"/>
      <c r="DP1365" s="2505"/>
    </row>
    <row r="1366" spans="12:120">
      <c r="L1366" s="347">
        <v>195</v>
      </c>
      <c r="M1366" s="347" t="s">
        <v>352</v>
      </c>
      <c r="AB1366" s="347">
        <v>202.01</v>
      </c>
      <c r="AC1366" s="347" t="s">
        <v>315</v>
      </c>
      <c r="AD1366" s="1138"/>
      <c r="AP1366" s="347">
        <v>10</v>
      </c>
      <c r="AQ1366" s="347" t="s">
        <v>351</v>
      </c>
      <c r="BF1366" s="347">
        <v>133.05000000000001</v>
      </c>
      <c r="BG1366" s="347" t="s">
        <v>337</v>
      </c>
      <c r="BH1366" s="1790"/>
      <c r="BN1366" s="237">
        <v>9.01</v>
      </c>
      <c r="BO1366" s="237" t="s">
        <v>337</v>
      </c>
      <c r="BT1366" s="347">
        <v>5.0199999999999996</v>
      </c>
      <c r="BU1366" s="347" t="s">
        <v>351</v>
      </c>
      <c r="CD1366" s="237">
        <v>73</v>
      </c>
      <c r="CE1366" s="237" t="s">
        <v>337</v>
      </c>
      <c r="CJ1366" s="347">
        <v>133.19999999999999</v>
      </c>
      <c r="CK1366" s="347" t="s">
        <v>337</v>
      </c>
      <c r="CL1366" s="1789"/>
      <c r="CR1366" s="345"/>
      <c r="CS1366" s="345"/>
      <c r="CX1366" s="347"/>
      <c r="CY1366" s="347"/>
      <c r="DH1366" s="237"/>
      <c r="DI1366" s="237"/>
      <c r="DN1366" s="347"/>
      <c r="DO1366" s="347"/>
      <c r="DP1366" s="2505"/>
    </row>
    <row r="1367" spans="12:120">
      <c r="L1367" s="347">
        <v>196</v>
      </c>
      <c r="M1367" s="347" t="s">
        <v>352</v>
      </c>
      <c r="AB1367" s="347">
        <v>202.01</v>
      </c>
      <c r="AC1367" s="347" t="s">
        <v>363</v>
      </c>
      <c r="AD1367" s="1138"/>
      <c r="AP1367" s="347">
        <v>11.03</v>
      </c>
      <c r="AQ1367" s="347" t="s">
        <v>351</v>
      </c>
      <c r="BF1367" s="347">
        <v>133.07</v>
      </c>
      <c r="BG1367" s="347" t="s">
        <v>337</v>
      </c>
      <c r="BH1367" s="1790"/>
      <c r="BN1367" s="237">
        <v>9.02</v>
      </c>
      <c r="BO1367" s="237" t="s">
        <v>337</v>
      </c>
      <c r="BT1367" s="347">
        <v>6.03</v>
      </c>
      <c r="BU1367" s="347" t="s">
        <v>351</v>
      </c>
      <c r="CD1367" s="237">
        <v>73</v>
      </c>
      <c r="CE1367" s="237" t="s">
        <v>352</v>
      </c>
      <c r="CJ1367" s="347">
        <v>133.22</v>
      </c>
      <c r="CK1367" s="347" t="s">
        <v>337</v>
      </c>
      <c r="CL1367" s="1789"/>
      <c r="CR1367" s="345"/>
      <c r="CS1367" s="345"/>
      <c r="CX1367" s="347"/>
      <c r="CY1367" s="347"/>
      <c r="DH1367" s="237"/>
      <c r="DI1367" s="237"/>
      <c r="DN1367" s="347"/>
      <c r="DO1367" s="347"/>
      <c r="DP1367" s="2505"/>
    </row>
    <row r="1368" spans="12:120">
      <c r="L1368" s="347">
        <v>197</v>
      </c>
      <c r="M1368" s="347" t="s">
        <v>352</v>
      </c>
      <c r="AB1368" s="347">
        <v>202.02</v>
      </c>
      <c r="AC1368" s="347" t="s">
        <v>315</v>
      </c>
      <c r="AD1368" s="1138"/>
      <c r="AP1368" s="347">
        <v>11.05</v>
      </c>
      <c r="AQ1368" s="347" t="s">
        <v>351</v>
      </c>
      <c r="BF1368" s="347">
        <v>133.1</v>
      </c>
      <c r="BG1368" s="347" t="s">
        <v>337</v>
      </c>
      <c r="BH1368" s="1790"/>
      <c r="BN1368" s="237">
        <v>10.01</v>
      </c>
      <c r="BO1368" s="237" t="s">
        <v>337</v>
      </c>
      <c r="BT1368" s="347">
        <v>6.04</v>
      </c>
      <c r="BU1368" s="347" t="s">
        <v>351</v>
      </c>
      <c r="CD1368" s="237">
        <v>73.010000000000005</v>
      </c>
      <c r="CE1368" s="237" t="s">
        <v>361</v>
      </c>
      <c r="CJ1368" s="347">
        <v>133.22999999999999</v>
      </c>
      <c r="CK1368" s="347" t="s">
        <v>337</v>
      </c>
      <c r="CL1368" s="1789"/>
      <c r="CR1368" s="345"/>
      <c r="CS1368" s="345"/>
      <c r="CX1368" s="347"/>
      <c r="CY1368" s="347"/>
      <c r="DH1368" s="237"/>
      <c r="DI1368" s="237"/>
      <c r="DN1368" s="347"/>
      <c r="DO1368" s="347"/>
      <c r="DP1368" s="2505"/>
    </row>
    <row r="1369" spans="12:120">
      <c r="L1369" s="347">
        <v>198</v>
      </c>
      <c r="M1369" s="347" t="s">
        <v>352</v>
      </c>
      <c r="AB1369" s="347">
        <v>202.02</v>
      </c>
      <c r="AC1369" s="347" t="s">
        <v>344</v>
      </c>
      <c r="AD1369" s="1138"/>
      <c r="AP1369" s="347">
        <v>11.06</v>
      </c>
      <c r="AQ1369" s="347" t="s">
        <v>351</v>
      </c>
      <c r="BF1369" s="347">
        <v>133.13</v>
      </c>
      <c r="BG1369" s="347" t="s">
        <v>337</v>
      </c>
      <c r="BH1369" s="1790"/>
      <c r="BN1369" s="237">
        <v>10.02</v>
      </c>
      <c r="BO1369" s="237" t="s">
        <v>337</v>
      </c>
      <c r="BT1369" s="347">
        <v>6.06</v>
      </c>
      <c r="BU1369" s="347" t="s">
        <v>351</v>
      </c>
      <c r="CD1369" s="237">
        <v>73.02</v>
      </c>
      <c r="CE1369" s="237" t="s">
        <v>361</v>
      </c>
      <c r="CJ1369" s="347">
        <v>134.03</v>
      </c>
      <c r="CK1369" s="347" t="s">
        <v>323</v>
      </c>
      <c r="CL1369" s="1789"/>
      <c r="CR1369" s="345"/>
      <c r="CS1369" s="345"/>
      <c r="CX1369" s="347"/>
      <c r="CY1369" s="347"/>
      <c r="DH1369" s="237"/>
      <c r="DI1369" s="237"/>
      <c r="DN1369" s="347"/>
      <c r="DO1369" s="347"/>
      <c r="DP1369" s="2505"/>
    </row>
    <row r="1370" spans="12:120">
      <c r="L1370" s="347">
        <v>200</v>
      </c>
      <c r="M1370" s="347" t="s">
        <v>352</v>
      </c>
      <c r="AB1370" s="347">
        <v>202.02</v>
      </c>
      <c r="AC1370" s="347" t="s">
        <v>363</v>
      </c>
      <c r="AD1370" s="1138"/>
      <c r="AP1370" s="347">
        <v>11.08</v>
      </c>
      <c r="AQ1370" s="347" t="s">
        <v>351</v>
      </c>
      <c r="BF1370" s="347">
        <v>133.15</v>
      </c>
      <c r="BG1370" s="347" t="s">
        <v>337</v>
      </c>
      <c r="BH1370" s="1790"/>
      <c r="BN1370" s="237">
        <v>11</v>
      </c>
      <c r="BO1370" s="237" t="s">
        <v>337</v>
      </c>
      <c r="BT1370" s="347">
        <v>6.07</v>
      </c>
      <c r="BU1370" s="347" t="s">
        <v>351</v>
      </c>
      <c r="CD1370" s="237">
        <v>74.010000000000005</v>
      </c>
      <c r="CE1370" s="237" t="s">
        <v>352</v>
      </c>
      <c r="CJ1370" s="347">
        <v>134.04</v>
      </c>
      <c r="CK1370" s="347" t="s">
        <v>323</v>
      </c>
      <c r="CL1370" s="1789"/>
      <c r="CR1370" s="345"/>
      <c r="CS1370" s="345"/>
      <c r="CX1370" s="347"/>
      <c r="CY1370" s="347"/>
      <c r="DH1370" s="237"/>
      <c r="DI1370" s="237"/>
      <c r="DN1370" s="347"/>
      <c r="DO1370" s="347"/>
      <c r="DP1370" s="2505"/>
    </row>
    <row r="1371" spans="12:120">
      <c r="L1371" s="347">
        <v>201</v>
      </c>
      <c r="M1371" s="347" t="s">
        <v>352</v>
      </c>
      <c r="AB1371" s="347">
        <v>202.04</v>
      </c>
      <c r="AC1371" s="347" t="s">
        <v>310</v>
      </c>
      <c r="AD1371" s="1138"/>
      <c r="AP1371" s="347">
        <v>13.02</v>
      </c>
      <c r="AQ1371" s="347" t="s">
        <v>351</v>
      </c>
      <c r="BF1371" s="347">
        <v>133.16999999999999</v>
      </c>
      <c r="BG1371" s="347" t="s">
        <v>337</v>
      </c>
      <c r="BH1371" s="1790"/>
      <c r="BN1371" s="237">
        <v>12</v>
      </c>
      <c r="BO1371" s="237" t="s">
        <v>337</v>
      </c>
      <c r="BT1371" s="347">
        <v>6.1</v>
      </c>
      <c r="BU1371" s="347" t="s">
        <v>351</v>
      </c>
      <c r="CD1371" s="237">
        <v>74.02</v>
      </c>
      <c r="CE1371" s="237" t="s">
        <v>352</v>
      </c>
      <c r="CJ1371" s="347">
        <v>134.07</v>
      </c>
      <c r="CK1371" s="347" t="s">
        <v>337</v>
      </c>
      <c r="CL1371" s="1789"/>
      <c r="CR1371" s="345"/>
      <c r="CS1371" s="345"/>
      <c r="CX1371" s="347"/>
      <c r="CY1371" s="347"/>
      <c r="DH1371" s="237"/>
      <c r="DI1371" s="237"/>
      <c r="DN1371" s="347"/>
      <c r="DO1371" s="347"/>
      <c r="DP1371" s="2505"/>
    </row>
    <row r="1372" spans="12:120">
      <c r="L1372" s="347">
        <v>9702</v>
      </c>
      <c r="M1372" s="347" t="s">
        <v>354</v>
      </c>
      <c r="AB1372" s="347">
        <v>202.05</v>
      </c>
      <c r="AC1372" s="347" t="s">
        <v>310</v>
      </c>
      <c r="AD1372" s="1138"/>
      <c r="AP1372" s="347">
        <v>14.04</v>
      </c>
      <c r="AQ1372" s="347" t="s">
        <v>351</v>
      </c>
      <c r="BF1372" s="347">
        <v>133.19</v>
      </c>
      <c r="BG1372" s="347" t="s">
        <v>337</v>
      </c>
      <c r="BH1372" s="1790"/>
      <c r="BN1372" s="237">
        <v>13</v>
      </c>
      <c r="BO1372" s="237" t="s">
        <v>337</v>
      </c>
      <c r="BT1372" s="347">
        <v>7.01</v>
      </c>
      <c r="BU1372" s="347" t="s">
        <v>351</v>
      </c>
      <c r="CD1372" s="237">
        <v>74.03</v>
      </c>
      <c r="CE1372" s="237" t="s">
        <v>352</v>
      </c>
      <c r="CJ1372" s="347">
        <v>134.09</v>
      </c>
      <c r="CK1372" s="347" t="s">
        <v>337</v>
      </c>
      <c r="CL1372" s="1789"/>
      <c r="CR1372" s="345"/>
      <c r="CS1372" s="345"/>
      <c r="CX1372" s="347"/>
      <c r="CY1372" s="347"/>
      <c r="DH1372" s="237"/>
      <c r="DI1372" s="237"/>
      <c r="DN1372" s="347"/>
      <c r="DO1372" s="347"/>
      <c r="DP1372" s="2505"/>
    </row>
    <row r="1373" spans="12:120">
      <c r="L1373" s="347">
        <v>9703</v>
      </c>
      <c r="M1373" s="347" t="s">
        <v>354</v>
      </c>
      <c r="AB1373" s="347">
        <v>202.06</v>
      </c>
      <c r="AC1373" s="347" t="s">
        <v>363</v>
      </c>
      <c r="AD1373" s="1138"/>
      <c r="AP1373" s="347">
        <v>14.06</v>
      </c>
      <c r="AQ1373" s="347" t="s">
        <v>351</v>
      </c>
      <c r="BF1373" s="347">
        <v>133.19999999999999</v>
      </c>
      <c r="BG1373" s="347" t="s">
        <v>337</v>
      </c>
      <c r="BH1373" s="1790"/>
      <c r="BN1373" s="237">
        <v>14</v>
      </c>
      <c r="BO1373" s="237" t="s">
        <v>337</v>
      </c>
      <c r="BT1373" s="347">
        <v>9.02</v>
      </c>
      <c r="BU1373" s="347" t="s">
        <v>351</v>
      </c>
      <c r="CD1373" s="237">
        <v>74.069999999999993</v>
      </c>
      <c r="CE1373" s="237" t="s">
        <v>361</v>
      </c>
      <c r="CJ1373" s="347">
        <v>134.1</v>
      </c>
      <c r="CK1373" s="347" t="s">
        <v>337</v>
      </c>
      <c r="CL1373" s="1789"/>
      <c r="CR1373" s="345"/>
      <c r="CS1373" s="345"/>
      <c r="CX1373" s="347"/>
      <c r="CY1373" s="347"/>
      <c r="DH1373" s="237"/>
      <c r="DI1373" s="237"/>
      <c r="DN1373" s="347"/>
      <c r="DO1373" s="347"/>
      <c r="DP1373" s="2505"/>
    </row>
    <row r="1374" spans="12:120">
      <c r="L1374" s="347">
        <v>9705</v>
      </c>
      <c r="M1374" s="347" t="s">
        <v>354</v>
      </c>
      <c r="AB1374" s="347">
        <v>202.07</v>
      </c>
      <c r="AC1374" s="347" t="s">
        <v>363</v>
      </c>
      <c r="AD1374" s="1138"/>
      <c r="AP1374" s="347">
        <v>14.09</v>
      </c>
      <c r="AQ1374" s="347" t="s">
        <v>351</v>
      </c>
      <c r="BF1374" s="347">
        <v>133.22</v>
      </c>
      <c r="BG1374" s="347" t="s">
        <v>337</v>
      </c>
      <c r="BH1374" s="1790"/>
      <c r="BN1374" s="237">
        <v>15</v>
      </c>
      <c r="BO1374" s="237" t="s">
        <v>337</v>
      </c>
      <c r="BT1374" s="347">
        <v>11.03</v>
      </c>
      <c r="BU1374" s="347" t="s">
        <v>351</v>
      </c>
      <c r="CD1374" s="237">
        <v>74.099999999999994</v>
      </c>
      <c r="CE1374" s="237" t="s">
        <v>361</v>
      </c>
      <c r="CJ1374" s="347">
        <v>134.12</v>
      </c>
      <c r="CK1374" s="347" t="s">
        <v>337</v>
      </c>
      <c r="CL1374" s="1789"/>
      <c r="CR1374" s="345"/>
      <c r="CS1374" s="345"/>
      <c r="CX1374" s="347"/>
      <c r="CY1374" s="347"/>
      <c r="DH1374" s="237"/>
      <c r="DI1374" s="237"/>
      <c r="DN1374" s="347"/>
      <c r="DO1374" s="347"/>
      <c r="DP1374" s="2505"/>
    </row>
    <row r="1375" spans="12:120">
      <c r="L1375" s="347">
        <v>9706</v>
      </c>
      <c r="M1375" s="347" t="s">
        <v>354</v>
      </c>
      <c r="AB1375" s="347">
        <v>202.08</v>
      </c>
      <c r="AC1375" s="347" t="s">
        <v>363</v>
      </c>
      <c r="AD1375" s="1138"/>
      <c r="AP1375" s="347">
        <v>15</v>
      </c>
      <c r="AQ1375" s="347" t="s">
        <v>351</v>
      </c>
      <c r="BF1375" s="347">
        <v>133.22999999999999</v>
      </c>
      <c r="BG1375" s="347" t="s">
        <v>337</v>
      </c>
      <c r="BH1375" s="1790"/>
      <c r="BN1375" s="237">
        <v>16</v>
      </c>
      <c r="BO1375" s="237" t="s">
        <v>337</v>
      </c>
      <c r="BT1375" s="347">
        <v>11.05</v>
      </c>
      <c r="BU1375" s="347" t="s">
        <v>351</v>
      </c>
      <c r="CD1375" s="237">
        <v>74.12</v>
      </c>
      <c r="CE1375" s="237" t="s">
        <v>361</v>
      </c>
      <c r="CJ1375" s="347">
        <v>134.13</v>
      </c>
      <c r="CK1375" s="347" t="s">
        <v>337</v>
      </c>
      <c r="CL1375" s="1789"/>
      <c r="CR1375" s="345"/>
      <c r="CS1375" s="345"/>
      <c r="CX1375" s="347"/>
      <c r="CY1375" s="347"/>
      <c r="DH1375" s="237"/>
      <c r="DI1375" s="237"/>
      <c r="DN1375" s="347"/>
      <c r="DO1375" s="347"/>
      <c r="DP1375" s="2505"/>
    </row>
    <row r="1376" spans="12:120">
      <c r="L1376" s="347">
        <v>9708</v>
      </c>
      <c r="M1376" s="347" t="s">
        <v>354</v>
      </c>
      <c r="AB1376" s="347">
        <v>202.09</v>
      </c>
      <c r="AC1376" s="347" t="s">
        <v>363</v>
      </c>
      <c r="AD1376" s="1138"/>
      <c r="AP1376" s="347">
        <v>16.010000000000002</v>
      </c>
      <c r="AQ1376" s="347" t="s">
        <v>351</v>
      </c>
      <c r="BF1376" s="347">
        <v>134.04</v>
      </c>
      <c r="BG1376" s="347" t="s">
        <v>323</v>
      </c>
      <c r="BH1376" s="1790"/>
      <c r="BN1376" s="237">
        <v>17</v>
      </c>
      <c r="BO1376" s="237" t="s">
        <v>337</v>
      </c>
      <c r="BT1376" s="347">
        <v>11.06</v>
      </c>
      <c r="BU1376" s="347" t="s">
        <v>351</v>
      </c>
      <c r="CD1376" s="237">
        <v>74.14</v>
      </c>
      <c r="CE1376" s="237" t="s">
        <v>361</v>
      </c>
      <c r="CJ1376" s="347">
        <v>134.13999999999999</v>
      </c>
      <c r="CK1376" s="347" t="s">
        <v>337</v>
      </c>
      <c r="CL1376" s="1789"/>
      <c r="CR1376" s="345"/>
      <c r="CS1376" s="345"/>
      <c r="CX1376" s="347"/>
      <c r="CY1376" s="347"/>
      <c r="DH1376" s="237"/>
      <c r="DI1376" s="237"/>
      <c r="DN1376" s="347"/>
      <c r="DO1376" s="347"/>
      <c r="DP1376" s="2505"/>
    </row>
    <row r="1377" spans="12:120">
      <c r="L1377" s="347">
        <v>9709</v>
      </c>
      <c r="M1377" s="347" t="s">
        <v>354</v>
      </c>
      <c r="AB1377" s="347">
        <v>203</v>
      </c>
      <c r="AC1377" s="347" t="s">
        <v>328</v>
      </c>
      <c r="AD1377" s="1138"/>
      <c r="AP1377" s="347">
        <v>16.02</v>
      </c>
      <c r="AQ1377" s="347" t="s">
        <v>351</v>
      </c>
      <c r="BF1377" s="347">
        <v>134.07</v>
      </c>
      <c r="BG1377" s="347" t="s">
        <v>337</v>
      </c>
      <c r="BH1377" s="1790"/>
      <c r="BN1377" s="237">
        <v>18</v>
      </c>
      <c r="BO1377" s="237" t="s">
        <v>337</v>
      </c>
      <c r="BT1377" s="347">
        <v>11.08</v>
      </c>
      <c r="BU1377" s="347" t="s">
        <v>351</v>
      </c>
      <c r="CD1377" s="237">
        <v>74.2</v>
      </c>
      <c r="CE1377" s="237" t="s">
        <v>361</v>
      </c>
      <c r="CJ1377" s="347">
        <v>134.15</v>
      </c>
      <c r="CK1377" s="347" t="s">
        <v>337</v>
      </c>
      <c r="CL1377" s="1789"/>
      <c r="CR1377" s="345"/>
      <c r="CS1377" s="345"/>
      <c r="CX1377" s="347"/>
      <c r="CY1377" s="347"/>
      <c r="DH1377" s="237"/>
      <c r="DI1377" s="237"/>
      <c r="DN1377" s="347"/>
      <c r="DO1377" s="347"/>
      <c r="DP1377" s="2505"/>
    </row>
    <row r="1378" spans="12:120">
      <c r="L1378" s="347">
        <v>9710.01</v>
      </c>
      <c r="M1378" s="347" t="s">
        <v>354</v>
      </c>
      <c r="AB1378" s="347">
        <v>203.01</v>
      </c>
      <c r="AC1378" s="347" t="s">
        <v>363</v>
      </c>
      <c r="AD1378" s="1138"/>
      <c r="AP1378" s="347">
        <v>17.010000000000002</v>
      </c>
      <c r="AQ1378" s="347" t="s">
        <v>351</v>
      </c>
      <c r="BF1378" s="347">
        <v>134.09</v>
      </c>
      <c r="BG1378" s="347" t="s">
        <v>337</v>
      </c>
      <c r="BH1378" s="1790"/>
      <c r="BN1378" s="237">
        <v>19</v>
      </c>
      <c r="BO1378" s="237" t="s">
        <v>337</v>
      </c>
      <c r="BT1378" s="347">
        <v>13.02</v>
      </c>
      <c r="BU1378" s="347" t="s">
        <v>351</v>
      </c>
      <c r="CD1378" s="237">
        <v>74.209999999999994</v>
      </c>
      <c r="CE1378" s="237" t="s">
        <v>361</v>
      </c>
      <c r="CJ1378" s="347">
        <v>135</v>
      </c>
      <c r="CK1378" s="347" t="s">
        <v>365</v>
      </c>
      <c r="CL1378" s="1789"/>
      <c r="CR1378" s="345"/>
      <c r="CS1378" s="345"/>
      <c r="CX1378" s="347"/>
      <c r="CY1378" s="347"/>
      <c r="DH1378" s="237"/>
      <c r="DI1378" s="237"/>
      <c r="DN1378" s="347"/>
      <c r="DO1378" s="347"/>
      <c r="DP1378" s="2505"/>
    </row>
    <row r="1379" spans="12:120">
      <c r="L1379" s="347">
        <v>9715.01</v>
      </c>
      <c r="M1379" s="347" t="s">
        <v>354</v>
      </c>
      <c r="AB1379" s="347">
        <v>203.02</v>
      </c>
      <c r="AC1379" s="347" t="s">
        <v>363</v>
      </c>
      <c r="AD1379" s="1138"/>
      <c r="AP1379" s="347">
        <v>17.02</v>
      </c>
      <c r="AQ1379" s="347" t="s">
        <v>351</v>
      </c>
      <c r="BF1379" s="347">
        <v>134.1</v>
      </c>
      <c r="BG1379" s="347" t="s">
        <v>337</v>
      </c>
      <c r="BH1379" s="1790"/>
      <c r="BN1379" s="237">
        <v>20</v>
      </c>
      <c r="BO1379" s="237" t="s">
        <v>337</v>
      </c>
      <c r="BT1379" s="347">
        <v>14.04</v>
      </c>
      <c r="BU1379" s="347" t="s">
        <v>351</v>
      </c>
      <c r="CD1379" s="237">
        <v>75.010000000000005</v>
      </c>
      <c r="CE1379" s="237" t="s">
        <v>352</v>
      </c>
      <c r="CJ1379" s="347">
        <v>135.01</v>
      </c>
      <c r="CK1379" s="347" t="s">
        <v>337</v>
      </c>
      <c r="CL1379" s="1789"/>
      <c r="CR1379" s="345"/>
      <c r="CS1379" s="345"/>
      <c r="CX1379" s="347"/>
      <c r="CY1379" s="347"/>
      <c r="DH1379" s="237"/>
      <c r="DI1379" s="237"/>
      <c r="DN1379" s="347"/>
      <c r="DO1379" s="347"/>
      <c r="DP1379" s="2505"/>
    </row>
    <row r="1380" spans="12:120">
      <c r="L1380" s="347">
        <v>9715.02</v>
      </c>
      <c r="M1380" s="347" t="s">
        <v>354</v>
      </c>
      <c r="AB1380" s="347">
        <v>203.09</v>
      </c>
      <c r="AC1380" s="347" t="s">
        <v>310</v>
      </c>
      <c r="AD1380" s="1138"/>
      <c r="AP1380" s="347">
        <v>17.03</v>
      </c>
      <c r="AQ1380" s="347" t="s">
        <v>351</v>
      </c>
      <c r="BF1380" s="347">
        <v>134.12</v>
      </c>
      <c r="BG1380" s="347" t="s">
        <v>337</v>
      </c>
      <c r="BH1380" s="1790"/>
      <c r="BN1380" s="237">
        <v>21</v>
      </c>
      <c r="BO1380" s="237" t="s">
        <v>337</v>
      </c>
      <c r="BT1380" s="347">
        <v>14.06</v>
      </c>
      <c r="BU1380" s="347" t="s">
        <v>351</v>
      </c>
      <c r="CD1380" s="237">
        <v>75.010000000000005</v>
      </c>
      <c r="CE1380" s="237" t="s">
        <v>361</v>
      </c>
      <c r="CJ1380" s="347">
        <v>135.22</v>
      </c>
      <c r="CK1380" s="347" t="s">
        <v>323</v>
      </c>
      <c r="CL1380" s="1789"/>
      <c r="CR1380" s="345"/>
      <c r="CS1380" s="345"/>
      <c r="CX1380" s="347"/>
      <c r="CY1380" s="347"/>
      <c r="DH1380" s="237"/>
      <c r="DI1380" s="237"/>
      <c r="DN1380" s="347"/>
      <c r="DO1380" s="347"/>
      <c r="DP1380" s="2505"/>
    </row>
    <row r="1381" spans="12:120">
      <c r="L1381" s="347">
        <v>9716</v>
      </c>
      <c r="M1381" s="347" t="s">
        <v>354</v>
      </c>
      <c r="AB1381" s="347">
        <v>203.12</v>
      </c>
      <c r="AC1381" s="347" t="s">
        <v>310</v>
      </c>
      <c r="AD1381" s="1138"/>
      <c r="AP1381" s="347">
        <v>1.07</v>
      </c>
      <c r="AQ1381" s="347" t="s">
        <v>352</v>
      </c>
      <c r="BF1381" s="347">
        <v>134.13</v>
      </c>
      <c r="BG1381" s="347" t="s">
        <v>337</v>
      </c>
      <c r="BH1381" s="1790"/>
      <c r="BN1381" s="237">
        <v>22</v>
      </c>
      <c r="BO1381" s="237" t="s">
        <v>337</v>
      </c>
      <c r="BT1381" s="347">
        <v>14.09</v>
      </c>
      <c r="BU1381" s="347" t="s">
        <v>351</v>
      </c>
      <c r="CD1381" s="237">
        <v>75.03</v>
      </c>
      <c r="CE1381" s="237" t="s">
        <v>352</v>
      </c>
      <c r="CJ1381" s="347">
        <v>135.22999999999999</v>
      </c>
      <c r="CK1381" s="347" t="s">
        <v>323</v>
      </c>
      <c r="CL1381" s="1789"/>
      <c r="CR1381" s="345"/>
      <c r="CS1381" s="345"/>
      <c r="CX1381" s="347"/>
      <c r="CY1381" s="347"/>
      <c r="DH1381" s="237"/>
      <c r="DI1381" s="237"/>
      <c r="DN1381" s="347"/>
      <c r="DO1381" s="347"/>
      <c r="DP1381" s="2505"/>
    </row>
    <row r="1382" spans="12:120">
      <c r="L1382" s="347">
        <v>9720</v>
      </c>
      <c r="M1382" s="347" t="s">
        <v>354</v>
      </c>
      <c r="AB1382" s="347">
        <v>203.13</v>
      </c>
      <c r="AC1382" s="347" t="s">
        <v>310</v>
      </c>
      <c r="AD1382" s="1138"/>
      <c r="AP1382" s="347">
        <v>1.0900000000000001</v>
      </c>
      <c r="AQ1382" s="347" t="s">
        <v>352</v>
      </c>
      <c r="BF1382" s="347">
        <v>134.13999999999999</v>
      </c>
      <c r="BG1382" s="347" t="s">
        <v>337</v>
      </c>
      <c r="BH1382" s="1790"/>
      <c r="BN1382" s="237">
        <v>23</v>
      </c>
      <c r="BO1382" s="237" t="s">
        <v>337</v>
      </c>
      <c r="BT1382" s="347">
        <v>15</v>
      </c>
      <c r="BU1382" s="347" t="s">
        <v>351</v>
      </c>
      <c r="CD1382" s="237">
        <v>75.040000000000006</v>
      </c>
      <c r="CE1382" s="237" t="s">
        <v>361</v>
      </c>
      <c r="CJ1382" s="347">
        <v>136.05000000000001</v>
      </c>
      <c r="CK1382" s="347" t="s">
        <v>359</v>
      </c>
      <c r="CL1382" s="1789"/>
      <c r="CR1382" s="345"/>
      <c r="CS1382" s="345"/>
      <c r="CX1382" s="347"/>
      <c r="CY1382" s="347"/>
      <c r="DH1382" s="237"/>
      <c r="DI1382" s="237"/>
      <c r="DN1382" s="347"/>
      <c r="DO1382" s="347"/>
      <c r="DP1382" s="2505"/>
    </row>
    <row r="1383" spans="12:120">
      <c r="L1383" s="347">
        <v>9722</v>
      </c>
      <c r="M1383" s="347" t="s">
        <v>354</v>
      </c>
      <c r="AB1383" s="347">
        <v>203.15</v>
      </c>
      <c r="AC1383" s="347" t="s">
        <v>310</v>
      </c>
      <c r="AD1383" s="1138"/>
      <c r="AP1383" s="347">
        <v>1.1499999999999999</v>
      </c>
      <c r="AQ1383" s="347" t="s">
        <v>352</v>
      </c>
      <c r="BF1383" s="347">
        <v>134.15</v>
      </c>
      <c r="BG1383" s="347" t="s">
        <v>337</v>
      </c>
      <c r="BH1383" s="1790"/>
      <c r="BN1383" s="237">
        <v>24</v>
      </c>
      <c r="BO1383" s="237" t="s">
        <v>337</v>
      </c>
      <c r="BT1383" s="347">
        <v>16.010000000000002</v>
      </c>
      <c r="BU1383" s="347" t="s">
        <v>351</v>
      </c>
      <c r="CD1383" s="237">
        <v>75.05</v>
      </c>
      <c r="CE1383" s="237" t="s">
        <v>361</v>
      </c>
      <c r="CJ1383" s="347">
        <v>137.01</v>
      </c>
      <c r="CK1383" s="347" t="s">
        <v>359</v>
      </c>
      <c r="CL1383" s="1789"/>
      <c r="CR1383" s="345"/>
      <c r="CS1383" s="345"/>
      <c r="CX1383" s="347"/>
      <c r="CY1383" s="347"/>
      <c r="DH1383" s="237"/>
      <c r="DI1383" s="237"/>
      <c r="DN1383" s="347"/>
      <c r="DO1383" s="347"/>
      <c r="DP1383" s="2505"/>
    </row>
    <row r="1384" spans="12:120">
      <c r="L1384" s="347">
        <v>9723</v>
      </c>
      <c r="M1384" s="347" t="s">
        <v>354</v>
      </c>
      <c r="AB1384" s="347">
        <v>203.16</v>
      </c>
      <c r="AC1384" s="347" t="s">
        <v>310</v>
      </c>
      <c r="AD1384" s="1138"/>
      <c r="AP1384" s="347">
        <v>1.18</v>
      </c>
      <c r="AQ1384" s="347" t="s">
        <v>352</v>
      </c>
      <c r="BF1384" s="347">
        <v>135</v>
      </c>
      <c r="BG1384" s="347" t="s">
        <v>365</v>
      </c>
      <c r="BH1384" s="1790"/>
      <c r="BN1384" s="237">
        <v>25</v>
      </c>
      <c r="BO1384" s="237" t="s">
        <v>337</v>
      </c>
      <c r="BT1384" s="347">
        <v>16.02</v>
      </c>
      <c r="BU1384" s="347" t="s">
        <v>351</v>
      </c>
      <c r="CD1384" s="237">
        <v>76.010000000000005</v>
      </c>
      <c r="CE1384" s="237" t="s">
        <v>352</v>
      </c>
      <c r="CJ1384" s="347">
        <v>137.02000000000001</v>
      </c>
      <c r="CK1384" s="347" t="s">
        <v>337</v>
      </c>
      <c r="CL1384" s="1789"/>
      <c r="CR1384" s="345"/>
      <c r="CS1384" s="345"/>
      <c r="CX1384" s="347"/>
      <c r="CY1384" s="347"/>
      <c r="DH1384" s="237"/>
      <c r="DI1384" s="237"/>
      <c r="DN1384" s="347"/>
      <c r="DO1384" s="347"/>
      <c r="DP1384" s="2505"/>
    </row>
    <row r="1385" spans="12:120">
      <c r="L1385" s="347">
        <v>9724</v>
      </c>
      <c r="M1385" s="347" t="s">
        <v>354</v>
      </c>
      <c r="AB1385" s="347">
        <v>203.17</v>
      </c>
      <c r="AC1385" s="347" t="s">
        <v>310</v>
      </c>
      <c r="AD1385" s="1138"/>
      <c r="AP1385" s="347">
        <v>1.2</v>
      </c>
      <c r="AQ1385" s="347" t="s">
        <v>352</v>
      </c>
      <c r="BF1385" s="347">
        <v>135.22</v>
      </c>
      <c r="BG1385" s="347" t="s">
        <v>323</v>
      </c>
      <c r="BH1385" s="1790"/>
      <c r="BN1385" s="237">
        <v>26</v>
      </c>
      <c r="BO1385" s="237" t="s">
        <v>337</v>
      </c>
      <c r="BT1385" s="347">
        <v>17.010000000000002</v>
      </c>
      <c r="BU1385" s="347" t="s">
        <v>351</v>
      </c>
      <c r="CD1385" s="237">
        <v>76.03</v>
      </c>
      <c r="CE1385" s="237" t="s">
        <v>352</v>
      </c>
      <c r="CJ1385" s="347">
        <v>137.03</v>
      </c>
      <c r="CK1385" s="347" t="s">
        <v>337</v>
      </c>
      <c r="CL1385" s="1789"/>
      <c r="CR1385" s="345"/>
      <c r="CS1385" s="345"/>
      <c r="CX1385" s="347"/>
      <c r="CY1385" s="347"/>
      <c r="DH1385" s="237"/>
      <c r="DI1385" s="237"/>
      <c r="DN1385" s="347"/>
      <c r="DO1385" s="347"/>
      <c r="DP1385" s="2505"/>
    </row>
    <row r="1386" spans="12:120">
      <c r="L1386" s="347">
        <v>9725</v>
      </c>
      <c r="M1386" s="347" t="s">
        <v>354</v>
      </c>
      <c r="AB1386" s="347">
        <v>203.18</v>
      </c>
      <c r="AC1386" s="347" t="s">
        <v>310</v>
      </c>
      <c r="AD1386" s="1138"/>
      <c r="AP1386" s="347">
        <v>1.21</v>
      </c>
      <c r="AQ1386" s="347" t="s">
        <v>352</v>
      </c>
      <c r="BF1386" s="347">
        <v>135.22999999999999</v>
      </c>
      <c r="BG1386" s="347" t="s">
        <v>323</v>
      </c>
      <c r="BH1386" s="1790"/>
      <c r="BN1386" s="237">
        <v>27.01</v>
      </c>
      <c r="BO1386" s="237" t="s">
        <v>337</v>
      </c>
      <c r="BT1386" s="347">
        <v>17.02</v>
      </c>
      <c r="BU1386" s="347" t="s">
        <v>351</v>
      </c>
      <c r="CD1386" s="237">
        <v>76.03</v>
      </c>
      <c r="CE1386" s="237" t="s">
        <v>361</v>
      </c>
      <c r="CJ1386" s="347">
        <v>137.06</v>
      </c>
      <c r="CK1386" s="347" t="s">
        <v>337</v>
      </c>
      <c r="CL1386" s="1789"/>
      <c r="CR1386" s="345"/>
      <c r="CS1386" s="345"/>
      <c r="CX1386" s="347"/>
      <c r="CY1386" s="347"/>
      <c r="DH1386" s="237"/>
      <c r="DI1386" s="237"/>
      <c r="DN1386" s="347"/>
      <c r="DO1386" s="347"/>
      <c r="DP1386" s="2505"/>
    </row>
    <row r="1387" spans="12:120">
      <c r="L1387" s="347">
        <v>9726</v>
      </c>
      <c r="M1387" s="347" t="s">
        <v>354</v>
      </c>
      <c r="AB1387" s="347">
        <v>203.19</v>
      </c>
      <c r="AC1387" s="347" t="s">
        <v>310</v>
      </c>
      <c r="AD1387" s="1138"/>
      <c r="AP1387" s="347">
        <v>1.22</v>
      </c>
      <c r="AQ1387" s="347" t="s">
        <v>352</v>
      </c>
      <c r="BF1387" s="347">
        <v>136.05000000000001</v>
      </c>
      <c r="BG1387" s="347" t="s">
        <v>359</v>
      </c>
      <c r="BH1387" s="1790"/>
      <c r="BN1387" s="237">
        <v>27.02</v>
      </c>
      <c r="BO1387" s="237" t="s">
        <v>337</v>
      </c>
      <c r="BT1387" s="347">
        <v>17.03</v>
      </c>
      <c r="BU1387" s="347" t="s">
        <v>351</v>
      </c>
      <c r="CD1387" s="237">
        <v>76.040000000000006</v>
      </c>
      <c r="CE1387" s="237" t="s">
        <v>361</v>
      </c>
      <c r="CJ1387" s="347">
        <v>137.22999999999999</v>
      </c>
      <c r="CK1387" s="347" t="s">
        <v>323</v>
      </c>
      <c r="CL1387" s="1789"/>
      <c r="CR1387" s="345"/>
      <c r="CS1387" s="345"/>
      <c r="CX1387" s="347"/>
      <c r="CY1387" s="347"/>
      <c r="DH1387" s="237"/>
      <c r="DI1387" s="237"/>
      <c r="DN1387" s="347"/>
      <c r="DO1387" s="347"/>
      <c r="DP1387" s="2505"/>
    </row>
    <row r="1388" spans="12:120">
      <c r="L1388" s="347">
        <v>501.01</v>
      </c>
      <c r="M1388" s="347" t="s">
        <v>356</v>
      </c>
      <c r="AB1388" s="347">
        <v>203.2</v>
      </c>
      <c r="AC1388" s="347" t="s">
        <v>310</v>
      </c>
      <c r="AD1388" s="1138"/>
      <c r="AP1388" s="347">
        <v>1.23</v>
      </c>
      <c r="AQ1388" s="347" t="s">
        <v>352</v>
      </c>
      <c r="BF1388" s="347">
        <v>137.02000000000001</v>
      </c>
      <c r="BG1388" s="347" t="s">
        <v>337</v>
      </c>
      <c r="BH1388" s="1790"/>
      <c r="BN1388" s="237">
        <v>28</v>
      </c>
      <c r="BO1388" s="237" t="s">
        <v>337</v>
      </c>
      <c r="BT1388" s="347">
        <v>1.07</v>
      </c>
      <c r="BU1388" s="347" t="s">
        <v>352</v>
      </c>
      <c r="CD1388" s="237">
        <v>76.05</v>
      </c>
      <c r="CE1388" s="237" t="s">
        <v>352</v>
      </c>
      <c r="CJ1388" s="347">
        <v>137.28</v>
      </c>
      <c r="CK1388" s="347" t="s">
        <v>323</v>
      </c>
      <c r="CL1388" s="1789"/>
      <c r="CR1388" s="345"/>
      <c r="CS1388" s="345"/>
      <c r="CX1388" s="347"/>
      <c r="CY1388" s="347"/>
      <c r="DH1388" s="237"/>
      <c r="DI1388" s="237"/>
      <c r="DN1388" s="347"/>
      <c r="DO1388" s="347"/>
      <c r="DP1388" s="2505"/>
    </row>
    <row r="1389" spans="12:120">
      <c r="L1389" s="347">
        <v>502.01</v>
      </c>
      <c r="M1389" s="347" t="s">
        <v>356</v>
      </c>
      <c r="AB1389" s="347">
        <v>203.21</v>
      </c>
      <c r="AC1389" s="347" t="s">
        <v>310</v>
      </c>
      <c r="AD1389" s="1138"/>
      <c r="AP1389" s="347">
        <v>1.25</v>
      </c>
      <c r="AQ1389" s="347" t="s">
        <v>352</v>
      </c>
      <c r="BF1389" s="347">
        <v>137.03</v>
      </c>
      <c r="BG1389" s="347" t="s">
        <v>337</v>
      </c>
      <c r="BH1389" s="1790"/>
      <c r="BN1389" s="237">
        <v>29</v>
      </c>
      <c r="BO1389" s="237" t="s">
        <v>337</v>
      </c>
      <c r="BT1389" s="347">
        <v>1.0900000000000001</v>
      </c>
      <c r="BU1389" s="347" t="s">
        <v>352</v>
      </c>
      <c r="CD1389" s="237">
        <v>76.05</v>
      </c>
      <c r="CE1389" s="237" t="s">
        <v>361</v>
      </c>
      <c r="CJ1389" s="347">
        <v>137.29</v>
      </c>
      <c r="CK1389" s="347" t="s">
        <v>323</v>
      </c>
      <c r="CL1389" s="1789"/>
      <c r="CR1389" s="345"/>
      <c r="CS1389" s="345"/>
      <c r="CX1389" s="347"/>
      <c r="CY1389" s="347"/>
      <c r="DH1389" s="237"/>
      <c r="DI1389" s="237"/>
      <c r="DN1389" s="347"/>
      <c r="DO1389" s="347"/>
      <c r="DP1389" s="2505"/>
    </row>
    <row r="1390" spans="12:120">
      <c r="L1390" s="347">
        <v>502.02</v>
      </c>
      <c r="M1390" s="347" t="s">
        <v>356</v>
      </c>
      <c r="AB1390" s="347">
        <v>203.22</v>
      </c>
      <c r="AC1390" s="347" t="s">
        <v>310</v>
      </c>
      <c r="AD1390" s="1138"/>
      <c r="AP1390" s="347">
        <v>1.26</v>
      </c>
      <c r="AQ1390" s="347" t="s">
        <v>352</v>
      </c>
      <c r="BF1390" s="347">
        <v>137.06</v>
      </c>
      <c r="BG1390" s="347" t="s">
        <v>337</v>
      </c>
      <c r="BH1390" s="1790"/>
      <c r="BN1390" s="237">
        <v>30</v>
      </c>
      <c r="BO1390" s="237" t="s">
        <v>337</v>
      </c>
      <c r="BT1390" s="347">
        <v>1.1499999999999999</v>
      </c>
      <c r="BU1390" s="347" t="s">
        <v>352</v>
      </c>
      <c r="CD1390" s="237">
        <v>76.069999999999993</v>
      </c>
      <c r="CE1390" s="237" t="s">
        <v>352</v>
      </c>
      <c r="CJ1390" s="347">
        <v>137.30000000000001</v>
      </c>
      <c r="CK1390" s="347" t="s">
        <v>323</v>
      </c>
      <c r="CL1390" s="1789"/>
      <c r="CR1390" s="345"/>
      <c r="CS1390" s="345"/>
      <c r="CX1390" s="347"/>
      <c r="CY1390" s="347"/>
      <c r="DH1390" s="237"/>
      <c r="DI1390" s="237"/>
      <c r="DN1390" s="347"/>
      <c r="DO1390" s="347"/>
      <c r="DP1390" s="2505"/>
    </row>
    <row r="1391" spans="12:120">
      <c r="L1391" s="347">
        <v>502.03</v>
      </c>
      <c r="M1391" s="347" t="s">
        <v>356</v>
      </c>
      <c r="AB1391" s="347">
        <v>203.25</v>
      </c>
      <c r="AC1391" s="347" t="s">
        <v>310</v>
      </c>
      <c r="AD1391" s="1138"/>
      <c r="AP1391" s="347">
        <v>1.28</v>
      </c>
      <c r="AQ1391" s="347" t="s">
        <v>352</v>
      </c>
      <c r="BF1391" s="347">
        <v>137.22999999999999</v>
      </c>
      <c r="BG1391" s="347" t="s">
        <v>323</v>
      </c>
      <c r="BH1391" s="1790"/>
      <c r="BN1391" s="237">
        <v>31</v>
      </c>
      <c r="BO1391" s="237" t="s">
        <v>337</v>
      </c>
      <c r="BT1391" s="347">
        <v>1.18</v>
      </c>
      <c r="BU1391" s="347" t="s">
        <v>352</v>
      </c>
      <c r="CD1391" s="237">
        <v>76.08</v>
      </c>
      <c r="CE1391" s="237" t="s">
        <v>352</v>
      </c>
      <c r="CJ1391" s="347">
        <v>137.31</v>
      </c>
      <c r="CK1391" s="347" t="s">
        <v>323</v>
      </c>
      <c r="CL1391" s="1789"/>
      <c r="CR1391" s="345"/>
      <c r="CS1391" s="345"/>
      <c r="CX1391" s="347"/>
      <c r="CY1391" s="347"/>
      <c r="DH1391" s="237"/>
      <c r="DI1391" s="237"/>
      <c r="DN1391" s="347"/>
      <c r="DO1391" s="347"/>
      <c r="DP1391" s="2505"/>
    </row>
    <row r="1392" spans="12:120">
      <c r="L1392" s="347">
        <v>503.03</v>
      </c>
      <c r="M1392" s="347" t="s">
        <v>356</v>
      </c>
      <c r="AB1392" s="347">
        <v>203.26</v>
      </c>
      <c r="AC1392" s="347" t="s">
        <v>310</v>
      </c>
      <c r="AD1392" s="1138"/>
      <c r="AP1392" s="347">
        <v>1.29</v>
      </c>
      <c r="AQ1392" s="347" t="s">
        <v>352</v>
      </c>
      <c r="BF1392" s="347">
        <v>137.28</v>
      </c>
      <c r="BG1392" s="347" t="s">
        <v>323</v>
      </c>
      <c r="BH1392" s="1790"/>
      <c r="BN1392" s="237">
        <v>32</v>
      </c>
      <c r="BO1392" s="237" t="s">
        <v>337</v>
      </c>
      <c r="BT1392" s="347">
        <v>1.2</v>
      </c>
      <c r="BU1392" s="347" t="s">
        <v>352</v>
      </c>
      <c r="CD1392" s="237">
        <v>76.09</v>
      </c>
      <c r="CE1392" s="237" t="s">
        <v>352</v>
      </c>
      <c r="CJ1392" s="347">
        <v>137.32</v>
      </c>
      <c r="CK1392" s="347" t="s">
        <v>323</v>
      </c>
      <c r="CL1392" s="1789"/>
      <c r="CR1392" s="345"/>
      <c r="CS1392" s="345"/>
      <c r="CX1392" s="347"/>
      <c r="CY1392" s="347"/>
      <c r="DH1392" s="237"/>
      <c r="DI1392" s="237"/>
      <c r="DN1392" s="347"/>
      <c r="DO1392" s="347"/>
      <c r="DP1392" s="2505"/>
    </row>
    <row r="1393" spans="12:120">
      <c r="L1393" s="347">
        <v>505.02</v>
      </c>
      <c r="M1393" s="347" t="s">
        <v>356</v>
      </c>
      <c r="AB1393" s="347">
        <v>204</v>
      </c>
      <c r="AC1393" s="347" t="s">
        <v>315</v>
      </c>
      <c r="AD1393" s="1138"/>
      <c r="AP1393" s="347">
        <v>1.3</v>
      </c>
      <c r="AQ1393" s="347" t="s">
        <v>352</v>
      </c>
      <c r="BF1393" s="347">
        <v>137.30000000000001</v>
      </c>
      <c r="BG1393" s="347" t="s">
        <v>323</v>
      </c>
      <c r="BH1393" s="1790"/>
      <c r="BN1393" s="237">
        <v>33</v>
      </c>
      <c r="BO1393" s="237" t="s">
        <v>337</v>
      </c>
      <c r="BT1393" s="347">
        <v>1.21</v>
      </c>
      <c r="BU1393" s="347" t="s">
        <v>352</v>
      </c>
      <c r="CD1393" s="237">
        <v>76.099999999999994</v>
      </c>
      <c r="CE1393" s="237" t="s">
        <v>352</v>
      </c>
      <c r="CJ1393" s="347">
        <v>137.33000000000001</v>
      </c>
      <c r="CK1393" s="347" t="s">
        <v>323</v>
      </c>
      <c r="CL1393" s="1789"/>
      <c r="CR1393" s="345"/>
      <c r="CS1393" s="345"/>
      <c r="CX1393" s="347"/>
      <c r="CY1393" s="347"/>
      <c r="DH1393" s="237"/>
      <c r="DI1393" s="237"/>
      <c r="DN1393" s="347"/>
      <c r="DO1393" s="347"/>
      <c r="DP1393" s="2505"/>
    </row>
    <row r="1394" spans="12:120">
      <c r="L1394" s="347">
        <v>505.04</v>
      </c>
      <c r="M1394" s="347" t="s">
        <v>356</v>
      </c>
      <c r="AB1394" s="347">
        <v>204</v>
      </c>
      <c r="AC1394" s="347" t="s">
        <v>344</v>
      </c>
      <c r="AD1394" s="1138"/>
      <c r="AP1394" s="347">
        <v>1.31</v>
      </c>
      <c r="AQ1394" s="347" t="s">
        <v>352</v>
      </c>
      <c r="BF1394" s="347">
        <v>137.31</v>
      </c>
      <c r="BG1394" s="347" t="s">
        <v>323</v>
      </c>
      <c r="BH1394" s="1790"/>
      <c r="BN1394" s="237">
        <v>34</v>
      </c>
      <c r="BO1394" s="237" t="s">
        <v>337</v>
      </c>
      <c r="BT1394" s="347">
        <v>1.22</v>
      </c>
      <c r="BU1394" s="347" t="s">
        <v>352</v>
      </c>
      <c r="CD1394" s="237">
        <v>76.099999999999994</v>
      </c>
      <c r="CE1394" s="237" t="s">
        <v>361</v>
      </c>
      <c r="CJ1394" s="347">
        <v>138</v>
      </c>
      <c r="CK1394" s="347" t="s">
        <v>323</v>
      </c>
      <c r="CL1394" s="1789"/>
      <c r="CR1394" s="345"/>
      <c r="CS1394" s="345"/>
      <c r="CX1394" s="347"/>
      <c r="CY1394" s="347"/>
      <c r="DH1394" s="237"/>
      <c r="DI1394" s="237"/>
      <c r="DN1394" s="347"/>
      <c r="DO1394" s="347"/>
      <c r="DP1394" s="2505"/>
    </row>
    <row r="1395" spans="12:120">
      <c r="L1395" s="347">
        <v>206</v>
      </c>
      <c r="M1395" s="347" t="s">
        <v>357</v>
      </c>
      <c r="AB1395" s="347">
        <v>204</v>
      </c>
      <c r="AC1395" s="347" t="s">
        <v>363</v>
      </c>
      <c r="AD1395" s="1138"/>
      <c r="AP1395" s="347">
        <v>1.34</v>
      </c>
      <c r="AQ1395" s="347" t="s">
        <v>352</v>
      </c>
      <c r="BF1395" s="347">
        <v>137.32</v>
      </c>
      <c r="BG1395" s="347" t="s">
        <v>323</v>
      </c>
      <c r="BH1395" s="1790"/>
      <c r="BN1395" s="237">
        <v>35</v>
      </c>
      <c r="BO1395" s="237" t="s">
        <v>337</v>
      </c>
      <c r="BT1395" s="347">
        <v>1.23</v>
      </c>
      <c r="BU1395" s="347" t="s">
        <v>352</v>
      </c>
      <c r="CD1395" s="237">
        <v>76.12</v>
      </c>
      <c r="CE1395" s="237" t="s">
        <v>361</v>
      </c>
      <c r="CJ1395" s="347">
        <v>138.01</v>
      </c>
      <c r="CK1395" s="347" t="s">
        <v>359</v>
      </c>
      <c r="CL1395" s="1789"/>
      <c r="CR1395" s="345"/>
      <c r="CS1395" s="345"/>
      <c r="CX1395" s="347"/>
      <c r="CY1395" s="347"/>
      <c r="DH1395" s="237"/>
      <c r="DI1395" s="237"/>
      <c r="DN1395" s="347"/>
      <c r="DO1395" s="347"/>
      <c r="DP1395" s="2505"/>
    </row>
    <row r="1396" spans="12:120">
      <c r="L1396" s="347">
        <v>208</v>
      </c>
      <c r="M1396" s="347" t="s">
        <v>357</v>
      </c>
      <c r="AB1396" s="347">
        <v>204.06</v>
      </c>
      <c r="AC1396" s="347" t="s">
        <v>310</v>
      </c>
      <c r="AD1396" s="1138"/>
      <c r="AP1396" s="347">
        <v>1.4</v>
      </c>
      <c r="AQ1396" s="347" t="s">
        <v>352</v>
      </c>
      <c r="BF1396" s="347">
        <v>137.33000000000001</v>
      </c>
      <c r="BG1396" s="347" t="s">
        <v>323</v>
      </c>
      <c r="BH1396" s="1790"/>
      <c r="BN1396" s="237">
        <v>36</v>
      </c>
      <c r="BO1396" s="237" t="s">
        <v>337</v>
      </c>
      <c r="BT1396" s="347">
        <v>1.26</v>
      </c>
      <c r="BU1396" s="347" t="s">
        <v>352</v>
      </c>
      <c r="CD1396" s="237">
        <v>76.13</v>
      </c>
      <c r="CE1396" s="237" t="s">
        <v>361</v>
      </c>
      <c r="CJ1396" s="347">
        <v>138.02000000000001</v>
      </c>
      <c r="CK1396" s="347" t="s">
        <v>359</v>
      </c>
      <c r="CL1396" s="1789"/>
      <c r="CR1396" s="345"/>
      <c r="CS1396" s="345"/>
      <c r="CX1396" s="347"/>
      <c r="CY1396" s="347"/>
      <c r="DH1396" s="237"/>
      <c r="DI1396" s="237"/>
      <c r="DN1396" s="347"/>
      <c r="DO1396" s="347"/>
      <c r="DP1396" s="2505"/>
    </row>
    <row r="1397" spans="12:120">
      <c r="L1397" s="347">
        <v>209</v>
      </c>
      <c r="M1397" s="347" t="s">
        <v>357</v>
      </c>
      <c r="AB1397" s="347">
        <v>204.11</v>
      </c>
      <c r="AC1397" s="347" t="s">
        <v>310</v>
      </c>
      <c r="AD1397" s="1138"/>
      <c r="AP1397" s="347">
        <v>1.41</v>
      </c>
      <c r="AQ1397" s="347" t="s">
        <v>352</v>
      </c>
      <c r="BF1397" s="347">
        <v>138</v>
      </c>
      <c r="BG1397" s="347" t="s">
        <v>323</v>
      </c>
      <c r="BH1397" s="1790"/>
      <c r="BN1397" s="237">
        <v>37</v>
      </c>
      <c r="BO1397" s="237" t="s">
        <v>337</v>
      </c>
      <c r="BT1397" s="347">
        <v>1.27</v>
      </c>
      <c r="BU1397" s="347" t="s">
        <v>352</v>
      </c>
      <c r="CD1397" s="237">
        <v>76.14</v>
      </c>
      <c r="CE1397" s="237" t="s">
        <v>361</v>
      </c>
      <c r="CJ1397" s="347">
        <v>138.03</v>
      </c>
      <c r="CK1397" s="347" t="s">
        <v>359</v>
      </c>
      <c r="CL1397" s="1789"/>
      <c r="CR1397" s="345"/>
      <c r="CS1397" s="345"/>
      <c r="CX1397" s="347"/>
      <c r="CY1397" s="347"/>
      <c r="DH1397" s="237"/>
      <c r="DI1397" s="237"/>
      <c r="DN1397" s="347"/>
      <c r="DO1397" s="347"/>
      <c r="DP1397" s="2505"/>
    </row>
    <row r="1398" spans="12:120">
      <c r="L1398" s="347">
        <v>210.01</v>
      </c>
      <c r="M1398" s="347" t="s">
        <v>357</v>
      </c>
      <c r="AB1398" s="347">
        <v>204.14</v>
      </c>
      <c r="AC1398" s="347" t="s">
        <v>310</v>
      </c>
      <c r="AD1398" s="1138"/>
      <c r="AP1398" s="347">
        <v>1.43</v>
      </c>
      <c r="AQ1398" s="347" t="s">
        <v>352</v>
      </c>
      <c r="BF1398" s="347">
        <v>138.01</v>
      </c>
      <c r="BG1398" s="347" t="s">
        <v>352</v>
      </c>
      <c r="BH1398" s="1790"/>
      <c r="BN1398" s="237">
        <v>38</v>
      </c>
      <c r="BO1398" s="237" t="s">
        <v>337</v>
      </c>
      <c r="BT1398" s="347">
        <v>1.28</v>
      </c>
      <c r="BU1398" s="347" t="s">
        <v>352</v>
      </c>
      <c r="CD1398" s="237">
        <v>76.150000000000006</v>
      </c>
      <c r="CE1398" s="237" t="s">
        <v>361</v>
      </c>
      <c r="CJ1398" s="347">
        <v>138.06</v>
      </c>
      <c r="CK1398" s="347" t="s">
        <v>337</v>
      </c>
      <c r="CL1398" s="1789"/>
      <c r="CR1398" s="345"/>
      <c r="CS1398" s="345"/>
      <c r="CX1398" s="347"/>
      <c r="CY1398" s="347"/>
      <c r="DH1398" s="237"/>
      <c r="DI1398" s="237"/>
      <c r="DN1398" s="347"/>
      <c r="DO1398" s="347"/>
      <c r="DP1398" s="2505"/>
    </row>
    <row r="1399" spans="12:120">
      <c r="L1399" s="347">
        <v>210.02</v>
      </c>
      <c r="M1399" s="347" t="s">
        <v>357</v>
      </c>
      <c r="AB1399" s="347">
        <v>205</v>
      </c>
      <c r="AC1399" s="347" t="s">
        <v>328</v>
      </c>
      <c r="AD1399" s="1138"/>
      <c r="AP1399" s="347">
        <v>1.44</v>
      </c>
      <c r="AQ1399" s="347" t="s">
        <v>352</v>
      </c>
      <c r="BF1399" s="347">
        <v>138.01</v>
      </c>
      <c r="BG1399" s="347" t="s">
        <v>359</v>
      </c>
      <c r="BH1399" s="1790"/>
      <c r="BN1399" s="237">
        <v>41</v>
      </c>
      <c r="BO1399" s="237" t="s">
        <v>337</v>
      </c>
      <c r="BT1399" s="347">
        <v>1.29</v>
      </c>
      <c r="BU1399" s="347" t="s">
        <v>352</v>
      </c>
      <c r="CD1399" s="237">
        <v>76.16</v>
      </c>
      <c r="CE1399" s="237" t="s">
        <v>361</v>
      </c>
      <c r="CJ1399" s="347">
        <v>138.07</v>
      </c>
      <c r="CK1399" s="347" t="s">
        <v>337</v>
      </c>
      <c r="CL1399" s="1789"/>
      <c r="CR1399" s="345"/>
      <c r="CS1399" s="345"/>
      <c r="CX1399" s="347"/>
      <c r="CY1399" s="347"/>
      <c r="DH1399" s="237"/>
      <c r="DI1399" s="237"/>
      <c r="DN1399" s="347"/>
      <c r="DO1399" s="347"/>
      <c r="DP1399" s="2505"/>
    </row>
    <row r="1400" spans="12:120">
      <c r="L1400" s="347">
        <v>211.02</v>
      </c>
      <c r="M1400" s="347" t="s">
        <v>357</v>
      </c>
      <c r="AB1400" s="347">
        <v>205</v>
      </c>
      <c r="AC1400" s="347" t="s">
        <v>370</v>
      </c>
      <c r="AD1400" s="1138"/>
      <c r="AP1400" s="347">
        <v>1.45</v>
      </c>
      <c r="AQ1400" s="347" t="s">
        <v>352</v>
      </c>
      <c r="BF1400" s="347">
        <v>138.02000000000001</v>
      </c>
      <c r="BG1400" s="347" t="s">
        <v>359</v>
      </c>
      <c r="BH1400" s="1790"/>
      <c r="BN1400" s="237">
        <v>42</v>
      </c>
      <c r="BO1400" s="237" t="s">
        <v>337</v>
      </c>
      <c r="BT1400" s="347">
        <v>1.3</v>
      </c>
      <c r="BU1400" s="347" t="s">
        <v>352</v>
      </c>
      <c r="CD1400" s="237">
        <v>76.19</v>
      </c>
      <c r="CE1400" s="237" t="s">
        <v>361</v>
      </c>
      <c r="CJ1400" s="347">
        <v>139</v>
      </c>
      <c r="CK1400" s="347" t="s">
        <v>352</v>
      </c>
      <c r="CL1400" s="1789"/>
      <c r="CR1400" s="345"/>
      <c r="CS1400" s="345"/>
      <c r="CX1400" s="347"/>
      <c r="CY1400" s="347"/>
      <c r="DH1400" s="237"/>
      <c r="DI1400" s="237"/>
      <c r="DN1400" s="347"/>
      <c r="DO1400" s="347"/>
      <c r="DP1400" s="2505"/>
    </row>
    <row r="1401" spans="12:120">
      <c r="L1401" s="347">
        <v>215.01</v>
      </c>
      <c r="M1401" s="347" t="s">
        <v>357</v>
      </c>
      <c r="AB1401" s="347">
        <v>205.01</v>
      </c>
      <c r="AC1401" s="347" t="s">
        <v>310</v>
      </c>
      <c r="AD1401" s="1138"/>
      <c r="AP1401" s="347">
        <v>1.46</v>
      </c>
      <c r="AQ1401" s="347" t="s">
        <v>352</v>
      </c>
      <c r="BF1401" s="347">
        <v>138.03</v>
      </c>
      <c r="BG1401" s="347" t="s">
        <v>359</v>
      </c>
      <c r="BH1401" s="1790"/>
      <c r="BN1401" s="237">
        <v>43</v>
      </c>
      <c r="BO1401" s="237" t="s">
        <v>337</v>
      </c>
      <c r="BT1401" s="347">
        <v>1.31</v>
      </c>
      <c r="BU1401" s="347" t="s">
        <v>352</v>
      </c>
      <c r="CD1401" s="237">
        <v>76.2</v>
      </c>
      <c r="CE1401" s="237" t="s">
        <v>361</v>
      </c>
      <c r="CJ1401" s="347">
        <v>139</v>
      </c>
      <c r="CK1401" s="347" t="s">
        <v>359</v>
      </c>
      <c r="CL1401" s="1789"/>
      <c r="CR1401" s="345"/>
      <c r="CS1401" s="345"/>
      <c r="CX1401" s="347"/>
      <c r="CY1401" s="347"/>
      <c r="DH1401" s="237"/>
      <c r="DI1401" s="237"/>
      <c r="DN1401" s="347"/>
      <c r="DO1401" s="347"/>
      <c r="DP1401" s="2505"/>
    </row>
    <row r="1402" spans="12:120">
      <c r="L1402" s="347">
        <v>216</v>
      </c>
      <c r="M1402" s="347" t="s">
        <v>357</v>
      </c>
      <c r="AB1402" s="347">
        <v>205.01</v>
      </c>
      <c r="AC1402" s="347" t="s">
        <v>315</v>
      </c>
      <c r="AD1402" s="1138"/>
      <c r="AP1402" s="347">
        <v>2.04</v>
      </c>
      <c r="AQ1402" s="347" t="s">
        <v>352</v>
      </c>
      <c r="BF1402" s="347">
        <v>138.04</v>
      </c>
      <c r="BG1402" s="347" t="s">
        <v>337</v>
      </c>
      <c r="BH1402" s="1790"/>
      <c r="BN1402" s="237">
        <v>44</v>
      </c>
      <c r="BO1402" s="237" t="s">
        <v>337</v>
      </c>
      <c r="BT1402" s="347">
        <v>1.34</v>
      </c>
      <c r="BU1402" s="347" t="s">
        <v>352</v>
      </c>
      <c r="CD1402" s="237">
        <v>76.209999999999994</v>
      </c>
      <c r="CE1402" s="237" t="s">
        <v>361</v>
      </c>
      <c r="CJ1402" s="347">
        <v>139.01</v>
      </c>
      <c r="CK1402" s="347" t="s">
        <v>323</v>
      </c>
      <c r="CL1402" s="1789"/>
      <c r="CR1402" s="345"/>
      <c r="CS1402" s="345"/>
      <c r="CX1402" s="347"/>
      <c r="CY1402" s="347"/>
      <c r="DH1402" s="237"/>
      <c r="DI1402" s="237"/>
      <c r="DN1402" s="347"/>
      <c r="DO1402" s="347"/>
      <c r="DP1402" s="2505"/>
    </row>
    <row r="1403" spans="12:120">
      <c r="L1403" s="347">
        <v>217</v>
      </c>
      <c r="M1403" s="347" t="s">
        <v>357</v>
      </c>
      <c r="AB1403" s="347">
        <v>205.02</v>
      </c>
      <c r="AC1403" s="347" t="s">
        <v>315</v>
      </c>
      <c r="AD1403" s="1138"/>
      <c r="AP1403" s="347">
        <v>2.06</v>
      </c>
      <c r="AQ1403" s="347" t="s">
        <v>352</v>
      </c>
      <c r="BF1403" s="347">
        <v>138.06</v>
      </c>
      <c r="BG1403" s="347" t="s">
        <v>337</v>
      </c>
      <c r="BH1403" s="1790"/>
      <c r="BN1403" s="237">
        <v>45</v>
      </c>
      <c r="BO1403" s="237" t="s">
        <v>337</v>
      </c>
      <c r="BT1403" s="347">
        <v>1.4</v>
      </c>
      <c r="BU1403" s="347" t="s">
        <v>352</v>
      </c>
      <c r="CD1403" s="237">
        <v>76.22</v>
      </c>
      <c r="CE1403" s="237" t="s">
        <v>361</v>
      </c>
      <c r="CJ1403" s="347">
        <v>139.02000000000001</v>
      </c>
      <c r="CK1403" s="347" t="s">
        <v>323</v>
      </c>
      <c r="CL1403" s="1789"/>
      <c r="CR1403" s="345"/>
      <c r="CS1403" s="345"/>
      <c r="CX1403" s="347"/>
      <c r="CY1403" s="347"/>
      <c r="DH1403" s="237"/>
      <c r="DI1403" s="237"/>
      <c r="DN1403" s="347"/>
      <c r="DO1403" s="347"/>
      <c r="DP1403" s="2505"/>
    </row>
    <row r="1404" spans="12:120">
      <c r="L1404" s="347">
        <v>224</v>
      </c>
      <c r="M1404" s="347" t="s">
        <v>357</v>
      </c>
      <c r="AB1404" s="347">
        <v>206</v>
      </c>
      <c r="AC1404" s="347" t="s">
        <v>328</v>
      </c>
      <c r="AD1404" s="1138"/>
      <c r="AP1404" s="347">
        <v>2.11</v>
      </c>
      <c r="AQ1404" s="347" t="s">
        <v>352</v>
      </c>
      <c r="BF1404" s="347">
        <v>138.07</v>
      </c>
      <c r="BG1404" s="347" t="s">
        <v>337</v>
      </c>
      <c r="BH1404" s="1790"/>
      <c r="BN1404" s="237">
        <v>46.01</v>
      </c>
      <c r="BO1404" s="237" t="s">
        <v>337</v>
      </c>
      <c r="BT1404" s="347">
        <v>1.41</v>
      </c>
      <c r="BU1404" s="347" t="s">
        <v>352</v>
      </c>
      <c r="CD1404" s="237">
        <v>76.23</v>
      </c>
      <c r="CE1404" s="237" t="s">
        <v>361</v>
      </c>
      <c r="CJ1404" s="347">
        <v>139.02000000000001</v>
      </c>
      <c r="CK1404" s="347" t="s">
        <v>365</v>
      </c>
      <c r="CL1404" s="1789"/>
      <c r="CR1404" s="345"/>
      <c r="CS1404" s="345"/>
      <c r="CX1404" s="347"/>
      <c r="CY1404" s="347"/>
      <c r="DH1404" s="237"/>
      <c r="DI1404" s="237"/>
      <c r="DN1404" s="347"/>
      <c r="DO1404" s="347"/>
      <c r="DP1404" s="2505"/>
    </row>
    <row r="1405" spans="12:120">
      <c r="L1405" s="347">
        <v>232</v>
      </c>
      <c r="M1405" s="347" t="s">
        <v>357</v>
      </c>
      <c r="AB1405" s="347">
        <v>206</v>
      </c>
      <c r="AC1405" s="347" t="s">
        <v>357</v>
      </c>
      <c r="AD1405" s="1138"/>
      <c r="AP1405" s="347">
        <v>2.13</v>
      </c>
      <c r="AQ1405" s="347" t="s">
        <v>352</v>
      </c>
      <c r="BF1405" s="347">
        <v>139</v>
      </c>
      <c r="BG1405" s="347" t="s">
        <v>352</v>
      </c>
      <c r="BH1405" s="1790"/>
      <c r="BN1405" s="237">
        <v>46.02</v>
      </c>
      <c r="BO1405" s="237" t="s">
        <v>337</v>
      </c>
      <c r="BT1405" s="347">
        <v>1.42</v>
      </c>
      <c r="BU1405" s="347" t="s">
        <v>352</v>
      </c>
      <c r="CD1405" s="237">
        <v>76.239999999999995</v>
      </c>
      <c r="CE1405" s="237" t="s">
        <v>361</v>
      </c>
      <c r="CJ1405" s="347">
        <v>139.03</v>
      </c>
      <c r="CK1405" s="347" t="s">
        <v>337</v>
      </c>
      <c r="CL1405" s="1789"/>
      <c r="CR1405" s="345"/>
      <c r="CS1405" s="345"/>
      <c r="CX1405" s="347"/>
      <c r="CY1405" s="347"/>
      <c r="DH1405" s="237"/>
      <c r="DI1405" s="237"/>
      <c r="DN1405" s="347"/>
      <c r="DO1405" s="347"/>
      <c r="DP1405" s="2505"/>
    </row>
    <row r="1406" spans="12:120">
      <c r="L1406" s="347">
        <v>233.03</v>
      </c>
      <c r="M1406" s="347" t="s">
        <v>357</v>
      </c>
      <c r="AB1406" s="347">
        <v>206.01</v>
      </c>
      <c r="AC1406" s="347" t="s">
        <v>370</v>
      </c>
      <c r="AD1406" s="1138"/>
      <c r="AP1406" s="347">
        <v>2.16</v>
      </c>
      <c r="AQ1406" s="347" t="s">
        <v>352</v>
      </c>
      <c r="BF1406" s="347">
        <v>139</v>
      </c>
      <c r="BG1406" s="347" t="s">
        <v>359</v>
      </c>
      <c r="BH1406" s="1790"/>
      <c r="BN1406" s="237">
        <v>47</v>
      </c>
      <c r="BO1406" s="237" t="s">
        <v>337</v>
      </c>
      <c r="BT1406" s="347">
        <v>1.43</v>
      </c>
      <c r="BU1406" s="347" t="s">
        <v>352</v>
      </c>
      <c r="CD1406" s="237">
        <v>77.040000000000006</v>
      </c>
      <c r="CE1406" s="237" t="s">
        <v>352</v>
      </c>
      <c r="CJ1406" s="347">
        <v>139.05000000000001</v>
      </c>
      <c r="CK1406" s="347" t="s">
        <v>323</v>
      </c>
      <c r="CL1406" s="1789"/>
      <c r="CR1406" s="345"/>
      <c r="CS1406" s="345"/>
      <c r="CX1406" s="347"/>
      <c r="CY1406" s="347"/>
      <c r="DH1406" s="237"/>
      <c r="DI1406" s="237"/>
      <c r="DN1406" s="347"/>
      <c r="DO1406" s="347"/>
      <c r="DP1406" s="2505"/>
    </row>
    <row r="1407" spans="12:120">
      <c r="L1407" s="347">
        <v>233.04</v>
      </c>
      <c r="M1407" s="347" t="s">
        <v>357</v>
      </c>
      <c r="AB1407" s="347">
        <v>206.02</v>
      </c>
      <c r="AC1407" s="347" t="s">
        <v>370</v>
      </c>
      <c r="AD1407" s="1138"/>
      <c r="AP1407" s="347">
        <v>2.21</v>
      </c>
      <c r="AQ1407" s="347" t="s">
        <v>352</v>
      </c>
      <c r="BF1407" s="347">
        <v>139.01</v>
      </c>
      <c r="BG1407" s="347" t="s">
        <v>323</v>
      </c>
      <c r="BH1407" s="1790"/>
      <c r="BN1407" s="237">
        <v>48</v>
      </c>
      <c r="BO1407" s="237" t="s">
        <v>337</v>
      </c>
      <c r="BT1407" s="347">
        <v>1.44</v>
      </c>
      <c r="BU1407" s="347" t="s">
        <v>352</v>
      </c>
      <c r="CD1407" s="237">
        <v>77.05</v>
      </c>
      <c r="CE1407" s="237" t="s">
        <v>352</v>
      </c>
      <c r="CJ1407" s="347">
        <v>139.06</v>
      </c>
      <c r="CK1407" s="347" t="s">
        <v>323</v>
      </c>
      <c r="CL1407" s="1789"/>
      <c r="CR1407" s="345"/>
      <c r="CS1407" s="345"/>
      <c r="CX1407" s="347"/>
      <c r="CY1407" s="347"/>
      <c r="DH1407" s="237"/>
      <c r="DI1407" s="237"/>
      <c r="DN1407" s="347"/>
      <c r="DO1407" s="347"/>
      <c r="DP1407" s="2505"/>
    </row>
    <row r="1408" spans="12:120">
      <c r="L1408" s="347">
        <v>233.05</v>
      </c>
      <c r="M1408" s="347" t="s">
        <v>357</v>
      </c>
      <c r="AB1408" s="347">
        <v>207</v>
      </c>
      <c r="AC1408" s="347" t="s">
        <v>344</v>
      </c>
      <c r="AD1408" s="1138"/>
      <c r="AP1408" s="347">
        <v>2.25</v>
      </c>
      <c r="AQ1408" s="347" t="s">
        <v>352</v>
      </c>
      <c r="BF1408" s="347">
        <v>139.02000000000001</v>
      </c>
      <c r="BG1408" s="347" t="s">
        <v>323</v>
      </c>
      <c r="BH1408" s="1790"/>
      <c r="BN1408" s="237">
        <v>49.01</v>
      </c>
      <c r="BO1408" s="237" t="s">
        <v>337</v>
      </c>
      <c r="BT1408" s="347">
        <v>1.45</v>
      </c>
      <c r="BU1408" s="347" t="s">
        <v>352</v>
      </c>
      <c r="CD1408" s="237">
        <v>77.05</v>
      </c>
      <c r="CE1408" s="237" t="s">
        <v>361</v>
      </c>
      <c r="CJ1408" s="347">
        <v>139.07</v>
      </c>
      <c r="CK1408" s="347" t="s">
        <v>337</v>
      </c>
      <c r="CL1408" s="1789"/>
      <c r="CR1408" s="345"/>
      <c r="CS1408" s="345"/>
      <c r="CX1408" s="347"/>
      <c r="CY1408" s="347"/>
      <c r="DH1408" s="237"/>
      <c r="DI1408" s="237"/>
      <c r="DN1408" s="347"/>
      <c r="DO1408" s="347"/>
      <c r="DP1408" s="2505"/>
    </row>
    <row r="1409" spans="12:120">
      <c r="L1409" s="347">
        <v>233.06</v>
      </c>
      <c r="M1409" s="347" t="s">
        <v>357</v>
      </c>
      <c r="AB1409" s="347">
        <v>207.01</v>
      </c>
      <c r="AC1409" s="347" t="s">
        <v>369</v>
      </c>
      <c r="AD1409" s="1138"/>
      <c r="AP1409" s="347">
        <v>2.2599999999999998</v>
      </c>
      <c r="AQ1409" s="347" t="s">
        <v>352</v>
      </c>
      <c r="BF1409" s="347">
        <v>139.02000000000001</v>
      </c>
      <c r="BG1409" s="347" t="s">
        <v>365</v>
      </c>
      <c r="BH1409" s="1790"/>
      <c r="BN1409" s="237">
        <v>49.02</v>
      </c>
      <c r="BO1409" s="237" t="s">
        <v>337</v>
      </c>
      <c r="BT1409" s="347">
        <v>1.46</v>
      </c>
      <c r="BU1409" s="347" t="s">
        <v>352</v>
      </c>
      <c r="CD1409" s="237">
        <v>77.06</v>
      </c>
      <c r="CE1409" s="237" t="s">
        <v>352</v>
      </c>
      <c r="CJ1409" s="347">
        <v>139.13</v>
      </c>
      <c r="CK1409" s="347" t="s">
        <v>337</v>
      </c>
      <c r="CL1409" s="1789"/>
      <c r="CR1409" s="345"/>
      <c r="CS1409" s="345"/>
      <c r="CX1409" s="347"/>
      <c r="CY1409" s="347"/>
      <c r="DH1409" s="237"/>
      <c r="DI1409" s="237"/>
      <c r="DN1409" s="347"/>
      <c r="DO1409" s="347"/>
      <c r="DP1409" s="2505"/>
    </row>
    <row r="1410" spans="12:120">
      <c r="L1410" s="347">
        <v>233.08</v>
      </c>
      <c r="M1410" s="347" t="s">
        <v>357</v>
      </c>
      <c r="AB1410" s="347">
        <v>207.03</v>
      </c>
      <c r="AC1410" s="347" t="s">
        <v>369</v>
      </c>
      <c r="AD1410" s="1138"/>
      <c r="AP1410" s="347">
        <v>3.09</v>
      </c>
      <c r="AQ1410" s="347" t="s">
        <v>352</v>
      </c>
      <c r="BF1410" s="347">
        <v>139.04</v>
      </c>
      <c r="BG1410" s="347" t="s">
        <v>323</v>
      </c>
      <c r="BH1410" s="1790"/>
      <c r="BN1410" s="237">
        <v>50</v>
      </c>
      <c r="BO1410" s="237" t="s">
        <v>337</v>
      </c>
      <c r="BT1410" s="347">
        <v>2.04</v>
      </c>
      <c r="BU1410" s="347" t="s">
        <v>352</v>
      </c>
      <c r="CD1410" s="237">
        <v>77.069999999999993</v>
      </c>
      <c r="CE1410" s="237" t="s">
        <v>352</v>
      </c>
      <c r="CJ1410" s="347">
        <v>139.15</v>
      </c>
      <c r="CK1410" s="347" t="s">
        <v>337</v>
      </c>
      <c r="CL1410" s="1789"/>
      <c r="CR1410" s="345"/>
      <c r="CS1410" s="345"/>
      <c r="CX1410" s="347"/>
      <c r="CY1410" s="347"/>
      <c r="DH1410" s="237"/>
      <c r="DI1410" s="237"/>
      <c r="DN1410" s="347"/>
      <c r="DO1410" s="347"/>
      <c r="DP1410" s="2505"/>
    </row>
    <row r="1411" spans="12:120">
      <c r="L1411" s="347">
        <v>9101.01</v>
      </c>
      <c r="M1411" s="347" t="s">
        <v>358</v>
      </c>
      <c r="AB1411" s="347">
        <v>207.04</v>
      </c>
      <c r="AC1411" s="347" t="s">
        <v>370</v>
      </c>
      <c r="AD1411" s="1138"/>
      <c r="AP1411" s="347">
        <v>4.05</v>
      </c>
      <c r="AQ1411" s="347" t="s">
        <v>352</v>
      </c>
      <c r="BF1411" s="347">
        <v>139.05000000000001</v>
      </c>
      <c r="BG1411" s="347" t="s">
        <v>323</v>
      </c>
      <c r="BH1411" s="1790"/>
      <c r="BN1411" s="237">
        <v>51.01</v>
      </c>
      <c r="BO1411" s="237" t="s">
        <v>337</v>
      </c>
      <c r="BT1411" s="347">
        <v>2.13</v>
      </c>
      <c r="BU1411" s="347" t="s">
        <v>352</v>
      </c>
      <c r="CD1411" s="237">
        <v>77.08</v>
      </c>
      <c r="CE1411" s="237" t="s">
        <v>352</v>
      </c>
      <c r="CJ1411" s="347">
        <v>139.16</v>
      </c>
      <c r="CK1411" s="347" t="s">
        <v>337</v>
      </c>
      <c r="CL1411" s="1789"/>
      <c r="CR1411" s="345"/>
      <c r="CS1411" s="345"/>
      <c r="CX1411" s="347"/>
      <c r="CY1411" s="347"/>
      <c r="DH1411" s="237"/>
      <c r="DI1411" s="237"/>
      <c r="DN1411" s="347"/>
      <c r="DO1411" s="347"/>
      <c r="DP1411" s="2505"/>
    </row>
    <row r="1412" spans="12:120">
      <c r="L1412" s="347">
        <v>9101.02</v>
      </c>
      <c r="M1412" s="347" t="s">
        <v>358</v>
      </c>
      <c r="AB1412" s="347">
        <v>207.04</v>
      </c>
      <c r="AC1412" s="347" t="s">
        <v>369</v>
      </c>
      <c r="AD1412" s="1138"/>
      <c r="AP1412" s="347">
        <v>4.0999999999999996</v>
      </c>
      <c r="AQ1412" s="347" t="s">
        <v>352</v>
      </c>
      <c r="BF1412" s="347">
        <v>139.06</v>
      </c>
      <c r="BG1412" s="347" t="s">
        <v>323</v>
      </c>
      <c r="BH1412" s="1790"/>
      <c r="BN1412" s="237">
        <v>51.02</v>
      </c>
      <c r="BO1412" s="237" t="s">
        <v>337</v>
      </c>
      <c r="BT1412" s="347">
        <v>2.16</v>
      </c>
      <c r="BU1412" s="347" t="s">
        <v>352</v>
      </c>
      <c r="CD1412" s="237">
        <v>77.09</v>
      </c>
      <c r="CE1412" s="237" t="s">
        <v>352</v>
      </c>
      <c r="CJ1412" s="347">
        <v>139.16999999999999</v>
      </c>
      <c r="CK1412" s="347" t="s">
        <v>337</v>
      </c>
      <c r="CL1412" s="1789"/>
      <c r="CR1412" s="345"/>
      <c r="CS1412" s="345"/>
      <c r="CX1412" s="347"/>
      <c r="CY1412" s="347"/>
      <c r="DH1412" s="237"/>
      <c r="DI1412" s="237"/>
      <c r="DN1412" s="347"/>
      <c r="DO1412" s="347"/>
      <c r="DP1412" s="2505"/>
    </row>
    <row r="1413" spans="12:120">
      <c r="L1413" s="347">
        <v>9104.01</v>
      </c>
      <c r="M1413" s="347" t="s">
        <v>358</v>
      </c>
      <c r="AB1413" s="347">
        <v>207.05</v>
      </c>
      <c r="AC1413" s="347" t="s">
        <v>370</v>
      </c>
      <c r="AD1413" s="1138"/>
      <c r="AP1413" s="347">
        <v>4.1900000000000004</v>
      </c>
      <c r="AQ1413" s="347" t="s">
        <v>352</v>
      </c>
      <c r="BF1413" s="347">
        <v>139.07</v>
      </c>
      <c r="BG1413" s="347" t="s">
        <v>337</v>
      </c>
      <c r="BH1413" s="1790"/>
      <c r="BN1413" s="237">
        <v>53.01</v>
      </c>
      <c r="BO1413" s="237" t="s">
        <v>337</v>
      </c>
      <c r="BT1413" s="347">
        <v>2.21</v>
      </c>
      <c r="BU1413" s="347" t="s">
        <v>352</v>
      </c>
      <c r="CD1413" s="237">
        <v>77.099999999999994</v>
      </c>
      <c r="CE1413" s="237" t="s">
        <v>361</v>
      </c>
      <c r="CJ1413" s="347">
        <v>139.18</v>
      </c>
      <c r="CK1413" s="347" t="s">
        <v>337</v>
      </c>
      <c r="CL1413" s="1789"/>
      <c r="CR1413" s="345"/>
      <c r="CS1413" s="345"/>
      <c r="CX1413" s="347"/>
      <c r="CY1413" s="347"/>
      <c r="DH1413" s="237"/>
      <c r="DI1413" s="237"/>
      <c r="DN1413" s="347"/>
      <c r="DO1413" s="347"/>
      <c r="DP1413" s="2505"/>
    </row>
    <row r="1414" spans="12:120">
      <c r="L1414" s="347">
        <v>9105</v>
      </c>
      <c r="M1414" s="347" t="s">
        <v>358</v>
      </c>
      <c r="AB1414" s="347">
        <v>207.05</v>
      </c>
      <c r="AC1414" s="347" t="s">
        <v>369</v>
      </c>
      <c r="AD1414" s="1138"/>
      <c r="AP1414" s="347">
        <v>6.01</v>
      </c>
      <c r="AQ1414" s="347" t="s">
        <v>352</v>
      </c>
      <c r="BF1414" s="347">
        <v>139.13</v>
      </c>
      <c r="BG1414" s="347" t="s">
        <v>337</v>
      </c>
      <c r="BH1414" s="1790"/>
      <c r="BN1414" s="237">
        <v>53.02</v>
      </c>
      <c r="BO1414" s="237" t="s">
        <v>337</v>
      </c>
      <c r="BT1414" s="347">
        <v>2.2400000000000002</v>
      </c>
      <c r="BU1414" s="347" t="s">
        <v>352</v>
      </c>
      <c r="CD1414" s="237">
        <v>77.16</v>
      </c>
      <c r="CE1414" s="237" t="s">
        <v>361</v>
      </c>
      <c r="CJ1414" s="347">
        <v>139.19</v>
      </c>
      <c r="CK1414" s="347" t="s">
        <v>337</v>
      </c>
      <c r="CL1414" s="1789"/>
      <c r="CR1414" s="345"/>
      <c r="CS1414" s="345"/>
      <c r="CX1414" s="347"/>
      <c r="CY1414" s="347"/>
      <c r="DH1414" s="237"/>
      <c r="DI1414" s="237"/>
      <c r="DN1414" s="347"/>
      <c r="DO1414" s="347"/>
      <c r="DP1414" s="2505"/>
    </row>
    <row r="1415" spans="12:120">
      <c r="L1415" s="347">
        <v>9106.01</v>
      </c>
      <c r="M1415" s="347" t="s">
        <v>358</v>
      </c>
      <c r="AB1415" s="347">
        <v>207.06</v>
      </c>
      <c r="AC1415" s="347" t="s">
        <v>370</v>
      </c>
      <c r="AD1415" s="1138"/>
      <c r="AP1415" s="347">
        <v>6.02</v>
      </c>
      <c r="AQ1415" s="347" t="s">
        <v>352</v>
      </c>
      <c r="BF1415" s="347">
        <v>139.15</v>
      </c>
      <c r="BG1415" s="347" t="s">
        <v>337</v>
      </c>
      <c r="BH1415" s="1790"/>
      <c r="BN1415" s="237">
        <v>54.01</v>
      </c>
      <c r="BO1415" s="237" t="s">
        <v>337</v>
      </c>
      <c r="BT1415" s="347">
        <v>2.25</v>
      </c>
      <c r="BU1415" s="347" t="s">
        <v>352</v>
      </c>
      <c r="CD1415" s="237">
        <v>77.209999999999994</v>
      </c>
      <c r="CE1415" s="237" t="s">
        <v>361</v>
      </c>
      <c r="CJ1415" s="347">
        <v>139.22</v>
      </c>
      <c r="CK1415" s="347" t="s">
        <v>337</v>
      </c>
      <c r="CL1415" s="1789"/>
      <c r="CR1415" s="345"/>
      <c r="CS1415" s="345"/>
      <c r="CX1415" s="347"/>
      <c r="CY1415" s="347"/>
      <c r="DH1415" s="237"/>
      <c r="DI1415" s="237"/>
      <c r="DN1415" s="347"/>
      <c r="DO1415" s="347"/>
      <c r="DP1415" s="2505"/>
    </row>
    <row r="1416" spans="12:120">
      <c r="L1416" s="347">
        <v>9106.02</v>
      </c>
      <c r="M1416" s="347" t="s">
        <v>358</v>
      </c>
      <c r="AB1416" s="347">
        <v>207.07</v>
      </c>
      <c r="AC1416" s="347" t="s">
        <v>370</v>
      </c>
      <c r="AD1416" s="1138"/>
      <c r="AP1416" s="347">
        <v>6.03</v>
      </c>
      <c r="AQ1416" s="347" t="s">
        <v>352</v>
      </c>
      <c r="BF1416" s="347">
        <v>139.16</v>
      </c>
      <c r="BG1416" s="347" t="s">
        <v>337</v>
      </c>
      <c r="BH1416" s="1790"/>
      <c r="BN1416" s="237">
        <v>55</v>
      </c>
      <c r="BO1416" s="237" t="s">
        <v>337</v>
      </c>
      <c r="BT1416" s="347">
        <v>2.2599999999999998</v>
      </c>
      <c r="BU1416" s="347" t="s">
        <v>352</v>
      </c>
      <c r="CD1416" s="237">
        <v>77.23</v>
      </c>
      <c r="CE1416" s="237" t="s">
        <v>361</v>
      </c>
      <c r="CJ1416" s="347">
        <v>139.22999999999999</v>
      </c>
      <c r="CK1416" s="347" t="s">
        <v>337</v>
      </c>
      <c r="CL1416" s="1789"/>
      <c r="CR1416" s="345"/>
      <c r="CS1416" s="345"/>
      <c r="CX1416" s="347"/>
      <c r="CY1416" s="347"/>
      <c r="DH1416" s="237"/>
      <c r="DI1416" s="237"/>
      <c r="DN1416" s="347"/>
      <c r="DO1416" s="347"/>
      <c r="DP1416" s="2505"/>
    </row>
    <row r="1417" spans="12:120">
      <c r="L1417" s="347">
        <v>102</v>
      </c>
      <c r="M1417" s="347" t="s">
        <v>359</v>
      </c>
      <c r="AB1417" s="347">
        <v>207.08</v>
      </c>
      <c r="AC1417" s="347" t="s">
        <v>370</v>
      </c>
      <c r="AD1417" s="1138"/>
      <c r="AP1417" s="347">
        <v>6.05</v>
      </c>
      <c r="AQ1417" s="347" t="s">
        <v>352</v>
      </c>
      <c r="BF1417" s="347">
        <v>139.16999999999999</v>
      </c>
      <c r="BG1417" s="347" t="s">
        <v>337</v>
      </c>
      <c r="BH1417" s="1790"/>
      <c r="BN1417" s="237">
        <v>57</v>
      </c>
      <c r="BO1417" s="237" t="s">
        <v>337</v>
      </c>
      <c r="BT1417" s="347">
        <v>3.02</v>
      </c>
      <c r="BU1417" s="347" t="s">
        <v>352</v>
      </c>
      <c r="CD1417" s="237">
        <v>77.239999999999995</v>
      </c>
      <c r="CE1417" s="237" t="s">
        <v>361</v>
      </c>
      <c r="CJ1417" s="347">
        <v>139.24</v>
      </c>
      <c r="CK1417" s="347" t="s">
        <v>337</v>
      </c>
      <c r="CL1417" s="1789"/>
      <c r="CR1417" s="345"/>
      <c r="CS1417" s="345"/>
      <c r="CX1417" s="347"/>
      <c r="CY1417" s="347"/>
      <c r="DH1417" s="237"/>
      <c r="DI1417" s="237"/>
      <c r="DN1417" s="347"/>
      <c r="DO1417" s="347"/>
      <c r="DP1417" s="2505"/>
    </row>
    <row r="1418" spans="12:120">
      <c r="L1418" s="347">
        <v>103</v>
      </c>
      <c r="M1418" s="347" t="s">
        <v>359</v>
      </c>
      <c r="AB1418" s="347">
        <v>207.1</v>
      </c>
      <c r="AC1418" s="347" t="s">
        <v>370</v>
      </c>
      <c r="AD1418" s="1138"/>
      <c r="AP1418" s="347">
        <v>6.12</v>
      </c>
      <c r="AQ1418" s="347" t="s">
        <v>352</v>
      </c>
      <c r="BF1418" s="347">
        <v>139.18</v>
      </c>
      <c r="BG1418" s="347" t="s">
        <v>337</v>
      </c>
      <c r="BH1418" s="1790"/>
      <c r="BN1418" s="237">
        <v>58</v>
      </c>
      <c r="BO1418" s="237" t="s">
        <v>337</v>
      </c>
      <c r="BT1418" s="347">
        <v>4.1500000000000004</v>
      </c>
      <c r="BU1418" s="347" t="s">
        <v>352</v>
      </c>
      <c r="CD1418" s="237">
        <v>77.25</v>
      </c>
      <c r="CE1418" s="237" t="s">
        <v>361</v>
      </c>
      <c r="CJ1418" s="347">
        <v>139.26</v>
      </c>
      <c r="CK1418" s="347" t="s">
        <v>337</v>
      </c>
      <c r="CL1418" s="1789"/>
      <c r="CR1418" s="345"/>
      <c r="CS1418" s="345"/>
      <c r="CX1418" s="347"/>
      <c r="CY1418" s="347"/>
      <c r="DH1418" s="237"/>
      <c r="DI1418" s="237"/>
      <c r="DN1418" s="347"/>
      <c r="DO1418" s="347"/>
      <c r="DP1418" s="2505"/>
    </row>
    <row r="1419" spans="12:120">
      <c r="L1419" s="347">
        <v>108.02</v>
      </c>
      <c r="M1419" s="347" t="s">
        <v>359</v>
      </c>
      <c r="AB1419" s="347">
        <v>207.11</v>
      </c>
      <c r="AC1419" s="347" t="s">
        <v>370</v>
      </c>
      <c r="AD1419" s="1138"/>
      <c r="AP1419" s="347">
        <v>7.18</v>
      </c>
      <c r="AQ1419" s="347" t="s">
        <v>352</v>
      </c>
      <c r="BF1419" s="347">
        <v>139.19</v>
      </c>
      <c r="BG1419" s="347" t="s">
        <v>337</v>
      </c>
      <c r="BH1419" s="1790"/>
      <c r="BN1419" s="237">
        <v>59</v>
      </c>
      <c r="BO1419" s="237" t="s">
        <v>337</v>
      </c>
      <c r="BT1419" s="347">
        <v>4.1900000000000004</v>
      </c>
      <c r="BU1419" s="347" t="s">
        <v>352</v>
      </c>
      <c r="CD1419" s="237">
        <v>77.3</v>
      </c>
      <c r="CE1419" s="237" t="s">
        <v>361</v>
      </c>
      <c r="CJ1419" s="347">
        <v>140</v>
      </c>
      <c r="CK1419" s="347" t="s">
        <v>359</v>
      </c>
      <c r="CL1419" s="1789"/>
      <c r="CR1419" s="345"/>
      <c r="CS1419" s="345"/>
      <c r="CX1419" s="347"/>
      <c r="CY1419" s="347"/>
      <c r="DH1419" s="237"/>
      <c r="DI1419" s="237"/>
      <c r="DN1419" s="347"/>
      <c r="DO1419" s="347"/>
      <c r="DP1419" s="2505"/>
    </row>
    <row r="1420" spans="12:120">
      <c r="L1420" s="347">
        <v>110</v>
      </c>
      <c r="M1420" s="347" t="s">
        <v>359</v>
      </c>
      <c r="AB1420" s="347">
        <v>208</v>
      </c>
      <c r="AC1420" s="347" t="s">
        <v>357</v>
      </c>
      <c r="AD1420" s="1138"/>
      <c r="AP1420" s="347">
        <v>9.07</v>
      </c>
      <c r="AQ1420" s="347" t="s">
        <v>352</v>
      </c>
      <c r="BF1420" s="347">
        <v>139.22</v>
      </c>
      <c r="BG1420" s="347" t="s">
        <v>337</v>
      </c>
      <c r="BH1420" s="1790"/>
      <c r="BN1420" s="237">
        <v>60</v>
      </c>
      <c r="BO1420" s="237" t="s">
        <v>337</v>
      </c>
      <c r="BT1420" s="347">
        <v>6.01</v>
      </c>
      <c r="BU1420" s="347" t="s">
        <v>352</v>
      </c>
      <c r="CD1420" s="237">
        <v>77.31</v>
      </c>
      <c r="CE1420" s="237" t="s">
        <v>361</v>
      </c>
      <c r="CJ1420" s="347">
        <v>140.01</v>
      </c>
      <c r="CK1420" s="347" t="s">
        <v>323</v>
      </c>
      <c r="CL1420" s="1789"/>
      <c r="CR1420" s="345"/>
      <c r="CS1420" s="345"/>
      <c r="CX1420" s="347"/>
      <c r="CY1420" s="347"/>
      <c r="DH1420" s="237"/>
      <c r="DI1420" s="237"/>
      <c r="DN1420" s="347"/>
      <c r="DO1420" s="347"/>
      <c r="DP1420" s="2505"/>
    </row>
    <row r="1421" spans="12:120">
      <c r="L1421" s="347">
        <v>111</v>
      </c>
      <c r="M1421" s="347" t="s">
        <v>359</v>
      </c>
      <c r="AB1421" s="347">
        <v>208.01</v>
      </c>
      <c r="AC1421" s="347" t="s">
        <v>370</v>
      </c>
      <c r="AD1421" s="1138"/>
      <c r="AP1421" s="347">
        <v>9.08</v>
      </c>
      <c r="AQ1421" s="347" t="s">
        <v>352</v>
      </c>
      <c r="BF1421" s="347">
        <v>139.22999999999999</v>
      </c>
      <c r="BG1421" s="347" t="s">
        <v>337</v>
      </c>
      <c r="BH1421" s="1790"/>
      <c r="BN1421" s="237">
        <v>61.01</v>
      </c>
      <c r="BO1421" s="237" t="s">
        <v>337</v>
      </c>
      <c r="BT1421" s="347">
        <v>6.02</v>
      </c>
      <c r="BU1421" s="347" t="s">
        <v>352</v>
      </c>
      <c r="CD1421" s="237">
        <v>77.319999999999993</v>
      </c>
      <c r="CE1421" s="237" t="s">
        <v>361</v>
      </c>
      <c r="CJ1421" s="347">
        <v>140.01</v>
      </c>
      <c r="CK1421" s="347" t="s">
        <v>365</v>
      </c>
      <c r="CL1421" s="1789"/>
      <c r="CR1421" s="345"/>
      <c r="CS1421" s="345"/>
      <c r="CX1421" s="347"/>
      <c r="CY1421" s="347"/>
      <c r="DH1421" s="237"/>
      <c r="DI1421" s="237"/>
      <c r="DN1421" s="347"/>
      <c r="DO1421" s="347"/>
      <c r="DP1421" s="2505"/>
    </row>
    <row r="1422" spans="12:120">
      <c r="L1422" s="347">
        <v>112</v>
      </c>
      <c r="M1422" s="347" t="s">
        <v>359</v>
      </c>
      <c r="AB1422" s="347">
        <v>208.02</v>
      </c>
      <c r="AC1422" s="347" t="s">
        <v>370</v>
      </c>
      <c r="AD1422" s="1138"/>
      <c r="AP1422" s="347">
        <v>11.03</v>
      </c>
      <c r="AQ1422" s="347" t="s">
        <v>352</v>
      </c>
      <c r="BF1422" s="347">
        <v>139.24</v>
      </c>
      <c r="BG1422" s="347" t="s">
        <v>337</v>
      </c>
      <c r="BH1422" s="1790"/>
      <c r="BN1422" s="237">
        <v>61.03</v>
      </c>
      <c r="BO1422" s="237" t="s">
        <v>337</v>
      </c>
      <c r="BT1422" s="347">
        <v>6.03</v>
      </c>
      <c r="BU1422" s="347" t="s">
        <v>352</v>
      </c>
      <c r="CD1422" s="237">
        <v>77.349999999999994</v>
      </c>
      <c r="CE1422" s="237" t="s">
        <v>361</v>
      </c>
      <c r="CJ1422" s="347">
        <v>140.02000000000001</v>
      </c>
      <c r="CK1422" s="347" t="s">
        <v>323</v>
      </c>
      <c r="CL1422" s="1789"/>
      <c r="CR1422" s="345"/>
      <c r="CS1422" s="345"/>
      <c r="CX1422" s="347"/>
      <c r="CY1422" s="347"/>
      <c r="DH1422" s="237"/>
      <c r="DI1422" s="237"/>
      <c r="DN1422" s="347"/>
      <c r="DO1422" s="347"/>
      <c r="DP1422" s="2505"/>
    </row>
    <row r="1423" spans="12:120">
      <c r="L1423" s="347">
        <v>113</v>
      </c>
      <c r="M1423" s="347" t="s">
        <v>359</v>
      </c>
      <c r="AB1423" s="347">
        <v>208.03</v>
      </c>
      <c r="AC1423" s="347" t="s">
        <v>370</v>
      </c>
      <c r="AD1423" s="1138"/>
      <c r="AP1423" s="347">
        <v>11.04</v>
      </c>
      <c r="AQ1423" s="347" t="s">
        <v>352</v>
      </c>
      <c r="BF1423" s="347">
        <v>139.26</v>
      </c>
      <c r="BG1423" s="347" t="s">
        <v>337</v>
      </c>
      <c r="BH1423" s="1790"/>
      <c r="BN1423" s="237">
        <v>62</v>
      </c>
      <c r="BO1423" s="237" t="s">
        <v>337</v>
      </c>
      <c r="BT1423" s="347">
        <v>6.05</v>
      </c>
      <c r="BU1423" s="347" t="s">
        <v>352</v>
      </c>
      <c r="CD1423" s="237">
        <v>77.36</v>
      </c>
      <c r="CE1423" s="237" t="s">
        <v>361</v>
      </c>
      <c r="CJ1423" s="347">
        <v>140.03</v>
      </c>
      <c r="CK1423" s="347" t="s">
        <v>337</v>
      </c>
      <c r="CL1423" s="1789"/>
      <c r="CR1423" s="345"/>
      <c r="CS1423" s="345"/>
      <c r="CX1423" s="347"/>
      <c r="CY1423" s="347"/>
      <c r="DH1423" s="237"/>
      <c r="DI1423" s="237"/>
      <c r="DN1423" s="347"/>
      <c r="DO1423" s="347"/>
      <c r="DP1423" s="2505"/>
    </row>
    <row r="1424" spans="12:120">
      <c r="L1424" s="347">
        <v>123.03</v>
      </c>
      <c r="M1424" s="347" t="s">
        <v>359</v>
      </c>
      <c r="AB1424" s="347">
        <v>208.03</v>
      </c>
      <c r="AC1424" s="347" t="s">
        <v>369</v>
      </c>
      <c r="AD1424" s="1138"/>
      <c r="AP1424" s="347">
        <v>12.04</v>
      </c>
      <c r="AQ1424" s="347" t="s">
        <v>352</v>
      </c>
      <c r="BF1424" s="347">
        <v>140</v>
      </c>
      <c r="BG1424" s="347" t="s">
        <v>359</v>
      </c>
      <c r="BH1424" s="1790"/>
      <c r="BN1424" s="237">
        <v>63</v>
      </c>
      <c r="BO1424" s="237" t="s">
        <v>337</v>
      </c>
      <c r="BT1424" s="347">
        <v>6.1</v>
      </c>
      <c r="BU1424" s="347" t="s">
        <v>352</v>
      </c>
      <c r="CD1424" s="237">
        <v>77.38</v>
      </c>
      <c r="CE1424" s="237" t="s">
        <v>361</v>
      </c>
      <c r="CJ1424" s="347">
        <v>140.03</v>
      </c>
      <c r="CK1424" s="347" t="s">
        <v>365</v>
      </c>
      <c r="CL1424" s="1789"/>
      <c r="CR1424" s="345"/>
      <c r="CS1424" s="345"/>
      <c r="CX1424" s="347"/>
      <c r="CY1424" s="347"/>
      <c r="DH1424" s="237"/>
      <c r="DI1424" s="237"/>
      <c r="DN1424" s="347"/>
      <c r="DO1424" s="347"/>
      <c r="DP1424" s="2505"/>
    </row>
    <row r="1425" spans="12:120">
      <c r="L1425" s="347">
        <v>125</v>
      </c>
      <c r="M1425" s="347" t="s">
        <v>359</v>
      </c>
      <c r="AB1425" s="347">
        <v>208.05</v>
      </c>
      <c r="AC1425" s="347" t="s">
        <v>370</v>
      </c>
      <c r="AD1425" s="1138"/>
      <c r="AP1425" s="347">
        <v>12.05</v>
      </c>
      <c r="AQ1425" s="347" t="s">
        <v>352</v>
      </c>
      <c r="BF1425" s="347">
        <v>140.01</v>
      </c>
      <c r="BG1425" s="347" t="s">
        <v>323</v>
      </c>
      <c r="BH1425" s="1790"/>
      <c r="BN1425" s="237">
        <v>64</v>
      </c>
      <c r="BO1425" s="237" t="s">
        <v>337</v>
      </c>
      <c r="BT1425" s="347">
        <v>6.12</v>
      </c>
      <c r="BU1425" s="347" t="s">
        <v>352</v>
      </c>
      <c r="CD1425" s="237">
        <v>77.39</v>
      </c>
      <c r="CE1425" s="237" t="s">
        <v>361</v>
      </c>
      <c r="CJ1425" s="347">
        <v>140.05000000000001</v>
      </c>
      <c r="CK1425" s="347" t="s">
        <v>365</v>
      </c>
      <c r="CL1425" s="1789"/>
      <c r="CR1425" s="345"/>
      <c r="CS1425" s="345"/>
      <c r="CX1425" s="347"/>
      <c r="CY1425" s="347"/>
      <c r="DH1425" s="237"/>
      <c r="DI1425" s="237"/>
      <c r="DN1425" s="347"/>
      <c r="DO1425" s="347"/>
      <c r="DP1425" s="2505"/>
    </row>
    <row r="1426" spans="12:120">
      <c r="L1426" s="347">
        <v>126</v>
      </c>
      <c r="M1426" s="347" t="s">
        <v>359</v>
      </c>
      <c r="AB1426" s="347">
        <v>208.05</v>
      </c>
      <c r="AC1426" s="347" t="s">
        <v>369</v>
      </c>
      <c r="AD1426" s="1138"/>
      <c r="AP1426" s="347">
        <v>12.06</v>
      </c>
      <c r="AQ1426" s="347" t="s">
        <v>352</v>
      </c>
      <c r="BF1426" s="347">
        <v>140.01</v>
      </c>
      <c r="BG1426" s="347" t="s">
        <v>365</v>
      </c>
      <c r="BH1426" s="1790"/>
      <c r="BN1426" s="237">
        <v>65.010000000000005</v>
      </c>
      <c r="BO1426" s="237" t="s">
        <v>337</v>
      </c>
      <c r="BT1426" s="347">
        <v>7.15</v>
      </c>
      <c r="BU1426" s="347" t="s">
        <v>352</v>
      </c>
      <c r="CD1426" s="237">
        <v>77.400000000000006</v>
      </c>
      <c r="CE1426" s="237" t="s">
        <v>361</v>
      </c>
      <c r="CJ1426" s="347">
        <v>140.06</v>
      </c>
      <c r="CK1426" s="347" t="s">
        <v>365</v>
      </c>
      <c r="CL1426" s="1789"/>
      <c r="CR1426" s="345"/>
      <c r="CS1426" s="345"/>
      <c r="CX1426" s="347"/>
      <c r="CY1426" s="347"/>
      <c r="DH1426" s="237"/>
      <c r="DI1426" s="237"/>
      <c r="DN1426" s="347"/>
      <c r="DO1426" s="347"/>
      <c r="DP1426" s="2505"/>
    </row>
    <row r="1427" spans="12:120">
      <c r="L1427" s="347">
        <v>127.01</v>
      </c>
      <c r="M1427" s="347" t="s">
        <v>359</v>
      </c>
      <c r="AB1427" s="347">
        <v>208.06</v>
      </c>
      <c r="AC1427" s="347" t="s">
        <v>370</v>
      </c>
      <c r="AD1427" s="1138"/>
      <c r="AP1427" s="347">
        <v>12.07</v>
      </c>
      <c r="AQ1427" s="347" t="s">
        <v>352</v>
      </c>
      <c r="BF1427" s="347">
        <v>140.02000000000001</v>
      </c>
      <c r="BG1427" s="347" t="s">
        <v>323</v>
      </c>
      <c r="BH1427" s="1790"/>
      <c r="BN1427" s="237">
        <v>65.03</v>
      </c>
      <c r="BO1427" s="237" t="s">
        <v>337</v>
      </c>
      <c r="BT1427" s="347">
        <v>9.0500000000000007</v>
      </c>
      <c r="BU1427" s="347" t="s">
        <v>352</v>
      </c>
      <c r="CD1427" s="237">
        <v>77.41</v>
      </c>
      <c r="CE1427" s="237" t="s">
        <v>361</v>
      </c>
      <c r="CJ1427" s="347">
        <v>140.07</v>
      </c>
      <c r="CK1427" s="347" t="s">
        <v>337</v>
      </c>
      <c r="CL1427" s="1789"/>
      <c r="CR1427" s="345"/>
      <c r="CS1427" s="345"/>
      <c r="CX1427" s="347"/>
      <c r="CY1427" s="347"/>
      <c r="DH1427" s="237"/>
      <c r="DI1427" s="237"/>
      <c r="DN1427" s="347"/>
      <c r="DO1427" s="347"/>
      <c r="DP1427" s="2505"/>
    </row>
    <row r="1428" spans="12:120">
      <c r="L1428" s="347">
        <v>128</v>
      </c>
      <c r="M1428" s="347" t="s">
        <v>359</v>
      </c>
      <c r="AB1428" s="347">
        <v>208.07</v>
      </c>
      <c r="AC1428" s="347" t="s">
        <v>370</v>
      </c>
      <c r="AD1428" s="1138"/>
      <c r="AP1428" s="347">
        <v>13.01</v>
      </c>
      <c r="AQ1428" s="347" t="s">
        <v>352</v>
      </c>
      <c r="BF1428" s="347">
        <v>140.03</v>
      </c>
      <c r="BG1428" s="347" t="s">
        <v>337</v>
      </c>
      <c r="BH1428" s="1790"/>
      <c r="BN1428" s="237">
        <v>65.040000000000006</v>
      </c>
      <c r="BO1428" s="237" t="s">
        <v>337</v>
      </c>
      <c r="BT1428" s="347">
        <v>9.08</v>
      </c>
      <c r="BU1428" s="347" t="s">
        <v>352</v>
      </c>
      <c r="CD1428" s="237">
        <v>77.42</v>
      </c>
      <c r="CE1428" s="237" t="s">
        <v>361</v>
      </c>
      <c r="CJ1428" s="347">
        <v>140.08000000000001</v>
      </c>
      <c r="CK1428" s="347" t="s">
        <v>337</v>
      </c>
      <c r="CL1428" s="1789"/>
      <c r="CR1428" s="345"/>
      <c r="CS1428" s="345"/>
      <c r="CX1428" s="347"/>
      <c r="CY1428" s="347"/>
      <c r="DH1428" s="237"/>
      <c r="DI1428" s="237"/>
      <c r="DN1428" s="347"/>
      <c r="DO1428" s="347"/>
      <c r="DP1428" s="2505"/>
    </row>
    <row r="1429" spans="12:120">
      <c r="L1429" s="347">
        <v>129</v>
      </c>
      <c r="M1429" s="347" t="s">
        <v>359</v>
      </c>
      <c r="AB1429" s="347">
        <v>208.08</v>
      </c>
      <c r="AC1429" s="347" t="s">
        <v>369</v>
      </c>
      <c r="AD1429" s="1138"/>
      <c r="AP1429" s="347">
        <v>13.02</v>
      </c>
      <c r="AQ1429" s="347" t="s">
        <v>352</v>
      </c>
      <c r="BF1429" s="347">
        <v>140.03</v>
      </c>
      <c r="BG1429" s="347" t="s">
        <v>365</v>
      </c>
      <c r="BH1429" s="1790"/>
      <c r="BN1429" s="237">
        <v>66</v>
      </c>
      <c r="BO1429" s="237" t="s">
        <v>337</v>
      </c>
      <c r="BT1429" s="347">
        <v>11.04</v>
      </c>
      <c r="BU1429" s="347" t="s">
        <v>352</v>
      </c>
      <c r="CD1429" s="237">
        <v>77.430000000000007</v>
      </c>
      <c r="CE1429" s="237" t="s">
        <v>361</v>
      </c>
      <c r="CJ1429" s="347">
        <v>140.09</v>
      </c>
      <c r="CK1429" s="347" t="s">
        <v>337</v>
      </c>
      <c r="CL1429" s="1789"/>
      <c r="CR1429" s="345"/>
      <c r="CS1429" s="345"/>
      <c r="CX1429" s="347"/>
      <c r="CY1429" s="347"/>
      <c r="DH1429" s="237"/>
      <c r="DI1429" s="237"/>
      <c r="DN1429" s="347"/>
      <c r="DO1429" s="347"/>
      <c r="DP1429" s="2505"/>
    </row>
    <row r="1430" spans="12:120">
      <c r="L1430" s="347">
        <v>135.07</v>
      </c>
      <c r="M1430" s="347" t="s">
        <v>359</v>
      </c>
      <c r="AB1430" s="347">
        <v>208.1</v>
      </c>
      <c r="AC1430" s="347" t="s">
        <v>369</v>
      </c>
      <c r="AD1430" s="1138"/>
      <c r="AP1430" s="347">
        <v>16.03</v>
      </c>
      <c r="AQ1430" s="347" t="s">
        <v>352</v>
      </c>
      <c r="BF1430" s="347">
        <v>140.05000000000001</v>
      </c>
      <c r="BG1430" s="347" t="s">
        <v>365</v>
      </c>
      <c r="BH1430" s="1790"/>
      <c r="BN1430" s="237">
        <v>67</v>
      </c>
      <c r="BO1430" s="237" t="s">
        <v>337</v>
      </c>
      <c r="BT1430" s="347">
        <v>12.04</v>
      </c>
      <c r="BU1430" s="347" t="s">
        <v>352</v>
      </c>
      <c r="CD1430" s="237">
        <v>77.459999999999994</v>
      </c>
      <c r="CE1430" s="237" t="s">
        <v>361</v>
      </c>
      <c r="CJ1430" s="347">
        <v>140.12</v>
      </c>
      <c r="CK1430" s="347" t="s">
        <v>337</v>
      </c>
      <c r="CL1430" s="1789"/>
      <c r="CR1430" s="345"/>
      <c r="CS1430" s="345"/>
      <c r="CX1430" s="347"/>
      <c r="CY1430" s="347"/>
      <c r="DH1430" s="237"/>
      <c r="DI1430" s="237"/>
      <c r="DN1430" s="347"/>
      <c r="DO1430" s="347"/>
      <c r="DP1430" s="2505"/>
    </row>
    <row r="1431" spans="12:120">
      <c r="L1431" s="347">
        <v>135.09</v>
      </c>
      <c r="M1431" s="347" t="s">
        <v>359</v>
      </c>
      <c r="AB1431" s="347">
        <v>208.11</v>
      </c>
      <c r="AC1431" s="347" t="s">
        <v>369</v>
      </c>
      <c r="AD1431" s="1138"/>
      <c r="AP1431" s="347">
        <v>16.07</v>
      </c>
      <c r="AQ1431" s="347" t="s">
        <v>352</v>
      </c>
      <c r="BF1431" s="347">
        <v>140.06</v>
      </c>
      <c r="BG1431" s="347" t="s">
        <v>365</v>
      </c>
      <c r="BH1431" s="1790"/>
      <c r="BN1431" s="237">
        <v>68.010000000000005</v>
      </c>
      <c r="BO1431" s="237" t="s">
        <v>337</v>
      </c>
      <c r="BT1431" s="347">
        <v>12.05</v>
      </c>
      <c r="BU1431" s="347" t="s">
        <v>352</v>
      </c>
      <c r="CD1431" s="237">
        <v>77.47</v>
      </c>
      <c r="CE1431" s="237" t="s">
        <v>361</v>
      </c>
      <c r="CJ1431" s="347">
        <v>140.16999999999999</v>
      </c>
      <c r="CK1431" s="347" t="s">
        <v>337</v>
      </c>
      <c r="CL1431" s="1789"/>
      <c r="CR1431" s="345"/>
      <c r="CS1431" s="345"/>
      <c r="CX1431" s="347"/>
      <c r="CY1431" s="347"/>
      <c r="DH1431" s="237"/>
      <c r="DI1431" s="237"/>
      <c r="DN1431" s="347"/>
      <c r="DO1431" s="347"/>
      <c r="DP1431" s="2505"/>
    </row>
    <row r="1432" spans="12:120">
      <c r="L1432" s="347">
        <v>136.04</v>
      </c>
      <c r="M1432" s="347" t="s">
        <v>359</v>
      </c>
      <c r="AB1432" s="347">
        <v>209</v>
      </c>
      <c r="AC1432" s="347" t="s">
        <v>315</v>
      </c>
      <c r="AD1432" s="1138"/>
      <c r="AP1432" s="347">
        <v>16.079999999999998</v>
      </c>
      <c r="AQ1432" s="347" t="s">
        <v>352</v>
      </c>
      <c r="BF1432" s="347">
        <v>140.07</v>
      </c>
      <c r="BG1432" s="347" t="s">
        <v>337</v>
      </c>
      <c r="BH1432" s="1790"/>
      <c r="BN1432" s="237">
        <v>68.02</v>
      </c>
      <c r="BO1432" s="237" t="s">
        <v>337</v>
      </c>
      <c r="BT1432" s="347">
        <v>12.06</v>
      </c>
      <c r="BU1432" s="347" t="s">
        <v>352</v>
      </c>
      <c r="CD1432" s="237">
        <v>77.48</v>
      </c>
      <c r="CE1432" s="237" t="s">
        <v>361</v>
      </c>
      <c r="CJ1432" s="347">
        <v>141</v>
      </c>
      <c r="CK1432" s="347" t="s">
        <v>352</v>
      </c>
      <c r="CL1432" s="1789"/>
      <c r="CR1432" s="345"/>
      <c r="CS1432" s="345"/>
      <c r="CX1432" s="347"/>
      <c r="CY1432" s="347"/>
      <c r="DH1432" s="237"/>
      <c r="DI1432" s="237"/>
      <c r="DN1432" s="347"/>
      <c r="DO1432" s="347"/>
      <c r="DP1432" s="2505"/>
    </row>
    <row r="1433" spans="12:120">
      <c r="L1433" s="347">
        <v>138.01</v>
      </c>
      <c r="M1433" s="347" t="s">
        <v>359</v>
      </c>
      <c r="AB1433" s="347">
        <v>209</v>
      </c>
      <c r="AC1433" s="347" t="s">
        <v>357</v>
      </c>
      <c r="AD1433" s="1138"/>
      <c r="AP1433" s="347">
        <v>22.01</v>
      </c>
      <c r="AQ1433" s="347" t="s">
        <v>352</v>
      </c>
      <c r="BF1433" s="347">
        <v>140.08000000000001</v>
      </c>
      <c r="BG1433" s="347" t="s">
        <v>337</v>
      </c>
      <c r="BH1433" s="1790"/>
      <c r="BN1433" s="237">
        <v>69</v>
      </c>
      <c r="BO1433" s="237" t="s">
        <v>337</v>
      </c>
      <c r="BT1433" s="347">
        <v>12.07</v>
      </c>
      <c r="BU1433" s="347" t="s">
        <v>352</v>
      </c>
      <c r="CD1433" s="237">
        <v>77.489999999999995</v>
      </c>
      <c r="CE1433" s="237" t="s">
        <v>361</v>
      </c>
      <c r="CJ1433" s="347">
        <v>141</v>
      </c>
      <c r="CK1433" s="347" t="s">
        <v>359</v>
      </c>
      <c r="CL1433" s="1789"/>
      <c r="CR1433" s="345"/>
      <c r="CS1433" s="345"/>
      <c r="CX1433" s="347"/>
      <c r="CY1433" s="347"/>
      <c r="DH1433" s="237"/>
      <c r="DI1433" s="237"/>
      <c r="DN1433" s="347"/>
      <c r="DO1433" s="347"/>
      <c r="DP1433" s="2505"/>
    </row>
    <row r="1434" spans="12:120">
      <c r="L1434" s="347">
        <v>138.02000000000001</v>
      </c>
      <c r="M1434" s="347" t="s">
        <v>359</v>
      </c>
      <c r="AB1434" s="347">
        <v>209.02</v>
      </c>
      <c r="AC1434" s="347" t="s">
        <v>370</v>
      </c>
      <c r="AD1434" s="1138"/>
      <c r="AP1434" s="347">
        <v>26</v>
      </c>
      <c r="AQ1434" s="347" t="s">
        <v>352</v>
      </c>
      <c r="BF1434" s="347">
        <v>140.09</v>
      </c>
      <c r="BG1434" s="347" t="s">
        <v>337</v>
      </c>
      <c r="BH1434" s="1790"/>
      <c r="BN1434" s="237">
        <v>70.010000000000005</v>
      </c>
      <c r="BO1434" s="237" t="s">
        <v>337</v>
      </c>
      <c r="BT1434" s="347">
        <v>12.08</v>
      </c>
      <c r="BU1434" s="347" t="s">
        <v>352</v>
      </c>
      <c r="CD1434" s="237">
        <v>77.5</v>
      </c>
      <c r="CE1434" s="237" t="s">
        <v>361</v>
      </c>
      <c r="CJ1434" s="347">
        <v>141.01</v>
      </c>
      <c r="CK1434" s="347" t="s">
        <v>323</v>
      </c>
      <c r="CL1434" s="1789"/>
      <c r="CR1434" s="345"/>
      <c r="CS1434" s="345"/>
      <c r="CX1434" s="347"/>
      <c r="CY1434" s="347"/>
      <c r="DH1434" s="237"/>
      <c r="DI1434" s="237"/>
      <c r="DN1434" s="347"/>
      <c r="DO1434" s="347"/>
      <c r="DP1434" s="2505"/>
    </row>
    <row r="1435" spans="12:120">
      <c r="L1435" s="347">
        <v>138.03</v>
      </c>
      <c r="M1435" s="347" t="s">
        <v>359</v>
      </c>
      <c r="AB1435" s="347">
        <v>210.01</v>
      </c>
      <c r="AC1435" s="347" t="s">
        <v>315</v>
      </c>
      <c r="AD1435" s="1138"/>
      <c r="AP1435" s="347">
        <v>27.02</v>
      </c>
      <c r="AQ1435" s="347" t="s">
        <v>352</v>
      </c>
      <c r="BF1435" s="347">
        <v>140.12</v>
      </c>
      <c r="BG1435" s="347" t="s">
        <v>337</v>
      </c>
      <c r="BH1435" s="1790"/>
      <c r="BN1435" s="237">
        <v>70.02</v>
      </c>
      <c r="BO1435" s="237" t="s">
        <v>337</v>
      </c>
      <c r="BT1435" s="347">
        <v>13.01</v>
      </c>
      <c r="BU1435" s="347" t="s">
        <v>352</v>
      </c>
      <c r="CD1435" s="237">
        <v>77.510000000000005</v>
      </c>
      <c r="CE1435" s="237" t="s">
        <v>361</v>
      </c>
      <c r="CJ1435" s="347">
        <v>141.03</v>
      </c>
      <c r="CK1435" s="347" t="s">
        <v>323</v>
      </c>
      <c r="CL1435" s="1789"/>
      <c r="CR1435" s="345"/>
      <c r="CS1435" s="345"/>
      <c r="CX1435" s="347"/>
      <c r="CY1435" s="347"/>
      <c r="DH1435" s="237"/>
      <c r="DI1435" s="237"/>
      <c r="DN1435" s="347"/>
      <c r="DO1435" s="347"/>
      <c r="DP1435" s="2505"/>
    </row>
    <row r="1436" spans="12:120">
      <c r="L1436" s="347">
        <v>139</v>
      </c>
      <c r="M1436" s="347" t="s">
        <v>359</v>
      </c>
      <c r="AB1436" s="347">
        <v>210.01</v>
      </c>
      <c r="AC1436" s="347" t="s">
        <v>357</v>
      </c>
      <c r="AD1436" s="1138"/>
      <c r="AP1436" s="347">
        <v>27.05</v>
      </c>
      <c r="AQ1436" s="347" t="s">
        <v>352</v>
      </c>
      <c r="BF1436" s="347">
        <v>140.13</v>
      </c>
      <c r="BG1436" s="347" t="s">
        <v>337</v>
      </c>
      <c r="BH1436" s="1790"/>
      <c r="BN1436" s="237">
        <v>71.02</v>
      </c>
      <c r="BO1436" s="237" t="s">
        <v>337</v>
      </c>
      <c r="BT1436" s="347">
        <v>13.02</v>
      </c>
      <c r="BU1436" s="347" t="s">
        <v>352</v>
      </c>
      <c r="CD1436" s="237">
        <v>77.52</v>
      </c>
      <c r="CE1436" s="237" t="s">
        <v>361</v>
      </c>
      <c r="CJ1436" s="347">
        <v>141.04</v>
      </c>
      <c r="CK1436" s="347" t="s">
        <v>323</v>
      </c>
      <c r="CL1436" s="1789"/>
      <c r="CR1436" s="345"/>
      <c r="CS1436" s="345"/>
      <c r="CX1436" s="347"/>
      <c r="CY1436" s="347"/>
      <c r="DH1436" s="237"/>
      <c r="DI1436" s="237"/>
      <c r="DN1436" s="347"/>
      <c r="DO1436" s="347"/>
      <c r="DP1436" s="2505"/>
    </row>
    <row r="1437" spans="12:120">
      <c r="L1437" s="347">
        <v>140</v>
      </c>
      <c r="M1437" s="347" t="s">
        <v>359</v>
      </c>
      <c r="AB1437" s="347">
        <v>210.02</v>
      </c>
      <c r="AC1437" s="347" t="s">
        <v>357</v>
      </c>
      <c r="AD1437" s="1138"/>
      <c r="AP1437" s="347">
        <v>27.07</v>
      </c>
      <c r="AQ1437" s="347" t="s">
        <v>352</v>
      </c>
      <c r="BF1437" s="347">
        <v>140.16999999999999</v>
      </c>
      <c r="BG1437" s="347" t="s">
        <v>337</v>
      </c>
      <c r="BH1437" s="1790"/>
      <c r="BN1437" s="237">
        <v>71.03</v>
      </c>
      <c r="BO1437" s="237" t="s">
        <v>337</v>
      </c>
      <c r="BT1437" s="347">
        <v>16.07</v>
      </c>
      <c r="BU1437" s="347" t="s">
        <v>352</v>
      </c>
      <c r="CD1437" s="237">
        <v>77.540000000000006</v>
      </c>
      <c r="CE1437" s="237" t="s">
        <v>361</v>
      </c>
      <c r="CJ1437" s="347">
        <v>141.16999999999999</v>
      </c>
      <c r="CK1437" s="347" t="s">
        <v>337</v>
      </c>
      <c r="CL1437" s="1789"/>
      <c r="CR1437" s="345"/>
      <c r="CS1437" s="345"/>
      <c r="CX1437" s="347"/>
      <c r="CY1437" s="347"/>
      <c r="DH1437" s="237"/>
      <c r="DI1437" s="237"/>
      <c r="DN1437" s="347"/>
      <c r="DO1437" s="347"/>
      <c r="DP1437" s="2505"/>
    </row>
    <row r="1438" spans="12:120">
      <c r="L1438" s="347">
        <v>141</v>
      </c>
      <c r="M1438" s="347" t="s">
        <v>359</v>
      </c>
      <c r="AB1438" s="347">
        <v>210.03</v>
      </c>
      <c r="AC1438" s="347" t="s">
        <v>315</v>
      </c>
      <c r="AD1438" s="1138"/>
      <c r="AP1438" s="347">
        <v>27.08</v>
      </c>
      <c r="AQ1438" s="347" t="s">
        <v>352</v>
      </c>
      <c r="BF1438" s="347">
        <v>141</v>
      </c>
      <c r="BG1438" s="347" t="s">
        <v>359</v>
      </c>
      <c r="BH1438" s="1790"/>
      <c r="BN1438" s="237">
        <v>72</v>
      </c>
      <c r="BO1438" s="237" t="s">
        <v>337</v>
      </c>
      <c r="BT1438" s="347">
        <v>21</v>
      </c>
      <c r="BU1438" s="347" t="s">
        <v>352</v>
      </c>
      <c r="CD1438" s="237">
        <v>77.569999999999993</v>
      </c>
      <c r="CE1438" s="237" t="s">
        <v>361</v>
      </c>
      <c r="CJ1438" s="347">
        <v>141.18</v>
      </c>
      <c r="CK1438" s="347" t="s">
        <v>337</v>
      </c>
      <c r="CL1438" s="1789"/>
      <c r="CR1438" s="345"/>
      <c r="CS1438" s="345"/>
      <c r="CX1438" s="347"/>
      <c r="CY1438" s="347"/>
      <c r="DH1438" s="237"/>
      <c r="DI1438" s="237"/>
      <c r="DN1438" s="347"/>
      <c r="DO1438" s="347"/>
      <c r="DP1438" s="2505"/>
    </row>
    <row r="1439" spans="12:120">
      <c r="L1439" s="347">
        <v>144</v>
      </c>
      <c r="M1439" s="347" t="s">
        <v>359</v>
      </c>
      <c r="AB1439" s="347">
        <v>211.02</v>
      </c>
      <c r="AC1439" s="347" t="s">
        <v>357</v>
      </c>
      <c r="AD1439" s="1138"/>
      <c r="AP1439" s="347">
        <v>27.09</v>
      </c>
      <c r="AQ1439" s="347" t="s">
        <v>352</v>
      </c>
      <c r="BF1439" s="347">
        <v>141.01</v>
      </c>
      <c r="BG1439" s="347" t="s">
        <v>323</v>
      </c>
      <c r="BH1439" s="1790"/>
      <c r="BN1439" s="237">
        <v>73</v>
      </c>
      <c r="BO1439" s="237" t="s">
        <v>337</v>
      </c>
      <c r="BT1439" s="347">
        <v>22.01</v>
      </c>
      <c r="BU1439" s="347" t="s">
        <v>352</v>
      </c>
      <c r="CD1439" s="237">
        <v>77.58</v>
      </c>
      <c r="CE1439" s="237" t="s">
        <v>361</v>
      </c>
      <c r="CJ1439" s="347">
        <v>141.19</v>
      </c>
      <c r="CK1439" s="347" t="s">
        <v>337</v>
      </c>
      <c r="CL1439" s="1789"/>
      <c r="CR1439" s="345"/>
      <c r="CS1439" s="345"/>
      <c r="CX1439" s="347"/>
      <c r="CY1439" s="347"/>
      <c r="DH1439" s="237"/>
      <c r="DI1439" s="237"/>
      <c r="DN1439" s="347"/>
      <c r="DO1439" s="347"/>
      <c r="DP1439" s="2505"/>
    </row>
    <row r="1440" spans="12:120">
      <c r="L1440" s="347">
        <v>145.04</v>
      </c>
      <c r="M1440" s="347" t="s">
        <v>359</v>
      </c>
      <c r="AB1440" s="347">
        <v>212.01</v>
      </c>
      <c r="AC1440" s="347" t="s">
        <v>369</v>
      </c>
      <c r="AD1440" s="1138"/>
      <c r="AP1440" s="347">
        <v>27.1</v>
      </c>
      <c r="AQ1440" s="347" t="s">
        <v>352</v>
      </c>
      <c r="BF1440" s="347">
        <v>141.03</v>
      </c>
      <c r="BG1440" s="347" t="s">
        <v>323</v>
      </c>
      <c r="BH1440" s="1790"/>
      <c r="BN1440" s="237">
        <v>101.05</v>
      </c>
      <c r="BO1440" s="237" t="s">
        <v>337</v>
      </c>
      <c r="BT1440" s="347">
        <v>26</v>
      </c>
      <c r="BU1440" s="347" t="s">
        <v>352</v>
      </c>
      <c r="CD1440" s="237">
        <v>77.59</v>
      </c>
      <c r="CE1440" s="237" t="s">
        <v>361</v>
      </c>
      <c r="CJ1440" s="347">
        <v>141.21</v>
      </c>
      <c r="CK1440" s="347" t="s">
        <v>337</v>
      </c>
      <c r="CL1440" s="1789"/>
      <c r="CR1440" s="345"/>
      <c r="CS1440" s="345"/>
      <c r="CX1440" s="347"/>
      <c r="CY1440" s="347"/>
      <c r="DH1440" s="237"/>
      <c r="DI1440" s="237"/>
      <c r="DN1440" s="347"/>
      <c r="DO1440" s="347"/>
      <c r="DP1440" s="2505"/>
    </row>
    <row r="1441" spans="12:120">
      <c r="L1441" s="347">
        <v>146.06</v>
      </c>
      <c r="M1441" s="347" t="s">
        <v>359</v>
      </c>
      <c r="AB1441" s="347">
        <v>212.03</v>
      </c>
      <c r="AC1441" s="347" t="s">
        <v>369</v>
      </c>
      <c r="AD1441" s="1138"/>
      <c r="AP1441" s="347">
        <v>36.04</v>
      </c>
      <c r="AQ1441" s="347" t="s">
        <v>352</v>
      </c>
      <c r="BF1441" s="347">
        <v>141.04</v>
      </c>
      <c r="BG1441" s="347" t="s">
        <v>323</v>
      </c>
      <c r="BH1441" s="1790"/>
      <c r="BN1441" s="237">
        <v>101.06</v>
      </c>
      <c r="BO1441" s="237" t="s">
        <v>337</v>
      </c>
      <c r="BT1441" s="347">
        <v>27.02</v>
      </c>
      <c r="BU1441" s="347" t="s">
        <v>352</v>
      </c>
      <c r="CD1441" s="237">
        <v>77.63</v>
      </c>
      <c r="CE1441" s="237" t="s">
        <v>361</v>
      </c>
      <c r="CJ1441" s="347">
        <v>141.21</v>
      </c>
      <c r="CK1441" s="347" t="s">
        <v>365</v>
      </c>
      <c r="CL1441" s="1789"/>
      <c r="CR1441" s="345"/>
      <c r="CS1441" s="345"/>
      <c r="CX1441" s="347"/>
      <c r="CY1441" s="347"/>
      <c r="DH1441" s="237"/>
      <c r="DI1441" s="237"/>
      <c r="DN1441" s="347"/>
      <c r="DO1441" s="347"/>
      <c r="DP1441" s="2505"/>
    </row>
    <row r="1442" spans="12:120">
      <c r="L1442" s="347">
        <v>146.07</v>
      </c>
      <c r="M1442" s="347" t="s">
        <v>359</v>
      </c>
      <c r="AB1442" s="347">
        <v>212.04</v>
      </c>
      <c r="AC1442" s="347" t="s">
        <v>370</v>
      </c>
      <c r="AD1442" s="1138"/>
      <c r="AP1442" s="347">
        <v>37.03</v>
      </c>
      <c r="AQ1442" s="347" t="s">
        <v>352</v>
      </c>
      <c r="BF1442" s="347">
        <v>141.04</v>
      </c>
      <c r="BG1442" s="347" t="s">
        <v>365</v>
      </c>
      <c r="BH1442" s="1790"/>
      <c r="BN1442" s="237">
        <v>101.07</v>
      </c>
      <c r="BO1442" s="237" t="s">
        <v>337</v>
      </c>
      <c r="BT1442" s="347">
        <v>27.05</v>
      </c>
      <c r="BU1442" s="347" t="s">
        <v>352</v>
      </c>
      <c r="CD1442" s="237">
        <v>77.64</v>
      </c>
      <c r="CE1442" s="237" t="s">
        <v>361</v>
      </c>
      <c r="CJ1442" s="347">
        <v>141.22</v>
      </c>
      <c r="CK1442" s="347" t="s">
        <v>337</v>
      </c>
      <c r="CL1442" s="1789"/>
      <c r="CR1442" s="345"/>
      <c r="CS1442" s="345"/>
      <c r="CX1442" s="347"/>
      <c r="CY1442" s="347"/>
      <c r="DH1442" s="237"/>
      <c r="DI1442" s="237"/>
      <c r="DN1442" s="347"/>
      <c r="DO1442" s="347"/>
      <c r="DP1442" s="2505"/>
    </row>
    <row r="1443" spans="12:120">
      <c r="L1443" s="347">
        <v>147.02000000000001</v>
      </c>
      <c r="M1443" s="347" t="s">
        <v>359</v>
      </c>
      <c r="AB1443" s="347">
        <v>212.04</v>
      </c>
      <c r="AC1443" s="347" t="s">
        <v>369</v>
      </c>
      <c r="AD1443" s="1138"/>
      <c r="AP1443" s="347">
        <v>37.04</v>
      </c>
      <c r="AQ1443" s="347" t="s">
        <v>352</v>
      </c>
      <c r="BF1443" s="347">
        <v>141.06</v>
      </c>
      <c r="BG1443" s="347" t="s">
        <v>337</v>
      </c>
      <c r="BH1443" s="1790"/>
      <c r="BN1443" s="237">
        <v>101.08</v>
      </c>
      <c r="BO1443" s="237" t="s">
        <v>337</v>
      </c>
      <c r="BT1443" s="347">
        <v>27.07</v>
      </c>
      <c r="BU1443" s="347" t="s">
        <v>352</v>
      </c>
      <c r="CD1443" s="237">
        <v>77.66</v>
      </c>
      <c r="CE1443" s="237" t="s">
        <v>361</v>
      </c>
      <c r="CJ1443" s="347">
        <v>141.22999999999999</v>
      </c>
      <c r="CK1443" s="347" t="s">
        <v>365</v>
      </c>
      <c r="CL1443" s="1789"/>
      <c r="CR1443" s="345"/>
      <c r="CS1443" s="345"/>
      <c r="CX1443" s="347"/>
      <c r="CY1443" s="347"/>
      <c r="DH1443" s="237"/>
      <c r="DI1443" s="237"/>
      <c r="DN1443" s="347"/>
      <c r="DO1443" s="347"/>
      <c r="DP1443" s="2505"/>
    </row>
    <row r="1444" spans="12:120">
      <c r="L1444" s="347">
        <v>147.03</v>
      </c>
      <c r="M1444" s="347" t="s">
        <v>359</v>
      </c>
      <c r="AB1444" s="347">
        <v>213.02</v>
      </c>
      <c r="AC1444" s="347" t="s">
        <v>370</v>
      </c>
      <c r="AD1444" s="1138"/>
      <c r="AP1444" s="347">
        <v>37.049999999999997</v>
      </c>
      <c r="AQ1444" s="347" t="s">
        <v>352</v>
      </c>
      <c r="BF1444" s="347">
        <v>141.09</v>
      </c>
      <c r="BG1444" s="347" t="s">
        <v>337</v>
      </c>
      <c r="BH1444" s="1790"/>
      <c r="BN1444" s="237">
        <v>102.03</v>
      </c>
      <c r="BO1444" s="237" t="s">
        <v>337</v>
      </c>
      <c r="BT1444" s="347">
        <v>27.08</v>
      </c>
      <c r="BU1444" s="347" t="s">
        <v>352</v>
      </c>
      <c r="CD1444" s="237">
        <v>77.67</v>
      </c>
      <c r="CE1444" s="237" t="s">
        <v>361</v>
      </c>
      <c r="CJ1444" s="347">
        <v>141.26</v>
      </c>
      <c r="CK1444" s="347" t="s">
        <v>365</v>
      </c>
      <c r="CL1444" s="1789"/>
      <c r="CR1444" s="345"/>
      <c r="CS1444" s="345"/>
      <c r="CX1444" s="347"/>
      <c r="CY1444" s="347"/>
      <c r="DH1444" s="237"/>
      <c r="DI1444" s="237"/>
      <c r="DN1444" s="347"/>
      <c r="DO1444" s="347"/>
      <c r="DP1444" s="2505"/>
    </row>
    <row r="1445" spans="12:120">
      <c r="L1445" s="347">
        <v>147.04</v>
      </c>
      <c r="M1445" s="347" t="s">
        <v>359</v>
      </c>
      <c r="AB1445" s="347">
        <v>213.06</v>
      </c>
      <c r="AC1445" s="347" t="s">
        <v>369</v>
      </c>
      <c r="AD1445" s="1138"/>
      <c r="AP1445" s="347">
        <v>37.07</v>
      </c>
      <c r="AQ1445" s="347" t="s">
        <v>352</v>
      </c>
      <c r="BF1445" s="347">
        <v>141.16999999999999</v>
      </c>
      <c r="BG1445" s="347" t="s">
        <v>337</v>
      </c>
      <c r="BH1445" s="1790"/>
      <c r="BN1445" s="237">
        <v>102.04</v>
      </c>
      <c r="BO1445" s="237" t="s">
        <v>337</v>
      </c>
      <c r="BT1445" s="347">
        <v>27.09</v>
      </c>
      <c r="BU1445" s="347" t="s">
        <v>352</v>
      </c>
      <c r="CD1445" s="237">
        <v>77.680000000000007</v>
      </c>
      <c r="CE1445" s="237" t="s">
        <v>361</v>
      </c>
      <c r="CJ1445" s="347">
        <v>141.27000000000001</v>
      </c>
      <c r="CK1445" s="347" t="s">
        <v>365</v>
      </c>
      <c r="CL1445" s="1789"/>
      <c r="CR1445" s="345"/>
      <c r="CS1445" s="345"/>
      <c r="CX1445" s="347"/>
      <c r="CY1445" s="347"/>
      <c r="DH1445" s="237"/>
      <c r="DI1445" s="237"/>
      <c r="DN1445" s="347"/>
      <c r="DO1445" s="347"/>
      <c r="DP1445" s="2505"/>
    </row>
    <row r="1446" spans="12:120">
      <c r="L1446" s="347">
        <v>148.06</v>
      </c>
      <c r="M1446" s="347" t="s">
        <v>359</v>
      </c>
      <c r="AB1446" s="347">
        <v>213.07</v>
      </c>
      <c r="AC1446" s="347" t="s">
        <v>369</v>
      </c>
      <c r="AD1446" s="1138"/>
      <c r="AP1446" s="347">
        <v>37.08</v>
      </c>
      <c r="AQ1446" s="347" t="s">
        <v>352</v>
      </c>
      <c r="BF1446" s="347">
        <v>141.18</v>
      </c>
      <c r="BG1446" s="347" t="s">
        <v>337</v>
      </c>
      <c r="BH1446" s="1790"/>
      <c r="BN1446" s="237">
        <v>102.1</v>
      </c>
      <c r="BO1446" s="237" t="s">
        <v>337</v>
      </c>
      <c r="BT1446" s="347">
        <v>27.1</v>
      </c>
      <c r="BU1446" s="347" t="s">
        <v>352</v>
      </c>
      <c r="CD1446" s="237">
        <v>77.69</v>
      </c>
      <c r="CE1446" s="237" t="s">
        <v>361</v>
      </c>
      <c r="CJ1446" s="347">
        <v>141.28</v>
      </c>
      <c r="CK1446" s="347" t="s">
        <v>365</v>
      </c>
      <c r="CL1446" s="1789"/>
      <c r="CR1446" s="345"/>
      <c r="CS1446" s="345"/>
      <c r="CX1446" s="347"/>
      <c r="CY1446" s="347"/>
      <c r="DH1446" s="237"/>
      <c r="DI1446" s="237"/>
      <c r="DN1446" s="347"/>
      <c r="DO1446" s="347"/>
      <c r="DP1446" s="2505"/>
    </row>
    <row r="1447" spans="12:120">
      <c r="L1447" s="347">
        <v>148.07</v>
      </c>
      <c r="M1447" s="347" t="s">
        <v>359</v>
      </c>
      <c r="AB1447" s="347">
        <v>213.11</v>
      </c>
      <c r="AC1447" s="347" t="s">
        <v>369</v>
      </c>
      <c r="AD1447" s="1138"/>
      <c r="AP1447" s="347">
        <v>37.090000000000003</v>
      </c>
      <c r="AQ1447" s="347" t="s">
        <v>352</v>
      </c>
      <c r="BF1447" s="347">
        <v>141.19</v>
      </c>
      <c r="BG1447" s="347" t="s">
        <v>337</v>
      </c>
      <c r="BH1447" s="1790"/>
      <c r="BN1447" s="237">
        <v>102.11</v>
      </c>
      <c r="BO1447" s="237" t="s">
        <v>337</v>
      </c>
      <c r="BT1447" s="347">
        <v>36.04</v>
      </c>
      <c r="BU1447" s="347" t="s">
        <v>352</v>
      </c>
      <c r="CD1447" s="237">
        <v>77.7</v>
      </c>
      <c r="CE1447" s="237" t="s">
        <v>361</v>
      </c>
      <c r="CJ1447" s="347">
        <v>141.29</v>
      </c>
      <c r="CK1447" s="347" t="s">
        <v>365</v>
      </c>
      <c r="CL1447" s="1789"/>
      <c r="CR1447" s="345"/>
      <c r="CS1447" s="345"/>
      <c r="CX1447" s="347"/>
      <c r="CY1447" s="347"/>
      <c r="DH1447" s="237"/>
      <c r="DI1447" s="237"/>
      <c r="DN1447" s="347"/>
      <c r="DO1447" s="347"/>
      <c r="DP1447" s="2505"/>
    </row>
    <row r="1448" spans="12:120">
      <c r="L1448" s="347">
        <v>148.08000000000001</v>
      </c>
      <c r="M1448" s="347" t="s">
        <v>359</v>
      </c>
      <c r="AB1448" s="347">
        <v>213.12</v>
      </c>
      <c r="AC1448" s="347" t="s">
        <v>369</v>
      </c>
      <c r="AD1448" s="1138"/>
      <c r="AP1448" s="347">
        <v>37.1</v>
      </c>
      <c r="AQ1448" s="347" t="s">
        <v>352</v>
      </c>
      <c r="BF1448" s="347">
        <v>141.21</v>
      </c>
      <c r="BG1448" s="347" t="s">
        <v>337</v>
      </c>
      <c r="BH1448" s="1790"/>
      <c r="BN1448" s="237">
        <v>102.12</v>
      </c>
      <c r="BO1448" s="237" t="s">
        <v>337</v>
      </c>
      <c r="BT1448" s="347">
        <v>37.03</v>
      </c>
      <c r="BU1448" s="347" t="s">
        <v>352</v>
      </c>
      <c r="CD1448" s="237">
        <v>77.709999999999994</v>
      </c>
      <c r="CE1448" s="237" t="s">
        <v>361</v>
      </c>
      <c r="CJ1448" s="347">
        <v>142</v>
      </c>
      <c r="CK1448" s="347" t="s">
        <v>352</v>
      </c>
      <c r="CL1448" s="1789"/>
      <c r="CR1448" s="345"/>
      <c r="CS1448" s="345"/>
      <c r="CX1448" s="347"/>
      <c r="CY1448" s="347"/>
      <c r="DH1448" s="237"/>
      <c r="DI1448" s="237"/>
      <c r="DN1448" s="347"/>
      <c r="DO1448" s="347"/>
      <c r="DP1448" s="2505"/>
    </row>
    <row r="1449" spans="12:120">
      <c r="L1449" s="347">
        <v>148.09</v>
      </c>
      <c r="M1449" s="347" t="s">
        <v>359</v>
      </c>
      <c r="AB1449" s="347">
        <v>213.13</v>
      </c>
      <c r="AC1449" s="347" t="s">
        <v>369</v>
      </c>
      <c r="AD1449" s="1138"/>
      <c r="AP1449" s="347">
        <v>38.01</v>
      </c>
      <c r="AQ1449" s="347" t="s">
        <v>352</v>
      </c>
      <c r="BF1449" s="347">
        <v>141.21</v>
      </c>
      <c r="BG1449" s="347" t="s">
        <v>365</v>
      </c>
      <c r="BH1449" s="1790"/>
      <c r="BN1449" s="237">
        <v>102.13</v>
      </c>
      <c r="BO1449" s="237" t="s">
        <v>337</v>
      </c>
      <c r="BT1449" s="347">
        <v>37.04</v>
      </c>
      <c r="BU1449" s="347" t="s">
        <v>352</v>
      </c>
      <c r="CD1449" s="237">
        <v>77.72</v>
      </c>
      <c r="CE1449" s="237" t="s">
        <v>361</v>
      </c>
      <c r="CJ1449" s="347">
        <v>142.01</v>
      </c>
      <c r="CK1449" s="347" t="s">
        <v>365</v>
      </c>
      <c r="CL1449" s="1789"/>
      <c r="CR1449" s="345"/>
      <c r="CS1449" s="345"/>
      <c r="CX1449" s="347"/>
      <c r="CY1449" s="347"/>
      <c r="DH1449" s="237"/>
      <c r="DI1449" s="237"/>
      <c r="DN1449" s="347"/>
      <c r="DO1449" s="347"/>
      <c r="DP1449" s="2505"/>
    </row>
    <row r="1450" spans="12:120">
      <c r="L1450" s="347">
        <v>148.1</v>
      </c>
      <c r="M1450" s="347" t="s">
        <v>359</v>
      </c>
      <c r="AB1450" s="347">
        <v>213.14</v>
      </c>
      <c r="AC1450" s="347" t="s">
        <v>369</v>
      </c>
      <c r="AD1450" s="1138"/>
      <c r="AP1450" s="347">
        <v>38.03</v>
      </c>
      <c r="AQ1450" s="347" t="s">
        <v>352</v>
      </c>
      <c r="BF1450" s="347">
        <v>141.22</v>
      </c>
      <c r="BG1450" s="347" t="s">
        <v>337</v>
      </c>
      <c r="BH1450" s="1790"/>
      <c r="BN1450" s="237">
        <v>102.15</v>
      </c>
      <c r="BO1450" s="237" t="s">
        <v>337</v>
      </c>
      <c r="BT1450" s="347">
        <v>37.049999999999997</v>
      </c>
      <c r="BU1450" s="347" t="s">
        <v>352</v>
      </c>
      <c r="CD1450" s="237">
        <v>77.73</v>
      </c>
      <c r="CE1450" s="237" t="s">
        <v>361</v>
      </c>
      <c r="CJ1450" s="347">
        <v>142.02000000000001</v>
      </c>
      <c r="CK1450" s="347" t="s">
        <v>365</v>
      </c>
      <c r="CL1450" s="1789"/>
      <c r="CR1450" s="345"/>
      <c r="CS1450" s="345"/>
      <c r="CX1450" s="347"/>
      <c r="CY1450" s="347"/>
      <c r="DH1450" s="237"/>
      <c r="DI1450" s="237"/>
      <c r="DN1450" s="347"/>
      <c r="DO1450" s="347"/>
      <c r="DP1450" s="2505"/>
    </row>
    <row r="1451" spans="12:120">
      <c r="L1451" s="347">
        <v>148.11000000000001</v>
      </c>
      <c r="M1451" s="347" t="s">
        <v>359</v>
      </c>
      <c r="AB1451" s="347">
        <v>213.15</v>
      </c>
      <c r="AC1451" s="347" t="s">
        <v>369</v>
      </c>
      <c r="AD1451" s="1138"/>
      <c r="AP1451" s="347">
        <v>38.04</v>
      </c>
      <c r="AQ1451" s="347" t="s">
        <v>352</v>
      </c>
      <c r="BF1451" s="347">
        <v>141.22999999999999</v>
      </c>
      <c r="BG1451" s="347" t="s">
        <v>365</v>
      </c>
      <c r="BH1451" s="1790"/>
      <c r="BN1451" s="237">
        <v>102.16</v>
      </c>
      <c r="BO1451" s="237" t="s">
        <v>337</v>
      </c>
      <c r="BT1451" s="347">
        <v>37.06</v>
      </c>
      <c r="BU1451" s="347" t="s">
        <v>352</v>
      </c>
      <c r="CD1451" s="237">
        <v>77.739999999999995</v>
      </c>
      <c r="CE1451" s="237" t="s">
        <v>361</v>
      </c>
      <c r="CJ1451" s="347">
        <v>142.03</v>
      </c>
      <c r="CK1451" s="347" t="s">
        <v>323</v>
      </c>
      <c r="CL1451" s="1789"/>
      <c r="CR1451" s="345"/>
      <c r="CS1451" s="345"/>
      <c r="CX1451" s="347"/>
      <c r="CY1451" s="347"/>
      <c r="DH1451" s="237"/>
      <c r="DI1451" s="237"/>
      <c r="DN1451" s="347"/>
      <c r="DO1451" s="347"/>
      <c r="DP1451" s="2505"/>
    </row>
    <row r="1452" spans="12:120">
      <c r="L1452" s="347">
        <v>148.12</v>
      </c>
      <c r="M1452" s="347" t="s">
        <v>359</v>
      </c>
      <c r="AB1452" s="347">
        <v>213.16</v>
      </c>
      <c r="AC1452" s="347" t="s">
        <v>369</v>
      </c>
      <c r="AD1452" s="1138"/>
      <c r="AP1452" s="347">
        <v>39.06</v>
      </c>
      <c r="AQ1452" s="347" t="s">
        <v>352</v>
      </c>
      <c r="BF1452" s="347">
        <v>141.26</v>
      </c>
      <c r="BG1452" s="347" t="s">
        <v>365</v>
      </c>
      <c r="BH1452" s="1790"/>
      <c r="BN1452" s="237">
        <v>102.17</v>
      </c>
      <c r="BO1452" s="237" t="s">
        <v>337</v>
      </c>
      <c r="BT1452" s="347">
        <v>37.07</v>
      </c>
      <c r="BU1452" s="347" t="s">
        <v>352</v>
      </c>
      <c r="CD1452" s="237">
        <v>77.75</v>
      </c>
      <c r="CE1452" s="237" t="s">
        <v>361</v>
      </c>
      <c r="CJ1452" s="347">
        <v>142.04</v>
      </c>
      <c r="CK1452" s="347" t="s">
        <v>323</v>
      </c>
      <c r="CL1452" s="1789"/>
      <c r="CR1452" s="345"/>
      <c r="CS1452" s="345"/>
      <c r="CX1452" s="347"/>
      <c r="CY1452" s="347"/>
      <c r="DH1452" s="237"/>
      <c r="DI1452" s="237"/>
      <c r="DN1452" s="347"/>
      <c r="DO1452" s="347"/>
      <c r="DP1452" s="2505"/>
    </row>
    <row r="1453" spans="12:120">
      <c r="L1453" s="347">
        <v>148.13</v>
      </c>
      <c r="M1453" s="347" t="s">
        <v>359</v>
      </c>
      <c r="AB1453" s="347">
        <v>213.17</v>
      </c>
      <c r="AC1453" s="347" t="s">
        <v>369</v>
      </c>
      <c r="AD1453" s="1138"/>
      <c r="AP1453" s="347">
        <v>39.090000000000003</v>
      </c>
      <c r="AQ1453" s="347" t="s">
        <v>352</v>
      </c>
      <c r="BF1453" s="347">
        <v>141.29</v>
      </c>
      <c r="BG1453" s="347" t="s">
        <v>365</v>
      </c>
      <c r="BH1453" s="1790"/>
      <c r="BN1453" s="237">
        <v>102.18</v>
      </c>
      <c r="BO1453" s="237" t="s">
        <v>337</v>
      </c>
      <c r="BT1453" s="347">
        <v>37.08</v>
      </c>
      <c r="BU1453" s="347" t="s">
        <v>352</v>
      </c>
      <c r="CD1453" s="237">
        <v>77.760000000000005</v>
      </c>
      <c r="CE1453" s="237" t="s">
        <v>361</v>
      </c>
      <c r="CJ1453" s="347">
        <v>142.05000000000001</v>
      </c>
      <c r="CK1453" s="347" t="s">
        <v>323</v>
      </c>
      <c r="CL1453" s="1789"/>
      <c r="CR1453" s="345"/>
      <c r="CS1453" s="345"/>
      <c r="CX1453" s="347"/>
      <c r="CY1453" s="347"/>
      <c r="DH1453" s="237"/>
      <c r="DI1453" s="237"/>
      <c r="DN1453" s="347"/>
      <c r="DO1453" s="347"/>
      <c r="DP1453" s="2505"/>
    </row>
    <row r="1454" spans="12:120">
      <c r="L1454" s="347">
        <v>149.06</v>
      </c>
      <c r="M1454" s="347" t="s">
        <v>359</v>
      </c>
      <c r="AB1454" s="347">
        <v>213.18</v>
      </c>
      <c r="AC1454" s="347" t="s">
        <v>369</v>
      </c>
      <c r="AD1454" s="1138"/>
      <c r="AP1454" s="347">
        <v>39.119999999999997</v>
      </c>
      <c r="AQ1454" s="347" t="s">
        <v>352</v>
      </c>
      <c r="BF1454" s="347">
        <v>141.30000000000001</v>
      </c>
      <c r="BG1454" s="347" t="s">
        <v>365</v>
      </c>
      <c r="BH1454" s="1790"/>
      <c r="BN1454" s="237">
        <v>103.03</v>
      </c>
      <c r="BO1454" s="237" t="s">
        <v>337</v>
      </c>
      <c r="BT1454" s="347">
        <v>37.090000000000003</v>
      </c>
      <c r="BU1454" s="347" t="s">
        <v>352</v>
      </c>
      <c r="CD1454" s="237">
        <v>77.77</v>
      </c>
      <c r="CE1454" s="237" t="s">
        <v>361</v>
      </c>
      <c r="CJ1454" s="347">
        <v>142.06</v>
      </c>
      <c r="CK1454" s="347" t="s">
        <v>323</v>
      </c>
      <c r="CL1454" s="1789"/>
      <c r="CR1454" s="345"/>
      <c r="CS1454" s="345"/>
      <c r="CX1454" s="347"/>
      <c r="CY1454" s="347"/>
      <c r="DH1454" s="237"/>
      <c r="DI1454" s="237"/>
      <c r="DN1454" s="347"/>
      <c r="DO1454" s="347"/>
      <c r="DP1454" s="2505"/>
    </row>
    <row r="1455" spans="12:120">
      <c r="L1455" s="347">
        <v>150.02000000000001</v>
      </c>
      <c r="M1455" s="347" t="s">
        <v>359</v>
      </c>
      <c r="AB1455" s="347">
        <v>213.2</v>
      </c>
      <c r="AC1455" s="347" t="s">
        <v>369</v>
      </c>
      <c r="AD1455" s="1138"/>
      <c r="AP1455" s="347">
        <v>39.130000000000003</v>
      </c>
      <c r="AQ1455" s="347" t="s">
        <v>352</v>
      </c>
      <c r="BF1455" s="347">
        <v>142</v>
      </c>
      <c r="BG1455" s="347" t="s">
        <v>352</v>
      </c>
      <c r="BH1455" s="1790"/>
      <c r="BN1455" s="237">
        <v>103.04</v>
      </c>
      <c r="BO1455" s="237" t="s">
        <v>337</v>
      </c>
      <c r="BT1455" s="347">
        <v>37.1</v>
      </c>
      <c r="BU1455" s="347" t="s">
        <v>352</v>
      </c>
      <c r="CD1455" s="237">
        <v>77.78</v>
      </c>
      <c r="CE1455" s="237" t="s">
        <v>361</v>
      </c>
      <c r="CJ1455" s="347">
        <v>143</v>
      </c>
      <c r="CK1455" s="347" t="s">
        <v>337</v>
      </c>
      <c r="CL1455" s="1789"/>
      <c r="CR1455" s="345"/>
      <c r="CS1455" s="345"/>
      <c r="CX1455" s="347"/>
      <c r="CY1455" s="347"/>
      <c r="DH1455" s="237"/>
      <c r="DI1455" s="237"/>
      <c r="DN1455" s="347"/>
      <c r="DO1455" s="347"/>
      <c r="DP1455" s="2505"/>
    </row>
    <row r="1456" spans="12:120">
      <c r="L1456" s="347">
        <v>150.04</v>
      </c>
      <c r="M1456" s="347" t="s">
        <v>359</v>
      </c>
      <c r="AB1456" s="347">
        <v>213.21</v>
      </c>
      <c r="AC1456" s="347" t="s">
        <v>369</v>
      </c>
      <c r="AD1456" s="1138"/>
      <c r="AP1456" s="347">
        <v>39.14</v>
      </c>
      <c r="AQ1456" s="347" t="s">
        <v>352</v>
      </c>
      <c r="BF1456" s="347">
        <v>142.01</v>
      </c>
      <c r="BG1456" s="347" t="s">
        <v>359</v>
      </c>
      <c r="BH1456" s="1790"/>
      <c r="BN1456" s="237">
        <v>103.05</v>
      </c>
      <c r="BO1456" s="237" t="s">
        <v>337</v>
      </c>
      <c r="BT1456" s="347">
        <v>38.01</v>
      </c>
      <c r="BU1456" s="347" t="s">
        <v>352</v>
      </c>
      <c r="CD1456" s="237">
        <v>77.790000000000006</v>
      </c>
      <c r="CE1456" s="237" t="s">
        <v>361</v>
      </c>
      <c r="CJ1456" s="347">
        <v>143</v>
      </c>
      <c r="CK1456" s="347" t="s">
        <v>352</v>
      </c>
      <c r="CL1456" s="1789"/>
      <c r="CR1456" s="345"/>
      <c r="CS1456" s="345"/>
      <c r="CX1456" s="347"/>
      <c r="CY1456" s="347"/>
      <c r="DH1456" s="237"/>
      <c r="DI1456" s="237"/>
      <c r="DN1456" s="347"/>
      <c r="DO1456" s="347"/>
      <c r="DP1456" s="2505"/>
    </row>
    <row r="1457" spans="12:120">
      <c r="L1457" s="347">
        <v>151.03</v>
      </c>
      <c r="M1457" s="347" t="s">
        <v>359</v>
      </c>
      <c r="AB1457" s="347">
        <v>214.03</v>
      </c>
      <c r="AC1457" s="347" t="s">
        <v>370</v>
      </c>
      <c r="AD1457" s="1138"/>
      <c r="AP1457" s="347">
        <v>39.15</v>
      </c>
      <c r="AQ1457" s="347" t="s">
        <v>352</v>
      </c>
      <c r="BF1457" s="347">
        <v>142.02000000000001</v>
      </c>
      <c r="BG1457" s="347" t="s">
        <v>365</v>
      </c>
      <c r="BH1457" s="1790"/>
      <c r="BN1457" s="237">
        <v>104.01</v>
      </c>
      <c r="BO1457" s="237" t="s">
        <v>337</v>
      </c>
      <c r="BT1457" s="347">
        <v>38.03</v>
      </c>
      <c r="BU1457" s="347" t="s">
        <v>352</v>
      </c>
      <c r="CD1457" s="237">
        <v>77.8</v>
      </c>
      <c r="CE1457" s="237" t="s">
        <v>361</v>
      </c>
      <c r="CJ1457" s="347">
        <v>143.01</v>
      </c>
      <c r="CK1457" s="347" t="s">
        <v>359</v>
      </c>
      <c r="CL1457" s="1789"/>
      <c r="CR1457" s="345"/>
      <c r="CS1457" s="345"/>
      <c r="CX1457" s="347"/>
      <c r="CY1457" s="347"/>
      <c r="DH1457" s="237"/>
      <c r="DI1457" s="237"/>
      <c r="DN1457" s="347"/>
      <c r="DO1457" s="347"/>
      <c r="DP1457" s="2505"/>
    </row>
    <row r="1458" spans="12:120">
      <c r="L1458" s="347">
        <v>152.01</v>
      </c>
      <c r="M1458" s="347" t="s">
        <v>359</v>
      </c>
      <c r="AB1458" s="347">
        <v>214.03</v>
      </c>
      <c r="AC1458" s="347" t="s">
        <v>369</v>
      </c>
      <c r="AD1458" s="1138"/>
      <c r="AP1458" s="347">
        <v>39.159999999999997</v>
      </c>
      <c r="AQ1458" s="347" t="s">
        <v>352</v>
      </c>
      <c r="BF1458" s="347">
        <v>142.03</v>
      </c>
      <c r="BG1458" s="347" t="s">
        <v>323</v>
      </c>
      <c r="BH1458" s="1790"/>
      <c r="BN1458" s="237">
        <v>104.02</v>
      </c>
      <c r="BO1458" s="237" t="s">
        <v>337</v>
      </c>
      <c r="BT1458" s="347">
        <v>38.04</v>
      </c>
      <c r="BU1458" s="347" t="s">
        <v>352</v>
      </c>
      <c r="CD1458" s="237">
        <v>78.010000000000005</v>
      </c>
      <c r="CE1458" s="237" t="s">
        <v>352</v>
      </c>
      <c r="CJ1458" s="347">
        <v>143.03</v>
      </c>
      <c r="CK1458" s="347" t="s">
        <v>365</v>
      </c>
      <c r="CL1458" s="1789"/>
      <c r="CR1458" s="345"/>
      <c r="CS1458" s="345"/>
      <c r="CX1458" s="347"/>
      <c r="CY1458" s="347"/>
      <c r="DH1458" s="237"/>
      <c r="DI1458" s="237"/>
      <c r="DN1458" s="347"/>
      <c r="DO1458" s="347"/>
      <c r="DP1458" s="2505"/>
    </row>
    <row r="1459" spans="12:120">
      <c r="L1459" s="347">
        <v>153</v>
      </c>
      <c r="M1459" s="347" t="s">
        <v>359</v>
      </c>
      <c r="AB1459" s="347">
        <v>214.04</v>
      </c>
      <c r="AC1459" s="347" t="s">
        <v>370</v>
      </c>
      <c r="AD1459" s="1138"/>
      <c r="AP1459" s="347">
        <v>39.17</v>
      </c>
      <c r="AQ1459" s="347" t="s">
        <v>352</v>
      </c>
      <c r="BF1459" s="347">
        <v>142.04</v>
      </c>
      <c r="BG1459" s="347" t="s">
        <v>323</v>
      </c>
      <c r="BH1459" s="1790"/>
      <c r="BN1459" s="237">
        <v>105.01</v>
      </c>
      <c r="BO1459" s="237" t="s">
        <v>337</v>
      </c>
      <c r="BT1459" s="347">
        <v>39.06</v>
      </c>
      <c r="BU1459" s="347" t="s">
        <v>352</v>
      </c>
      <c r="CD1459" s="237">
        <v>78.05</v>
      </c>
      <c r="CE1459" s="237" t="s">
        <v>352</v>
      </c>
      <c r="CJ1459" s="347">
        <v>143.12</v>
      </c>
      <c r="CK1459" s="347" t="s">
        <v>323</v>
      </c>
      <c r="CL1459" s="1789"/>
      <c r="CR1459" s="345"/>
      <c r="CS1459" s="345"/>
      <c r="CX1459" s="347"/>
      <c r="CY1459" s="347"/>
      <c r="DH1459" s="237"/>
      <c r="DI1459" s="237"/>
      <c r="DN1459" s="347"/>
      <c r="DO1459" s="347"/>
      <c r="DP1459" s="2505"/>
    </row>
    <row r="1460" spans="12:120">
      <c r="L1460" s="347">
        <v>154.02000000000001</v>
      </c>
      <c r="M1460" s="347" t="s">
        <v>359</v>
      </c>
      <c r="AB1460" s="347">
        <v>214.05</v>
      </c>
      <c r="AC1460" s="347" t="s">
        <v>370</v>
      </c>
      <c r="AD1460" s="1138"/>
      <c r="AP1460" s="347">
        <v>39.18</v>
      </c>
      <c r="AQ1460" s="347" t="s">
        <v>352</v>
      </c>
      <c r="BF1460" s="347">
        <v>142.06</v>
      </c>
      <c r="BG1460" s="347" t="s">
        <v>323</v>
      </c>
      <c r="BH1460" s="1790"/>
      <c r="BN1460" s="237">
        <v>105.02</v>
      </c>
      <c r="BO1460" s="237" t="s">
        <v>337</v>
      </c>
      <c r="BT1460" s="347">
        <v>39.090000000000003</v>
      </c>
      <c r="BU1460" s="347" t="s">
        <v>352</v>
      </c>
      <c r="CD1460" s="237">
        <v>78.05</v>
      </c>
      <c r="CE1460" s="237" t="s">
        <v>361</v>
      </c>
      <c r="CJ1460" s="347">
        <v>143.28</v>
      </c>
      <c r="CK1460" s="347" t="s">
        <v>323</v>
      </c>
      <c r="CL1460" s="1789"/>
      <c r="CR1460" s="345"/>
      <c r="CS1460" s="345"/>
      <c r="CX1460" s="347"/>
      <c r="CY1460" s="347"/>
      <c r="DH1460" s="237"/>
      <c r="DI1460" s="237"/>
      <c r="DN1460" s="347"/>
      <c r="DO1460" s="347"/>
      <c r="DP1460" s="2505"/>
    </row>
    <row r="1461" spans="12:120">
      <c r="L1461" s="347">
        <v>155.01</v>
      </c>
      <c r="M1461" s="347" t="s">
        <v>359</v>
      </c>
      <c r="AB1461" s="347">
        <v>214.06</v>
      </c>
      <c r="AC1461" s="347" t="s">
        <v>370</v>
      </c>
      <c r="AD1461" s="1138"/>
      <c r="AP1461" s="347">
        <v>39.19</v>
      </c>
      <c r="AQ1461" s="347" t="s">
        <v>352</v>
      </c>
      <c r="BF1461" s="347">
        <v>143</v>
      </c>
      <c r="BG1461" s="347" t="s">
        <v>337</v>
      </c>
      <c r="BH1461" s="1790"/>
      <c r="BN1461" s="237">
        <v>106</v>
      </c>
      <c r="BO1461" s="237" t="s">
        <v>337</v>
      </c>
      <c r="BT1461" s="347">
        <v>39.130000000000003</v>
      </c>
      <c r="BU1461" s="347" t="s">
        <v>352</v>
      </c>
      <c r="CD1461" s="237">
        <v>78.06</v>
      </c>
      <c r="CE1461" s="237" t="s">
        <v>352</v>
      </c>
      <c r="CJ1461" s="347">
        <v>143.29</v>
      </c>
      <c r="CK1461" s="347" t="s">
        <v>323</v>
      </c>
      <c r="CL1461" s="1789"/>
      <c r="CR1461" s="345"/>
      <c r="CS1461" s="345"/>
      <c r="CX1461" s="347"/>
      <c r="CY1461" s="347"/>
      <c r="DH1461" s="237"/>
      <c r="DI1461" s="237"/>
      <c r="DN1461" s="347"/>
      <c r="DO1461" s="347"/>
      <c r="DP1461" s="2505"/>
    </row>
    <row r="1462" spans="12:120">
      <c r="L1462" s="347">
        <v>156.01</v>
      </c>
      <c r="M1462" s="347" t="s">
        <v>359</v>
      </c>
      <c r="AB1462" s="347">
        <v>214.07</v>
      </c>
      <c r="AC1462" s="347" t="s">
        <v>370</v>
      </c>
      <c r="AD1462" s="1138"/>
      <c r="AP1462" s="347">
        <v>39.21</v>
      </c>
      <c r="AQ1462" s="347" t="s">
        <v>352</v>
      </c>
      <c r="BF1462" s="347">
        <v>143</v>
      </c>
      <c r="BG1462" s="347" t="s">
        <v>352</v>
      </c>
      <c r="BH1462" s="1790"/>
      <c r="BN1462" s="237">
        <v>107.01</v>
      </c>
      <c r="BO1462" s="237" t="s">
        <v>337</v>
      </c>
      <c r="BT1462" s="347">
        <v>39.14</v>
      </c>
      <c r="BU1462" s="347" t="s">
        <v>352</v>
      </c>
      <c r="CD1462" s="237">
        <v>78.069999999999993</v>
      </c>
      <c r="CE1462" s="237" t="s">
        <v>352</v>
      </c>
      <c r="CJ1462" s="347">
        <v>143.30000000000001</v>
      </c>
      <c r="CK1462" s="347" t="s">
        <v>323</v>
      </c>
      <c r="CL1462" s="1789"/>
      <c r="CR1462" s="345"/>
      <c r="CS1462" s="345"/>
      <c r="CX1462" s="347"/>
      <c r="CY1462" s="347"/>
      <c r="DH1462" s="237"/>
      <c r="DI1462" s="237"/>
      <c r="DN1462" s="347"/>
      <c r="DO1462" s="347"/>
      <c r="DP1462" s="2505"/>
    </row>
    <row r="1463" spans="12:120">
      <c r="L1463" s="347">
        <v>156.02000000000001</v>
      </c>
      <c r="M1463" s="347" t="s">
        <v>359</v>
      </c>
      <c r="AB1463" s="347">
        <v>215.01</v>
      </c>
      <c r="AC1463" s="347" t="s">
        <v>357</v>
      </c>
      <c r="AD1463" s="1138"/>
      <c r="AP1463" s="347">
        <v>39.22</v>
      </c>
      <c r="AQ1463" s="347" t="s">
        <v>352</v>
      </c>
      <c r="BF1463" s="347">
        <v>143.03</v>
      </c>
      <c r="BG1463" s="347" t="s">
        <v>365</v>
      </c>
      <c r="BH1463" s="1790"/>
      <c r="BN1463" s="237">
        <v>107.02</v>
      </c>
      <c r="BO1463" s="237" t="s">
        <v>337</v>
      </c>
      <c r="BT1463" s="347">
        <v>39.15</v>
      </c>
      <c r="BU1463" s="347" t="s">
        <v>352</v>
      </c>
      <c r="CD1463" s="237">
        <v>78.08</v>
      </c>
      <c r="CE1463" s="237" t="s">
        <v>352</v>
      </c>
      <c r="CJ1463" s="347">
        <v>143.33000000000001</v>
      </c>
      <c r="CK1463" s="347" t="s">
        <v>323</v>
      </c>
      <c r="CL1463" s="1789"/>
      <c r="CR1463" s="345"/>
      <c r="CS1463" s="345"/>
      <c r="CX1463" s="347"/>
      <c r="CY1463" s="347"/>
      <c r="DH1463" s="237"/>
      <c r="DI1463" s="237"/>
      <c r="DN1463" s="347"/>
      <c r="DO1463" s="347"/>
      <c r="DP1463" s="2505"/>
    </row>
    <row r="1464" spans="12:120">
      <c r="L1464" s="347">
        <v>157.01</v>
      </c>
      <c r="M1464" s="347" t="s">
        <v>359</v>
      </c>
      <c r="AB1464" s="347">
        <v>215.04</v>
      </c>
      <c r="AC1464" s="347" t="s">
        <v>369</v>
      </c>
      <c r="AD1464" s="1138"/>
      <c r="AP1464" s="347">
        <v>40</v>
      </c>
      <c r="AQ1464" s="347" t="s">
        <v>352</v>
      </c>
      <c r="BF1464" s="347">
        <v>143.04</v>
      </c>
      <c r="BG1464" s="347" t="s">
        <v>365</v>
      </c>
      <c r="BH1464" s="1790"/>
      <c r="BN1464" s="237">
        <v>108.05</v>
      </c>
      <c r="BO1464" s="237" t="s">
        <v>337</v>
      </c>
      <c r="BT1464" s="347">
        <v>39.159999999999997</v>
      </c>
      <c r="BU1464" s="347" t="s">
        <v>352</v>
      </c>
      <c r="CD1464" s="237">
        <v>78.09</v>
      </c>
      <c r="CE1464" s="237" t="s">
        <v>352</v>
      </c>
      <c r="CJ1464" s="347">
        <v>143.34</v>
      </c>
      <c r="CK1464" s="347" t="s">
        <v>323</v>
      </c>
      <c r="CL1464" s="1789"/>
      <c r="CR1464" s="345"/>
      <c r="CS1464" s="345"/>
      <c r="CX1464" s="347"/>
      <c r="CY1464" s="347"/>
      <c r="DH1464" s="237"/>
      <c r="DI1464" s="237"/>
      <c r="DN1464" s="347"/>
      <c r="DO1464" s="347"/>
      <c r="DP1464" s="2505"/>
    </row>
    <row r="1465" spans="12:120">
      <c r="L1465" s="347">
        <v>157.02000000000001</v>
      </c>
      <c r="M1465" s="347" t="s">
        <v>359</v>
      </c>
      <c r="AB1465" s="347">
        <v>215.05</v>
      </c>
      <c r="AC1465" s="347" t="s">
        <v>369</v>
      </c>
      <c r="AD1465" s="1138"/>
      <c r="AP1465" s="347">
        <v>41.02</v>
      </c>
      <c r="AQ1465" s="347" t="s">
        <v>352</v>
      </c>
      <c r="BF1465" s="347">
        <v>143.12</v>
      </c>
      <c r="BG1465" s="347" t="s">
        <v>323</v>
      </c>
      <c r="BH1465" s="1790"/>
      <c r="BN1465" s="237">
        <v>108.08</v>
      </c>
      <c r="BO1465" s="237" t="s">
        <v>337</v>
      </c>
      <c r="BT1465" s="347">
        <v>39.17</v>
      </c>
      <c r="BU1465" s="347" t="s">
        <v>352</v>
      </c>
      <c r="CD1465" s="237">
        <v>78.12</v>
      </c>
      <c r="CE1465" s="237" t="s">
        <v>361</v>
      </c>
      <c r="CJ1465" s="347">
        <v>143.35</v>
      </c>
      <c r="CK1465" s="347" t="s">
        <v>323</v>
      </c>
      <c r="CL1465" s="1789"/>
      <c r="CR1465" s="345"/>
      <c r="CS1465" s="345"/>
      <c r="CX1465" s="347"/>
      <c r="CY1465" s="347"/>
      <c r="DH1465" s="237"/>
      <c r="DI1465" s="237"/>
      <c r="DN1465" s="347"/>
      <c r="DO1465" s="347"/>
      <c r="DP1465" s="2505"/>
    </row>
    <row r="1466" spans="12:120">
      <c r="L1466" s="347">
        <v>158.01</v>
      </c>
      <c r="M1466" s="347" t="s">
        <v>359</v>
      </c>
      <c r="AB1466" s="347">
        <v>216</v>
      </c>
      <c r="AC1466" s="347" t="s">
        <v>357</v>
      </c>
      <c r="AD1466" s="1138"/>
      <c r="AP1466" s="347">
        <v>41.03</v>
      </c>
      <c r="AQ1466" s="347" t="s">
        <v>352</v>
      </c>
      <c r="BF1466" s="347">
        <v>143.28</v>
      </c>
      <c r="BG1466" s="347" t="s">
        <v>323</v>
      </c>
      <c r="BH1466" s="1790"/>
      <c r="BN1466" s="237">
        <v>108.09</v>
      </c>
      <c r="BO1466" s="237" t="s">
        <v>337</v>
      </c>
      <c r="BT1466" s="347">
        <v>39.18</v>
      </c>
      <c r="BU1466" s="347" t="s">
        <v>352</v>
      </c>
      <c r="CD1466" s="237">
        <v>78.13</v>
      </c>
      <c r="CE1466" s="237" t="s">
        <v>361</v>
      </c>
      <c r="CJ1466" s="347">
        <v>143.36000000000001</v>
      </c>
      <c r="CK1466" s="347" t="s">
        <v>323</v>
      </c>
      <c r="CL1466" s="1789"/>
      <c r="CR1466" s="345"/>
      <c r="CS1466" s="345"/>
      <c r="CX1466" s="347"/>
      <c r="CY1466" s="347"/>
      <c r="DH1466" s="237"/>
      <c r="DI1466" s="237"/>
      <c r="DN1466" s="347"/>
      <c r="DO1466" s="347"/>
      <c r="DP1466" s="2505"/>
    </row>
    <row r="1467" spans="12:120">
      <c r="L1467" s="347">
        <v>158.02000000000001</v>
      </c>
      <c r="M1467" s="347" t="s">
        <v>359</v>
      </c>
      <c r="AB1467" s="347">
        <v>216.04</v>
      </c>
      <c r="AC1467" s="347" t="s">
        <v>369</v>
      </c>
      <c r="AD1467" s="1138"/>
      <c r="AP1467" s="347">
        <v>41.05</v>
      </c>
      <c r="AQ1467" s="347" t="s">
        <v>352</v>
      </c>
      <c r="BF1467" s="347">
        <v>143.29</v>
      </c>
      <c r="BG1467" s="347" t="s">
        <v>323</v>
      </c>
      <c r="BH1467" s="1790"/>
      <c r="BN1467" s="237">
        <v>108.1</v>
      </c>
      <c r="BO1467" s="237" t="s">
        <v>337</v>
      </c>
      <c r="BT1467" s="347">
        <v>39.19</v>
      </c>
      <c r="BU1467" s="347" t="s">
        <v>352</v>
      </c>
      <c r="CD1467" s="237">
        <v>78.14</v>
      </c>
      <c r="CE1467" s="237" t="s">
        <v>361</v>
      </c>
      <c r="CJ1467" s="347">
        <v>143.38</v>
      </c>
      <c r="CK1467" s="347" t="s">
        <v>323</v>
      </c>
      <c r="CL1467" s="1789"/>
      <c r="CR1467" s="345"/>
      <c r="CS1467" s="345"/>
      <c r="CX1467" s="347"/>
      <c r="CY1467" s="347"/>
      <c r="DH1467" s="237"/>
      <c r="DI1467" s="237"/>
      <c r="DN1467" s="347"/>
      <c r="DO1467" s="347"/>
      <c r="DP1467" s="2505"/>
    </row>
    <row r="1468" spans="12:120">
      <c r="L1468" s="347">
        <v>159.02000000000001</v>
      </c>
      <c r="M1468" s="347" t="s">
        <v>359</v>
      </c>
      <c r="AB1468" s="347">
        <v>216.09</v>
      </c>
      <c r="AC1468" s="347" t="s">
        <v>369</v>
      </c>
      <c r="AD1468" s="1138"/>
      <c r="AP1468" s="347">
        <v>41.06</v>
      </c>
      <c r="AQ1468" s="347" t="s">
        <v>352</v>
      </c>
      <c r="BF1468" s="347">
        <v>143.30000000000001</v>
      </c>
      <c r="BG1468" s="347" t="s">
        <v>323</v>
      </c>
      <c r="BH1468" s="1790"/>
      <c r="BN1468" s="237">
        <v>108.11</v>
      </c>
      <c r="BO1468" s="237" t="s">
        <v>337</v>
      </c>
      <c r="BT1468" s="347">
        <v>39.21</v>
      </c>
      <c r="BU1468" s="347" t="s">
        <v>352</v>
      </c>
      <c r="CD1468" s="237">
        <v>78.180000000000007</v>
      </c>
      <c r="CE1468" s="237" t="s">
        <v>361</v>
      </c>
      <c r="CJ1468" s="347">
        <v>143.38999999999999</v>
      </c>
      <c r="CK1468" s="347" t="s">
        <v>323</v>
      </c>
      <c r="CL1468" s="1789"/>
      <c r="CR1468" s="345"/>
      <c r="CS1468" s="345"/>
      <c r="CX1468" s="347"/>
      <c r="CY1468" s="347"/>
      <c r="DH1468" s="237"/>
      <c r="DI1468" s="237"/>
      <c r="DN1468" s="347"/>
      <c r="DO1468" s="347"/>
      <c r="DP1468" s="2505"/>
    </row>
    <row r="1469" spans="12:120">
      <c r="L1469" s="347">
        <v>160.01</v>
      </c>
      <c r="M1469" s="347" t="s">
        <v>359</v>
      </c>
      <c r="AB1469" s="347">
        <v>216.11</v>
      </c>
      <c r="AC1469" s="347" t="s">
        <v>369</v>
      </c>
      <c r="AD1469" s="1138"/>
      <c r="AP1469" s="347">
        <v>42.05</v>
      </c>
      <c r="AQ1469" s="347" t="s">
        <v>352</v>
      </c>
      <c r="BF1469" s="347">
        <v>143.33000000000001</v>
      </c>
      <c r="BG1469" s="347" t="s">
        <v>323</v>
      </c>
      <c r="BH1469" s="1790"/>
      <c r="BN1469" s="237">
        <v>108.14</v>
      </c>
      <c r="BO1469" s="237" t="s">
        <v>337</v>
      </c>
      <c r="BT1469" s="347">
        <v>39.22</v>
      </c>
      <c r="BU1469" s="347" t="s">
        <v>352</v>
      </c>
      <c r="CD1469" s="237">
        <v>78.2</v>
      </c>
      <c r="CE1469" s="237" t="s">
        <v>361</v>
      </c>
      <c r="CJ1469" s="347">
        <v>143.4</v>
      </c>
      <c r="CK1469" s="347" t="s">
        <v>323</v>
      </c>
      <c r="CL1469" s="1789"/>
      <c r="CR1469" s="345"/>
      <c r="CS1469" s="345"/>
      <c r="CX1469" s="347"/>
      <c r="CY1469" s="347"/>
      <c r="DH1469" s="237"/>
      <c r="DI1469" s="237"/>
      <c r="DN1469" s="347"/>
      <c r="DO1469" s="347"/>
      <c r="DP1469" s="2505"/>
    </row>
    <row r="1470" spans="12:120">
      <c r="L1470" s="347">
        <v>160.02000000000001</v>
      </c>
      <c r="M1470" s="347" t="s">
        <v>359</v>
      </c>
      <c r="AB1470" s="347">
        <v>216.12</v>
      </c>
      <c r="AC1470" s="347" t="s">
        <v>369</v>
      </c>
      <c r="AD1470" s="1138"/>
      <c r="AP1470" s="347">
        <v>42.07</v>
      </c>
      <c r="AQ1470" s="347" t="s">
        <v>352</v>
      </c>
      <c r="BF1470" s="347">
        <v>143.34</v>
      </c>
      <c r="BG1470" s="347" t="s">
        <v>323</v>
      </c>
      <c r="BH1470" s="1790"/>
      <c r="BN1470" s="237">
        <v>108.15</v>
      </c>
      <c r="BO1470" s="237" t="s">
        <v>337</v>
      </c>
      <c r="BT1470" s="347">
        <v>40</v>
      </c>
      <c r="BU1470" s="347" t="s">
        <v>352</v>
      </c>
      <c r="CD1470" s="237">
        <v>78.209999999999994</v>
      </c>
      <c r="CE1470" s="237" t="s">
        <v>361</v>
      </c>
      <c r="CJ1470" s="347">
        <v>143.41</v>
      </c>
      <c r="CK1470" s="347" t="s">
        <v>323</v>
      </c>
      <c r="CL1470" s="1789"/>
      <c r="CR1470" s="345"/>
      <c r="CS1470" s="345"/>
      <c r="CX1470" s="347"/>
      <c r="CY1470" s="347"/>
      <c r="DH1470" s="237"/>
      <c r="DI1470" s="237"/>
      <c r="DN1470" s="347"/>
      <c r="DO1470" s="347"/>
      <c r="DP1470" s="2505"/>
    </row>
    <row r="1471" spans="12:120">
      <c r="L1471" s="347">
        <v>161</v>
      </c>
      <c r="M1471" s="347" t="s">
        <v>359</v>
      </c>
      <c r="AB1471" s="347">
        <v>216.14</v>
      </c>
      <c r="AC1471" s="347" t="s">
        <v>369</v>
      </c>
      <c r="AD1471" s="1138"/>
      <c r="AP1471" s="347">
        <v>42.08</v>
      </c>
      <c r="AQ1471" s="347" t="s">
        <v>352</v>
      </c>
      <c r="BF1471" s="347">
        <v>143.35</v>
      </c>
      <c r="BG1471" s="347" t="s">
        <v>323</v>
      </c>
      <c r="BH1471" s="1790"/>
      <c r="BN1471" s="237">
        <v>108.16</v>
      </c>
      <c r="BO1471" s="237" t="s">
        <v>337</v>
      </c>
      <c r="BT1471" s="347">
        <v>41.02</v>
      </c>
      <c r="BU1471" s="347" t="s">
        <v>352</v>
      </c>
      <c r="CD1471" s="237">
        <v>78.23</v>
      </c>
      <c r="CE1471" s="237" t="s">
        <v>361</v>
      </c>
      <c r="CJ1471" s="347">
        <v>143.41999999999999</v>
      </c>
      <c r="CK1471" s="347" t="s">
        <v>323</v>
      </c>
      <c r="CL1471" s="1789"/>
      <c r="CR1471" s="345"/>
      <c r="CS1471" s="345"/>
      <c r="CX1471" s="347"/>
      <c r="CY1471" s="347"/>
      <c r="DH1471" s="237"/>
      <c r="DI1471" s="237"/>
      <c r="DN1471" s="347"/>
      <c r="DO1471" s="347"/>
      <c r="DP1471" s="2505"/>
    </row>
    <row r="1472" spans="12:120">
      <c r="L1472" s="347">
        <v>162</v>
      </c>
      <c r="M1472" s="347" t="s">
        <v>359</v>
      </c>
      <c r="AB1472" s="347">
        <v>216.15</v>
      </c>
      <c r="AC1472" s="347" t="s">
        <v>369</v>
      </c>
      <c r="AD1472" s="1138"/>
      <c r="AP1472" s="347">
        <v>43.01</v>
      </c>
      <c r="AQ1472" s="347" t="s">
        <v>352</v>
      </c>
      <c r="BF1472" s="347">
        <v>143.36000000000001</v>
      </c>
      <c r="BG1472" s="347" t="s">
        <v>323</v>
      </c>
      <c r="BH1472" s="1790"/>
      <c r="BN1472" s="237">
        <v>108.17</v>
      </c>
      <c r="BO1472" s="237" t="s">
        <v>337</v>
      </c>
      <c r="BT1472" s="347">
        <v>41.03</v>
      </c>
      <c r="BU1472" s="347" t="s">
        <v>352</v>
      </c>
      <c r="CD1472" s="237">
        <v>78.3</v>
      </c>
      <c r="CE1472" s="237" t="s">
        <v>361</v>
      </c>
      <c r="CJ1472" s="347">
        <v>143.43</v>
      </c>
      <c r="CK1472" s="347" t="s">
        <v>323</v>
      </c>
      <c r="CL1472" s="1789"/>
      <c r="CR1472" s="345"/>
      <c r="CS1472" s="345"/>
      <c r="CX1472" s="347"/>
      <c r="CY1472" s="347"/>
      <c r="DH1472" s="237"/>
      <c r="DI1472" s="237"/>
      <c r="DN1472" s="347"/>
      <c r="DO1472" s="347"/>
      <c r="DP1472" s="2505"/>
    </row>
    <row r="1473" spans="12:120">
      <c r="L1473" s="347">
        <v>163.01</v>
      </c>
      <c r="M1473" s="347" t="s">
        <v>359</v>
      </c>
      <c r="AB1473" s="347">
        <v>216.16</v>
      </c>
      <c r="AC1473" s="347" t="s">
        <v>369</v>
      </c>
      <c r="AD1473" s="1138"/>
      <c r="AP1473" s="347">
        <v>43.03</v>
      </c>
      <c r="AQ1473" s="347" t="s">
        <v>352</v>
      </c>
      <c r="BF1473" s="347">
        <v>143.38</v>
      </c>
      <c r="BG1473" s="347" t="s">
        <v>323</v>
      </c>
      <c r="BH1473" s="1790"/>
      <c r="BN1473" s="237">
        <v>108.19</v>
      </c>
      <c r="BO1473" s="237" t="s">
        <v>337</v>
      </c>
      <c r="BT1473" s="347">
        <v>41.05</v>
      </c>
      <c r="BU1473" s="347" t="s">
        <v>352</v>
      </c>
      <c r="CD1473" s="237">
        <v>78.31</v>
      </c>
      <c r="CE1473" s="237" t="s">
        <v>361</v>
      </c>
      <c r="CJ1473" s="347">
        <v>143.44</v>
      </c>
      <c r="CK1473" s="347" t="s">
        <v>323</v>
      </c>
      <c r="CL1473" s="1789"/>
      <c r="CR1473" s="345"/>
      <c r="CS1473" s="345"/>
      <c r="CX1473" s="347"/>
      <c r="CY1473" s="347"/>
      <c r="DH1473" s="237"/>
      <c r="DI1473" s="237"/>
      <c r="DN1473" s="347"/>
      <c r="DO1473" s="347"/>
      <c r="DP1473" s="2505"/>
    </row>
    <row r="1474" spans="12:120">
      <c r="L1474" s="347">
        <v>164.02</v>
      </c>
      <c r="M1474" s="347" t="s">
        <v>359</v>
      </c>
      <c r="AB1474" s="347">
        <v>217</v>
      </c>
      <c r="AC1474" s="347" t="s">
        <v>357</v>
      </c>
      <c r="AD1474" s="1138"/>
      <c r="AP1474" s="347">
        <v>43.04</v>
      </c>
      <c r="AQ1474" s="347" t="s">
        <v>352</v>
      </c>
      <c r="BF1474" s="347">
        <v>143.38999999999999</v>
      </c>
      <c r="BG1474" s="347" t="s">
        <v>323</v>
      </c>
      <c r="BH1474" s="1790"/>
      <c r="BN1474" s="237">
        <v>108.2</v>
      </c>
      <c r="BO1474" s="237" t="s">
        <v>337</v>
      </c>
      <c r="BT1474" s="347">
        <v>41.06</v>
      </c>
      <c r="BU1474" s="347" t="s">
        <v>352</v>
      </c>
      <c r="CD1474" s="237">
        <v>78.319999999999993</v>
      </c>
      <c r="CE1474" s="237" t="s">
        <v>361</v>
      </c>
      <c r="CJ1474" s="347">
        <v>144</v>
      </c>
      <c r="CK1474" s="347" t="s">
        <v>337</v>
      </c>
      <c r="CL1474" s="1789"/>
      <c r="CR1474" s="345"/>
      <c r="CS1474" s="345"/>
      <c r="CX1474" s="347"/>
      <c r="CY1474" s="347"/>
      <c r="DH1474" s="237"/>
      <c r="DI1474" s="237"/>
      <c r="DN1474" s="347"/>
      <c r="DO1474" s="347"/>
      <c r="DP1474" s="2505"/>
    </row>
    <row r="1475" spans="12:120">
      <c r="L1475" s="347">
        <v>164.07</v>
      </c>
      <c r="M1475" s="347" t="s">
        <v>359</v>
      </c>
      <c r="AB1475" s="347">
        <v>217.04</v>
      </c>
      <c r="AC1475" s="347" t="s">
        <v>369</v>
      </c>
      <c r="AD1475" s="1138"/>
      <c r="AP1475" s="347">
        <v>44.03</v>
      </c>
      <c r="AQ1475" s="347" t="s">
        <v>352</v>
      </c>
      <c r="BF1475" s="347">
        <v>143.4</v>
      </c>
      <c r="BG1475" s="347" t="s">
        <v>323</v>
      </c>
      <c r="BH1475" s="1790"/>
      <c r="BN1475" s="237">
        <v>108.21</v>
      </c>
      <c r="BO1475" s="237" t="s">
        <v>337</v>
      </c>
      <c r="BT1475" s="347">
        <v>42.05</v>
      </c>
      <c r="BU1475" s="347" t="s">
        <v>352</v>
      </c>
      <c r="CD1475" s="237">
        <v>78.33</v>
      </c>
      <c r="CE1475" s="237" t="s">
        <v>361</v>
      </c>
      <c r="CJ1475" s="347">
        <v>144</v>
      </c>
      <c r="CK1475" s="347" t="s">
        <v>352</v>
      </c>
      <c r="CL1475" s="1789"/>
      <c r="CR1475" s="345"/>
      <c r="CS1475" s="345"/>
      <c r="CX1475" s="347"/>
      <c r="CY1475" s="347"/>
      <c r="DH1475" s="237"/>
      <c r="DI1475" s="237"/>
      <c r="DN1475" s="347"/>
      <c r="DO1475" s="347"/>
      <c r="DP1475" s="2505"/>
    </row>
    <row r="1476" spans="12:120">
      <c r="L1476" s="347">
        <v>164.08</v>
      </c>
      <c r="M1476" s="347" t="s">
        <v>359</v>
      </c>
      <c r="AB1476" s="347">
        <v>217.06</v>
      </c>
      <c r="AC1476" s="347" t="s">
        <v>369</v>
      </c>
      <c r="AD1476" s="1138"/>
      <c r="AP1476" s="347">
        <v>44.05</v>
      </c>
      <c r="AQ1476" s="347" t="s">
        <v>352</v>
      </c>
      <c r="BF1476" s="347">
        <v>143.41</v>
      </c>
      <c r="BG1476" s="347" t="s">
        <v>323</v>
      </c>
      <c r="BH1476" s="1790"/>
      <c r="BN1476" s="237">
        <v>108.22</v>
      </c>
      <c r="BO1476" s="237" t="s">
        <v>337</v>
      </c>
      <c r="BT1476" s="347">
        <v>42.06</v>
      </c>
      <c r="BU1476" s="347" t="s">
        <v>352</v>
      </c>
      <c r="CD1476" s="237">
        <v>78.34</v>
      </c>
      <c r="CE1476" s="237" t="s">
        <v>361</v>
      </c>
      <c r="CJ1476" s="347">
        <v>144</v>
      </c>
      <c r="CK1476" s="347" t="s">
        <v>359</v>
      </c>
      <c r="CL1476" s="1789"/>
      <c r="CR1476" s="345"/>
      <c r="CS1476" s="345"/>
      <c r="CX1476" s="347"/>
      <c r="CY1476" s="347"/>
      <c r="DH1476" s="237"/>
      <c r="DI1476" s="237"/>
      <c r="DN1476" s="347"/>
      <c r="DO1476" s="347"/>
      <c r="DP1476" s="2505"/>
    </row>
    <row r="1477" spans="12:120">
      <c r="L1477" s="347">
        <v>164.09</v>
      </c>
      <c r="M1477" s="347" t="s">
        <v>359</v>
      </c>
      <c r="AB1477" s="347">
        <v>217.07</v>
      </c>
      <c r="AC1477" s="347" t="s">
        <v>369</v>
      </c>
      <c r="AD1477" s="1138"/>
      <c r="AP1477" s="347">
        <v>44.06</v>
      </c>
      <c r="AQ1477" s="347" t="s">
        <v>352</v>
      </c>
      <c r="BF1477" s="347">
        <v>143.41999999999999</v>
      </c>
      <c r="BG1477" s="347" t="s">
        <v>323</v>
      </c>
      <c r="BH1477" s="1790"/>
      <c r="BN1477" s="237">
        <v>108.23</v>
      </c>
      <c r="BO1477" s="237" t="s">
        <v>337</v>
      </c>
      <c r="BT1477" s="347">
        <v>42.07</v>
      </c>
      <c r="BU1477" s="347" t="s">
        <v>352</v>
      </c>
      <c r="CD1477" s="237">
        <v>78.349999999999994</v>
      </c>
      <c r="CE1477" s="237" t="s">
        <v>361</v>
      </c>
      <c r="CJ1477" s="347">
        <v>144.01</v>
      </c>
      <c r="CK1477" s="347" t="s">
        <v>365</v>
      </c>
      <c r="CL1477" s="1789"/>
      <c r="CR1477" s="345"/>
      <c r="CS1477" s="345"/>
      <c r="CX1477" s="347"/>
      <c r="CY1477" s="347"/>
      <c r="DH1477" s="237"/>
      <c r="DI1477" s="237"/>
      <c r="DN1477" s="347"/>
      <c r="DO1477" s="347"/>
      <c r="DP1477" s="2505"/>
    </row>
    <row r="1478" spans="12:120">
      <c r="L1478" s="347">
        <v>164.1</v>
      </c>
      <c r="M1478" s="347" t="s">
        <v>359</v>
      </c>
      <c r="AB1478" s="347">
        <v>217.08</v>
      </c>
      <c r="AC1478" s="347" t="s">
        <v>369</v>
      </c>
      <c r="AD1478" s="1138"/>
      <c r="AP1478" s="347">
        <v>45</v>
      </c>
      <c r="AQ1478" s="347" t="s">
        <v>352</v>
      </c>
      <c r="BF1478" s="347">
        <v>143.43</v>
      </c>
      <c r="BG1478" s="347" t="s">
        <v>323</v>
      </c>
      <c r="BH1478" s="1790"/>
      <c r="BN1478" s="237">
        <v>108.24</v>
      </c>
      <c r="BO1478" s="237" t="s">
        <v>337</v>
      </c>
      <c r="BT1478" s="347">
        <v>43.01</v>
      </c>
      <c r="BU1478" s="347" t="s">
        <v>352</v>
      </c>
      <c r="CD1478" s="237">
        <v>78.37</v>
      </c>
      <c r="CE1478" s="237" t="s">
        <v>361</v>
      </c>
      <c r="CJ1478" s="347">
        <v>144.02000000000001</v>
      </c>
      <c r="CK1478" s="347" t="s">
        <v>365</v>
      </c>
      <c r="CL1478" s="1789"/>
      <c r="CR1478" s="345"/>
      <c r="CS1478" s="345"/>
      <c r="CX1478" s="347"/>
      <c r="CY1478" s="347"/>
      <c r="DH1478" s="237"/>
      <c r="DI1478" s="237"/>
      <c r="DN1478" s="347"/>
      <c r="DO1478" s="347"/>
      <c r="DP1478" s="2505"/>
    </row>
    <row r="1479" spans="12:120">
      <c r="L1479" s="347">
        <v>164.11</v>
      </c>
      <c r="M1479" s="347" t="s">
        <v>359</v>
      </c>
      <c r="AB1479" s="347">
        <v>218.03</v>
      </c>
      <c r="AC1479" s="347" t="s">
        <v>369</v>
      </c>
      <c r="AD1479" s="1138"/>
      <c r="AP1479" s="347">
        <v>46.02</v>
      </c>
      <c r="AQ1479" s="347" t="s">
        <v>352</v>
      </c>
      <c r="BF1479" s="347">
        <v>144</v>
      </c>
      <c r="BG1479" s="347" t="s">
        <v>337</v>
      </c>
      <c r="BH1479" s="1790"/>
      <c r="BN1479" s="237">
        <v>109</v>
      </c>
      <c r="BO1479" s="237" t="s">
        <v>337</v>
      </c>
      <c r="BT1479" s="347">
        <v>43.03</v>
      </c>
      <c r="BU1479" s="347" t="s">
        <v>352</v>
      </c>
      <c r="CD1479" s="237">
        <v>78.38</v>
      </c>
      <c r="CE1479" s="237" t="s">
        <v>361</v>
      </c>
      <c r="CJ1479" s="347">
        <v>144.08000000000001</v>
      </c>
      <c r="CK1479" s="347" t="s">
        <v>323</v>
      </c>
      <c r="CL1479" s="1789"/>
      <c r="CR1479" s="345"/>
      <c r="CS1479" s="345"/>
      <c r="CX1479" s="347"/>
      <c r="CY1479" s="347"/>
      <c r="DH1479" s="237"/>
      <c r="DI1479" s="237"/>
      <c r="DN1479" s="347"/>
      <c r="DO1479" s="347"/>
      <c r="DP1479" s="2505"/>
    </row>
    <row r="1480" spans="12:120">
      <c r="L1480" s="347">
        <v>164.12</v>
      </c>
      <c r="M1480" s="347" t="s">
        <v>359</v>
      </c>
      <c r="AB1480" s="347">
        <v>218.05</v>
      </c>
      <c r="AC1480" s="347" t="s">
        <v>369</v>
      </c>
      <c r="AD1480" s="1138"/>
      <c r="AP1480" s="347">
        <v>46.05</v>
      </c>
      <c r="AQ1480" s="347" t="s">
        <v>352</v>
      </c>
      <c r="BF1480" s="347">
        <v>144</v>
      </c>
      <c r="BG1480" s="347" t="s">
        <v>352</v>
      </c>
      <c r="BH1480" s="1790"/>
      <c r="BN1480" s="237">
        <v>110.03</v>
      </c>
      <c r="BO1480" s="237" t="s">
        <v>337</v>
      </c>
      <c r="BT1480" s="347">
        <v>43.04</v>
      </c>
      <c r="BU1480" s="347" t="s">
        <v>352</v>
      </c>
      <c r="CD1480" s="237">
        <v>78.400000000000006</v>
      </c>
      <c r="CE1480" s="237" t="s">
        <v>361</v>
      </c>
      <c r="CJ1480" s="347">
        <v>144.13</v>
      </c>
      <c r="CK1480" s="347" t="s">
        <v>323</v>
      </c>
      <c r="CL1480" s="1789"/>
      <c r="CR1480" s="345"/>
      <c r="CS1480" s="345"/>
      <c r="CX1480" s="347"/>
      <c r="CY1480" s="347"/>
      <c r="DH1480" s="237"/>
      <c r="DI1480" s="237"/>
      <c r="DN1480" s="347"/>
      <c r="DO1480" s="347"/>
      <c r="DP1480" s="2505"/>
    </row>
    <row r="1481" spans="12:120">
      <c r="L1481" s="347">
        <v>165.03</v>
      </c>
      <c r="M1481" s="347" t="s">
        <v>359</v>
      </c>
      <c r="AB1481" s="347">
        <v>218.06</v>
      </c>
      <c r="AC1481" s="347" t="s">
        <v>369</v>
      </c>
      <c r="AD1481" s="1138"/>
      <c r="AP1481" s="347">
        <v>46.07</v>
      </c>
      <c r="AQ1481" s="347" t="s">
        <v>352</v>
      </c>
      <c r="BF1481" s="347">
        <v>144.01</v>
      </c>
      <c r="BG1481" s="347" t="s">
        <v>365</v>
      </c>
      <c r="BH1481" s="1790"/>
      <c r="BN1481" s="237">
        <v>110.05</v>
      </c>
      <c r="BO1481" s="237" t="s">
        <v>337</v>
      </c>
      <c r="BT1481" s="347">
        <v>44.06</v>
      </c>
      <c r="BU1481" s="347" t="s">
        <v>352</v>
      </c>
      <c r="CD1481" s="237">
        <v>78.41</v>
      </c>
      <c r="CE1481" s="237" t="s">
        <v>361</v>
      </c>
      <c r="CJ1481" s="347">
        <v>144.13999999999999</v>
      </c>
      <c r="CK1481" s="347" t="s">
        <v>323</v>
      </c>
      <c r="CL1481" s="1789"/>
      <c r="CR1481" s="345"/>
      <c r="CS1481" s="345"/>
      <c r="CX1481" s="347"/>
      <c r="CY1481" s="347"/>
      <c r="DH1481" s="237"/>
      <c r="DI1481" s="237"/>
      <c r="DN1481" s="347"/>
      <c r="DO1481" s="347"/>
      <c r="DP1481" s="2505"/>
    </row>
    <row r="1482" spans="12:120">
      <c r="L1482" s="347">
        <v>165.04</v>
      </c>
      <c r="M1482" s="347" t="s">
        <v>359</v>
      </c>
      <c r="AB1482" s="347">
        <v>219</v>
      </c>
      <c r="AC1482" s="347" t="s">
        <v>363</v>
      </c>
      <c r="AD1482" s="1138"/>
      <c r="AP1482" s="347">
        <v>46.08</v>
      </c>
      <c r="AQ1482" s="347" t="s">
        <v>352</v>
      </c>
      <c r="BF1482" s="347">
        <v>144.08000000000001</v>
      </c>
      <c r="BG1482" s="347" t="s">
        <v>323</v>
      </c>
      <c r="BH1482" s="1790"/>
      <c r="BN1482" s="237">
        <v>110.06</v>
      </c>
      <c r="BO1482" s="237" t="s">
        <v>337</v>
      </c>
      <c r="BT1482" s="347">
        <v>45</v>
      </c>
      <c r="BU1482" s="347" t="s">
        <v>352</v>
      </c>
      <c r="CD1482" s="237">
        <v>78.42</v>
      </c>
      <c r="CE1482" s="237" t="s">
        <v>361</v>
      </c>
      <c r="CJ1482" s="347">
        <v>144.16</v>
      </c>
      <c r="CK1482" s="347" t="s">
        <v>323</v>
      </c>
      <c r="CL1482" s="1789"/>
      <c r="CR1482" s="345"/>
      <c r="CS1482" s="345"/>
      <c r="CX1482" s="347"/>
      <c r="CY1482" s="347"/>
      <c r="DH1482" s="237"/>
      <c r="DI1482" s="237"/>
      <c r="DN1482" s="347"/>
      <c r="DO1482" s="347"/>
      <c r="DP1482" s="2505"/>
    </row>
    <row r="1483" spans="12:120">
      <c r="L1483" s="347">
        <v>165.05</v>
      </c>
      <c r="M1483" s="347" t="s">
        <v>359</v>
      </c>
      <c r="AB1483" s="347">
        <v>219.01</v>
      </c>
      <c r="AC1483" s="347" t="s">
        <v>369</v>
      </c>
      <c r="AD1483" s="1138"/>
      <c r="AP1483" s="347">
        <v>47.01</v>
      </c>
      <c r="AQ1483" s="347" t="s">
        <v>352</v>
      </c>
      <c r="BF1483" s="347">
        <v>144.13</v>
      </c>
      <c r="BG1483" s="347" t="s">
        <v>323</v>
      </c>
      <c r="BH1483" s="1790"/>
      <c r="BN1483" s="237">
        <v>110.07</v>
      </c>
      <c r="BO1483" s="237" t="s">
        <v>337</v>
      </c>
      <c r="BT1483" s="347">
        <v>46.02</v>
      </c>
      <c r="BU1483" s="347" t="s">
        <v>352</v>
      </c>
      <c r="CD1483" s="237">
        <v>78.430000000000007</v>
      </c>
      <c r="CE1483" s="237" t="s">
        <v>361</v>
      </c>
      <c r="CJ1483" s="347">
        <v>144.16999999999999</v>
      </c>
      <c r="CK1483" s="347" t="s">
        <v>323</v>
      </c>
      <c r="CL1483" s="1789"/>
      <c r="CR1483" s="345"/>
      <c r="CS1483" s="345"/>
      <c r="CX1483" s="347"/>
      <c r="CY1483" s="347"/>
      <c r="DH1483" s="237"/>
      <c r="DI1483" s="237"/>
      <c r="DN1483" s="347"/>
      <c r="DO1483" s="347"/>
      <c r="DP1483" s="2505"/>
    </row>
    <row r="1484" spans="12:120">
      <c r="L1484" s="347">
        <v>165.07</v>
      </c>
      <c r="M1484" s="347" t="s">
        <v>359</v>
      </c>
      <c r="AB1484" s="347">
        <v>221</v>
      </c>
      <c r="AC1484" s="347" t="s">
        <v>363</v>
      </c>
      <c r="AD1484" s="1138"/>
      <c r="AP1484" s="347">
        <v>47.03</v>
      </c>
      <c r="AQ1484" s="347" t="s">
        <v>352</v>
      </c>
      <c r="BF1484" s="347">
        <v>144.13999999999999</v>
      </c>
      <c r="BG1484" s="347" t="s">
        <v>323</v>
      </c>
      <c r="BH1484" s="1790"/>
      <c r="BN1484" s="237">
        <v>110.08</v>
      </c>
      <c r="BO1484" s="237" t="s">
        <v>337</v>
      </c>
      <c r="BT1484" s="347">
        <v>46.05</v>
      </c>
      <c r="BU1484" s="347" t="s">
        <v>352</v>
      </c>
      <c r="CD1484" s="237">
        <v>78.44</v>
      </c>
      <c r="CE1484" s="237" t="s">
        <v>361</v>
      </c>
      <c r="CJ1484" s="347">
        <v>144.18</v>
      </c>
      <c r="CK1484" s="347" t="s">
        <v>323</v>
      </c>
      <c r="CL1484" s="1789"/>
      <c r="CR1484" s="345"/>
      <c r="CS1484" s="345"/>
      <c r="CX1484" s="347"/>
      <c r="CY1484" s="347"/>
      <c r="DH1484" s="237"/>
      <c r="DI1484" s="237"/>
      <c r="DN1484" s="347"/>
      <c r="DO1484" s="347"/>
      <c r="DP1484" s="2505"/>
    </row>
    <row r="1485" spans="12:120">
      <c r="L1485" s="347">
        <v>165.11</v>
      </c>
      <c r="M1485" s="347" t="s">
        <v>359</v>
      </c>
      <c r="AB1485" s="347">
        <v>221.05</v>
      </c>
      <c r="AC1485" s="347" t="s">
        <v>369</v>
      </c>
      <c r="AD1485" s="1138"/>
      <c r="AP1485" s="347">
        <v>47.04</v>
      </c>
      <c r="AQ1485" s="347" t="s">
        <v>352</v>
      </c>
      <c r="BF1485" s="347">
        <v>144.16</v>
      </c>
      <c r="BG1485" s="347" t="s">
        <v>323</v>
      </c>
      <c r="BH1485" s="1790"/>
      <c r="BN1485" s="237">
        <v>110.1</v>
      </c>
      <c r="BO1485" s="237" t="s">
        <v>337</v>
      </c>
      <c r="BT1485" s="347">
        <v>46.07</v>
      </c>
      <c r="BU1485" s="347" t="s">
        <v>352</v>
      </c>
      <c r="CD1485" s="237">
        <v>78.45</v>
      </c>
      <c r="CE1485" s="237" t="s">
        <v>361</v>
      </c>
      <c r="CJ1485" s="347">
        <v>144.19</v>
      </c>
      <c r="CK1485" s="347" t="s">
        <v>323</v>
      </c>
      <c r="CL1485" s="1789"/>
      <c r="CR1485" s="345"/>
      <c r="CS1485" s="345"/>
      <c r="CX1485" s="347"/>
      <c r="CY1485" s="347"/>
      <c r="DH1485" s="237"/>
      <c r="DI1485" s="237"/>
      <c r="DN1485" s="347"/>
      <c r="DO1485" s="347"/>
      <c r="DP1485" s="2505"/>
    </row>
    <row r="1486" spans="12:120">
      <c r="L1486" s="347">
        <v>166.01</v>
      </c>
      <c r="M1486" s="347" t="s">
        <v>359</v>
      </c>
      <c r="AB1486" s="347">
        <v>221.06</v>
      </c>
      <c r="AC1486" s="347" t="s">
        <v>369</v>
      </c>
      <c r="AD1486" s="1138"/>
      <c r="AP1486" s="347">
        <v>47.05</v>
      </c>
      <c r="AQ1486" s="347" t="s">
        <v>352</v>
      </c>
      <c r="BF1486" s="347">
        <v>144.16999999999999</v>
      </c>
      <c r="BG1486" s="347" t="s">
        <v>323</v>
      </c>
      <c r="BH1486" s="1790"/>
      <c r="BN1486" s="237">
        <v>110.13</v>
      </c>
      <c r="BO1486" s="237" t="s">
        <v>337</v>
      </c>
      <c r="BT1486" s="347">
        <v>46.08</v>
      </c>
      <c r="BU1486" s="347" t="s">
        <v>352</v>
      </c>
      <c r="CD1486" s="237">
        <v>78.459999999999994</v>
      </c>
      <c r="CE1486" s="237" t="s">
        <v>361</v>
      </c>
      <c r="CJ1486" s="347">
        <v>144.19999999999999</v>
      </c>
      <c r="CK1486" s="347" t="s">
        <v>323</v>
      </c>
      <c r="CL1486" s="1789"/>
      <c r="CR1486" s="345"/>
      <c r="CS1486" s="345"/>
      <c r="CX1486" s="347"/>
      <c r="CY1486" s="347"/>
      <c r="DH1486" s="237"/>
      <c r="DI1486" s="237"/>
      <c r="DN1486" s="347"/>
      <c r="DO1486" s="347"/>
      <c r="DP1486" s="2505"/>
    </row>
    <row r="1487" spans="12:120">
      <c r="L1487" s="347">
        <v>166.02</v>
      </c>
      <c r="M1487" s="347" t="s">
        <v>359</v>
      </c>
      <c r="AB1487" s="347">
        <v>222</v>
      </c>
      <c r="AC1487" s="347" t="s">
        <v>363</v>
      </c>
      <c r="AD1487" s="1138"/>
      <c r="AP1487" s="347">
        <v>49.01</v>
      </c>
      <c r="AQ1487" s="347" t="s">
        <v>352</v>
      </c>
      <c r="BF1487" s="347">
        <v>144.18</v>
      </c>
      <c r="BG1487" s="347" t="s">
        <v>323</v>
      </c>
      <c r="BH1487" s="1790"/>
      <c r="BN1487" s="237">
        <v>110.16</v>
      </c>
      <c r="BO1487" s="237" t="s">
        <v>337</v>
      </c>
      <c r="BT1487" s="347">
        <v>47.01</v>
      </c>
      <c r="BU1487" s="347" t="s">
        <v>352</v>
      </c>
      <c r="CD1487" s="237">
        <v>78.47</v>
      </c>
      <c r="CE1487" s="237" t="s">
        <v>361</v>
      </c>
      <c r="CJ1487" s="347">
        <v>144.21</v>
      </c>
      <c r="CK1487" s="347" t="s">
        <v>323</v>
      </c>
      <c r="CL1487" s="1789"/>
      <c r="CR1487" s="345"/>
      <c r="CS1487" s="345"/>
      <c r="CX1487" s="347"/>
      <c r="CY1487" s="347"/>
      <c r="DH1487" s="237"/>
      <c r="DI1487" s="237"/>
      <c r="DN1487" s="347"/>
      <c r="DO1487" s="347"/>
      <c r="DP1487" s="2505"/>
    </row>
    <row r="1488" spans="12:120">
      <c r="L1488" s="347">
        <v>167.04</v>
      </c>
      <c r="M1488" s="347" t="s">
        <v>359</v>
      </c>
      <c r="AB1488" s="347">
        <v>222.05</v>
      </c>
      <c r="AC1488" s="347" t="s">
        <v>369</v>
      </c>
      <c r="AD1488" s="1138"/>
      <c r="AP1488" s="347">
        <v>49.04</v>
      </c>
      <c r="AQ1488" s="347" t="s">
        <v>352</v>
      </c>
      <c r="BF1488" s="347">
        <v>144.19</v>
      </c>
      <c r="BG1488" s="347" t="s">
        <v>323</v>
      </c>
      <c r="BH1488" s="1790"/>
      <c r="BN1488" s="237">
        <v>110.17</v>
      </c>
      <c r="BO1488" s="237" t="s">
        <v>337</v>
      </c>
      <c r="BT1488" s="347">
        <v>47.03</v>
      </c>
      <c r="BU1488" s="347" t="s">
        <v>352</v>
      </c>
      <c r="CD1488" s="237">
        <v>78.48</v>
      </c>
      <c r="CE1488" s="237" t="s">
        <v>361</v>
      </c>
      <c r="CJ1488" s="347">
        <v>144.22</v>
      </c>
      <c r="CK1488" s="347" t="s">
        <v>323</v>
      </c>
      <c r="CL1488" s="1789"/>
      <c r="CR1488" s="345"/>
      <c r="CS1488" s="345"/>
      <c r="CX1488" s="347"/>
      <c r="CY1488" s="347"/>
      <c r="DH1488" s="237"/>
      <c r="DI1488" s="237"/>
      <c r="DN1488" s="347"/>
      <c r="DO1488" s="347"/>
      <c r="DP1488" s="2505"/>
    </row>
    <row r="1489" spans="12:120">
      <c r="L1489" s="347">
        <v>167.1</v>
      </c>
      <c r="M1489" s="347" t="s">
        <v>359</v>
      </c>
      <c r="AB1489" s="347">
        <v>222.06</v>
      </c>
      <c r="AC1489" s="347" t="s">
        <v>369</v>
      </c>
      <c r="AD1489" s="1138"/>
      <c r="AP1489" s="347">
        <v>50.02</v>
      </c>
      <c r="AQ1489" s="347" t="s">
        <v>352</v>
      </c>
      <c r="BF1489" s="347">
        <v>144.19999999999999</v>
      </c>
      <c r="BG1489" s="347" t="s">
        <v>323</v>
      </c>
      <c r="BH1489" s="1790"/>
      <c r="BN1489" s="237">
        <v>110.18</v>
      </c>
      <c r="BO1489" s="237" t="s">
        <v>337</v>
      </c>
      <c r="BT1489" s="347">
        <v>47.04</v>
      </c>
      <c r="BU1489" s="347" t="s">
        <v>352</v>
      </c>
      <c r="CD1489" s="237">
        <v>78.489999999999995</v>
      </c>
      <c r="CE1489" s="237" t="s">
        <v>361</v>
      </c>
      <c r="CJ1489" s="347">
        <v>144.22999999999999</v>
      </c>
      <c r="CK1489" s="347" t="s">
        <v>323</v>
      </c>
      <c r="CL1489" s="1789"/>
      <c r="CR1489" s="345"/>
      <c r="CS1489" s="345"/>
      <c r="CX1489" s="347"/>
      <c r="CY1489" s="347"/>
      <c r="DH1489" s="237"/>
      <c r="DI1489" s="237"/>
      <c r="DN1489" s="347"/>
      <c r="DO1489" s="347"/>
      <c r="DP1489" s="2505"/>
    </row>
    <row r="1490" spans="12:120">
      <c r="L1490" s="347">
        <v>167.14</v>
      </c>
      <c r="M1490" s="347" t="s">
        <v>359</v>
      </c>
      <c r="AB1490" s="347">
        <v>222.07</v>
      </c>
      <c r="AC1490" s="347" t="s">
        <v>369</v>
      </c>
      <c r="AD1490" s="1138"/>
      <c r="AP1490" s="347">
        <v>55.06</v>
      </c>
      <c r="AQ1490" s="347" t="s">
        <v>352</v>
      </c>
      <c r="BF1490" s="347">
        <v>144.21</v>
      </c>
      <c r="BG1490" s="347" t="s">
        <v>323</v>
      </c>
      <c r="BH1490" s="1790"/>
      <c r="BN1490" s="237">
        <v>110.19</v>
      </c>
      <c r="BO1490" s="237" t="s">
        <v>337</v>
      </c>
      <c r="BT1490" s="347">
        <v>47.05</v>
      </c>
      <c r="BU1490" s="347" t="s">
        <v>352</v>
      </c>
      <c r="CD1490" s="237">
        <v>78.5</v>
      </c>
      <c r="CE1490" s="237" t="s">
        <v>361</v>
      </c>
      <c r="CJ1490" s="347">
        <v>144.24</v>
      </c>
      <c r="CK1490" s="347" t="s">
        <v>323</v>
      </c>
      <c r="CL1490" s="1789"/>
      <c r="CR1490" s="345"/>
      <c r="CS1490" s="345"/>
      <c r="CX1490" s="347"/>
      <c r="CY1490" s="347"/>
      <c r="DH1490" s="237"/>
      <c r="DI1490" s="237"/>
      <c r="DN1490" s="347"/>
      <c r="DO1490" s="347"/>
      <c r="DP1490" s="2505"/>
    </row>
    <row r="1491" spans="12:120">
      <c r="L1491" s="347">
        <v>167.16</v>
      </c>
      <c r="M1491" s="347" t="s">
        <v>359</v>
      </c>
      <c r="AB1491" s="347">
        <v>223.02</v>
      </c>
      <c r="AC1491" s="347" t="s">
        <v>363</v>
      </c>
      <c r="AD1491" s="1138"/>
      <c r="AP1491" s="347">
        <v>56</v>
      </c>
      <c r="AQ1491" s="347" t="s">
        <v>352</v>
      </c>
      <c r="BF1491" s="347">
        <v>144.22</v>
      </c>
      <c r="BG1491" s="347" t="s">
        <v>323</v>
      </c>
      <c r="BH1491" s="1790"/>
      <c r="BN1491" s="237">
        <v>111.03</v>
      </c>
      <c r="BO1491" s="237" t="s">
        <v>337</v>
      </c>
      <c r="BT1491" s="347">
        <v>49.04</v>
      </c>
      <c r="BU1491" s="347" t="s">
        <v>352</v>
      </c>
      <c r="CD1491" s="237">
        <v>78.510000000000005</v>
      </c>
      <c r="CE1491" s="237" t="s">
        <v>361</v>
      </c>
      <c r="CJ1491" s="347">
        <v>144.25</v>
      </c>
      <c r="CK1491" s="347" t="s">
        <v>323</v>
      </c>
      <c r="CL1491" s="1789"/>
      <c r="CR1491" s="345"/>
      <c r="CS1491" s="345"/>
      <c r="CX1491" s="347"/>
      <c r="CY1491" s="347"/>
      <c r="DH1491" s="237"/>
      <c r="DI1491" s="237"/>
      <c r="DN1491" s="347"/>
      <c r="DO1491" s="347"/>
      <c r="DP1491" s="2505"/>
    </row>
    <row r="1492" spans="12:120">
      <c r="L1492" s="347">
        <v>167.17</v>
      </c>
      <c r="M1492" s="347" t="s">
        <v>359</v>
      </c>
      <c r="AB1492" s="347">
        <v>224</v>
      </c>
      <c r="AC1492" s="347" t="s">
        <v>357</v>
      </c>
      <c r="AD1492" s="1138"/>
      <c r="AP1492" s="347">
        <v>57.01</v>
      </c>
      <c r="AQ1492" s="347" t="s">
        <v>352</v>
      </c>
      <c r="BF1492" s="347">
        <v>144.22999999999999</v>
      </c>
      <c r="BG1492" s="347" t="s">
        <v>323</v>
      </c>
      <c r="BH1492" s="1790"/>
      <c r="BN1492" s="237">
        <v>111.06</v>
      </c>
      <c r="BO1492" s="237" t="s">
        <v>337</v>
      </c>
      <c r="BT1492" s="347">
        <v>50.03</v>
      </c>
      <c r="BU1492" s="347" t="s">
        <v>352</v>
      </c>
      <c r="CD1492" s="237">
        <v>78.52</v>
      </c>
      <c r="CE1492" s="237" t="s">
        <v>361</v>
      </c>
      <c r="CJ1492" s="347">
        <v>144.26</v>
      </c>
      <c r="CK1492" s="347" t="s">
        <v>323</v>
      </c>
      <c r="CL1492" s="1789"/>
      <c r="CR1492" s="345"/>
      <c r="CS1492" s="345"/>
      <c r="CX1492" s="347"/>
      <c r="CY1492" s="347"/>
      <c r="DH1492" s="237"/>
      <c r="DI1492" s="237"/>
      <c r="DN1492" s="347"/>
      <c r="DO1492" s="347"/>
      <c r="DP1492" s="2505"/>
    </row>
    <row r="1493" spans="12:120">
      <c r="L1493" s="347">
        <v>167.23</v>
      </c>
      <c r="M1493" s="347" t="s">
        <v>359</v>
      </c>
      <c r="AB1493" s="347">
        <v>224.01</v>
      </c>
      <c r="AC1493" s="347" t="s">
        <v>363</v>
      </c>
      <c r="AD1493" s="1138"/>
      <c r="AP1493" s="347">
        <v>57.06</v>
      </c>
      <c r="AQ1493" s="347" t="s">
        <v>352</v>
      </c>
      <c r="BF1493" s="347">
        <v>144.24</v>
      </c>
      <c r="BG1493" s="347" t="s">
        <v>323</v>
      </c>
      <c r="BH1493" s="1790"/>
      <c r="BN1493" s="237">
        <v>111.07</v>
      </c>
      <c r="BO1493" s="237" t="s">
        <v>337</v>
      </c>
      <c r="BT1493" s="347">
        <v>57.06</v>
      </c>
      <c r="BU1493" s="347" t="s">
        <v>352</v>
      </c>
      <c r="CD1493" s="237">
        <v>78.53</v>
      </c>
      <c r="CE1493" s="237" t="s">
        <v>361</v>
      </c>
      <c r="CJ1493" s="347">
        <v>144.27000000000001</v>
      </c>
      <c r="CK1493" s="347" t="s">
        <v>323</v>
      </c>
      <c r="CL1493" s="1789"/>
      <c r="CR1493" s="345"/>
      <c r="CS1493" s="345"/>
      <c r="CX1493" s="347"/>
      <c r="CY1493" s="347"/>
      <c r="DH1493" s="237"/>
      <c r="DI1493" s="237"/>
      <c r="DN1493" s="347"/>
      <c r="DO1493" s="347"/>
      <c r="DP1493" s="2505"/>
    </row>
    <row r="1494" spans="12:120">
      <c r="L1494" s="347">
        <v>167.27</v>
      </c>
      <c r="M1494" s="347" t="s">
        <v>359</v>
      </c>
      <c r="AB1494" s="347">
        <v>224.02</v>
      </c>
      <c r="AC1494" s="347" t="s">
        <v>363</v>
      </c>
      <c r="AD1494" s="1138"/>
      <c r="AP1494" s="347">
        <v>58.05</v>
      </c>
      <c r="AQ1494" s="347" t="s">
        <v>352</v>
      </c>
      <c r="BF1494" s="347">
        <v>144.25</v>
      </c>
      <c r="BG1494" s="347" t="s">
        <v>323</v>
      </c>
      <c r="BH1494" s="1790"/>
      <c r="BN1494" s="237">
        <v>111.08</v>
      </c>
      <c r="BO1494" s="237" t="s">
        <v>337</v>
      </c>
      <c r="BT1494" s="347">
        <v>58.05</v>
      </c>
      <c r="BU1494" s="347" t="s">
        <v>352</v>
      </c>
      <c r="CD1494" s="237">
        <v>79.010000000000005</v>
      </c>
      <c r="CE1494" s="237" t="s">
        <v>352</v>
      </c>
      <c r="CJ1494" s="347">
        <v>144.28</v>
      </c>
      <c r="CK1494" s="347" t="s">
        <v>323</v>
      </c>
      <c r="CL1494" s="1789"/>
      <c r="CR1494" s="345"/>
      <c r="CS1494" s="345"/>
      <c r="CX1494" s="347"/>
      <c r="CY1494" s="347"/>
      <c r="DH1494" s="237"/>
      <c r="DI1494" s="237"/>
      <c r="DN1494" s="347"/>
      <c r="DO1494" s="347"/>
      <c r="DP1494" s="2505"/>
    </row>
    <row r="1495" spans="12:120">
      <c r="L1495" s="347">
        <v>167.28</v>
      </c>
      <c r="M1495" s="347" t="s">
        <v>359</v>
      </c>
      <c r="AB1495" s="347">
        <v>225.01</v>
      </c>
      <c r="AC1495" s="347" t="s">
        <v>363</v>
      </c>
      <c r="AD1495" s="1138"/>
      <c r="AP1495" s="347">
        <v>58.06</v>
      </c>
      <c r="AQ1495" s="347" t="s">
        <v>352</v>
      </c>
      <c r="BF1495" s="347">
        <v>144.26</v>
      </c>
      <c r="BG1495" s="347" t="s">
        <v>323</v>
      </c>
      <c r="BH1495" s="1790"/>
      <c r="BN1495" s="237">
        <v>111.09</v>
      </c>
      <c r="BO1495" s="237" t="s">
        <v>337</v>
      </c>
      <c r="BT1495" s="347">
        <v>58.06</v>
      </c>
      <c r="BU1495" s="347" t="s">
        <v>352</v>
      </c>
      <c r="CD1495" s="237">
        <v>79.02</v>
      </c>
      <c r="CE1495" s="237" t="s">
        <v>352</v>
      </c>
      <c r="CJ1495" s="347">
        <v>145</v>
      </c>
      <c r="CK1495" s="347" t="s">
        <v>352</v>
      </c>
      <c r="CL1495" s="1789"/>
      <c r="CR1495" s="345"/>
      <c r="CS1495" s="345"/>
      <c r="CX1495" s="347"/>
      <c r="CY1495" s="347"/>
      <c r="DH1495" s="237"/>
      <c r="DI1495" s="237"/>
      <c r="DN1495" s="347"/>
      <c r="DO1495" s="347"/>
      <c r="DP1495" s="2505"/>
    </row>
    <row r="1496" spans="12:120">
      <c r="L1496" s="347">
        <v>167.3</v>
      </c>
      <c r="M1496" s="347" t="s">
        <v>359</v>
      </c>
      <c r="AB1496" s="347">
        <v>225.03</v>
      </c>
      <c r="AC1496" s="347" t="s">
        <v>363</v>
      </c>
      <c r="AD1496" s="1138"/>
      <c r="AP1496" s="347">
        <v>59.01</v>
      </c>
      <c r="AQ1496" s="347" t="s">
        <v>352</v>
      </c>
      <c r="BF1496" s="347">
        <v>144.28</v>
      </c>
      <c r="BG1496" s="347" t="s">
        <v>323</v>
      </c>
      <c r="BH1496" s="1790"/>
      <c r="BN1496" s="237">
        <v>112.03</v>
      </c>
      <c r="BO1496" s="237" t="s">
        <v>337</v>
      </c>
      <c r="BT1496" s="347">
        <v>59.01</v>
      </c>
      <c r="BU1496" s="347" t="s">
        <v>352</v>
      </c>
      <c r="CD1496" s="237">
        <v>79.09</v>
      </c>
      <c r="CE1496" s="237" t="s">
        <v>361</v>
      </c>
      <c r="CJ1496" s="347">
        <v>145.04</v>
      </c>
      <c r="CK1496" s="347" t="s">
        <v>359</v>
      </c>
      <c r="CL1496" s="1789"/>
      <c r="CR1496" s="345"/>
      <c r="CS1496" s="345"/>
      <c r="CX1496" s="347"/>
      <c r="CY1496" s="347"/>
      <c r="DH1496" s="237"/>
      <c r="DI1496" s="237"/>
      <c r="DN1496" s="347"/>
      <c r="DO1496" s="347"/>
      <c r="DP1496" s="2505"/>
    </row>
    <row r="1497" spans="12:120">
      <c r="L1497" s="347">
        <v>167.31</v>
      </c>
      <c r="M1497" s="347" t="s">
        <v>359</v>
      </c>
      <c r="AB1497" s="347">
        <v>226.01</v>
      </c>
      <c r="AC1497" s="347" t="s">
        <v>363</v>
      </c>
      <c r="AD1497" s="1138"/>
      <c r="AP1497" s="347">
        <v>59.02</v>
      </c>
      <c r="AQ1497" s="347" t="s">
        <v>352</v>
      </c>
      <c r="BF1497" s="347">
        <v>145</v>
      </c>
      <c r="BG1497" s="347" t="s">
        <v>323</v>
      </c>
      <c r="BH1497" s="1790"/>
      <c r="BN1497" s="237">
        <v>112.04</v>
      </c>
      <c r="BO1497" s="237" t="s">
        <v>337</v>
      </c>
      <c r="BT1497" s="347">
        <v>59.04</v>
      </c>
      <c r="BU1497" s="347" t="s">
        <v>352</v>
      </c>
      <c r="CD1497" s="237">
        <v>79.13</v>
      </c>
      <c r="CE1497" s="237" t="s">
        <v>361</v>
      </c>
      <c r="CJ1497" s="347">
        <v>146.01</v>
      </c>
      <c r="CK1497" s="347" t="s">
        <v>323</v>
      </c>
      <c r="CL1497" s="1789"/>
      <c r="CR1497" s="345"/>
      <c r="CS1497" s="345"/>
      <c r="CX1497" s="347"/>
      <c r="CY1497" s="347"/>
      <c r="DH1497" s="237"/>
      <c r="DI1497" s="237"/>
      <c r="DN1497" s="347"/>
      <c r="DO1497" s="347"/>
      <c r="DP1497" s="2505"/>
    </row>
    <row r="1498" spans="12:120">
      <c r="L1498" s="347">
        <v>167.32</v>
      </c>
      <c r="M1498" s="347" t="s">
        <v>359</v>
      </c>
      <c r="AB1498" s="347">
        <v>226.02</v>
      </c>
      <c r="AC1498" s="347" t="s">
        <v>363</v>
      </c>
      <c r="AD1498" s="1138"/>
      <c r="AP1498" s="347">
        <v>59.03</v>
      </c>
      <c r="AQ1498" s="347" t="s">
        <v>352</v>
      </c>
      <c r="BF1498" s="347">
        <v>145</v>
      </c>
      <c r="BG1498" s="347" t="s">
        <v>352</v>
      </c>
      <c r="BH1498" s="1790"/>
      <c r="BN1498" s="237">
        <v>112.05</v>
      </c>
      <c r="BO1498" s="237" t="s">
        <v>337</v>
      </c>
      <c r="BT1498" s="347">
        <v>60.02</v>
      </c>
      <c r="BU1498" s="347" t="s">
        <v>352</v>
      </c>
      <c r="CD1498" s="237">
        <v>79.14</v>
      </c>
      <c r="CE1498" s="237" t="s">
        <v>361</v>
      </c>
      <c r="CJ1498" s="347">
        <v>146.03</v>
      </c>
      <c r="CK1498" s="347" t="s">
        <v>323</v>
      </c>
      <c r="CL1498" s="1789"/>
      <c r="CR1498" s="345"/>
      <c r="CS1498" s="345"/>
      <c r="CX1498" s="347"/>
      <c r="CY1498" s="347"/>
      <c r="DH1498" s="237"/>
      <c r="DI1498" s="237"/>
      <c r="DN1498" s="347"/>
      <c r="DO1498" s="347"/>
      <c r="DP1498" s="2505"/>
    </row>
    <row r="1499" spans="12:120">
      <c r="L1499" s="347">
        <v>167.33</v>
      </c>
      <c r="M1499" s="347" t="s">
        <v>359</v>
      </c>
      <c r="AB1499" s="347">
        <v>227</v>
      </c>
      <c r="AC1499" s="347" t="s">
        <v>363</v>
      </c>
      <c r="AD1499" s="1138"/>
      <c r="AP1499" s="347">
        <v>59.04</v>
      </c>
      <c r="AQ1499" s="347" t="s">
        <v>352</v>
      </c>
      <c r="BF1499" s="347">
        <v>145.04</v>
      </c>
      <c r="BG1499" s="347" t="s">
        <v>359</v>
      </c>
      <c r="BH1499" s="1790"/>
      <c r="BN1499" s="237">
        <v>112.06</v>
      </c>
      <c r="BO1499" s="237" t="s">
        <v>337</v>
      </c>
      <c r="BT1499" s="347">
        <v>60.03</v>
      </c>
      <c r="BU1499" s="347" t="s">
        <v>352</v>
      </c>
      <c r="CD1499" s="237">
        <v>79.150000000000006</v>
      </c>
      <c r="CE1499" s="237" t="s">
        <v>361</v>
      </c>
      <c r="CJ1499" s="347">
        <v>146.04</v>
      </c>
      <c r="CK1499" s="347" t="s">
        <v>323</v>
      </c>
      <c r="CL1499" s="1789"/>
      <c r="CR1499" s="345"/>
      <c r="CS1499" s="345"/>
      <c r="CX1499" s="347"/>
      <c r="CY1499" s="347"/>
      <c r="DH1499" s="237"/>
      <c r="DI1499" s="237"/>
      <c r="DN1499" s="347"/>
      <c r="DO1499" s="347"/>
      <c r="DP1499" s="2505"/>
    </row>
    <row r="1500" spans="12:120">
      <c r="L1500" s="347">
        <v>167.34</v>
      </c>
      <c r="M1500" s="347" t="s">
        <v>359</v>
      </c>
      <c r="AB1500" s="347">
        <v>228.01</v>
      </c>
      <c r="AC1500" s="347" t="s">
        <v>363</v>
      </c>
      <c r="AD1500" s="1138"/>
      <c r="AP1500" s="347">
        <v>60.02</v>
      </c>
      <c r="AQ1500" s="347" t="s">
        <v>352</v>
      </c>
      <c r="BF1500" s="347">
        <v>146.01</v>
      </c>
      <c r="BG1500" s="347" t="s">
        <v>323</v>
      </c>
      <c r="BH1500" s="1790"/>
      <c r="BN1500" s="237">
        <v>113.01</v>
      </c>
      <c r="BO1500" s="237" t="s">
        <v>337</v>
      </c>
      <c r="BT1500" s="347">
        <v>60.04</v>
      </c>
      <c r="BU1500" s="347" t="s">
        <v>352</v>
      </c>
      <c r="CD1500" s="237">
        <v>79.16</v>
      </c>
      <c r="CE1500" s="237" t="s">
        <v>361</v>
      </c>
      <c r="CJ1500" s="347">
        <v>146.06</v>
      </c>
      <c r="CK1500" s="347" t="s">
        <v>359</v>
      </c>
      <c r="CL1500" s="1789"/>
      <c r="CR1500" s="345"/>
      <c r="CS1500" s="345"/>
      <c r="CX1500" s="347"/>
      <c r="CY1500" s="347"/>
      <c r="DH1500" s="237"/>
      <c r="DI1500" s="237"/>
      <c r="DN1500" s="347"/>
      <c r="DO1500" s="347"/>
      <c r="DP1500" s="2505"/>
    </row>
    <row r="1501" spans="12:120">
      <c r="L1501" s="347">
        <v>168.02</v>
      </c>
      <c r="M1501" s="347" t="s">
        <v>359</v>
      </c>
      <c r="AB1501" s="347">
        <v>228.02</v>
      </c>
      <c r="AC1501" s="347" t="s">
        <v>363</v>
      </c>
      <c r="AD1501" s="1138"/>
      <c r="AP1501" s="347">
        <v>60.03</v>
      </c>
      <c r="AQ1501" s="347" t="s">
        <v>352</v>
      </c>
      <c r="BF1501" s="347">
        <v>146.02000000000001</v>
      </c>
      <c r="BG1501" s="347" t="s">
        <v>352</v>
      </c>
      <c r="BH1501" s="1790"/>
      <c r="BN1501" s="237">
        <v>113.03</v>
      </c>
      <c r="BO1501" s="237" t="s">
        <v>337</v>
      </c>
      <c r="BT1501" s="347">
        <v>61.03</v>
      </c>
      <c r="BU1501" s="347" t="s">
        <v>352</v>
      </c>
      <c r="CD1501" s="237">
        <v>79.17</v>
      </c>
      <c r="CE1501" s="237" t="s">
        <v>361</v>
      </c>
      <c r="CJ1501" s="347">
        <v>147.01</v>
      </c>
      <c r="CK1501" s="347" t="s">
        <v>365</v>
      </c>
      <c r="CL1501" s="1789"/>
      <c r="CR1501" s="345"/>
      <c r="CS1501" s="345"/>
      <c r="CX1501" s="347"/>
      <c r="CY1501" s="347"/>
      <c r="DH1501" s="237"/>
      <c r="DI1501" s="237"/>
      <c r="DN1501" s="347"/>
      <c r="DO1501" s="347"/>
      <c r="DP1501" s="2505"/>
    </row>
    <row r="1502" spans="12:120">
      <c r="L1502" s="347">
        <v>168.03</v>
      </c>
      <c r="M1502" s="347" t="s">
        <v>359</v>
      </c>
      <c r="AB1502" s="347">
        <v>229.01</v>
      </c>
      <c r="AC1502" s="347" t="s">
        <v>363</v>
      </c>
      <c r="AD1502" s="1138"/>
      <c r="AP1502" s="347">
        <v>60.04</v>
      </c>
      <c r="AQ1502" s="347" t="s">
        <v>352</v>
      </c>
      <c r="BF1502" s="347">
        <v>146.03</v>
      </c>
      <c r="BG1502" s="347" t="s">
        <v>323</v>
      </c>
      <c r="BH1502" s="1790"/>
      <c r="BN1502" s="237">
        <v>113.04</v>
      </c>
      <c r="BO1502" s="237" t="s">
        <v>337</v>
      </c>
      <c r="BT1502" s="347">
        <v>61.04</v>
      </c>
      <c r="BU1502" s="347" t="s">
        <v>352</v>
      </c>
      <c r="CD1502" s="237">
        <v>79.180000000000007</v>
      </c>
      <c r="CE1502" s="237" t="s">
        <v>361</v>
      </c>
      <c r="CJ1502" s="347">
        <v>147.02000000000001</v>
      </c>
      <c r="CK1502" s="347" t="s">
        <v>352</v>
      </c>
      <c r="CL1502" s="1789"/>
      <c r="CR1502" s="345"/>
      <c r="CS1502" s="345"/>
      <c r="CX1502" s="347"/>
      <c r="CY1502" s="347"/>
      <c r="DH1502" s="237"/>
      <c r="DI1502" s="237"/>
      <c r="DN1502" s="347"/>
      <c r="DO1502" s="347"/>
      <c r="DP1502" s="2505"/>
    </row>
    <row r="1503" spans="12:120">
      <c r="L1503" s="347">
        <v>168.04</v>
      </c>
      <c r="M1503" s="347" t="s">
        <v>359</v>
      </c>
      <c r="AB1503" s="347">
        <v>232</v>
      </c>
      <c r="AC1503" s="347" t="s">
        <v>357</v>
      </c>
      <c r="AD1503" s="1138"/>
      <c r="AP1503" s="347">
        <v>61.03</v>
      </c>
      <c r="AQ1503" s="347" t="s">
        <v>352</v>
      </c>
      <c r="BF1503" s="347">
        <v>146.06</v>
      </c>
      <c r="BG1503" s="347" t="s">
        <v>359</v>
      </c>
      <c r="BH1503" s="1790"/>
      <c r="BN1503" s="237">
        <v>114.07</v>
      </c>
      <c r="BO1503" s="237" t="s">
        <v>337</v>
      </c>
      <c r="BT1503" s="347">
        <v>61.05</v>
      </c>
      <c r="BU1503" s="347" t="s">
        <v>352</v>
      </c>
      <c r="CD1503" s="237">
        <v>79.19</v>
      </c>
      <c r="CE1503" s="237" t="s">
        <v>361</v>
      </c>
      <c r="CJ1503" s="347">
        <v>147.03</v>
      </c>
      <c r="CK1503" s="347" t="s">
        <v>323</v>
      </c>
      <c r="CL1503" s="1789"/>
      <c r="CR1503" s="345"/>
      <c r="CS1503" s="345"/>
      <c r="CX1503" s="347"/>
      <c r="CY1503" s="347"/>
      <c r="DH1503" s="237"/>
      <c r="DI1503" s="237"/>
      <c r="DN1503" s="347"/>
      <c r="DO1503" s="347"/>
      <c r="DP1503" s="2505"/>
    </row>
    <row r="1504" spans="12:120">
      <c r="L1504" s="347">
        <v>168.07</v>
      </c>
      <c r="M1504" s="347" t="s">
        <v>359</v>
      </c>
      <c r="AB1504" s="347">
        <v>232</v>
      </c>
      <c r="AC1504" s="347" t="s">
        <v>363</v>
      </c>
      <c r="AD1504" s="1138"/>
      <c r="AP1504" s="347">
        <v>61.04</v>
      </c>
      <c r="AQ1504" s="347" t="s">
        <v>352</v>
      </c>
      <c r="BF1504" s="347">
        <v>146.07</v>
      </c>
      <c r="BG1504" s="347" t="s">
        <v>359</v>
      </c>
      <c r="BH1504" s="1790"/>
      <c r="BN1504" s="237">
        <v>114.08</v>
      </c>
      <c r="BO1504" s="237" t="s">
        <v>337</v>
      </c>
      <c r="BT1504" s="347">
        <v>61.06</v>
      </c>
      <c r="BU1504" s="347" t="s">
        <v>352</v>
      </c>
      <c r="CD1504" s="237">
        <v>80</v>
      </c>
      <c r="CE1504" s="237" t="s">
        <v>352</v>
      </c>
      <c r="CJ1504" s="347">
        <v>147.03</v>
      </c>
      <c r="CK1504" s="347" t="s">
        <v>365</v>
      </c>
      <c r="CL1504" s="1789"/>
      <c r="CR1504" s="345"/>
      <c r="CS1504" s="345"/>
      <c r="CX1504" s="347"/>
      <c r="CY1504" s="347"/>
      <c r="DH1504" s="237"/>
      <c r="DI1504" s="237"/>
      <c r="DN1504" s="347"/>
      <c r="DO1504" s="347"/>
      <c r="DP1504" s="2505"/>
    </row>
    <row r="1505" spans="12:120">
      <c r="L1505" s="347">
        <v>170.04</v>
      </c>
      <c r="M1505" s="347" t="s">
        <v>359</v>
      </c>
      <c r="AB1505" s="347">
        <v>233</v>
      </c>
      <c r="AC1505" s="347" t="s">
        <v>363</v>
      </c>
      <c r="AD1505" s="1138"/>
      <c r="AP1505" s="347">
        <v>61.05</v>
      </c>
      <c r="AQ1505" s="347" t="s">
        <v>352</v>
      </c>
      <c r="BF1505" s="347">
        <v>147.01</v>
      </c>
      <c r="BG1505" s="347" t="s">
        <v>365</v>
      </c>
      <c r="BH1505" s="1790"/>
      <c r="BN1505" s="237">
        <v>114.09</v>
      </c>
      <c r="BO1505" s="237" t="s">
        <v>337</v>
      </c>
      <c r="BT1505" s="347">
        <v>62.01</v>
      </c>
      <c r="BU1505" s="347" t="s">
        <v>352</v>
      </c>
      <c r="CD1505" s="237">
        <v>80.010000000000005</v>
      </c>
      <c r="CE1505" s="237" t="s">
        <v>361</v>
      </c>
      <c r="CJ1505" s="347">
        <v>147.04</v>
      </c>
      <c r="CK1505" s="347" t="s">
        <v>365</v>
      </c>
      <c r="CL1505" s="1789"/>
      <c r="CR1505" s="345"/>
      <c r="CS1505" s="345"/>
      <c r="CX1505" s="347"/>
      <c r="CY1505" s="347"/>
      <c r="DH1505" s="237"/>
      <c r="DI1505" s="237"/>
      <c r="DN1505" s="347"/>
      <c r="DO1505" s="347"/>
      <c r="DP1505" s="2505"/>
    </row>
    <row r="1506" spans="12:120">
      <c r="L1506" s="347">
        <v>170.06</v>
      </c>
      <c r="M1506" s="347" t="s">
        <v>359</v>
      </c>
      <c r="AB1506" s="347">
        <v>233.03</v>
      </c>
      <c r="AC1506" s="347" t="s">
        <v>357</v>
      </c>
      <c r="AD1506" s="1138"/>
      <c r="AP1506" s="347">
        <v>61.06</v>
      </c>
      <c r="AQ1506" s="347" t="s">
        <v>352</v>
      </c>
      <c r="BF1506" s="347">
        <v>147.02000000000001</v>
      </c>
      <c r="BG1506" s="347" t="s">
        <v>352</v>
      </c>
      <c r="BH1506" s="1790"/>
      <c r="BN1506" s="237">
        <v>114.1</v>
      </c>
      <c r="BO1506" s="237" t="s">
        <v>337</v>
      </c>
      <c r="BT1506" s="347">
        <v>62.03</v>
      </c>
      <c r="BU1506" s="347" t="s">
        <v>352</v>
      </c>
      <c r="CD1506" s="237">
        <v>80.02</v>
      </c>
      <c r="CE1506" s="237" t="s">
        <v>361</v>
      </c>
      <c r="CJ1506" s="347">
        <v>147.06</v>
      </c>
      <c r="CK1506" s="347" t="s">
        <v>359</v>
      </c>
      <c r="CL1506" s="1789"/>
      <c r="CR1506" s="345"/>
      <c r="CS1506" s="345"/>
      <c r="CX1506" s="347"/>
      <c r="CY1506" s="347"/>
      <c r="DH1506" s="237"/>
      <c r="DI1506" s="237"/>
      <c r="DN1506" s="347"/>
      <c r="DO1506" s="347"/>
      <c r="DP1506" s="2505"/>
    </row>
    <row r="1507" spans="12:120">
      <c r="L1507" s="347">
        <v>170.08</v>
      </c>
      <c r="M1507" s="347" t="s">
        <v>359</v>
      </c>
      <c r="AB1507" s="347">
        <v>233.04</v>
      </c>
      <c r="AC1507" s="347" t="s">
        <v>357</v>
      </c>
      <c r="AD1507" s="1138"/>
      <c r="AP1507" s="347">
        <v>62.03</v>
      </c>
      <c r="AQ1507" s="347" t="s">
        <v>352</v>
      </c>
      <c r="BF1507" s="347">
        <v>147.03</v>
      </c>
      <c r="BG1507" s="347" t="s">
        <v>323</v>
      </c>
      <c r="BH1507" s="1790"/>
      <c r="BN1507" s="237">
        <v>114.11</v>
      </c>
      <c r="BO1507" s="237" t="s">
        <v>337</v>
      </c>
      <c r="BT1507" s="347">
        <v>62.05</v>
      </c>
      <c r="BU1507" s="347" t="s">
        <v>352</v>
      </c>
      <c r="CD1507" s="237">
        <v>81.010000000000005</v>
      </c>
      <c r="CE1507" s="237" t="s">
        <v>352</v>
      </c>
      <c r="CJ1507" s="347">
        <v>148.03</v>
      </c>
      <c r="CK1507" s="347" t="s">
        <v>365</v>
      </c>
      <c r="CL1507" s="1789"/>
      <c r="CR1507" s="345"/>
      <c r="CS1507" s="345"/>
      <c r="CX1507" s="347"/>
      <c r="CY1507" s="347"/>
      <c r="DH1507" s="237"/>
      <c r="DI1507" s="237"/>
      <c r="DN1507" s="347"/>
      <c r="DO1507" s="347"/>
      <c r="DP1507" s="2505"/>
    </row>
    <row r="1508" spans="12:120">
      <c r="L1508" s="347">
        <v>170.12</v>
      </c>
      <c r="M1508" s="347" t="s">
        <v>359</v>
      </c>
      <c r="AB1508" s="347">
        <v>233.05</v>
      </c>
      <c r="AC1508" s="347" t="s">
        <v>357</v>
      </c>
      <c r="AD1508" s="1138"/>
      <c r="AP1508" s="347">
        <v>62.05</v>
      </c>
      <c r="AQ1508" s="347" t="s">
        <v>352</v>
      </c>
      <c r="BF1508" s="347">
        <v>147.03</v>
      </c>
      <c r="BG1508" s="347" t="s">
        <v>365</v>
      </c>
      <c r="BH1508" s="1790"/>
      <c r="BN1508" s="237">
        <v>114.12</v>
      </c>
      <c r="BO1508" s="237" t="s">
        <v>337</v>
      </c>
      <c r="BT1508" s="347">
        <v>62.06</v>
      </c>
      <c r="BU1508" s="347" t="s">
        <v>352</v>
      </c>
      <c r="CD1508" s="237">
        <v>81.010000000000005</v>
      </c>
      <c r="CE1508" s="237" t="s">
        <v>361</v>
      </c>
      <c r="CJ1508" s="347">
        <v>148.04</v>
      </c>
      <c r="CK1508" s="347" t="s">
        <v>365</v>
      </c>
      <c r="CL1508" s="1789"/>
      <c r="CR1508" s="345"/>
      <c r="CS1508" s="345"/>
      <c r="CX1508" s="347"/>
      <c r="CY1508" s="347"/>
      <c r="DH1508" s="237"/>
      <c r="DI1508" s="237"/>
      <c r="DN1508" s="347"/>
      <c r="DO1508" s="347"/>
      <c r="DP1508" s="2505"/>
    </row>
    <row r="1509" spans="12:120">
      <c r="L1509" s="347">
        <v>170.13</v>
      </c>
      <c r="M1509" s="347" t="s">
        <v>359</v>
      </c>
      <c r="AB1509" s="347">
        <v>233.06</v>
      </c>
      <c r="AC1509" s="347" t="s">
        <v>357</v>
      </c>
      <c r="AD1509" s="1138"/>
      <c r="AP1509" s="347">
        <v>62.06</v>
      </c>
      <c r="AQ1509" s="347" t="s">
        <v>352</v>
      </c>
      <c r="BF1509" s="347">
        <v>147.05000000000001</v>
      </c>
      <c r="BG1509" s="347" t="s">
        <v>359</v>
      </c>
      <c r="BH1509" s="1790"/>
      <c r="BN1509" s="237">
        <v>114.13</v>
      </c>
      <c r="BO1509" s="237" t="s">
        <v>337</v>
      </c>
      <c r="BT1509" s="347">
        <v>63.02</v>
      </c>
      <c r="BU1509" s="347" t="s">
        <v>352</v>
      </c>
      <c r="CD1509" s="237">
        <v>81.02</v>
      </c>
      <c r="CE1509" s="237" t="s">
        <v>352</v>
      </c>
      <c r="CJ1509" s="347">
        <v>148.06</v>
      </c>
      <c r="CK1509" s="347" t="s">
        <v>359</v>
      </c>
      <c r="CL1509" s="1789"/>
      <c r="CR1509" s="345"/>
      <c r="CS1509" s="345"/>
      <c r="CX1509" s="347"/>
      <c r="CY1509" s="347"/>
      <c r="DH1509" s="237"/>
      <c r="DI1509" s="237"/>
      <c r="DN1509" s="347"/>
      <c r="DO1509" s="347"/>
      <c r="DP1509" s="2505"/>
    </row>
    <row r="1510" spans="12:120">
      <c r="L1510" s="347">
        <v>170.14</v>
      </c>
      <c r="M1510" s="347" t="s">
        <v>359</v>
      </c>
      <c r="AB1510" s="347">
        <v>233.08</v>
      </c>
      <c r="AC1510" s="347" t="s">
        <v>357</v>
      </c>
      <c r="AD1510" s="1138"/>
      <c r="AP1510" s="347">
        <v>63.02</v>
      </c>
      <c r="AQ1510" s="347" t="s">
        <v>352</v>
      </c>
      <c r="BF1510" s="347">
        <v>147.06</v>
      </c>
      <c r="BG1510" s="347" t="s">
        <v>359</v>
      </c>
      <c r="BH1510" s="1790"/>
      <c r="BN1510" s="237">
        <v>114.14</v>
      </c>
      <c r="BO1510" s="237" t="s">
        <v>337</v>
      </c>
      <c r="BT1510" s="347">
        <v>63.03</v>
      </c>
      <c r="BU1510" s="347" t="s">
        <v>352</v>
      </c>
      <c r="CD1510" s="237">
        <v>81.02</v>
      </c>
      <c r="CE1510" s="237" t="s">
        <v>361</v>
      </c>
      <c r="CJ1510" s="347">
        <v>148.07</v>
      </c>
      <c r="CK1510" s="347" t="s">
        <v>359</v>
      </c>
      <c r="CL1510" s="1789"/>
      <c r="CR1510" s="345"/>
      <c r="CS1510" s="345"/>
      <c r="CX1510" s="347"/>
      <c r="CY1510" s="347"/>
      <c r="DH1510" s="237"/>
      <c r="DI1510" s="237"/>
      <c r="DN1510" s="347"/>
      <c r="DO1510" s="347"/>
      <c r="DP1510" s="2505"/>
    </row>
    <row r="1511" spans="12:120">
      <c r="L1511" s="347">
        <v>170.15</v>
      </c>
      <c r="M1511" s="347" t="s">
        <v>359</v>
      </c>
      <c r="AB1511" s="347">
        <v>235</v>
      </c>
      <c r="AC1511" s="347" t="s">
        <v>363</v>
      </c>
      <c r="AD1511" s="1138"/>
      <c r="AP1511" s="347">
        <v>63.03</v>
      </c>
      <c r="AQ1511" s="347" t="s">
        <v>352</v>
      </c>
      <c r="BF1511" s="347">
        <v>148.02000000000001</v>
      </c>
      <c r="BG1511" s="347" t="s">
        <v>365</v>
      </c>
      <c r="BH1511" s="1790"/>
      <c r="BN1511" s="237">
        <v>114.15</v>
      </c>
      <c r="BO1511" s="237" t="s">
        <v>337</v>
      </c>
      <c r="BT1511" s="347">
        <v>63.04</v>
      </c>
      <c r="BU1511" s="347" t="s">
        <v>352</v>
      </c>
      <c r="CD1511" s="237">
        <v>82.01</v>
      </c>
      <c r="CE1511" s="237" t="s">
        <v>361</v>
      </c>
      <c r="CJ1511" s="347">
        <v>148.09</v>
      </c>
      <c r="CK1511" s="347" t="s">
        <v>359</v>
      </c>
      <c r="CL1511" s="1789"/>
      <c r="CR1511" s="345"/>
      <c r="CS1511" s="345"/>
      <c r="CX1511" s="347"/>
      <c r="CY1511" s="347"/>
      <c r="DH1511" s="237"/>
      <c r="DI1511" s="237"/>
      <c r="DN1511" s="347"/>
      <c r="DO1511" s="347"/>
      <c r="DP1511" s="2505"/>
    </row>
    <row r="1512" spans="12:120">
      <c r="L1512" s="347">
        <v>170.16</v>
      </c>
      <c r="M1512" s="347" t="s">
        <v>359</v>
      </c>
      <c r="AB1512" s="347">
        <v>236</v>
      </c>
      <c r="AC1512" s="347" t="s">
        <v>363</v>
      </c>
      <c r="AD1512" s="1138"/>
      <c r="AP1512" s="347">
        <v>63.04</v>
      </c>
      <c r="AQ1512" s="347" t="s">
        <v>352</v>
      </c>
      <c r="BF1512" s="347">
        <v>148.03</v>
      </c>
      <c r="BG1512" s="347" t="s">
        <v>365</v>
      </c>
      <c r="BH1512" s="1790"/>
      <c r="BN1512" s="237">
        <v>114.16</v>
      </c>
      <c r="BO1512" s="237" t="s">
        <v>337</v>
      </c>
      <c r="BT1512" s="347">
        <v>65.010000000000005</v>
      </c>
      <c r="BU1512" s="347" t="s">
        <v>352</v>
      </c>
      <c r="CD1512" s="237">
        <v>82.02</v>
      </c>
      <c r="CE1512" s="237" t="s">
        <v>352</v>
      </c>
      <c r="CJ1512" s="347">
        <v>148.1</v>
      </c>
      <c r="CK1512" s="347" t="s">
        <v>359</v>
      </c>
      <c r="CL1512" s="1789"/>
      <c r="CR1512" s="345"/>
      <c r="CS1512" s="345"/>
      <c r="CX1512" s="347"/>
      <c r="CY1512" s="347"/>
      <c r="DH1512" s="237"/>
      <c r="DI1512" s="237"/>
      <c r="DN1512" s="347"/>
      <c r="DO1512" s="347"/>
      <c r="DP1512" s="2505"/>
    </row>
    <row r="1513" spans="12:120">
      <c r="L1513" s="347">
        <v>170.17</v>
      </c>
      <c r="M1513" s="347" t="s">
        <v>359</v>
      </c>
      <c r="AB1513" s="347">
        <v>237</v>
      </c>
      <c r="AC1513" s="347" t="s">
        <v>363</v>
      </c>
      <c r="AD1513" s="1138"/>
      <c r="AP1513" s="347">
        <v>64.02</v>
      </c>
      <c r="AQ1513" s="347" t="s">
        <v>352</v>
      </c>
      <c r="BF1513" s="347">
        <v>148.04</v>
      </c>
      <c r="BG1513" s="347" t="s">
        <v>359</v>
      </c>
      <c r="BH1513" s="1790"/>
      <c r="BN1513" s="237">
        <v>114.17</v>
      </c>
      <c r="BO1513" s="237" t="s">
        <v>337</v>
      </c>
      <c r="BT1513" s="347">
        <v>65.03</v>
      </c>
      <c r="BU1513" s="347" t="s">
        <v>352</v>
      </c>
      <c r="CD1513" s="237">
        <v>82.02</v>
      </c>
      <c r="CE1513" s="237" t="s">
        <v>361</v>
      </c>
      <c r="CJ1513" s="347">
        <v>148.11000000000001</v>
      </c>
      <c r="CK1513" s="347" t="s">
        <v>359</v>
      </c>
      <c r="CL1513" s="1789"/>
      <c r="CR1513" s="345"/>
      <c r="CS1513" s="345"/>
      <c r="CX1513" s="347"/>
      <c r="CY1513" s="347"/>
      <c r="DH1513" s="237"/>
      <c r="DI1513" s="237"/>
      <c r="DN1513" s="347"/>
      <c r="DO1513" s="347"/>
      <c r="DP1513" s="2505"/>
    </row>
    <row r="1514" spans="12:120">
      <c r="L1514" s="347">
        <v>171.03</v>
      </c>
      <c r="M1514" s="347" t="s">
        <v>359</v>
      </c>
      <c r="AB1514" s="347">
        <v>238</v>
      </c>
      <c r="AC1514" s="347" t="s">
        <v>363</v>
      </c>
      <c r="AD1514" s="1138"/>
      <c r="AP1514" s="347">
        <v>65.010000000000005</v>
      </c>
      <c r="AQ1514" s="347" t="s">
        <v>352</v>
      </c>
      <c r="BF1514" s="347">
        <v>148.04</v>
      </c>
      <c r="BG1514" s="347" t="s">
        <v>365</v>
      </c>
      <c r="BH1514" s="1790"/>
      <c r="BN1514" s="237">
        <v>114.18</v>
      </c>
      <c r="BO1514" s="237" t="s">
        <v>337</v>
      </c>
      <c r="BT1514" s="347">
        <v>65.040000000000006</v>
      </c>
      <c r="BU1514" s="347" t="s">
        <v>352</v>
      </c>
      <c r="CD1514" s="237">
        <v>82.03</v>
      </c>
      <c r="CE1514" s="237" t="s">
        <v>361</v>
      </c>
      <c r="CJ1514" s="347">
        <v>148.12</v>
      </c>
      <c r="CK1514" s="347" t="s">
        <v>359</v>
      </c>
      <c r="CL1514" s="1789"/>
      <c r="CR1514" s="345"/>
      <c r="CS1514" s="345"/>
      <c r="CX1514" s="347"/>
      <c r="CY1514" s="347"/>
      <c r="DH1514" s="237"/>
      <c r="DI1514" s="237"/>
      <c r="DN1514" s="347"/>
      <c r="DO1514" s="347"/>
      <c r="DP1514" s="2505"/>
    </row>
    <row r="1515" spans="12:120">
      <c r="L1515" s="347">
        <v>171.04</v>
      </c>
      <c r="M1515" s="347" t="s">
        <v>359</v>
      </c>
      <c r="AB1515" s="347">
        <v>239</v>
      </c>
      <c r="AC1515" s="347" t="s">
        <v>363</v>
      </c>
      <c r="AD1515" s="1138"/>
      <c r="AP1515" s="347">
        <v>65.03</v>
      </c>
      <c r="AQ1515" s="347" t="s">
        <v>352</v>
      </c>
      <c r="BF1515" s="347">
        <v>148.06</v>
      </c>
      <c r="BG1515" s="347" t="s">
        <v>359</v>
      </c>
      <c r="BH1515" s="1790"/>
      <c r="BN1515" s="237">
        <v>115.04</v>
      </c>
      <c r="BO1515" s="237" t="s">
        <v>337</v>
      </c>
      <c r="BT1515" s="347">
        <v>66.03</v>
      </c>
      <c r="BU1515" s="347" t="s">
        <v>352</v>
      </c>
      <c r="CD1515" s="237">
        <v>82.05</v>
      </c>
      <c r="CE1515" s="237" t="s">
        <v>352</v>
      </c>
      <c r="CJ1515" s="347">
        <v>148.13</v>
      </c>
      <c r="CK1515" s="347" t="s">
        <v>359</v>
      </c>
      <c r="CL1515" s="1789"/>
      <c r="CR1515" s="345"/>
      <c r="CS1515" s="345"/>
      <c r="CX1515" s="347"/>
      <c r="CY1515" s="347"/>
      <c r="DH1515" s="237"/>
      <c r="DI1515" s="237"/>
      <c r="DN1515" s="347"/>
      <c r="DO1515" s="347"/>
      <c r="DP1515" s="2505"/>
    </row>
    <row r="1516" spans="12:120">
      <c r="L1516" s="347">
        <v>171.05</v>
      </c>
      <c r="M1516" s="347" t="s">
        <v>359</v>
      </c>
      <c r="AB1516" s="347">
        <v>240.01</v>
      </c>
      <c r="AC1516" s="347" t="s">
        <v>363</v>
      </c>
      <c r="AD1516" s="1138"/>
      <c r="AP1516" s="347">
        <v>65.040000000000006</v>
      </c>
      <c r="AQ1516" s="347" t="s">
        <v>352</v>
      </c>
      <c r="BF1516" s="347">
        <v>148.07</v>
      </c>
      <c r="BG1516" s="347" t="s">
        <v>359</v>
      </c>
      <c r="BH1516" s="1790"/>
      <c r="BN1516" s="237">
        <v>115.06</v>
      </c>
      <c r="BO1516" s="237" t="s">
        <v>337</v>
      </c>
      <c r="BT1516" s="347">
        <v>66.040000000000006</v>
      </c>
      <c r="BU1516" s="347" t="s">
        <v>352</v>
      </c>
      <c r="CD1516" s="237">
        <v>82.06</v>
      </c>
      <c r="CE1516" s="237" t="s">
        <v>352</v>
      </c>
      <c r="CJ1516" s="347">
        <v>148.13999999999999</v>
      </c>
      <c r="CK1516" s="347" t="s">
        <v>359</v>
      </c>
      <c r="CL1516" s="1789"/>
      <c r="CR1516" s="345"/>
      <c r="CS1516" s="345"/>
      <c r="CX1516" s="347"/>
      <c r="CY1516" s="347"/>
      <c r="DH1516" s="237"/>
      <c r="DI1516" s="237"/>
      <c r="DN1516" s="347"/>
      <c r="DO1516" s="347"/>
      <c r="DP1516" s="2505"/>
    </row>
    <row r="1517" spans="12:120">
      <c r="L1517" s="347">
        <v>171.07</v>
      </c>
      <c r="M1517" s="347" t="s">
        <v>359</v>
      </c>
      <c r="AB1517" s="347">
        <v>240.02</v>
      </c>
      <c r="AC1517" s="347" t="s">
        <v>363</v>
      </c>
      <c r="AD1517" s="1138"/>
      <c r="AP1517" s="347">
        <v>66.05</v>
      </c>
      <c r="AQ1517" s="347" t="s">
        <v>352</v>
      </c>
      <c r="BF1517" s="347">
        <v>148.09</v>
      </c>
      <c r="BG1517" s="347" t="s">
        <v>359</v>
      </c>
      <c r="BH1517" s="1790"/>
      <c r="BN1517" s="237">
        <v>115.09</v>
      </c>
      <c r="BO1517" s="237" t="s">
        <v>337</v>
      </c>
      <c r="BT1517" s="347">
        <v>66.05</v>
      </c>
      <c r="BU1517" s="347" t="s">
        <v>352</v>
      </c>
      <c r="CD1517" s="237">
        <v>82.07</v>
      </c>
      <c r="CE1517" s="237" t="s">
        <v>352</v>
      </c>
      <c r="CJ1517" s="347">
        <v>148.15</v>
      </c>
      <c r="CK1517" s="347" t="s">
        <v>359</v>
      </c>
      <c r="CL1517" s="1789"/>
      <c r="CR1517" s="345"/>
      <c r="CS1517" s="345"/>
      <c r="CX1517" s="347"/>
      <c r="CY1517" s="347"/>
      <c r="DH1517" s="237"/>
      <c r="DI1517" s="237"/>
      <c r="DN1517" s="347"/>
      <c r="DO1517" s="347"/>
      <c r="DP1517" s="2505"/>
    </row>
    <row r="1518" spans="12:120">
      <c r="L1518" s="347">
        <v>171.08</v>
      </c>
      <c r="M1518" s="347" t="s">
        <v>359</v>
      </c>
      <c r="AB1518" s="347">
        <v>240.04</v>
      </c>
      <c r="AC1518" s="347" t="s">
        <v>363</v>
      </c>
      <c r="AD1518" s="1138"/>
      <c r="AP1518" s="347">
        <v>66.069999999999993</v>
      </c>
      <c r="AQ1518" s="347" t="s">
        <v>352</v>
      </c>
      <c r="BF1518" s="347">
        <v>148.1</v>
      </c>
      <c r="BG1518" s="347" t="s">
        <v>359</v>
      </c>
      <c r="BH1518" s="1790"/>
      <c r="BN1518" s="237">
        <v>115.1</v>
      </c>
      <c r="BO1518" s="237" t="s">
        <v>337</v>
      </c>
      <c r="BT1518" s="347">
        <v>66.069999999999993</v>
      </c>
      <c r="BU1518" s="347" t="s">
        <v>352</v>
      </c>
      <c r="CD1518" s="237">
        <v>82.08</v>
      </c>
      <c r="CE1518" s="237" t="s">
        <v>352</v>
      </c>
      <c r="CJ1518" s="347">
        <v>149</v>
      </c>
      <c r="CK1518" s="347" t="s">
        <v>352</v>
      </c>
      <c r="CL1518" s="1789"/>
      <c r="CR1518" s="345"/>
      <c r="CS1518" s="345"/>
      <c r="CX1518" s="347"/>
      <c r="CY1518" s="347"/>
      <c r="DH1518" s="237"/>
      <c r="DI1518" s="237"/>
      <c r="DN1518" s="347"/>
      <c r="DO1518" s="347"/>
      <c r="DP1518" s="2505"/>
    </row>
    <row r="1519" spans="12:120">
      <c r="L1519" s="347">
        <v>171.09</v>
      </c>
      <c r="M1519" s="347" t="s">
        <v>359</v>
      </c>
      <c r="AB1519" s="347">
        <v>240.05</v>
      </c>
      <c r="AC1519" s="347" t="s">
        <v>363</v>
      </c>
      <c r="AD1519" s="1138"/>
      <c r="AP1519" s="347">
        <v>66.08</v>
      </c>
      <c r="AQ1519" s="347" t="s">
        <v>352</v>
      </c>
      <c r="BF1519" s="347">
        <v>148.11000000000001</v>
      </c>
      <c r="BG1519" s="347" t="s">
        <v>359</v>
      </c>
      <c r="BH1519" s="1790"/>
      <c r="BN1519" s="237">
        <v>115.12</v>
      </c>
      <c r="BO1519" s="237" t="s">
        <v>337</v>
      </c>
      <c r="BT1519" s="347">
        <v>66.08</v>
      </c>
      <c r="BU1519" s="347" t="s">
        <v>352</v>
      </c>
      <c r="CD1519" s="237">
        <v>82.09</v>
      </c>
      <c r="CE1519" s="237" t="s">
        <v>352</v>
      </c>
      <c r="CJ1519" s="347">
        <v>149.01</v>
      </c>
      <c r="CK1519" s="347" t="s">
        <v>323</v>
      </c>
      <c r="CL1519" s="1789"/>
      <c r="CR1519" s="345"/>
      <c r="CS1519" s="345"/>
      <c r="CX1519" s="347"/>
      <c r="CY1519" s="347"/>
      <c r="DH1519" s="237"/>
      <c r="DI1519" s="237"/>
      <c r="DN1519" s="347"/>
      <c r="DO1519" s="347"/>
      <c r="DP1519" s="2505"/>
    </row>
    <row r="1520" spans="12:120">
      <c r="L1520" s="347">
        <v>172</v>
      </c>
      <c r="M1520" s="347" t="s">
        <v>359</v>
      </c>
      <c r="AB1520" s="347">
        <v>241</v>
      </c>
      <c r="AC1520" s="347" t="s">
        <v>363</v>
      </c>
      <c r="AD1520" s="1138"/>
      <c r="AP1520" s="347">
        <v>67.05</v>
      </c>
      <c r="AQ1520" s="347" t="s">
        <v>352</v>
      </c>
      <c r="BF1520" s="347">
        <v>148.12</v>
      </c>
      <c r="BG1520" s="347" t="s">
        <v>359</v>
      </c>
      <c r="BH1520" s="1790"/>
      <c r="BN1520" s="237">
        <v>115.14</v>
      </c>
      <c r="BO1520" s="237" t="s">
        <v>337</v>
      </c>
      <c r="BT1520" s="347">
        <v>67.05</v>
      </c>
      <c r="BU1520" s="347" t="s">
        <v>352</v>
      </c>
      <c r="CD1520" s="237">
        <v>83.01</v>
      </c>
      <c r="CE1520" s="237" t="s">
        <v>361</v>
      </c>
      <c r="CJ1520" s="347">
        <v>149.04</v>
      </c>
      <c r="CK1520" s="347" t="s">
        <v>365</v>
      </c>
      <c r="CL1520" s="1789"/>
      <c r="CR1520" s="345"/>
      <c r="CS1520" s="345"/>
      <c r="CX1520" s="347"/>
      <c r="CY1520" s="347"/>
      <c r="DH1520" s="237"/>
      <c r="DI1520" s="237"/>
      <c r="DN1520" s="347"/>
      <c r="DO1520" s="347"/>
      <c r="DP1520" s="2505"/>
    </row>
    <row r="1521" spans="12:120">
      <c r="L1521" s="347">
        <v>174</v>
      </c>
      <c r="M1521" s="347" t="s">
        <v>359</v>
      </c>
      <c r="AB1521" s="347">
        <v>243.01</v>
      </c>
      <c r="AC1521" s="347" t="s">
        <v>363</v>
      </c>
      <c r="AD1521" s="1138"/>
      <c r="AP1521" s="347">
        <v>67.06</v>
      </c>
      <c r="AQ1521" s="347" t="s">
        <v>352</v>
      </c>
      <c r="BF1521" s="347">
        <v>148.13</v>
      </c>
      <c r="BG1521" s="347" t="s">
        <v>359</v>
      </c>
      <c r="BH1521" s="1790"/>
      <c r="BN1521" s="237">
        <v>115.15</v>
      </c>
      <c r="BO1521" s="237" t="s">
        <v>337</v>
      </c>
      <c r="BT1521" s="347">
        <v>67.06</v>
      </c>
      <c r="BU1521" s="347" t="s">
        <v>352</v>
      </c>
      <c r="CD1521" s="237">
        <v>83.02</v>
      </c>
      <c r="CE1521" s="237" t="s">
        <v>361</v>
      </c>
      <c r="CJ1521" s="347">
        <v>149.06</v>
      </c>
      <c r="CK1521" s="347" t="s">
        <v>359</v>
      </c>
      <c r="CL1521" s="1789"/>
      <c r="CR1521" s="345"/>
      <c r="CS1521" s="345"/>
      <c r="CX1521" s="347"/>
      <c r="CY1521" s="347"/>
      <c r="DH1521" s="237"/>
      <c r="DI1521" s="237"/>
      <c r="DN1521" s="347"/>
      <c r="DO1521" s="347"/>
      <c r="DP1521" s="2505"/>
    </row>
    <row r="1522" spans="12:120">
      <c r="L1522" s="347">
        <v>175.01</v>
      </c>
      <c r="M1522" s="347" t="s">
        <v>359</v>
      </c>
      <c r="AB1522" s="347">
        <v>243.02</v>
      </c>
      <c r="AC1522" s="347" t="s">
        <v>363</v>
      </c>
      <c r="AD1522" s="1138"/>
      <c r="AP1522" s="347">
        <v>67.069999999999993</v>
      </c>
      <c r="AQ1522" s="347" t="s">
        <v>352</v>
      </c>
      <c r="BF1522" s="347">
        <v>148.13999999999999</v>
      </c>
      <c r="BG1522" s="347" t="s">
        <v>359</v>
      </c>
      <c r="BH1522" s="1790"/>
      <c r="BN1522" s="237">
        <v>115.16</v>
      </c>
      <c r="BO1522" s="237" t="s">
        <v>337</v>
      </c>
      <c r="BT1522" s="347">
        <v>67.069999999999993</v>
      </c>
      <c r="BU1522" s="347" t="s">
        <v>352</v>
      </c>
      <c r="CD1522" s="237">
        <v>83.05</v>
      </c>
      <c r="CE1522" s="237" t="s">
        <v>352</v>
      </c>
      <c r="CJ1522" s="347">
        <v>149.06</v>
      </c>
      <c r="CK1522" s="347" t="s">
        <v>365</v>
      </c>
      <c r="CL1522" s="1789"/>
      <c r="CR1522" s="345"/>
      <c r="CS1522" s="345"/>
      <c r="CX1522" s="347"/>
      <c r="CY1522" s="347"/>
      <c r="DH1522" s="237"/>
      <c r="DI1522" s="237"/>
      <c r="DN1522" s="347"/>
      <c r="DO1522" s="347"/>
      <c r="DP1522" s="2505"/>
    </row>
    <row r="1523" spans="12:120">
      <c r="L1523" s="347">
        <v>177.02</v>
      </c>
      <c r="M1523" s="347" t="s">
        <v>359</v>
      </c>
      <c r="AB1523" s="347">
        <v>244.06</v>
      </c>
      <c r="AC1523" s="347" t="s">
        <v>363</v>
      </c>
      <c r="AD1523" s="1138"/>
      <c r="AP1523" s="347">
        <v>67.09</v>
      </c>
      <c r="AQ1523" s="347" t="s">
        <v>352</v>
      </c>
      <c r="BF1523" s="347">
        <v>148.15</v>
      </c>
      <c r="BG1523" s="347" t="s">
        <v>359</v>
      </c>
      <c r="BH1523" s="1790"/>
      <c r="BN1523" s="237">
        <v>115.18</v>
      </c>
      <c r="BO1523" s="237" t="s">
        <v>337</v>
      </c>
      <c r="BT1523" s="347">
        <v>67.09</v>
      </c>
      <c r="BU1523" s="347" t="s">
        <v>352</v>
      </c>
      <c r="CD1523" s="237">
        <v>83.08</v>
      </c>
      <c r="CE1523" s="237" t="s">
        <v>352</v>
      </c>
      <c r="CJ1523" s="347">
        <v>150.01</v>
      </c>
      <c r="CK1523" s="347" t="s">
        <v>352</v>
      </c>
      <c r="CL1523" s="1789"/>
      <c r="CR1523" s="345"/>
      <c r="CS1523" s="345"/>
      <c r="CX1523" s="347"/>
      <c r="CY1523" s="347"/>
      <c r="DH1523" s="237"/>
      <c r="DI1523" s="237"/>
      <c r="DN1523" s="347"/>
      <c r="DO1523" s="347"/>
      <c r="DP1523" s="2505"/>
    </row>
    <row r="1524" spans="12:120">
      <c r="L1524" s="347">
        <v>178.02</v>
      </c>
      <c r="M1524" s="347" t="s">
        <v>359</v>
      </c>
      <c r="AB1524" s="347">
        <v>244.09</v>
      </c>
      <c r="AC1524" s="347" t="s">
        <v>363</v>
      </c>
      <c r="AD1524" s="1138"/>
      <c r="AP1524" s="347">
        <v>67.13</v>
      </c>
      <c r="AQ1524" s="347" t="s">
        <v>352</v>
      </c>
      <c r="BF1524" s="347">
        <v>149</v>
      </c>
      <c r="BG1524" s="347" t="s">
        <v>352</v>
      </c>
      <c r="BH1524" s="1790"/>
      <c r="BN1524" s="237">
        <v>115.19</v>
      </c>
      <c r="BO1524" s="237" t="s">
        <v>337</v>
      </c>
      <c r="BT1524" s="347">
        <v>67.13</v>
      </c>
      <c r="BU1524" s="347" t="s">
        <v>352</v>
      </c>
      <c r="CD1524" s="237">
        <v>83.09</v>
      </c>
      <c r="CE1524" s="237" t="s">
        <v>352</v>
      </c>
      <c r="CJ1524" s="347">
        <v>150.02000000000001</v>
      </c>
      <c r="CK1524" s="347" t="s">
        <v>323</v>
      </c>
      <c r="CL1524" s="1789"/>
      <c r="CR1524" s="345"/>
      <c r="CS1524" s="345"/>
      <c r="CX1524" s="347"/>
      <c r="CY1524" s="347"/>
      <c r="DH1524" s="237"/>
      <c r="DI1524" s="237"/>
      <c r="DN1524" s="347"/>
      <c r="DO1524" s="347"/>
      <c r="DP1524" s="2505"/>
    </row>
    <row r="1525" spans="12:120">
      <c r="L1525" s="347">
        <v>178.04</v>
      </c>
      <c r="M1525" s="347" t="s">
        <v>359</v>
      </c>
      <c r="AB1525" s="347">
        <v>244.11</v>
      </c>
      <c r="AC1525" s="347" t="s">
        <v>363</v>
      </c>
      <c r="AD1525" s="1138"/>
      <c r="AP1525" s="347">
        <v>67.14</v>
      </c>
      <c r="AQ1525" s="347" t="s">
        <v>352</v>
      </c>
      <c r="BF1525" s="347">
        <v>149.04</v>
      </c>
      <c r="BG1525" s="347" t="s">
        <v>365</v>
      </c>
      <c r="BH1525" s="1790"/>
      <c r="BN1525" s="237">
        <v>115.2</v>
      </c>
      <c r="BO1525" s="237" t="s">
        <v>337</v>
      </c>
      <c r="BT1525" s="347">
        <v>67.14</v>
      </c>
      <c r="BU1525" s="347" t="s">
        <v>352</v>
      </c>
      <c r="CD1525" s="237">
        <v>83.1</v>
      </c>
      <c r="CE1525" s="237" t="s">
        <v>352</v>
      </c>
      <c r="CJ1525" s="347">
        <v>150.03</v>
      </c>
      <c r="CK1525" s="347" t="s">
        <v>359</v>
      </c>
      <c r="CL1525" s="1789"/>
      <c r="CR1525" s="345"/>
      <c r="CS1525" s="345"/>
      <c r="CX1525" s="347"/>
      <c r="CY1525" s="347"/>
      <c r="DH1525" s="237"/>
      <c r="DI1525" s="237"/>
      <c r="DN1525" s="347"/>
      <c r="DO1525" s="347"/>
      <c r="DP1525" s="2505"/>
    </row>
    <row r="1526" spans="12:120">
      <c r="L1526" s="347">
        <v>178.05</v>
      </c>
      <c r="M1526" s="347" t="s">
        <v>359</v>
      </c>
      <c r="AB1526" s="347">
        <v>244.12</v>
      </c>
      <c r="AC1526" s="347" t="s">
        <v>363</v>
      </c>
      <c r="AD1526" s="1138"/>
      <c r="AP1526" s="347">
        <v>67.150000000000006</v>
      </c>
      <c r="AQ1526" s="347" t="s">
        <v>352</v>
      </c>
      <c r="BF1526" s="347">
        <v>149.06</v>
      </c>
      <c r="BG1526" s="347" t="s">
        <v>365</v>
      </c>
      <c r="BH1526" s="1790"/>
      <c r="BN1526" s="237">
        <v>115.21</v>
      </c>
      <c r="BO1526" s="237" t="s">
        <v>337</v>
      </c>
      <c r="BT1526" s="347">
        <v>67.150000000000006</v>
      </c>
      <c r="BU1526" s="347" t="s">
        <v>352</v>
      </c>
      <c r="CD1526" s="237">
        <v>83.11</v>
      </c>
      <c r="CE1526" s="237" t="s">
        <v>352</v>
      </c>
      <c r="CJ1526" s="347">
        <v>150.05000000000001</v>
      </c>
      <c r="CK1526" s="347" t="s">
        <v>359</v>
      </c>
      <c r="CL1526" s="1789"/>
      <c r="CR1526" s="345"/>
      <c r="CS1526" s="345"/>
      <c r="CX1526" s="347"/>
      <c r="CY1526" s="347"/>
      <c r="DH1526" s="237"/>
      <c r="DI1526" s="237"/>
      <c r="DN1526" s="347"/>
      <c r="DO1526" s="347"/>
      <c r="DP1526" s="2505"/>
    </row>
    <row r="1527" spans="12:120">
      <c r="L1527" s="347">
        <v>178.06</v>
      </c>
      <c r="M1527" s="347" t="s">
        <v>359</v>
      </c>
      <c r="AB1527" s="347">
        <v>245.05</v>
      </c>
      <c r="AC1527" s="347" t="s">
        <v>363</v>
      </c>
      <c r="AD1527" s="1138"/>
      <c r="AP1527" s="347">
        <v>67.17</v>
      </c>
      <c r="AQ1527" s="347" t="s">
        <v>352</v>
      </c>
      <c r="BF1527" s="347">
        <v>150.01</v>
      </c>
      <c r="BG1527" s="347" t="s">
        <v>352</v>
      </c>
      <c r="BH1527" s="1790"/>
      <c r="BN1527" s="237">
        <v>115.22</v>
      </c>
      <c r="BO1527" s="237" t="s">
        <v>337</v>
      </c>
      <c r="BT1527" s="347">
        <v>67.17</v>
      </c>
      <c r="BU1527" s="347" t="s">
        <v>352</v>
      </c>
      <c r="CD1527" s="237">
        <v>83.12</v>
      </c>
      <c r="CE1527" s="237" t="s">
        <v>352</v>
      </c>
      <c r="CJ1527" s="347">
        <v>150.06</v>
      </c>
      <c r="CK1527" s="347" t="s">
        <v>359</v>
      </c>
      <c r="CL1527" s="1789"/>
      <c r="CR1527" s="345"/>
      <c r="CS1527" s="345"/>
      <c r="CX1527" s="347"/>
      <c r="CY1527" s="347"/>
      <c r="DH1527" s="237"/>
      <c r="DI1527" s="237"/>
      <c r="DN1527" s="347"/>
      <c r="DO1527" s="347"/>
      <c r="DP1527" s="2505"/>
    </row>
    <row r="1528" spans="12:120">
      <c r="L1528" s="347">
        <v>178.08</v>
      </c>
      <c r="M1528" s="347" t="s">
        <v>359</v>
      </c>
      <c r="AB1528" s="347">
        <v>245.07</v>
      </c>
      <c r="AC1528" s="347" t="s">
        <v>363</v>
      </c>
      <c r="AD1528" s="1138"/>
      <c r="AP1528" s="347">
        <v>67.2</v>
      </c>
      <c r="AQ1528" s="347" t="s">
        <v>352</v>
      </c>
      <c r="BF1528" s="347">
        <v>150.02000000000001</v>
      </c>
      <c r="BG1528" s="347" t="s">
        <v>323</v>
      </c>
      <c r="BH1528" s="1790"/>
      <c r="BN1528" s="237">
        <v>115.23</v>
      </c>
      <c r="BO1528" s="237" t="s">
        <v>337</v>
      </c>
      <c r="BT1528" s="347">
        <v>67.180000000000007</v>
      </c>
      <c r="BU1528" s="347" t="s">
        <v>352</v>
      </c>
      <c r="CD1528" s="237">
        <v>83.13</v>
      </c>
      <c r="CE1528" s="237" t="s">
        <v>352</v>
      </c>
      <c r="CJ1528" s="347">
        <v>151.01</v>
      </c>
      <c r="CK1528" s="347" t="s">
        <v>352</v>
      </c>
      <c r="CL1528" s="1789"/>
      <c r="CR1528" s="345"/>
      <c r="CS1528" s="345"/>
      <c r="CX1528" s="347"/>
      <c r="CY1528" s="347"/>
      <c r="DH1528" s="237"/>
      <c r="DI1528" s="237"/>
      <c r="DN1528" s="347"/>
      <c r="DO1528" s="347"/>
      <c r="DP1528" s="2505"/>
    </row>
    <row r="1529" spans="12:120">
      <c r="L1529" s="347">
        <v>179.01</v>
      </c>
      <c r="M1529" s="347" t="s">
        <v>359</v>
      </c>
      <c r="AB1529" s="347">
        <v>245.08</v>
      </c>
      <c r="AC1529" s="347" t="s">
        <v>363</v>
      </c>
      <c r="AD1529" s="1138"/>
      <c r="AP1529" s="347">
        <v>67.209999999999994</v>
      </c>
      <c r="AQ1529" s="347" t="s">
        <v>352</v>
      </c>
      <c r="BF1529" s="347">
        <v>150.02000000000001</v>
      </c>
      <c r="BG1529" s="347" t="s">
        <v>359</v>
      </c>
      <c r="BH1529" s="1790"/>
      <c r="BN1529" s="237">
        <v>115.24</v>
      </c>
      <c r="BO1529" s="237" t="s">
        <v>337</v>
      </c>
      <c r="BT1529" s="347">
        <v>67.19</v>
      </c>
      <c r="BU1529" s="347" t="s">
        <v>352</v>
      </c>
      <c r="CD1529" s="237">
        <v>83.14</v>
      </c>
      <c r="CE1529" s="237" t="s">
        <v>352</v>
      </c>
      <c r="CJ1529" s="347">
        <v>151.01</v>
      </c>
      <c r="CK1529" s="347" t="s">
        <v>365</v>
      </c>
      <c r="CL1529" s="1789"/>
      <c r="CR1529" s="345"/>
      <c r="CS1529" s="345"/>
      <c r="CX1529" s="347"/>
      <c r="CY1529" s="347"/>
      <c r="DH1529" s="237"/>
      <c r="DI1529" s="237"/>
      <c r="DN1529" s="347"/>
      <c r="DO1529" s="347"/>
      <c r="DP1529" s="2505"/>
    </row>
    <row r="1530" spans="12:120">
      <c r="L1530" s="347">
        <v>181</v>
      </c>
      <c r="M1530" s="347" t="s">
        <v>359</v>
      </c>
      <c r="AB1530" s="347">
        <v>245.09</v>
      </c>
      <c r="AC1530" s="347" t="s">
        <v>363</v>
      </c>
      <c r="AD1530" s="1138"/>
      <c r="AP1530" s="347">
        <v>67.22</v>
      </c>
      <c r="AQ1530" s="347" t="s">
        <v>352</v>
      </c>
      <c r="BF1530" s="347">
        <v>150.05000000000001</v>
      </c>
      <c r="BG1530" s="347" t="s">
        <v>359</v>
      </c>
      <c r="BH1530" s="1790"/>
      <c r="BN1530" s="237">
        <v>115.25</v>
      </c>
      <c r="BO1530" s="237" t="s">
        <v>337</v>
      </c>
      <c r="BT1530" s="347">
        <v>67.2</v>
      </c>
      <c r="BU1530" s="347" t="s">
        <v>352</v>
      </c>
      <c r="CD1530" s="237">
        <v>83.15</v>
      </c>
      <c r="CE1530" s="237" t="s">
        <v>352</v>
      </c>
      <c r="CJ1530" s="347">
        <v>151.02000000000001</v>
      </c>
      <c r="CK1530" s="347" t="s">
        <v>352</v>
      </c>
      <c r="CL1530" s="1789"/>
      <c r="CR1530" s="345"/>
      <c r="CS1530" s="345"/>
      <c r="CX1530" s="347"/>
      <c r="CY1530" s="347"/>
      <c r="DH1530" s="237"/>
      <c r="DI1530" s="237"/>
      <c r="DN1530" s="347"/>
      <c r="DO1530" s="347"/>
      <c r="DP1530" s="2505"/>
    </row>
    <row r="1531" spans="12:120">
      <c r="L1531" s="347">
        <v>182</v>
      </c>
      <c r="M1531" s="347" t="s">
        <v>359</v>
      </c>
      <c r="AB1531" s="347">
        <v>245.11</v>
      </c>
      <c r="AC1531" s="347" t="s">
        <v>363</v>
      </c>
      <c r="AD1531" s="1138"/>
      <c r="AP1531" s="347">
        <v>68.010000000000005</v>
      </c>
      <c r="AQ1531" s="347" t="s">
        <v>352</v>
      </c>
      <c r="BF1531" s="347">
        <v>150.06</v>
      </c>
      <c r="BG1531" s="347" t="s">
        <v>359</v>
      </c>
      <c r="BH1531" s="1790"/>
      <c r="BN1531" s="237">
        <v>115.26</v>
      </c>
      <c r="BO1531" s="237" t="s">
        <v>337</v>
      </c>
      <c r="BT1531" s="347">
        <v>67.209999999999994</v>
      </c>
      <c r="BU1531" s="347" t="s">
        <v>352</v>
      </c>
      <c r="CD1531" s="237">
        <v>84.09</v>
      </c>
      <c r="CE1531" s="237" t="s">
        <v>352</v>
      </c>
      <c r="CJ1531" s="347">
        <v>151.02000000000001</v>
      </c>
      <c r="CK1531" s="347" t="s">
        <v>365</v>
      </c>
      <c r="CL1531" s="1789"/>
      <c r="CR1531" s="345"/>
      <c r="CS1531" s="345"/>
      <c r="CX1531" s="347"/>
      <c r="CY1531" s="347"/>
      <c r="DH1531" s="237"/>
      <c r="DI1531" s="237"/>
      <c r="DN1531" s="347"/>
      <c r="DO1531" s="347"/>
      <c r="DP1531" s="2505"/>
    </row>
    <row r="1532" spans="12:120">
      <c r="L1532" s="347">
        <v>184</v>
      </c>
      <c r="M1532" s="347" t="s">
        <v>359</v>
      </c>
      <c r="AB1532" s="347">
        <v>248.01</v>
      </c>
      <c r="AC1532" s="347" t="s">
        <v>363</v>
      </c>
      <c r="AD1532" s="1138"/>
      <c r="AP1532" s="347">
        <v>68.02</v>
      </c>
      <c r="AQ1532" s="347" t="s">
        <v>352</v>
      </c>
      <c r="BF1532" s="347">
        <v>151.01</v>
      </c>
      <c r="BG1532" s="347" t="s">
        <v>352</v>
      </c>
      <c r="BH1532" s="1790"/>
      <c r="BN1532" s="237">
        <v>115.27</v>
      </c>
      <c r="BO1532" s="237" t="s">
        <v>337</v>
      </c>
      <c r="BT1532" s="347">
        <v>67.22</v>
      </c>
      <c r="BU1532" s="347" t="s">
        <v>352</v>
      </c>
      <c r="CD1532" s="237">
        <v>84.15</v>
      </c>
      <c r="CE1532" s="237" t="s">
        <v>352</v>
      </c>
      <c r="CJ1532" s="347">
        <v>151.03</v>
      </c>
      <c r="CK1532" s="347" t="s">
        <v>352</v>
      </c>
      <c r="CL1532" s="1789"/>
      <c r="CR1532" s="345"/>
      <c r="CS1532" s="345"/>
      <c r="CX1532" s="347"/>
      <c r="CY1532" s="347"/>
      <c r="DH1532" s="237"/>
      <c r="DI1532" s="237"/>
      <c r="DN1532" s="347"/>
      <c r="DO1532" s="347"/>
      <c r="DP1532" s="2505"/>
    </row>
    <row r="1533" spans="12:120">
      <c r="L1533" s="347">
        <v>188</v>
      </c>
      <c r="M1533" s="347" t="s">
        <v>359</v>
      </c>
      <c r="AB1533" s="347">
        <v>248.05</v>
      </c>
      <c r="AC1533" s="347" t="s">
        <v>363</v>
      </c>
      <c r="AD1533" s="1138"/>
      <c r="AP1533" s="347">
        <v>69.010000000000005</v>
      </c>
      <c r="AQ1533" s="347" t="s">
        <v>352</v>
      </c>
      <c r="BF1533" s="347">
        <v>151.01</v>
      </c>
      <c r="BG1533" s="347" t="s">
        <v>365</v>
      </c>
      <c r="BH1533" s="1790"/>
      <c r="BN1533" s="237">
        <v>115.28</v>
      </c>
      <c r="BO1533" s="237" t="s">
        <v>337</v>
      </c>
      <c r="BT1533" s="347">
        <v>68.010000000000005</v>
      </c>
      <c r="BU1533" s="347" t="s">
        <v>352</v>
      </c>
      <c r="CD1533" s="237">
        <v>84.16</v>
      </c>
      <c r="CE1533" s="237" t="s">
        <v>352</v>
      </c>
      <c r="CJ1533" s="347">
        <v>151.03</v>
      </c>
      <c r="CK1533" s="347" t="s">
        <v>359</v>
      </c>
      <c r="CL1533" s="1789"/>
      <c r="CR1533" s="345"/>
      <c r="CS1533" s="345"/>
      <c r="CX1533" s="347"/>
      <c r="CY1533" s="347"/>
      <c r="DH1533" s="237"/>
      <c r="DI1533" s="237"/>
      <c r="DN1533" s="347"/>
      <c r="DO1533" s="347"/>
      <c r="DP1533" s="2505"/>
    </row>
    <row r="1534" spans="12:120">
      <c r="L1534" s="347">
        <v>408.01</v>
      </c>
      <c r="M1534" s="347" t="s">
        <v>360</v>
      </c>
      <c r="AB1534" s="347">
        <v>249.04</v>
      </c>
      <c r="AC1534" s="347" t="s">
        <v>363</v>
      </c>
      <c r="AD1534" s="1138"/>
      <c r="AP1534" s="347">
        <v>69.02</v>
      </c>
      <c r="AQ1534" s="347" t="s">
        <v>352</v>
      </c>
      <c r="BF1534" s="347">
        <v>151.02000000000001</v>
      </c>
      <c r="BG1534" s="347" t="s">
        <v>352</v>
      </c>
      <c r="BH1534" s="1790"/>
      <c r="BN1534" s="237">
        <v>116.03</v>
      </c>
      <c r="BO1534" s="237" t="s">
        <v>337</v>
      </c>
      <c r="BT1534" s="347">
        <v>68.02</v>
      </c>
      <c r="BU1534" s="347" t="s">
        <v>352</v>
      </c>
      <c r="CD1534" s="237">
        <v>84.18</v>
      </c>
      <c r="CE1534" s="237" t="s">
        <v>352</v>
      </c>
      <c r="CJ1534" s="347">
        <v>152</v>
      </c>
      <c r="CK1534" s="347" t="s">
        <v>365</v>
      </c>
      <c r="CL1534" s="1789"/>
      <c r="CR1534" s="345"/>
      <c r="CS1534" s="345"/>
      <c r="CX1534" s="347"/>
      <c r="CY1534" s="347"/>
      <c r="DH1534" s="237"/>
      <c r="DI1534" s="237"/>
      <c r="DN1534" s="347"/>
      <c r="DO1534" s="347"/>
      <c r="DP1534" s="2505"/>
    </row>
    <row r="1535" spans="12:120">
      <c r="L1535" s="347">
        <v>408.02</v>
      </c>
      <c r="M1535" s="347" t="s">
        <v>360</v>
      </c>
      <c r="AB1535" s="347">
        <v>249.05</v>
      </c>
      <c r="AC1535" s="347" t="s">
        <v>363</v>
      </c>
      <c r="AD1535" s="1138"/>
      <c r="AP1535" s="347">
        <v>70.03</v>
      </c>
      <c r="AQ1535" s="347" t="s">
        <v>352</v>
      </c>
      <c r="BF1535" s="347">
        <v>151.02000000000001</v>
      </c>
      <c r="BG1535" s="347" t="s">
        <v>365</v>
      </c>
      <c r="BH1535" s="1790"/>
      <c r="BN1535" s="237">
        <v>116.05</v>
      </c>
      <c r="BO1535" s="237" t="s">
        <v>337</v>
      </c>
      <c r="BT1535" s="347">
        <v>69.010000000000005</v>
      </c>
      <c r="BU1535" s="347" t="s">
        <v>352</v>
      </c>
      <c r="CD1535" s="237">
        <v>84.19</v>
      </c>
      <c r="CE1535" s="237" t="s">
        <v>352</v>
      </c>
      <c r="CJ1535" s="347">
        <v>152.01</v>
      </c>
      <c r="CK1535" s="347" t="s">
        <v>352</v>
      </c>
      <c r="CL1535" s="1789"/>
      <c r="CR1535" s="345"/>
      <c r="CS1535" s="345"/>
      <c r="CX1535" s="347"/>
      <c r="CY1535" s="347"/>
      <c r="DH1535" s="237"/>
      <c r="DI1535" s="237"/>
      <c r="DN1535" s="347"/>
      <c r="DO1535" s="347"/>
      <c r="DP1535" s="2505"/>
    </row>
    <row r="1536" spans="12:120">
      <c r="L1536" s="347">
        <v>408.03</v>
      </c>
      <c r="M1536" s="347" t="s">
        <v>360</v>
      </c>
      <c r="AB1536" s="347">
        <v>250.1</v>
      </c>
      <c r="AC1536" s="347" t="s">
        <v>363</v>
      </c>
      <c r="AD1536" s="1138"/>
      <c r="AP1536" s="347">
        <v>70.040000000000006</v>
      </c>
      <c r="AQ1536" s="347" t="s">
        <v>352</v>
      </c>
      <c r="BF1536" s="347">
        <v>151.03</v>
      </c>
      <c r="BG1536" s="347" t="s">
        <v>352</v>
      </c>
      <c r="BH1536" s="1790"/>
      <c r="BN1536" s="237">
        <v>116.1</v>
      </c>
      <c r="BO1536" s="237" t="s">
        <v>337</v>
      </c>
      <c r="BT1536" s="347">
        <v>69.02</v>
      </c>
      <c r="BU1536" s="347" t="s">
        <v>352</v>
      </c>
      <c r="CD1536" s="237">
        <v>84.2</v>
      </c>
      <c r="CE1536" s="237" t="s">
        <v>352</v>
      </c>
      <c r="CJ1536" s="347">
        <v>152.02000000000001</v>
      </c>
      <c r="CK1536" s="347" t="s">
        <v>352</v>
      </c>
      <c r="CL1536" s="1789"/>
      <c r="CR1536" s="345"/>
      <c r="CS1536" s="345"/>
      <c r="CX1536" s="347"/>
      <c r="CY1536" s="347"/>
      <c r="DH1536" s="237"/>
      <c r="DI1536" s="237"/>
      <c r="DN1536" s="347"/>
      <c r="DO1536" s="347"/>
      <c r="DP1536" s="2505"/>
    </row>
    <row r="1537" spans="12:120">
      <c r="L1537" s="347">
        <v>408.04</v>
      </c>
      <c r="M1537" s="347" t="s">
        <v>360</v>
      </c>
      <c r="AB1537" s="347">
        <v>250.11</v>
      </c>
      <c r="AC1537" s="347" t="s">
        <v>363</v>
      </c>
      <c r="AD1537" s="1138"/>
      <c r="AP1537" s="347">
        <v>70.06</v>
      </c>
      <c r="AQ1537" s="347" t="s">
        <v>352</v>
      </c>
      <c r="BF1537" s="347">
        <v>151.03</v>
      </c>
      <c r="BG1537" s="347" t="s">
        <v>359</v>
      </c>
      <c r="BH1537" s="1790"/>
      <c r="BN1537" s="237">
        <v>116.11</v>
      </c>
      <c r="BO1537" s="237" t="s">
        <v>337</v>
      </c>
      <c r="BT1537" s="347">
        <v>70.03</v>
      </c>
      <c r="BU1537" s="347" t="s">
        <v>352</v>
      </c>
      <c r="CD1537" s="237">
        <v>84.21</v>
      </c>
      <c r="CE1537" s="237" t="s">
        <v>352</v>
      </c>
      <c r="CJ1537" s="347">
        <v>152.03</v>
      </c>
      <c r="CK1537" s="347" t="s">
        <v>359</v>
      </c>
      <c r="CL1537" s="1789"/>
      <c r="CR1537" s="345"/>
      <c r="CS1537" s="345"/>
      <c r="CX1537" s="347"/>
      <c r="CY1537" s="347"/>
      <c r="DH1537" s="237"/>
      <c r="DI1537" s="237"/>
      <c r="DN1537" s="347"/>
      <c r="DO1537" s="347"/>
      <c r="DP1537" s="2505"/>
    </row>
    <row r="1538" spans="12:120">
      <c r="L1538" s="347">
        <v>409.01</v>
      </c>
      <c r="M1538" s="347" t="s">
        <v>360</v>
      </c>
      <c r="AB1538" s="347">
        <v>250.12</v>
      </c>
      <c r="AC1538" s="347" t="s">
        <v>363</v>
      </c>
      <c r="AD1538" s="1138"/>
      <c r="AP1538" s="347">
        <v>70.069999999999993</v>
      </c>
      <c r="AQ1538" s="347" t="s">
        <v>352</v>
      </c>
      <c r="BF1538" s="347">
        <v>152</v>
      </c>
      <c r="BG1538" s="347" t="s">
        <v>365</v>
      </c>
      <c r="BH1538" s="1790"/>
      <c r="BN1538" s="237">
        <v>116.12</v>
      </c>
      <c r="BO1538" s="237" t="s">
        <v>337</v>
      </c>
      <c r="BT1538" s="347">
        <v>70.040000000000006</v>
      </c>
      <c r="BU1538" s="347" t="s">
        <v>352</v>
      </c>
      <c r="CD1538" s="237">
        <v>84.22</v>
      </c>
      <c r="CE1538" s="237" t="s">
        <v>352</v>
      </c>
      <c r="CJ1538" s="347">
        <v>152.04</v>
      </c>
      <c r="CK1538" s="347" t="s">
        <v>359</v>
      </c>
      <c r="CL1538" s="1789"/>
      <c r="CR1538" s="345"/>
      <c r="CS1538" s="345"/>
      <c r="CX1538" s="347"/>
      <c r="CY1538" s="347"/>
      <c r="DH1538" s="237"/>
      <c r="DI1538" s="237"/>
      <c r="DN1538" s="347"/>
      <c r="DO1538" s="347"/>
      <c r="DP1538" s="2505"/>
    </row>
    <row r="1539" spans="12:120">
      <c r="L1539" s="347">
        <v>410.01</v>
      </c>
      <c r="M1539" s="347" t="s">
        <v>360</v>
      </c>
      <c r="AB1539" s="347">
        <v>250.13</v>
      </c>
      <c r="AC1539" s="347" t="s">
        <v>363</v>
      </c>
      <c r="AD1539" s="1138"/>
      <c r="AP1539" s="347">
        <v>71.040000000000006</v>
      </c>
      <c r="AQ1539" s="347" t="s">
        <v>352</v>
      </c>
      <c r="BF1539" s="347">
        <v>152.01</v>
      </c>
      <c r="BG1539" s="347" t="s">
        <v>352</v>
      </c>
      <c r="BH1539" s="1790"/>
      <c r="BN1539" s="237">
        <v>116.13</v>
      </c>
      <c r="BO1539" s="237" t="s">
        <v>337</v>
      </c>
      <c r="BT1539" s="347">
        <v>70.069999999999993</v>
      </c>
      <c r="BU1539" s="347" t="s">
        <v>352</v>
      </c>
      <c r="CD1539" s="237">
        <v>84.23</v>
      </c>
      <c r="CE1539" s="237" t="s">
        <v>352</v>
      </c>
      <c r="CJ1539" s="347">
        <v>153</v>
      </c>
      <c r="CK1539" s="347" t="s">
        <v>352</v>
      </c>
      <c r="CL1539" s="1789"/>
      <c r="CR1539" s="345"/>
      <c r="CS1539" s="345"/>
      <c r="CX1539" s="347"/>
      <c r="CY1539" s="347"/>
      <c r="DH1539" s="237"/>
      <c r="DI1539" s="237"/>
      <c r="DN1539" s="347"/>
      <c r="DO1539" s="347"/>
      <c r="DP1539" s="2505"/>
    </row>
    <row r="1540" spans="12:120">
      <c r="L1540" s="347">
        <v>410.02</v>
      </c>
      <c r="M1540" s="347" t="s">
        <v>360</v>
      </c>
      <c r="AB1540" s="347">
        <v>250.14</v>
      </c>
      <c r="AC1540" s="347" t="s">
        <v>363</v>
      </c>
      <c r="AD1540" s="1138"/>
      <c r="AP1540" s="347">
        <v>73</v>
      </c>
      <c r="AQ1540" s="347" t="s">
        <v>352</v>
      </c>
      <c r="BF1540" s="347">
        <v>152.02000000000001</v>
      </c>
      <c r="BG1540" s="347" t="s">
        <v>352</v>
      </c>
      <c r="BH1540" s="1790"/>
      <c r="BN1540" s="237">
        <v>116.14</v>
      </c>
      <c r="BO1540" s="237" t="s">
        <v>337</v>
      </c>
      <c r="BT1540" s="347">
        <v>71.03</v>
      </c>
      <c r="BU1540" s="347" t="s">
        <v>352</v>
      </c>
      <c r="CD1540" s="237">
        <v>84.24</v>
      </c>
      <c r="CE1540" s="237" t="s">
        <v>352</v>
      </c>
      <c r="CJ1540" s="347">
        <v>153</v>
      </c>
      <c r="CK1540" s="347" t="s">
        <v>359</v>
      </c>
      <c r="CL1540" s="1789"/>
      <c r="CR1540" s="345"/>
      <c r="CS1540" s="345"/>
      <c r="CX1540" s="347"/>
      <c r="CY1540" s="347"/>
      <c r="DH1540" s="237"/>
      <c r="DI1540" s="237"/>
      <c r="DN1540" s="347"/>
      <c r="DO1540" s="347"/>
      <c r="DP1540" s="2505"/>
    </row>
    <row r="1541" spans="12:120">
      <c r="L1541" s="347">
        <v>415</v>
      </c>
      <c r="M1541" s="347" t="s">
        <v>360</v>
      </c>
      <c r="AB1541" s="347">
        <v>250.16</v>
      </c>
      <c r="AC1541" s="347" t="s">
        <v>363</v>
      </c>
      <c r="AD1541" s="1138"/>
      <c r="AP1541" s="347">
        <v>74.010000000000005</v>
      </c>
      <c r="AQ1541" s="347" t="s">
        <v>352</v>
      </c>
      <c r="BF1541" s="347">
        <v>152.03</v>
      </c>
      <c r="BG1541" s="347" t="s">
        <v>359</v>
      </c>
      <c r="BH1541" s="1790"/>
      <c r="BN1541" s="237">
        <v>116.15</v>
      </c>
      <c r="BO1541" s="237" t="s">
        <v>337</v>
      </c>
      <c r="BT1541" s="347">
        <v>71.040000000000006</v>
      </c>
      <c r="BU1541" s="347" t="s">
        <v>352</v>
      </c>
      <c r="CD1541" s="237">
        <v>84.25</v>
      </c>
      <c r="CE1541" s="237" t="s">
        <v>352</v>
      </c>
      <c r="CJ1541" s="347">
        <v>153.02000000000001</v>
      </c>
      <c r="CK1541" s="347" t="s">
        <v>365</v>
      </c>
      <c r="CL1541" s="1789"/>
      <c r="CR1541" s="345"/>
      <c r="CS1541" s="345"/>
      <c r="CX1541" s="347"/>
      <c r="CY1541" s="347"/>
      <c r="DH1541" s="237"/>
      <c r="DI1541" s="237"/>
      <c r="DN1541" s="347"/>
      <c r="DO1541" s="347"/>
      <c r="DP1541" s="2505"/>
    </row>
    <row r="1542" spans="12:120">
      <c r="L1542" s="347">
        <v>421</v>
      </c>
      <c r="M1542" s="347" t="s">
        <v>360</v>
      </c>
      <c r="AB1542" s="347">
        <v>251.07</v>
      </c>
      <c r="AC1542" s="347" t="s">
        <v>363</v>
      </c>
      <c r="AD1542" s="1138"/>
      <c r="AP1542" s="347">
        <v>74.02</v>
      </c>
      <c r="AQ1542" s="347" t="s">
        <v>352</v>
      </c>
      <c r="BF1542" s="347">
        <v>152.04</v>
      </c>
      <c r="BG1542" s="347" t="s">
        <v>359</v>
      </c>
      <c r="BH1542" s="1790"/>
      <c r="BN1542" s="237">
        <v>116.16</v>
      </c>
      <c r="BO1542" s="237" t="s">
        <v>337</v>
      </c>
      <c r="BT1542" s="347">
        <v>73</v>
      </c>
      <c r="BU1542" s="347" t="s">
        <v>352</v>
      </c>
      <c r="CD1542" s="237">
        <v>84.26</v>
      </c>
      <c r="CE1542" s="237" t="s">
        <v>352</v>
      </c>
      <c r="CJ1542" s="347">
        <v>154</v>
      </c>
      <c r="CK1542" s="347" t="s">
        <v>352</v>
      </c>
      <c r="CL1542" s="1789"/>
      <c r="CR1542" s="345"/>
      <c r="CS1542" s="345"/>
      <c r="CX1542" s="347"/>
      <c r="CY1542" s="347"/>
      <c r="DH1542" s="237"/>
      <c r="DI1542" s="237"/>
      <c r="DN1542" s="347"/>
      <c r="DO1542" s="347"/>
      <c r="DP1542" s="2505"/>
    </row>
    <row r="1543" spans="12:120">
      <c r="L1543" s="347">
        <v>424</v>
      </c>
      <c r="M1543" s="347" t="s">
        <v>360</v>
      </c>
      <c r="AB1543" s="347">
        <v>251.08</v>
      </c>
      <c r="AC1543" s="347" t="s">
        <v>363</v>
      </c>
      <c r="AD1543" s="1138"/>
      <c r="AP1543" s="347">
        <v>74.03</v>
      </c>
      <c r="AQ1543" s="347" t="s">
        <v>352</v>
      </c>
      <c r="BF1543" s="347">
        <v>153</v>
      </c>
      <c r="BG1543" s="347" t="s">
        <v>352</v>
      </c>
      <c r="BH1543" s="1790"/>
      <c r="BN1543" s="237">
        <v>116.17</v>
      </c>
      <c r="BO1543" s="237" t="s">
        <v>337</v>
      </c>
      <c r="BT1543" s="347">
        <v>74.010000000000005</v>
      </c>
      <c r="BU1543" s="347" t="s">
        <v>352</v>
      </c>
      <c r="CD1543" s="237">
        <v>84.27</v>
      </c>
      <c r="CE1543" s="237" t="s">
        <v>352</v>
      </c>
      <c r="CJ1543" s="347">
        <v>154.04</v>
      </c>
      <c r="CK1543" s="347" t="s">
        <v>365</v>
      </c>
      <c r="CL1543" s="1789"/>
      <c r="CR1543" s="345"/>
      <c r="CS1543" s="345"/>
      <c r="CX1543" s="347"/>
      <c r="CY1543" s="347"/>
      <c r="DH1543" s="237"/>
      <c r="DI1543" s="237"/>
      <c r="DN1543" s="347"/>
      <c r="DO1543" s="347"/>
      <c r="DP1543" s="2505"/>
    </row>
    <row r="1544" spans="12:120">
      <c r="L1544" s="347">
        <v>426.01</v>
      </c>
      <c r="M1544" s="347" t="s">
        <v>360</v>
      </c>
      <c r="AB1544" s="347">
        <v>251.1</v>
      </c>
      <c r="AC1544" s="347" t="s">
        <v>363</v>
      </c>
      <c r="AD1544" s="1138"/>
      <c r="AP1544" s="347">
        <v>75.010000000000005</v>
      </c>
      <c r="AQ1544" s="347" t="s">
        <v>352</v>
      </c>
      <c r="BF1544" s="347">
        <v>153</v>
      </c>
      <c r="BG1544" s="347" t="s">
        <v>359</v>
      </c>
      <c r="BH1544" s="1790"/>
      <c r="BN1544" s="237">
        <v>117.08</v>
      </c>
      <c r="BO1544" s="237" t="s">
        <v>337</v>
      </c>
      <c r="BT1544" s="347">
        <v>74.02</v>
      </c>
      <c r="BU1544" s="347" t="s">
        <v>352</v>
      </c>
      <c r="CD1544" s="237">
        <v>84.28</v>
      </c>
      <c r="CE1544" s="237" t="s">
        <v>352</v>
      </c>
      <c r="CJ1544" s="347">
        <v>155.01</v>
      </c>
      <c r="CK1544" s="347" t="s">
        <v>359</v>
      </c>
      <c r="CL1544" s="1789"/>
      <c r="CR1544" s="345"/>
      <c r="CS1544" s="345"/>
      <c r="CX1544" s="347"/>
      <c r="CY1544" s="347"/>
      <c r="DH1544" s="237"/>
      <c r="DI1544" s="237"/>
      <c r="DN1544" s="347"/>
      <c r="DO1544" s="347"/>
      <c r="DP1544" s="2505"/>
    </row>
    <row r="1545" spans="12:120">
      <c r="L1545" s="347">
        <v>426.02</v>
      </c>
      <c r="M1545" s="347" t="s">
        <v>360</v>
      </c>
      <c r="AB1545" s="347">
        <v>251.12</v>
      </c>
      <c r="AC1545" s="347" t="s">
        <v>363</v>
      </c>
      <c r="AD1545" s="1138"/>
      <c r="AP1545" s="347">
        <v>75.03</v>
      </c>
      <c r="AQ1545" s="347" t="s">
        <v>352</v>
      </c>
      <c r="BF1545" s="347">
        <v>153.02000000000001</v>
      </c>
      <c r="BG1545" s="347" t="s">
        <v>365</v>
      </c>
      <c r="BH1545" s="1790"/>
      <c r="BN1545" s="237">
        <v>117.12</v>
      </c>
      <c r="BO1545" s="237" t="s">
        <v>337</v>
      </c>
      <c r="BT1545" s="347">
        <v>74.03</v>
      </c>
      <c r="BU1545" s="347" t="s">
        <v>352</v>
      </c>
      <c r="CD1545" s="237">
        <v>84.29</v>
      </c>
      <c r="CE1545" s="237" t="s">
        <v>352</v>
      </c>
      <c r="CJ1545" s="347">
        <v>155.02000000000001</v>
      </c>
      <c r="CK1545" s="347" t="s">
        <v>352</v>
      </c>
      <c r="CL1545" s="1789"/>
      <c r="CR1545" s="345"/>
      <c r="CS1545" s="345"/>
      <c r="CX1545" s="347"/>
      <c r="CY1545" s="347"/>
      <c r="DH1545" s="237"/>
      <c r="DI1545" s="237"/>
      <c r="DN1545" s="347"/>
      <c r="DO1545" s="347"/>
      <c r="DP1545" s="2505"/>
    </row>
    <row r="1546" spans="12:120">
      <c r="L1546" s="347">
        <v>428</v>
      </c>
      <c r="M1546" s="347" t="s">
        <v>360</v>
      </c>
      <c r="AB1546" s="347">
        <v>251.13</v>
      </c>
      <c r="AC1546" s="347" t="s">
        <v>363</v>
      </c>
      <c r="AD1546" s="1138"/>
      <c r="AP1546" s="347">
        <v>76.010000000000005</v>
      </c>
      <c r="AQ1546" s="347" t="s">
        <v>352</v>
      </c>
      <c r="BF1546" s="347">
        <v>154</v>
      </c>
      <c r="BG1546" s="347" t="s">
        <v>352</v>
      </c>
      <c r="BH1546" s="1790"/>
      <c r="BN1546" s="237">
        <v>117.13</v>
      </c>
      <c r="BO1546" s="237" t="s">
        <v>337</v>
      </c>
      <c r="BT1546" s="347">
        <v>75.010000000000005</v>
      </c>
      <c r="BU1546" s="347" t="s">
        <v>352</v>
      </c>
      <c r="CD1546" s="237">
        <v>84.3</v>
      </c>
      <c r="CE1546" s="237" t="s">
        <v>352</v>
      </c>
      <c r="CJ1546" s="347">
        <v>156</v>
      </c>
      <c r="CK1546" s="347" t="s">
        <v>323</v>
      </c>
      <c r="CL1546" s="1789"/>
      <c r="CR1546" s="345"/>
      <c r="CS1546" s="345"/>
      <c r="CX1546" s="347"/>
      <c r="CY1546" s="347"/>
      <c r="DH1546" s="237"/>
      <c r="DI1546" s="237"/>
      <c r="DN1546" s="347"/>
      <c r="DO1546" s="347"/>
      <c r="DP1546" s="2505"/>
    </row>
    <row r="1547" spans="12:120">
      <c r="L1547" s="347">
        <v>429</v>
      </c>
      <c r="M1547" s="347" t="s">
        <v>360</v>
      </c>
      <c r="AB1547" s="347">
        <v>251.16</v>
      </c>
      <c r="AC1547" s="347" t="s">
        <v>363</v>
      </c>
      <c r="AD1547" s="1138"/>
      <c r="AP1547" s="347">
        <v>76.03</v>
      </c>
      <c r="AQ1547" s="347" t="s">
        <v>352</v>
      </c>
      <c r="BF1547" s="347">
        <v>154.02000000000001</v>
      </c>
      <c r="BG1547" s="347" t="s">
        <v>365</v>
      </c>
      <c r="BH1547" s="1790"/>
      <c r="BN1547" s="237">
        <v>117.14</v>
      </c>
      <c r="BO1547" s="237" t="s">
        <v>337</v>
      </c>
      <c r="BT1547" s="347">
        <v>75.03</v>
      </c>
      <c r="BU1547" s="347" t="s">
        <v>352</v>
      </c>
      <c r="CD1547" s="237">
        <v>84.31</v>
      </c>
      <c r="CE1547" s="237" t="s">
        <v>352</v>
      </c>
      <c r="CJ1547" s="347">
        <v>156</v>
      </c>
      <c r="CK1547" s="347" t="s">
        <v>352</v>
      </c>
      <c r="CL1547" s="1789"/>
      <c r="CR1547" s="345"/>
      <c r="CS1547" s="345"/>
      <c r="CX1547" s="347"/>
      <c r="CY1547" s="347"/>
      <c r="DH1547" s="237"/>
      <c r="DI1547" s="237"/>
      <c r="DN1547" s="347"/>
      <c r="DO1547" s="347"/>
      <c r="DP1547" s="2505"/>
    </row>
    <row r="1548" spans="12:120">
      <c r="L1548" s="347">
        <v>431</v>
      </c>
      <c r="M1548" s="347" t="s">
        <v>360</v>
      </c>
      <c r="AB1548" s="347">
        <v>251.19</v>
      </c>
      <c r="AC1548" s="347" t="s">
        <v>363</v>
      </c>
      <c r="AD1548" s="1138"/>
      <c r="AP1548" s="347">
        <v>76.05</v>
      </c>
      <c r="AQ1548" s="347" t="s">
        <v>352</v>
      </c>
      <c r="BF1548" s="347">
        <v>154.04</v>
      </c>
      <c r="BG1548" s="347" t="s">
        <v>365</v>
      </c>
      <c r="BH1548" s="1790"/>
      <c r="BN1548" s="237">
        <v>117.15</v>
      </c>
      <c r="BO1548" s="237" t="s">
        <v>337</v>
      </c>
      <c r="BT1548" s="347">
        <v>76.010000000000005</v>
      </c>
      <c r="BU1548" s="347" t="s">
        <v>352</v>
      </c>
      <c r="CD1548" s="237">
        <v>85.02</v>
      </c>
      <c r="CE1548" s="237" t="s">
        <v>352</v>
      </c>
      <c r="CJ1548" s="347">
        <v>156.01</v>
      </c>
      <c r="CK1548" s="347" t="s">
        <v>359</v>
      </c>
      <c r="CL1548" s="1789"/>
      <c r="CR1548" s="345"/>
      <c r="CS1548" s="345"/>
      <c r="CX1548" s="347"/>
      <c r="CY1548" s="347"/>
      <c r="DH1548" s="237"/>
      <c r="DI1548" s="237"/>
      <c r="DN1548" s="347"/>
      <c r="DO1548" s="347"/>
      <c r="DP1548" s="2505"/>
    </row>
    <row r="1549" spans="12:120">
      <c r="L1549" s="347">
        <v>432.02</v>
      </c>
      <c r="M1549" s="347" t="s">
        <v>360</v>
      </c>
      <c r="AB1549" s="347">
        <v>251.2</v>
      </c>
      <c r="AC1549" s="347" t="s">
        <v>363</v>
      </c>
      <c r="AD1549" s="1138"/>
      <c r="AP1549" s="347">
        <v>76.069999999999993</v>
      </c>
      <c r="AQ1549" s="347" t="s">
        <v>352</v>
      </c>
      <c r="BF1549" s="347">
        <v>155.01</v>
      </c>
      <c r="BG1549" s="347" t="s">
        <v>359</v>
      </c>
      <c r="BH1549" s="1790"/>
      <c r="BN1549" s="237">
        <v>117.16</v>
      </c>
      <c r="BO1549" s="237" t="s">
        <v>337</v>
      </c>
      <c r="BT1549" s="347">
        <v>76.05</v>
      </c>
      <c r="BU1549" s="347" t="s">
        <v>352</v>
      </c>
      <c r="CD1549" s="237">
        <v>85.03</v>
      </c>
      <c r="CE1549" s="237" t="s">
        <v>352</v>
      </c>
      <c r="CJ1549" s="347">
        <v>156.02000000000001</v>
      </c>
      <c r="CK1549" s="347" t="s">
        <v>359</v>
      </c>
      <c r="CL1549" s="1789"/>
      <c r="CR1549" s="345"/>
      <c r="CS1549" s="345"/>
      <c r="CX1549" s="347"/>
      <c r="CY1549" s="347"/>
      <c r="DH1549" s="237"/>
      <c r="DI1549" s="237"/>
      <c r="DN1549" s="347"/>
      <c r="DO1549" s="347"/>
      <c r="DP1549" s="2505"/>
    </row>
    <row r="1550" spans="12:120">
      <c r="L1550" s="347">
        <v>432.04</v>
      </c>
      <c r="M1550" s="347" t="s">
        <v>360</v>
      </c>
      <c r="AB1550" s="347">
        <v>251.21</v>
      </c>
      <c r="AC1550" s="347" t="s">
        <v>363</v>
      </c>
      <c r="AD1550" s="1138"/>
      <c r="AP1550" s="347">
        <v>76.08</v>
      </c>
      <c r="AQ1550" s="347" t="s">
        <v>352</v>
      </c>
      <c r="BF1550" s="347">
        <v>155.02000000000001</v>
      </c>
      <c r="BG1550" s="347" t="s">
        <v>352</v>
      </c>
      <c r="BH1550" s="1790"/>
      <c r="BN1550" s="237">
        <v>118.02</v>
      </c>
      <c r="BO1550" s="237" t="s">
        <v>337</v>
      </c>
      <c r="BT1550" s="347">
        <v>76.069999999999993</v>
      </c>
      <c r="BU1550" s="347" t="s">
        <v>352</v>
      </c>
      <c r="CD1550" s="237">
        <v>85.04</v>
      </c>
      <c r="CE1550" s="237" t="s">
        <v>352</v>
      </c>
      <c r="CJ1550" s="347">
        <v>157</v>
      </c>
      <c r="CK1550" s="347" t="s">
        <v>352</v>
      </c>
      <c r="CL1550" s="1789"/>
      <c r="CR1550" s="345"/>
      <c r="CS1550" s="345"/>
      <c r="CX1550" s="347"/>
      <c r="CY1550" s="347"/>
      <c r="DH1550" s="237"/>
      <c r="DI1550" s="237"/>
      <c r="DN1550" s="347"/>
      <c r="DO1550" s="347"/>
      <c r="DP1550" s="2505"/>
    </row>
    <row r="1551" spans="12:120">
      <c r="L1551" s="347">
        <v>433.01</v>
      </c>
      <c r="M1551" s="347" t="s">
        <v>360</v>
      </c>
      <c r="AB1551" s="347">
        <v>251.22</v>
      </c>
      <c r="AC1551" s="347" t="s">
        <v>363</v>
      </c>
      <c r="AD1551" s="1138"/>
      <c r="AP1551" s="347">
        <v>76.09</v>
      </c>
      <c r="AQ1551" s="347" t="s">
        <v>352</v>
      </c>
      <c r="BF1551" s="347">
        <v>156</v>
      </c>
      <c r="BG1551" s="347" t="s">
        <v>323</v>
      </c>
      <c r="BH1551" s="1790"/>
      <c r="BN1551" s="237">
        <v>118.04</v>
      </c>
      <c r="BO1551" s="237" t="s">
        <v>337</v>
      </c>
      <c r="BT1551" s="347">
        <v>76.08</v>
      </c>
      <c r="BU1551" s="347" t="s">
        <v>352</v>
      </c>
      <c r="CD1551" s="237">
        <v>86.01</v>
      </c>
      <c r="CE1551" s="237" t="s">
        <v>352</v>
      </c>
      <c r="CJ1551" s="347">
        <v>157.01</v>
      </c>
      <c r="CK1551" s="347" t="s">
        <v>359</v>
      </c>
      <c r="CL1551" s="1789"/>
      <c r="CR1551" s="345"/>
      <c r="CS1551" s="345"/>
      <c r="CX1551" s="347"/>
      <c r="CY1551" s="347"/>
      <c r="DH1551" s="237"/>
      <c r="DI1551" s="237"/>
      <c r="DN1551" s="347"/>
      <c r="DO1551" s="347"/>
      <c r="DP1551" s="2505"/>
    </row>
    <row r="1552" spans="12:120">
      <c r="L1552" s="347">
        <v>433.02</v>
      </c>
      <c r="M1552" s="347" t="s">
        <v>360</v>
      </c>
      <c r="AB1552" s="347">
        <v>251.23</v>
      </c>
      <c r="AC1552" s="347" t="s">
        <v>363</v>
      </c>
      <c r="AD1552" s="1138"/>
      <c r="AP1552" s="347">
        <v>76.099999999999994</v>
      </c>
      <c r="AQ1552" s="347" t="s">
        <v>352</v>
      </c>
      <c r="BF1552" s="347">
        <v>156</v>
      </c>
      <c r="BG1552" s="347" t="s">
        <v>352</v>
      </c>
      <c r="BH1552" s="1790"/>
      <c r="BN1552" s="237">
        <v>118.05</v>
      </c>
      <c r="BO1552" s="237" t="s">
        <v>337</v>
      </c>
      <c r="BT1552" s="347">
        <v>76.09</v>
      </c>
      <c r="BU1552" s="347" t="s">
        <v>352</v>
      </c>
      <c r="CD1552" s="237">
        <v>86.03</v>
      </c>
      <c r="CE1552" s="237" t="s">
        <v>352</v>
      </c>
      <c r="CJ1552" s="347">
        <v>157.01</v>
      </c>
      <c r="CK1552" s="347" t="s">
        <v>365</v>
      </c>
      <c r="CL1552" s="1789"/>
      <c r="CR1552" s="345"/>
      <c r="CS1552" s="345"/>
      <c r="CX1552" s="347"/>
      <c r="CY1552" s="347"/>
      <c r="DH1552" s="237"/>
      <c r="DI1552" s="237"/>
      <c r="DN1552" s="347"/>
      <c r="DO1552" s="347"/>
      <c r="DP1552" s="2505"/>
    </row>
    <row r="1553" spans="12:120">
      <c r="L1553" s="347">
        <v>434</v>
      </c>
      <c r="M1553" s="347" t="s">
        <v>360</v>
      </c>
      <c r="AB1553" s="347">
        <v>252.03</v>
      </c>
      <c r="AC1553" s="347" t="s">
        <v>363</v>
      </c>
      <c r="AD1553" s="1138"/>
      <c r="AP1553" s="347">
        <v>77.040000000000006</v>
      </c>
      <c r="AQ1553" s="347" t="s">
        <v>352</v>
      </c>
      <c r="BF1553" s="347">
        <v>156.01</v>
      </c>
      <c r="BG1553" s="347" t="s">
        <v>359</v>
      </c>
      <c r="BH1553" s="1790"/>
      <c r="BN1553" s="237">
        <v>118.06</v>
      </c>
      <c r="BO1553" s="237" t="s">
        <v>337</v>
      </c>
      <c r="BT1553" s="347">
        <v>76.099999999999994</v>
      </c>
      <c r="BU1553" s="347" t="s">
        <v>352</v>
      </c>
      <c r="CD1553" s="237">
        <v>86.04</v>
      </c>
      <c r="CE1553" s="237" t="s">
        <v>352</v>
      </c>
      <c r="CJ1553" s="347">
        <v>157.02000000000001</v>
      </c>
      <c r="CK1553" s="347" t="s">
        <v>359</v>
      </c>
      <c r="CL1553" s="1789"/>
      <c r="CR1553" s="345"/>
      <c r="CS1553" s="345"/>
      <c r="CX1553" s="347"/>
      <c r="CY1553" s="347"/>
      <c r="DH1553" s="237"/>
      <c r="DI1553" s="237"/>
      <c r="DN1553" s="347"/>
      <c r="DO1553" s="347"/>
      <c r="DP1553" s="2505"/>
    </row>
    <row r="1554" spans="12:120">
      <c r="L1554" s="347">
        <v>436</v>
      </c>
      <c r="M1554" s="347" t="s">
        <v>360</v>
      </c>
      <c r="AB1554" s="347">
        <v>252.05</v>
      </c>
      <c r="AC1554" s="347" t="s">
        <v>363</v>
      </c>
      <c r="AD1554" s="1138"/>
      <c r="AP1554" s="347">
        <v>77.05</v>
      </c>
      <c r="AQ1554" s="347" t="s">
        <v>352</v>
      </c>
      <c r="BF1554" s="347">
        <v>156.02000000000001</v>
      </c>
      <c r="BG1554" s="347" t="s">
        <v>359</v>
      </c>
      <c r="BH1554" s="1790"/>
      <c r="BN1554" s="237">
        <v>119.05</v>
      </c>
      <c r="BO1554" s="237" t="s">
        <v>337</v>
      </c>
      <c r="BT1554" s="347">
        <v>77.040000000000006</v>
      </c>
      <c r="BU1554" s="347" t="s">
        <v>352</v>
      </c>
      <c r="CD1554" s="237">
        <v>87.02</v>
      </c>
      <c r="CE1554" s="237" t="s">
        <v>352</v>
      </c>
      <c r="CJ1554" s="347">
        <v>158</v>
      </c>
      <c r="CK1554" s="347" t="s">
        <v>352</v>
      </c>
      <c r="CL1554" s="1789"/>
      <c r="CR1554" s="345"/>
      <c r="CS1554" s="345"/>
      <c r="CX1554" s="347"/>
      <c r="CY1554" s="347"/>
      <c r="DH1554" s="237"/>
      <c r="DI1554" s="237"/>
      <c r="DN1554" s="347"/>
      <c r="DO1554" s="347"/>
      <c r="DP1554" s="2505"/>
    </row>
    <row r="1555" spans="12:120">
      <c r="L1555" s="347">
        <v>437</v>
      </c>
      <c r="M1555" s="347" t="s">
        <v>360</v>
      </c>
      <c r="AB1555" s="347">
        <v>252.09</v>
      </c>
      <c r="AC1555" s="347" t="s">
        <v>363</v>
      </c>
      <c r="AD1555" s="1138"/>
      <c r="AP1555" s="347">
        <v>77.06</v>
      </c>
      <c r="AQ1555" s="347" t="s">
        <v>352</v>
      </c>
      <c r="BF1555" s="347">
        <v>157</v>
      </c>
      <c r="BG1555" s="347" t="s">
        <v>352</v>
      </c>
      <c r="BH1555" s="1790"/>
      <c r="BN1555" s="237">
        <v>119.07</v>
      </c>
      <c r="BO1555" s="237" t="s">
        <v>337</v>
      </c>
      <c r="BT1555" s="347">
        <v>77.05</v>
      </c>
      <c r="BU1555" s="347" t="s">
        <v>352</v>
      </c>
      <c r="CD1555" s="237">
        <v>87.03</v>
      </c>
      <c r="CE1555" s="237" t="s">
        <v>352</v>
      </c>
      <c r="CJ1555" s="347">
        <v>158.01</v>
      </c>
      <c r="CK1555" s="347" t="s">
        <v>359</v>
      </c>
      <c r="CL1555" s="1789"/>
      <c r="CR1555" s="345"/>
      <c r="CS1555" s="345"/>
      <c r="CX1555" s="347"/>
      <c r="CY1555" s="347"/>
      <c r="DH1555" s="237"/>
      <c r="DI1555" s="237"/>
      <c r="DN1555" s="347"/>
      <c r="DO1555" s="347"/>
      <c r="DP1555" s="2505"/>
    </row>
    <row r="1556" spans="12:120">
      <c r="L1556" s="347">
        <v>438</v>
      </c>
      <c r="M1556" s="347" t="s">
        <v>360</v>
      </c>
      <c r="AB1556" s="347">
        <v>253.06</v>
      </c>
      <c r="AC1556" s="347" t="s">
        <v>363</v>
      </c>
      <c r="AD1556" s="1138"/>
      <c r="AP1556" s="347">
        <v>77.069999999999993</v>
      </c>
      <c r="AQ1556" s="347" t="s">
        <v>352</v>
      </c>
      <c r="BF1556" s="347">
        <v>157.01</v>
      </c>
      <c r="BG1556" s="347" t="s">
        <v>359</v>
      </c>
      <c r="BH1556" s="1790"/>
      <c r="BN1556" s="237">
        <v>119.08</v>
      </c>
      <c r="BO1556" s="237" t="s">
        <v>337</v>
      </c>
      <c r="BT1556" s="347">
        <v>77.06</v>
      </c>
      <c r="BU1556" s="347" t="s">
        <v>352</v>
      </c>
      <c r="CD1556" s="237">
        <v>87.04</v>
      </c>
      <c r="CE1556" s="237" t="s">
        <v>352</v>
      </c>
      <c r="CJ1556" s="347">
        <v>158.02000000000001</v>
      </c>
      <c r="CK1556" s="347" t="s">
        <v>359</v>
      </c>
      <c r="CL1556" s="1789"/>
      <c r="CR1556" s="345"/>
      <c r="CS1556" s="345"/>
      <c r="CX1556" s="347"/>
      <c r="CY1556" s="347"/>
      <c r="DH1556" s="237"/>
      <c r="DI1556" s="237"/>
      <c r="DN1556" s="347"/>
      <c r="DO1556" s="347"/>
      <c r="DP1556" s="2505"/>
    </row>
    <row r="1557" spans="12:120">
      <c r="L1557" s="347">
        <v>1.01</v>
      </c>
      <c r="M1557" s="347" t="s">
        <v>749</v>
      </c>
      <c r="AB1557" s="347">
        <v>254.01</v>
      </c>
      <c r="AC1557" s="347" t="s">
        <v>363</v>
      </c>
      <c r="AD1557" s="1138"/>
      <c r="AP1557" s="347">
        <v>77.08</v>
      </c>
      <c r="AQ1557" s="347" t="s">
        <v>352</v>
      </c>
      <c r="BF1557" s="347">
        <v>157.02000000000001</v>
      </c>
      <c r="BG1557" s="347" t="s">
        <v>323</v>
      </c>
      <c r="BH1557" s="1790"/>
      <c r="BN1557" s="237">
        <v>119.09</v>
      </c>
      <c r="BO1557" s="237" t="s">
        <v>337</v>
      </c>
      <c r="BT1557" s="347">
        <v>77.069999999999993</v>
      </c>
      <c r="BU1557" s="347" t="s">
        <v>352</v>
      </c>
      <c r="CD1557" s="237">
        <v>88.05</v>
      </c>
      <c r="CE1557" s="237" t="s">
        <v>352</v>
      </c>
      <c r="CJ1557" s="347">
        <v>158.04</v>
      </c>
      <c r="CK1557" s="347" t="s">
        <v>323</v>
      </c>
      <c r="CL1557" s="1789"/>
      <c r="CR1557" s="345"/>
      <c r="CS1557" s="345"/>
      <c r="CX1557" s="347"/>
      <c r="CY1557" s="347"/>
      <c r="DH1557" s="237"/>
      <c r="DI1557" s="237"/>
      <c r="DN1557" s="347"/>
      <c r="DO1557" s="347"/>
      <c r="DP1557" s="2505"/>
    </row>
    <row r="1558" spans="12:120">
      <c r="L1558" s="347">
        <v>1.02</v>
      </c>
      <c r="M1558" s="347" t="s">
        <v>749</v>
      </c>
      <c r="AB1558" s="347">
        <v>254.05</v>
      </c>
      <c r="AC1558" s="347" t="s">
        <v>363</v>
      </c>
      <c r="AD1558" s="1138"/>
      <c r="AP1558" s="347">
        <v>77.09</v>
      </c>
      <c r="AQ1558" s="347" t="s">
        <v>352</v>
      </c>
      <c r="BF1558" s="347">
        <v>157.02000000000001</v>
      </c>
      <c r="BG1558" s="347" t="s">
        <v>359</v>
      </c>
      <c r="BH1558" s="1790"/>
      <c r="BN1558" s="237">
        <v>119.1</v>
      </c>
      <c r="BO1558" s="237" t="s">
        <v>337</v>
      </c>
      <c r="BT1558" s="347">
        <v>77.08</v>
      </c>
      <c r="BU1558" s="347" t="s">
        <v>352</v>
      </c>
      <c r="CD1558" s="237">
        <v>88.06</v>
      </c>
      <c r="CE1558" s="237" t="s">
        <v>352</v>
      </c>
      <c r="CJ1558" s="347">
        <v>158.06</v>
      </c>
      <c r="CK1558" s="347" t="s">
        <v>323</v>
      </c>
      <c r="CL1558" s="1789"/>
      <c r="CR1558" s="345"/>
      <c r="CS1558" s="345"/>
      <c r="CX1558" s="347"/>
      <c r="CY1558" s="347"/>
      <c r="DH1558" s="237"/>
      <c r="DI1558" s="237"/>
      <c r="DN1558" s="347"/>
      <c r="DO1558" s="347"/>
      <c r="DP1558" s="2505"/>
    </row>
    <row r="1559" spans="12:120">
      <c r="L1559" s="347">
        <v>2.02</v>
      </c>
      <c r="M1559" s="347" t="s">
        <v>749</v>
      </c>
      <c r="AB1559" s="347">
        <v>254.07</v>
      </c>
      <c r="AC1559" s="347" t="s">
        <v>363</v>
      </c>
      <c r="AD1559" s="1138"/>
      <c r="AP1559" s="347">
        <v>78.010000000000005</v>
      </c>
      <c r="AQ1559" s="347" t="s">
        <v>352</v>
      </c>
      <c r="BF1559" s="347">
        <v>158</v>
      </c>
      <c r="BG1559" s="347" t="s">
        <v>352</v>
      </c>
      <c r="BH1559" s="1790"/>
      <c r="BN1559" s="237">
        <v>119.11</v>
      </c>
      <c r="BO1559" s="237" t="s">
        <v>337</v>
      </c>
      <c r="BT1559" s="347">
        <v>77.09</v>
      </c>
      <c r="BU1559" s="347" t="s">
        <v>352</v>
      </c>
      <c r="CD1559" s="237">
        <v>88.07</v>
      </c>
      <c r="CE1559" s="237" t="s">
        <v>352</v>
      </c>
      <c r="CJ1559" s="347">
        <v>159</v>
      </c>
      <c r="CK1559" s="347" t="s">
        <v>365</v>
      </c>
      <c r="CL1559" s="1789"/>
      <c r="CR1559" s="345"/>
      <c r="CS1559" s="345"/>
      <c r="CX1559" s="347"/>
      <c r="CY1559" s="347"/>
      <c r="DH1559" s="237"/>
      <c r="DI1559" s="237"/>
      <c r="DN1559" s="347"/>
      <c r="DO1559" s="347"/>
      <c r="DP1559" s="2505"/>
    </row>
    <row r="1560" spans="12:120">
      <c r="L1560" s="347">
        <v>2.04</v>
      </c>
      <c r="M1560" s="347" t="s">
        <v>749</v>
      </c>
      <c r="AB1560" s="347">
        <v>254.11</v>
      </c>
      <c r="AC1560" s="347" t="s">
        <v>363</v>
      </c>
      <c r="AD1560" s="1138"/>
      <c r="AP1560" s="347">
        <v>78.05</v>
      </c>
      <c r="AQ1560" s="347" t="s">
        <v>352</v>
      </c>
      <c r="BF1560" s="347">
        <v>158.01</v>
      </c>
      <c r="BG1560" s="347" t="s">
        <v>359</v>
      </c>
      <c r="BH1560" s="1790"/>
      <c r="BN1560" s="237">
        <v>120.01</v>
      </c>
      <c r="BO1560" s="237" t="s">
        <v>337</v>
      </c>
      <c r="BT1560" s="347">
        <v>78.010000000000005</v>
      </c>
      <c r="BU1560" s="347" t="s">
        <v>352</v>
      </c>
      <c r="CD1560" s="237">
        <v>88.08</v>
      </c>
      <c r="CE1560" s="237" t="s">
        <v>352</v>
      </c>
      <c r="CJ1560" s="347">
        <v>159.22</v>
      </c>
      <c r="CK1560" s="347" t="s">
        <v>323</v>
      </c>
      <c r="CL1560" s="1789"/>
      <c r="CR1560" s="345"/>
      <c r="CS1560" s="345"/>
      <c r="CX1560" s="347"/>
      <c r="CY1560" s="347"/>
      <c r="DH1560" s="237"/>
      <c r="DI1560" s="237"/>
      <c r="DN1560" s="347"/>
      <c r="DO1560" s="347"/>
      <c r="DP1560" s="2505"/>
    </row>
    <row r="1561" spans="12:120">
      <c r="L1561" s="347">
        <v>2.0499999999999998</v>
      </c>
      <c r="M1561" s="347" t="s">
        <v>749</v>
      </c>
      <c r="AB1561" s="347">
        <v>254.12</v>
      </c>
      <c r="AC1561" s="347" t="s">
        <v>363</v>
      </c>
      <c r="AD1561" s="1138"/>
      <c r="AP1561" s="347">
        <v>78.069999999999993</v>
      </c>
      <c r="AQ1561" s="347" t="s">
        <v>352</v>
      </c>
      <c r="BF1561" s="347">
        <v>158.02000000000001</v>
      </c>
      <c r="BG1561" s="347" t="s">
        <v>359</v>
      </c>
      <c r="BH1561" s="1790"/>
      <c r="BN1561" s="237">
        <v>120.02</v>
      </c>
      <c r="BO1561" s="237" t="s">
        <v>337</v>
      </c>
      <c r="BT1561" s="347">
        <v>78.05</v>
      </c>
      <c r="BU1561" s="347" t="s">
        <v>352</v>
      </c>
      <c r="CD1561" s="237">
        <v>88.09</v>
      </c>
      <c r="CE1561" s="237" t="s">
        <v>352</v>
      </c>
      <c r="CJ1561" s="347">
        <v>159.24</v>
      </c>
      <c r="CK1561" s="347" t="s">
        <v>323</v>
      </c>
      <c r="CL1561" s="1789"/>
      <c r="CR1561" s="345"/>
      <c r="CS1561" s="345"/>
      <c r="CX1561" s="347"/>
      <c r="CY1561" s="347"/>
      <c r="DH1561" s="237"/>
      <c r="DI1561" s="237"/>
      <c r="DN1561" s="347"/>
      <c r="DO1561" s="347"/>
      <c r="DP1561" s="2505"/>
    </row>
    <row r="1562" spans="12:120">
      <c r="L1562" s="347">
        <v>2.06</v>
      </c>
      <c r="M1562" s="347" t="s">
        <v>749</v>
      </c>
      <c r="AB1562" s="347">
        <v>255.01</v>
      </c>
      <c r="AC1562" s="347" t="s">
        <v>363</v>
      </c>
      <c r="AD1562" s="1138"/>
      <c r="AP1562" s="347">
        <v>78.08</v>
      </c>
      <c r="AQ1562" s="347" t="s">
        <v>352</v>
      </c>
      <c r="BF1562" s="347">
        <v>158.02000000000001</v>
      </c>
      <c r="BG1562" s="347" t="s">
        <v>365</v>
      </c>
      <c r="BH1562" s="1790"/>
      <c r="BN1562" s="237">
        <v>121.03</v>
      </c>
      <c r="BO1562" s="237" t="s">
        <v>337</v>
      </c>
      <c r="BT1562" s="347">
        <v>78.06</v>
      </c>
      <c r="BU1562" s="347" t="s">
        <v>352</v>
      </c>
      <c r="CD1562" s="237">
        <v>88.1</v>
      </c>
      <c r="CE1562" s="237" t="s">
        <v>352</v>
      </c>
      <c r="CJ1562" s="347">
        <v>159.25</v>
      </c>
      <c r="CK1562" s="347" t="s">
        <v>323</v>
      </c>
      <c r="CL1562" s="1789"/>
      <c r="CR1562" s="345"/>
      <c r="CS1562" s="345"/>
      <c r="CX1562" s="347"/>
      <c r="CY1562" s="347"/>
      <c r="DH1562" s="237"/>
      <c r="DI1562" s="237"/>
      <c r="DN1562" s="347"/>
      <c r="DO1562" s="347"/>
      <c r="DP1562" s="2505"/>
    </row>
    <row r="1563" spans="12:120">
      <c r="L1563" s="347">
        <v>2.08</v>
      </c>
      <c r="M1563" s="347" t="s">
        <v>749</v>
      </c>
      <c r="AB1563" s="347">
        <v>255.06</v>
      </c>
      <c r="AC1563" s="347" t="s">
        <v>363</v>
      </c>
      <c r="AD1563" s="1138"/>
      <c r="AP1563" s="347">
        <v>78.09</v>
      </c>
      <c r="AQ1563" s="347" t="s">
        <v>352</v>
      </c>
      <c r="BF1563" s="347">
        <v>158.04</v>
      </c>
      <c r="BG1563" s="347" t="s">
        <v>323</v>
      </c>
      <c r="BH1563" s="1790"/>
      <c r="BN1563" s="237">
        <v>121.06</v>
      </c>
      <c r="BO1563" s="237" t="s">
        <v>337</v>
      </c>
      <c r="BT1563" s="347">
        <v>78.069999999999993</v>
      </c>
      <c r="BU1563" s="347" t="s">
        <v>352</v>
      </c>
      <c r="CD1563" s="237">
        <v>89.04</v>
      </c>
      <c r="CE1563" s="237" t="s">
        <v>352</v>
      </c>
      <c r="CJ1563" s="347">
        <v>159.26</v>
      </c>
      <c r="CK1563" s="347" t="s">
        <v>323</v>
      </c>
      <c r="CL1563" s="1789"/>
      <c r="CR1563" s="345"/>
      <c r="CS1563" s="345"/>
      <c r="CX1563" s="347"/>
      <c r="CY1563" s="347"/>
      <c r="DH1563" s="237"/>
      <c r="DI1563" s="237"/>
      <c r="DN1563" s="347"/>
      <c r="DO1563" s="347"/>
      <c r="DP1563" s="2505"/>
    </row>
    <row r="1564" spans="12:120">
      <c r="L1564" s="347">
        <v>2.09</v>
      </c>
      <c r="M1564" s="347" t="s">
        <v>749</v>
      </c>
      <c r="AB1564" s="347">
        <v>257</v>
      </c>
      <c r="AC1564" s="347" t="s">
        <v>363</v>
      </c>
      <c r="AD1564" s="1138"/>
      <c r="AP1564" s="347">
        <v>79.010000000000005</v>
      </c>
      <c r="AQ1564" s="347" t="s">
        <v>352</v>
      </c>
      <c r="BF1564" s="347">
        <v>158.06</v>
      </c>
      <c r="BG1564" s="347" t="s">
        <v>323</v>
      </c>
      <c r="BH1564" s="1790"/>
      <c r="BN1564" s="237">
        <v>121.07</v>
      </c>
      <c r="BO1564" s="237" t="s">
        <v>337</v>
      </c>
      <c r="BT1564" s="347">
        <v>78.08</v>
      </c>
      <c r="BU1564" s="347" t="s">
        <v>352</v>
      </c>
      <c r="CD1564" s="237">
        <v>89.06</v>
      </c>
      <c r="CE1564" s="237" t="s">
        <v>352</v>
      </c>
      <c r="CJ1564" s="347">
        <v>159.28</v>
      </c>
      <c r="CK1564" s="347" t="s">
        <v>323</v>
      </c>
      <c r="CL1564" s="1789"/>
      <c r="CR1564" s="345"/>
      <c r="CS1564" s="345"/>
      <c r="CX1564" s="347"/>
      <c r="CY1564" s="347"/>
      <c r="DH1564" s="237"/>
      <c r="DI1564" s="237"/>
      <c r="DN1564" s="347"/>
      <c r="DO1564" s="347"/>
      <c r="DP1564" s="2505"/>
    </row>
    <row r="1565" spans="12:120">
      <c r="L1565" s="347">
        <v>2.1</v>
      </c>
      <c r="M1565" s="347" t="s">
        <v>749</v>
      </c>
      <c r="AB1565" s="347">
        <v>260.01</v>
      </c>
      <c r="AC1565" s="347" t="s">
        <v>363</v>
      </c>
      <c r="AD1565" s="1138"/>
      <c r="AP1565" s="347">
        <v>79.02</v>
      </c>
      <c r="AQ1565" s="347" t="s">
        <v>352</v>
      </c>
      <c r="BF1565" s="347">
        <v>159</v>
      </c>
      <c r="BG1565" s="347" t="s">
        <v>365</v>
      </c>
      <c r="BH1565" s="1790"/>
      <c r="BN1565" s="237">
        <v>121.08</v>
      </c>
      <c r="BO1565" s="237" t="s">
        <v>337</v>
      </c>
      <c r="BT1565" s="347">
        <v>78.09</v>
      </c>
      <c r="BU1565" s="347" t="s">
        <v>352</v>
      </c>
      <c r="CD1565" s="237">
        <v>89.07</v>
      </c>
      <c r="CE1565" s="237" t="s">
        <v>352</v>
      </c>
      <c r="CJ1565" s="347">
        <v>159.29</v>
      </c>
      <c r="CK1565" s="347" t="s">
        <v>323</v>
      </c>
      <c r="CL1565" s="1789"/>
      <c r="CR1565" s="345"/>
      <c r="CS1565" s="345"/>
      <c r="CX1565" s="347"/>
      <c r="CY1565" s="347"/>
      <c r="DH1565" s="237"/>
      <c r="DI1565" s="237"/>
      <c r="DN1565" s="347"/>
      <c r="DO1565" s="347"/>
      <c r="DP1565" s="2505"/>
    </row>
    <row r="1566" spans="12:120">
      <c r="L1566" s="347">
        <v>2.11</v>
      </c>
      <c r="M1566" s="347" t="s">
        <v>749</v>
      </c>
      <c r="AB1566" s="347">
        <v>260.02</v>
      </c>
      <c r="AC1566" s="347" t="s">
        <v>363</v>
      </c>
      <c r="AD1566" s="1138"/>
      <c r="AP1566" s="347">
        <v>80</v>
      </c>
      <c r="AQ1566" s="347" t="s">
        <v>352</v>
      </c>
      <c r="BF1566" s="347">
        <v>159.01</v>
      </c>
      <c r="BG1566" s="347" t="s">
        <v>359</v>
      </c>
      <c r="BH1566" s="1790"/>
      <c r="BN1566" s="237">
        <v>121.09</v>
      </c>
      <c r="BO1566" s="237" t="s">
        <v>337</v>
      </c>
      <c r="BT1566" s="347">
        <v>79.010000000000005</v>
      </c>
      <c r="BU1566" s="347" t="s">
        <v>352</v>
      </c>
      <c r="CD1566" s="237">
        <v>89.08</v>
      </c>
      <c r="CE1566" s="237" t="s">
        <v>352</v>
      </c>
      <c r="CJ1566" s="347">
        <v>160</v>
      </c>
      <c r="CK1566" s="347" t="s">
        <v>352</v>
      </c>
      <c r="CL1566" s="1789"/>
      <c r="CR1566" s="345"/>
      <c r="CS1566" s="345"/>
      <c r="CX1566" s="347"/>
      <c r="CY1566" s="347"/>
      <c r="DH1566" s="237"/>
      <c r="DI1566" s="237"/>
      <c r="DN1566" s="347"/>
      <c r="DO1566" s="347"/>
      <c r="DP1566" s="2505"/>
    </row>
    <row r="1567" spans="12:120">
      <c r="L1567" s="347">
        <v>2.14</v>
      </c>
      <c r="M1567" s="347" t="s">
        <v>749</v>
      </c>
      <c r="AB1567" s="347">
        <v>266.01</v>
      </c>
      <c r="AC1567" s="347" t="s">
        <v>363</v>
      </c>
      <c r="AD1567" s="1138"/>
      <c r="AP1567" s="347">
        <v>81.010000000000005</v>
      </c>
      <c r="AQ1567" s="347" t="s">
        <v>352</v>
      </c>
      <c r="BF1567" s="347">
        <v>159.22</v>
      </c>
      <c r="BG1567" s="347" t="s">
        <v>323</v>
      </c>
      <c r="BH1567" s="1790"/>
      <c r="BN1567" s="237">
        <v>121.1</v>
      </c>
      <c r="BO1567" s="237" t="s">
        <v>337</v>
      </c>
      <c r="BT1567" s="347">
        <v>79.02</v>
      </c>
      <c r="BU1567" s="347" t="s">
        <v>352</v>
      </c>
      <c r="CD1567" s="237">
        <v>89.09</v>
      </c>
      <c r="CE1567" s="237" t="s">
        <v>352</v>
      </c>
      <c r="CJ1567" s="347">
        <v>160.01</v>
      </c>
      <c r="CK1567" s="347" t="s">
        <v>359</v>
      </c>
      <c r="CL1567" s="1789"/>
      <c r="CR1567" s="345"/>
      <c r="CS1567" s="345"/>
      <c r="CX1567" s="347"/>
      <c r="CY1567" s="347"/>
      <c r="DH1567" s="237"/>
      <c r="DI1567" s="237"/>
      <c r="DN1567" s="347"/>
      <c r="DO1567" s="347"/>
      <c r="DP1567" s="2505"/>
    </row>
    <row r="1568" spans="12:120">
      <c r="L1568" s="347">
        <v>2.15</v>
      </c>
      <c r="M1568" s="347" t="s">
        <v>749</v>
      </c>
      <c r="AB1568" s="347">
        <v>267.02</v>
      </c>
      <c r="AC1568" s="347" t="s">
        <v>363</v>
      </c>
      <c r="AD1568" s="1138"/>
      <c r="AP1568" s="347">
        <v>81.02</v>
      </c>
      <c r="AQ1568" s="347" t="s">
        <v>352</v>
      </c>
      <c r="BF1568" s="347">
        <v>159.24</v>
      </c>
      <c r="BG1568" s="347" t="s">
        <v>323</v>
      </c>
      <c r="BH1568" s="1790"/>
      <c r="BN1568" s="237">
        <v>122.06</v>
      </c>
      <c r="BO1568" s="237" t="s">
        <v>337</v>
      </c>
      <c r="BT1568" s="347">
        <v>80</v>
      </c>
      <c r="BU1568" s="347" t="s">
        <v>352</v>
      </c>
      <c r="CD1568" s="237">
        <v>89.1</v>
      </c>
      <c r="CE1568" s="237" t="s">
        <v>352</v>
      </c>
      <c r="CJ1568" s="347">
        <v>160.02000000000001</v>
      </c>
      <c r="CK1568" s="347" t="s">
        <v>359</v>
      </c>
      <c r="CL1568" s="1789"/>
      <c r="CR1568" s="345"/>
      <c r="CS1568" s="345"/>
      <c r="CX1568" s="347"/>
      <c r="CY1568" s="347"/>
      <c r="DH1568" s="237"/>
      <c r="DI1568" s="237"/>
      <c r="DN1568" s="347"/>
      <c r="DO1568" s="347"/>
      <c r="DP1568" s="2505"/>
    </row>
    <row r="1569" spans="12:120">
      <c r="L1569" s="347">
        <v>3.01</v>
      </c>
      <c r="M1569" s="347" t="s">
        <v>749</v>
      </c>
      <c r="AB1569" s="347">
        <v>268.04000000000002</v>
      </c>
      <c r="AC1569" s="347" t="s">
        <v>363</v>
      </c>
      <c r="AD1569" s="1138"/>
      <c r="AP1569" s="347">
        <v>82.02</v>
      </c>
      <c r="AQ1569" s="347" t="s">
        <v>352</v>
      </c>
      <c r="BF1569" s="347">
        <v>159.25</v>
      </c>
      <c r="BG1569" s="347" t="s">
        <v>323</v>
      </c>
      <c r="BH1569" s="1790"/>
      <c r="BN1569" s="237">
        <v>122.07</v>
      </c>
      <c r="BO1569" s="237" t="s">
        <v>337</v>
      </c>
      <c r="BT1569" s="347">
        <v>81.02</v>
      </c>
      <c r="BU1569" s="347" t="s">
        <v>352</v>
      </c>
      <c r="CD1569" s="237">
        <v>89.11</v>
      </c>
      <c r="CE1569" s="237" t="s">
        <v>352</v>
      </c>
      <c r="CJ1569" s="347">
        <v>161</v>
      </c>
      <c r="CK1569" s="347" t="s">
        <v>352</v>
      </c>
      <c r="CL1569" s="1789"/>
      <c r="CR1569" s="345"/>
      <c r="CS1569" s="345"/>
      <c r="CX1569" s="347"/>
      <c r="CY1569" s="347"/>
      <c r="DH1569" s="237"/>
      <c r="DI1569" s="237"/>
      <c r="DN1569" s="347"/>
      <c r="DO1569" s="347"/>
      <c r="DP1569" s="2505"/>
    </row>
    <row r="1570" spans="12:120">
      <c r="L1570" s="347">
        <v>3.03</v>
      </c>
      <c r="M1570" s="347" t="s">
        <v>749</v>
      </c>
      <c r="AB1570" s="347">
        <v>268.08999999999997</v>
      </c>
      <c r="AC1570" s="347" t="s">
        <v>363</v>
      </c>
      <c r="AD1570" s="1138"/>
      <c r="AP1570" s="347">
        <v>82.05</v>
      </c>
      <c r="AQ1570" s="347" t="s">
        <v>352</v>
      </c>
      <c r="BF1570" s="347">
        <v>159.26</v>
      </c>
      <c r="BG1570" s="347" t="s">
        <v>323</v>
      </c>
      <c r="BH1570" s="1790"/>
      <c r="BN1570" s="237">
        <v>122.08</v>
      </c>
      <c r="BO1570" s="237" t="s">
        <v>337</v>
      </c>
      <c r="BT1570" s="347">
        <v>82.02</v>
      </c>
      <c r="BU1570" s="347" t="s">
        <v>352</v>
      </c>
      <c r="CD1570" s="237">
        <v>90.1</v>
      </c>
      <c r="CE1570" s="237" t="s">
        <v>352</v>
      </c>
      <c r="CJ1570" s="347">
        <v>161</v>
      </c>
      <c r="CK1570" s="347" t="s">
        <v>359</v>
      </c>
      <c r="CL1570" s="1789"/>
      <c r="CR1570" s="345"/>
      <c r="CS1570" s="345"/>
      <c r="CX1570" s="347"/>
      <c r="CY1570" s="347"/>
      <c r="DH1570" s="237"/>
      <c r="DI1570" s="237"/>
      <c r="DN1570" s="347"/>
      <c r="DO1570" s="347"/>
      <c r="DP1570" s="2505"/>
    </row>
    <row r="1571" spans="12:120">
      <c r="L1571" s="347">
        <v>3.04</v>
      </c>
      <c r="M1571" s="347" t="s">
        <v>749</v>
      </c>
      <c r="AB1571" s="347">
        <v>268.11</v>
      </c>
      <c r="AC1571" s="347" t="s">
        <v>363</v>
      </c>
      <c r="AD1571" s="1138"/>
      <c r="AP1571" s="347">
        <v>82.06</v>
      </c>
      <c r="AQ1571" s="347" t="s">
        <v>352</v>
      </c>
      <c r="BF1571" s="347">
        <v>159.29</v>
      </c>
      <c r="BG1571" s="347" t="s">
        <v>323</v>
      </c>
      <c r="BH1571" s="1790"/>
      <c r="BN1571" s="237">
        <v>122.09</v>
      </c>
      <c r="BO1571" s="237" t="s">
        <v>337</v>
      </c>
      <c r="BT1571" s="347">
        <v>82.05</v>
      </c>
      <c r="BU1571" s="347" t="s">
        <v>352</v>
      </c>
      <c r="CD1571" s="237">
        <v>90.14</v>
      </c>
      <c r="CE1571" s="237" t="s">
        <v>352</v>
      </c>
      <c r="CJ1571" s="347">
        <v>161.01</v>
      </c>
      <c r="CK1571" s="347" t="s">
        <v>323</v>
      </c>
      <c r="CL1571" s="1789"/>
      <c r="CR1571" s="345"/>
      <c r="CS1571" s="345"/>
      <c r="CX1571" s="347"/>
      <c r="CY1571" s="347"/>
      <c r="DH1571" s="237"/>
      <c r="DI1571" s="237"/>
      <c r="DN1571" s="347"/>
      <c r="DO1571" s="347"/>
      <c r="DP1571" s="2505"/>
    </row>
    <row r="1572" spans="12:120">
      <c r="L1572" s="347">
        <v>4.05</v>
      </c>
      <c r="M1572" s="347" t="s">
        <v>749</v>
      </c>
      <c r="AB1572" s="347">
        <v>268.12</v>
      </c>
      <c r="AC1572" s="347" t="s">
        <v>363</v>
      </c>
      <c r="AD1572" s="1138"/>
      <c r="AP1572" s="347">
        <v>82.07</v>
      </c>
      <c r="AQ1572" s="347" t="s">
        <v>352</v>
      </c>
      <c r="BF1572" s="347">
        <v>160</v>
      </c>
      <c r="BG1572" s="347" t="s">
        <v>352</v>
      </c>
      <c r="BH1572" s="1790"/>
      <c r="BN1572" s="237">
        <v>122.1</v>
      </c>
      <c r="BO1572" s="237" t="s">
        <v>337</v>
      </c>
      <c r="BT1572" s="347">
        <v>82.06</v>
      </c>
      <c r="BU1572" s="347" t="s">
        <v>352</v>
      </c>
      <c r="CD1572" s="237">
        <v>90.15</v>
      </c>
      <c r="CE1572" s="237" t="s">
        <v>352</v>
      </c>
      <c r="CJ1572" s="347">
        <v>162</v>
      </c>
      <c r="CK1572" s="347" t="s">
        <v>352</v>
      </c>
      <c r="CL1572" s="1789"/>
      <c r="CR1572" s="345"/>
      <c r="CS1572" s="345"/>
      <c r="CX1572" s="347"/>
      <c r="CY1572" s="347"/>
      <c r="DH1572" s="237"/>
      <c r="DI1572" s="237"/>
      <c r="DN1572" s="347"/>
      <c r="DO1572" s="347"/>
      <c r="DP1572" s="2505"/>
    </row>
    <row r="1573" spans="12:120">
      <c r="L1573" s="347">
        <v>4.0599999999999996</v>
      </c>
      <c r="M1573" s="347" t="s">
        <v>749</v>
      </c>
      <c r="AB1573" s="347">
        <v>268.13</v>
      </c>
      <c r="AC1573" s="347" t="s">
        <v>363</v>
      </c>
      <c r="AD1573" s="1138"/>
      <c r="AP1573" s="347">
        <v>82.08</v>
      </c>
      <c r="AQ1573" s="347" t="s">
        <v>352</v>
      </c>
      <c r="BF1573" s="347">
        <v>160.01</v>
      </c>
      <c r="BG1573" s="347" t="s">
        <v>359</v>
      </c>
      <c r="BH1573" s="1790"/>
      <c r="BN1573" s="237">
        <v>122.11</v>
      </c>
      <c r="BO1573" s="237" t="s">
        <v>337</v>
      </c>
      <c r="BT1573" s="347">
        <v>82.07</v>
      </c>
      <c r="BU1573" s="347" t="s">
        <v>352</v>
      </c>
      <c r="CD1573" s="237">
        <v>90.2</v>
      </c>
      <c r="CE1573" s="237" t="s">
        <v>352</v>
      </c>
      <c r="CJ1573" s="347">
        <v>162</v>
      </c>
      <c r="CK1573" s="347" t="s">
        <v>359</v>
      </c>
      <c r="CL1573" s="1789"/>
      <c r="CR1573" s="345"/>
      <c r="CS1573" s="345"/>
      <c r="CX1573" s="347"/>
      <c r="CY1573" s="347"/>
      <c r="DH1573" s="237"/>
      <c r="DI1573" s="237"/>
      <c r="DN1573" s="347"/>
      <c r="DO1573" s="347"/>
      <c r="DP1573" s="2505"/>
    </row>
    <row r="1574" spans="12:120">
      <c r="L1574" s="347">
        <v>4.07</v>
      </c>
      <c r="M1574" s="347" t="s">
        <v>749</v>
      </c>
      <c r="AB1574" s="347">
        <v>268.14999999999998</v>
      </c>
      <c r="AC1574" s="347" t="s">
        <v>363</v>
      </c>
      <c r="AD1574" s="1138"/>
      <c r="AP1574" s="347">
        <v>82.09</v>
      </c>
      <c r="AQ1574" s="347" t="s">
        <v>352</v>
      </c>
      <c r="BF1574" s="347">
        <v>160.02000000000001</v>
      </c>
      <c r="BG1574" s="347" t="s">
        <v>359</v>
      </c>
      <c r="BH1574" s="1790"/>
      <c r="BN1574" s="237">
        <v>122.12</v>
      </c>
      <c r="BO1574" s="237" t="s">
        <v>337</v>
      </c>
      <c r="BT1574" s="347">
        <v>82.08</v>
      </c>
      <c r="BU1574" s="347" t="s">
        <v>352</v>
      </c>
      <c r="CD1574" s="237">
        <v>90.21</v>
      </c>
      <c r="CE1574" s="237" t="s">
        <v>352</v>
      </c>
      <c r="CJ1574" s="347">
        <v>163</v>
      </c>
      <c r="CK1574" s="347" t="s">
        <v>352</v>
      </c>
      <c r="CL1574" s="1789"/>
      <c r="CR1574" s="345"/>
      <c r="CS1574" s="345"/>
      <c r="CX1574" s="347"/>
      <c r="CY1574" s="347"/>
      <c r="DH1574" s="237"/>
      <c r="DI1574" s="237"/>
      <c r="DN1574" s="347"/>
      <c r="DO1574" s="347"/>
      <c r="DP1574" s="2505"/>
    </row>
    <row r="1575" spans="12:120">
      <c r="L1575" s="347">
        <v>4.08</v>
      </c>
      <c r="M1575" s="347" t="s">
        <v>749</v>
      </c>
      <c r="AB1575" s="347">
        <v>268.16000000000003</v>
      </c>
      <c r="AC1575" s="347" t="s">
        <v>363</v>
      </c>
      <c r="AD1575" s="1138"/>
      <c r="AP1575" s="347">
        <v>83.05</v>
      </c>
      <c r="AQ1575" s="347" t="s">
        <v>352</v>
      </c>
      <c r="BF1575" s="347">
        <v>161</v>
      </c>
      <c r="BG1575" s="347" t="s">
        <v>352</v>
      </c>
      <c r="BH1575" s="1790"/>
      <c r="BN1575" s="237">
        <v>122.13</v>
      </c>
      <c r="BO1575" s="237" t="s">
        <v>337</v>
      </c>
      <c r="BT1575" s="347">
        <v>82.09</v>
      </c>
      <c r="BU1575" s="347" t="s">
        <v>352</v>
      </c>
      <c r="CD1575" s="237">
        <v>90.22</v>
      </c>
      <c r="CE1575" s="237" t="s">
        <v>352</v>
      </c>
      <c r="CJ1575" s="347">
        <v>163.01</v>
      </c>
      <c r="CK1575" s="347" t="s">
        <v>359</v>
      </c>
      <c r="CL1575" s="1789"/>
      <c r="CR1575" s="345"/>
      <c r="CS1575" s="345"/>
      <c r="CX1575" s="347"/>
      <c r="CY1575" s="347"/>
      <c r="DH1575" s="237"/>
      <c r="DI1575" s="237"/>
      <c r="DN1575" s="347"/>
      <c r="DO1575" s="347"/>
      <c r="DP1575" s="2505"/>
    </row>
    <row r="1576" spans="12:120">
      <c r="L1576" s="347">
        <v>4.0999999999999996</v>
      </c>
      <c r="M1576" s="347" t="s">
        <v>749</v>
      </c>
      <c r="AB1576" s="347">
        <v>268.17</v>
      </c>
      <c r="AC1576" s="347" t="s">
        <v>363</v>
      </c>
      <c r="AD1576" s="1138"/>
      <c r="AP1576" s="347">
        <v>83.08</v>
      </c>
      <c r="AQ1576" s="347" t="s">
        <v>352</v>
      </c>
      <c r="BF1576" s="347">
        <v>161</v>
      </c>
      <c r="BG1576" s="347" t="s">
        <v>359</v>
      </c>
      <c r="BH1576" s="1790"/>
      <c r="BN1576" s="237">
        <v>123.01</v>
      </c>
      <c r="BO1576" s="237" t="s">
        <v>337</v>
      </c>
      <c r="BT1576" s="347">
        <v>83.05</v>
      </c>
      <c r="BU1576" s="347" t="s">
        <v>352</v>
      </c>
      <c r="CD1576" s="237">
        <v>90.24</v>
      </c>
      <c r="CE1576" s="237" t="s">
        <v>352</v>
      </c>
      <c r="CJ1576" s="347">
        <v>164</v>
      </c>
      <c r="CK1576" s="347" t="s">
        <v>323</v>
      </c>
      <c r="CL1576" s="1789"/>
      <c r="CR1576" s="345"/>
      <c r="CS1576" s="345"/>
      <c r="CX1576" s="347"/>
      <c r="CY1576" s="347"/>
      <c r="DH1576" s="237"/>
      <c r="DI1576" s="237"/>
      <c r="DN1576" s="347"/>
      <c r="DO1576" s="347"/>
      <c r="DP1576" s="2505"/>
    </row>
    <row r="1577" spans="12:120">
      <c r="L1577" s="347">
        <v>5.05</v>
      </c>
      <c r="M1577" s="347" t="s">
        <v>749</v>
      </c>
      <c r="AB1577" s="347">
        <v>268.20999999999998</v>
      </c>
      <c r="AC1577" s="347" t="s">
        <v>363</v>
      </c>
      <c r="AD1577" s="1138"/>
      <c r="AP1577" s="347">
        <v>83.1</v>
      </c>
      <c r="AQ1577" s="347" t="s">
        <v>352</v>
      </c>
      <c r="BF1577" s="347">
        <v>162</v>
      </c>
      <c r="BG1577" s="347" t="s">
        <v>352</v>
      </c>
      <c r="BH1577" s="1790"/>
      <c r="BN1577" s="237">
        <v>123.03</v>
      </c>
      <c r="BO1577" s="237" t="s">
        <v>337</v>
      </c>
      <c r="BT1577" s="347">
        <v>83.08</v>
      </c>
      <c r="BU1577" s="347" t="s">
        <v>352</v>
      </c>
      <c r="CD1577" s="237">
        <v>90.26</v>
      </c>
      <c r="CE1577" s="237" t="s">
        <v>352</v>
      </c>
      <c r="CJ1577" s="347">
        <v>164.01</v>
      </c>
      <c r="CK1577" s="347" t="s">
        <v>352</v>
      </c>
      <c r="CL1577" s="1789"/>
      <c r="CR1577" s="345"/>
      <c r="CS1577" s="345"/>
      <c r="CX1577" s="347"/>
      <c r="CY1577" s="347"/>
      <c r="DH1577" s="237"/>
      <c r="DI1577" s="237"/>
      <c r="DN1577" s="347"/>
      <c r="DO1577" s="347"/>
      <c r="DP1577" s="2505"/>
    </row>
    <row r="1578" spans="12:120">
      <c r="L1578" s="347">
        <v>5.07</v>
      </c>
      <c r="M1578" s="347" t="s">
        <v>749</v>
      </c>
      <c r="AB1578" s="347">
        <v>269.07</v>
      </c>
      <c r="AC1578" s="347" t="s">
        <v>363</v>
      </c>
      <c r="AD1578" s="1138"/>
      <c r="AP1578" s="347">
        <v>83.12</v>
      </c>
      <c r="AQ1578" s="347" t="s">
        <v>352</v>
      </c>
      <c r="BF1578" s="347">
        <v>162</v>
      </c>
      <c r="BG1578" s="347" t="s">
        <v>359</v>
      </c>
      <c r="BH1578" s="1790"/>
      <c r="BN1578" s="237">
        <v>123.04</v>
      </c>
      <c r="BO1578" s="237" t="s">
        <v>337</v>
      </c>
      <c r="BT1578" s="347">
        <v>83.1</v>
      </c>
      <c r="BU1578" s="347" t="s">
        <v>352</v>
      </c>
      <c r="CD1578" s="237">
        <v>90.27</v>
      </c>
      <c r="CE1578" s="237" t="s">
        <v>352</v>
      </c>
      <c r="CJ1578" s="347">
        <v>164.02</v>
      </c>
      <c r="CK1578" s="347" t="s">
        <v>352</v>
      </c>
      <c r="CL1578" s="1789"/>
      <c r="CR1578" s="345"/>
      <c r="CS1578" s="345"/>
      <c r="CX1578" s="347"/>
      <c r="CY1578" s="347"/>
      <c r="DH1578" s="237"/>
      <c r="DI1578" s="237"/>
      <c r="DN1578" s="347"/>
      <c r="DO1578" s="347"/>
      <c r="DP1578" s="2505"/>
    </row>
    <row r="1579" spans="12:120">
      <c r="L1579" s="347">
        <v>5.09</v>
      </c>
      <c r="M1579" s="347" t="s">
        <v>749</v>
      </c>
      <c r="AB1579" s="347">
        <v>269.08</v>
      </c>
      <c r="AC1579" s="347" t="s">
        <v>363</v>
      </c>
      <c r="AD1579" s="1138"/>
      <c r="AP1579" s="347">
        <v>83.14</v>
      </c>
      <c r="AQ1579" s="347" t="s">
        <v>352</v>
      </c>
      <c r="BF1579" s="347">
        <v>163</v>
      </c>
      <c r="BG1579" s="347" t="s">
        <v>352</v>
      </c>
      <c r="BH1579" s="1790"/>
      <c r="BN1579" s="237">
        <v>124.01</v>
      </c>
      <c r="BO1579" s="237" t="s">
        <v>337</v>
      </c>
      <c r="BT1579" s="347">
        <v>83.11</v>
      </c>
      <c r="BU1579" s="347" t="s">
        <v>352</v>
      </c>
      <c r="CD1579" s="237">
        <v>90.28</v>
      </c>
      <c r="CE1579" s="237" t="s">
        <v>352</v>
      </c>
      <c r="CJ1579" s="347">
        <v>164.08</v>
      </c>
      <c r="CK1579" s="347" t="s">
        <v>359</v>
      </c>
      <c r="CL1579" s="1789"/>
      <c r="CR1579" s="345"/>
      <c r="CS1579" s="345"/>
      <c r="CX1579" s="347"/>
      <c r="CY1579" s="347"/>
      <c r="DH1579" s="237"/>
      <c r="DI1579" s="237"/>
      <c r="DN1579" s="347"/>
      <c r="DO1579" s="347"/>
      <c r="DP1579" s="2505"/>
    </row>
    <row r="1580" spans="12:120">
      <c r="L1580" s="347">
        <v>5.1100000000000003</v>
      </c>
      <c r="M1580" s="347" t="s">
        <v>749</v>
      </c>
      <c r="AB1580" s="347">
        <v>269.10000000000002</v>
      </c>
      <c r="AC1580" s="347" t="s">
        <v>363</v>
      </c>
      <c r="AD1580" s="1138"/>
      <c r="AP1580" s="347">
        <v>83.15</v>
      </c>
      <c r="AQ1580" s="347" t="s">
        <v>352</v>
      </c>
      <c r="BF1580" s="347">
        <v>163.01</v>
      </c>
      <c r="BG1580" s="347" t="s">
        <v>359</v>
      </c>
      <c r="BH1580" s="1790"/>
      <c r="BN1580" s="237">
        <v>124.02</v>
      </c>
      <c r="BO1580" s="237" t="s">
        <v>337</v>
      </c>
      <c r="BT1580" s="347">
        <v>83.12</v>
      </c>
      <c r="BU1580" s="347" t="s">
        <v>352</v>
      </c>
      <c r="CD1580" s="237">
        <v>90.29</v>
      </c>
      <c r="CE1580" s="237" t="s">
        <v>352</v>
      </c>
      <c r="CJ1580" s="347">
        <v>164.09</v>
      </c>
      <c r="CK1580" s="347" t="s">
        <v>359</v>
      </c>
      <c r="CL1580" s="1789"/>
      <c r="CR1580" s="345"/>
      <c r="CS1580" s="345"/>
      <c r="CX1580" s="347"/>
      <c r="CY1580" s="347"/>
      <c r="DH1580" s="237"/>
      <c r="DI1580" s="237"/>
      <c r="DN1580" s="347"/>
      <c r="DO1580" s="347"/>
      <c r="DP1580" s="2505"/>
    </row>
    <row r="1581" spans="12:120">
      <c r="L1581" s="347">
        <v>7.02</v>
      </c>
      <c r="M1581" s="347" t="s">
        <v>749</v>
      </c>
      <c r="AB1581" s="347">
        <v>269.11</v>
      </c>
      <c r="AC1581" s="347" t="s">
        <v>363</v>
      </c>
      <c r="AD1581" s="1138"/>
      <c r="AP1581" s="347">
        <v>84.09</v>
      </c>
      <c r="AQ1581" s="347" t="s">
        <v>352</v>
      </c>
      <c r="BF1581" s="347">
        <v>164</v>
      </c>
      <c r="BG1581" s="347" t="s">
        <v>323</v>
      </c>
      <c r="BH1581" s="1790"/>
      <c r="BN1581" s="237">
        <v>124.03</v>
      </c>
      <c r="BO1581" s="237" t="s">
        <v>337</v>
      </c>
      <c r="BT1581" s="347">
        <v>83.14</v>
      </c>
      <c r="BU1581" s="347" t="s">
        <v>352</v>
      </c>
      <c r="CD1581" s="237">
        <v>90.3</v>
      </c>
      <c r="CE1581" s="237" t="s">
        <v>352</v>
      </c>
      <c r="CJ1581" s="347">
        <v>164.12</v>
      </c>
      <c r="CK1581" s="347" t="s">
        <v>359</v>
      </c>
      <c r="CL1581" s="1789"/>
      <c r="CR1581" s="345"/>
      <c r="CS1581" s="345"/>
      <c r="CX1581" s="347"/>
      <c r="CY1581" s="347"/>
      <c r="DH1581" s="237"/>
      <c r="DI1581" s="237"/>
      <c r="DN1581" s="347"/>
      <c r="DO1581" s="347"/>
      <c r="DP1581" s="2505"/>
    </row>
    <row r="1582" spans="12:120">
      <c r="L1582" s="347">
        <v>7.03</v>
      </c>
      <c r="M1582" s="347" t="s">
        <v>749</v>
      </c>
      <c r="AB1582" s="347">
        <v>270</v>
      </c>
      <c r="AC1582" s="347" t="s">
        <v>363</v>
      </c>
      <c r="AD1582" s="1138"/>
      <c r="AP1582" s="347">
        <v>84.15</v>
      </c>
      <c r="AQ1582" s="347" t="s">
        <v>352</v>
      </c>
      <c r="BF1582" s="347">
        <v>164.01</v>
      </c>
      <c r="BG1582" s="347" t="s">
        <v>352</v>
      </c>
      <c r="BH1582" s="1790"/>
      <c r="BN1582" s="237">
        <v>125.01</v>
      </c>
      <c r="BO1582" s="237" t="s">
        <v>337</v>
      </c>
      <c r="BT1582" s="347">
        <v>83.15</v>
      </c>
      <c r="BU1582" s="347" t="s">
        <v>352</v>
      </c>
      <c r="CD1582" s="237">
        <v>90.31</v>
      </c>
      <c r="CE1582" s="237" t="s">
        <v>352</v>
      </c>
      <c r="CJ1582" s="347">
        <v>165</v>
      </c>
      <c r="CK1582" s="347" t="s">
        <v>323</v>
      </c>
      <c r="CL1582" s="1789"/>
      <c r="CR1582" s="345"/>
      <c r="CS1582" s="345"/>
      <c r="CX1582" s="347"/>
      <c r="CY1582" s="347"/>
      <c r="DH1582" s="237"/>
      <c r="DI1582" s="237"/>
      <c r="DN1582" s="347"/>
      <c r="DO1582" s="347"/>
      <c r="DP1582" s="2505"/>
    </row>
    <row r="1583" spans="12:120">
      <c r="L1583" s="347">
        <v>8.02</v>
      </c>
      <c r="M1583" s="347" t="s">
        <v>749</v>
      </c>
      <c r="AB1583" s="347">
        <v>271.05</v>
      </c>
      <c r="AC1583" s="347" t="s">
        <v>363</v>
      </c>
      <c r="AD1583" s="1138"/>
      <c r="AP1583" s="347">
        <v>84.16</v>
      </c>
      <c r="AQ1583" s="347" t="s">
        <v>352</v>
      </c>
      <c r="BF1583" s="347">
        <v>164.02</v>
      </c>
      <c r="BG1583" s="347" t="s">
        <v>352</v>
      </c>
      <c r="BH1583" s="1790"/>
      <c r="BN1583" s="237">
        <v>125.03</v>
      </c>
      <c r="BO1583" s="237" t="s">
        <v>337</v>
      </c>
      <c r="BT1583" s="347">
        <v>84.09</v>
      </c>
      <c r="BU1583" s="347" t="s">
        <v>352</v>
      </c>
      <c r="CD1583" s="237">
        <v>90.39</v>
      </c>
      <c r="CE1583" s="237" t="s">
        <v>352</v>
      </c>
      <c r="CJ1583" s="347">
        <v>165.01</v>
      </c>
      <c r="CK1583" s="347" t="s">
        <v>352</v>
      </c>
      <c r="CL1583" s="1789"/>
      <c r="CR1583" s="345"/>
      <c r="CS1583" s="345"/>
      <c r="CX1583" s="347"/>
      <c r="CY1583" s="347"/>
      <c r="DH1583" s="237"/>
      <c r="DI1583" s="237"/>
      <c r="DN1583" s="347"/>
      <c r="DO1583" s="347"/>
      <c r="DP1583" s="2505"/>
    </row>
    <row r="1584" spans="12:120">
      <c r="L1584" s="347">
        <v>8.0299999999999994</v>
      </c>
      <c r="M1584" s="347" t="s">
        <v>749</v>
      </c>
      <c r="AB1584" s="347">
        <v>271.06</v>
      </c>
      <c r="AC1584" s="347" t="s">
        <v>363</v>
      </c>
      <c r="AD1584" s="1138"/>
      <c r="AP1584" s="347">
        <v>84.18</v>
      </c>
      <c r="AQ1584" s="347" t="s">
        <v>352</v>
      </c>
      <c r="BF1584" s="347">
        <v>164.08</v>
      </c>
      <c r="BG1584" s="347" t="s">
        <v>359</v>
      </c>
      <c r="BH1584" s="1790"/>
      <c r="BN1584" s="237">
        <v>125.04</v>
      </c>
      <c r="BO1584" s="237" t="s">
        <v>337</v>
      </c>
      <c r="BT1584" s="347">
        <v>84.15</v>
      </c>
      <c r="BU1584" s="347" t="s">
        <v>352</v>
      </c>
      <c r="CD1584" s="237">
        <v>90.4</v>
      </c>
      <c r="CE1584" s="237" t="s">
        <v>352</v>
      </c>
      <c r="CJ1584" s="347">
        <v>165.02</v>
      </c>
      <c r="CK1584" s="347" t="s">
        <v>352</v>
      </c>
      <c r="CL1584" s="1789"/>
      <c r="CR1584" s="345"/>
      <c r="CS1584" s="345"/>
      <c r="CX1584" s="347"/>
      <c r="CY1584" s="347"/>
      <c r="DH1584" s="237"/>
      <c r="DI1584" s="237"/>
      <c r="DN1584" s="347"/>
      <c r="DO1584" s="347"/>
      <c r="DP1584" s="2505"/>
    </row>
    <row r="1585" spans="12:120">
      <c r="L1585" s="347">
        <v>8.0399999999999991</v>
      </c>
      <c r="M1585" s="347" t="s">
        <v>749</v>
      </c>
      <c r="AB1585" s="347">
        <v>272.02</v>
      </c>
      <c r="AC1585" s="347" t="s">
        <v>363</v>
      </c>
      <c r="AD1585" s="1138"/>
      <c r="AP1585" s="347">
        <v>84.19</v>
      </c>
      <c r="AQ1585" s="347" t="s">
        <v>352</v>
      </c>
      <c r="BF1585" s="347">
        <v>164.09</v>
      </c>
      <c r="BG1585" s="347" t="s">
        <v>359</v>
      </c>
      <c r="BH1585" s="1790"/>
      <c r="BN1585" s="237">
        <v>126</v>
      </c>
      <c r="BO1585" s="237" t="s">
        <v>337</v>
      </c>
      <c r="BT1585" s="347">
        <v>84.16</v>
      </c>
      <c r="BU1585" s="347" t="s">
        <v>352</v>
      </c>
      <c r="CD1585" s="237">
        <v>90.43</v>
      </c>
      <c r="CE1585" s="237" t="s">
        <v>352</v>
      </c>
      <c r="CJ1585" s="347">
        <v>165.04</v>
      </c>
      <c r="CK1585" s="347" t="s">
        <v>359</v>
      </c>
      <c r="CL1585" s="1789"/>
      <c r="CR1585" s="345"/>
      <c r="CS1585" s="345"/>
      <c r="CX1585" s="347"/>
      <c r="CY1585" s="347"/>
      <c r="DH1585" s="237"/>
      <c r="DI1585" s="237"/>
      <c r="DN1585" s="347"/>
      <c r="DO1585" s="347"/>
      <c r="DP1585" s="2505"/>
    </row>
    <row r="1586" spans="12:120">
      <c r="L1586" s="347">
        <v>9.02</v>
      </c>
      <c r="M1586" s="347" t="s">
        <v>749</v>
      </c>
      <c r="AB1586" s="347">
        <v>272.04000000000002</v>
      </c>
      <c r="AC1586" s="347" t="s">
        <v>363</v>
      </c>
      <c r="AD1586" s="1138"/>
      <c r="AP1586" s="347">
        <v>84.2</v>
      </c>
      <c r="AQ1586" s="347" t="s">
        <v>352</v>
      </c>
      <c r="BF1586" s="347">
        <v>164.12</v>
      </c>
      <c r="BG1586" s="347" t="s">
        <v>359</v>
      </c>
      <c r="BH1586" s="1790"/>
      <c r="BN1586" s="237">
        <v>127.01</v>
      </c>
      <c r="BO1586" s="237" t="s">
        <v>337</v>
      </c>
      <c r="BT1586" s="347">
        <v>84.18</v>
      </c>
      <c r="BU1586" s="347" t="s">
        <v>352</v>
      </c>
      <c r="CD1586" s="237">
        <v>90.44</v>
      </c>
      <c r="CE1586" s="237" t="s">
        <v>352</v>
      </c>
      <c r="CJ1586" s="347">
        <v>165.05</v>
      </c>
      <c r="CK1586" s="347" t="s">
        <v>359</v>
      </c>
      <c r="CL1586" s="1789"/>
      <c r="CR1586" s="345"/>
      <c r="CS1586" s="345"/>
      <c r="CX1586" s="347"/>
      <c r="CY1586" s="347"/>
      <c r="DH1586" s="237"/>
      <c r="DI1586" s="237"/>
      <c r="DN1586" s="347"/>
      <c r="DO1586" s="347"/>
      <c r="DP1586" s="2505"/>
    </row>
    <row r="1587" spans="12:120">
      <c r="L1587" s="347">
        <v>9.0299999999999994</v>
      </c>
      <c r="M1587" s="347" t="s">
        <v>749</v>
      </c>
      <c r="AB1587" s="347">
        <v>272.05</v>
      </c>
      <c r="AC1587" s="347" t="s">
        <v>363</v>
      </c>
      <c r="AD1587" s="1138"/>
      <c r="AP1587" s="347">
        <v>84.21</v>
      </c>
      <c r="AQ1587" s="347" t="s">
        <v>352</v>
      </c>
      <c r="BF1587" s="347">
        <v>164.14</v>
      </c>
      <c r="BG1587" s="347" t="s">
        <v>359</v>
      </c>
      <c r="BH1587" s="1790"/>
      <c r="BN1587" s="237">
        <v>127.02</v>
      </c>
      <c r="BO1587" s="237" t="s">
        <v>337</v>
      </c>
      <c r="BT1587" s="347">
        <v>84.19</v>
      </c>
      <c r="BU1587" s="347" t="s">
        <v>352</v>
      </c>
      <c r="CD1587" s="237">
        <v>90.48</v>
      </c>
      <c r="CE1587" s="237" t="s">
        <v>352</v>
      </c>
      <c r="CJ1587" s="347">
        <v>165.11</v>
      </c>
      <c r="CK1587" s="347" t="s">
        <v>359</v>
      </c>
      <c r="CL1587" s="1789"/>
      <c r="CR1587" s="345"/>
      <c r="CS1587" s="345"/>
      <c r="CX1587" s="347"/>
      <c r="CY1587" s="347"/>
      <c r="DH1587" s="237"/>
      <c r="DI1587" s="237"/>
      <c r="DN1587" s="347"/>
      <c r="DO1587" s="347"/>
      <c r="DP1587" s="2505"/>
    </row>
    <row r="1588" spans="12:120">
      <c r="L1588" s="347">
        <v>9.0399999999999991</v>
      </c>
      <c r="M1588" s="347" t="s">
        <v>749</v>
      </c>
      <c r="AB1588" s="347">
        <v>272.06</v>
      </c>
      <c r="AC1588" s="347" t="s">
        <v>363</v>
      </c>
      <c r="AD1588" s="1138"/>
      <c r="AP1588" s="347">
        <v>84.22</v>
      </c>
      <c r="AQ1588" s="347" t="s">
        <v>352</v>
      </c>
      <c r="BF1588" s="347">
        <v>165</v>
      </c>
      <c r="BG1588" s="347" t="s">
        <v>323</v>
      </c>
      <c r="BH1588" s="1790"/>
      <c r="BN1588" s="237">
        <v>128</v>
      </c>
      <c r="BO1588" s="237" t="s">
        <v>337</v>
      </c>
      <c r="BT1588" s="347">
        <v>84.2</v>
      </c>
      <c r="BU1588" s="347" t="s">
        <v>352</v>
      </c>
      <c r="CD1588" s="237">
        <v>90.49</v>
      </c>
      <c r="CE1588" s="237" t="s">
        <v>352</v>
      </c>
      <c r="CJ1588" s="347">
        <v>165.14</v>
      </c>
      <c r="CK1588" s="347" t="s">
        <v>359</v>
      </c>
      <c r="CL1588" s="1789"/>
      <c r="CR1588" s="345"/>
      <c r="CS1588" s="345"/>
      <c r="CX1588" s="347"/>
      <c r="CY1588" s="347"/>
      <c r="DH1588" s="237"/>
      <c r="DI1588" s="237"/>
      <c r="DN1588" s="347"/>
      <c r="DO1588" s="347"/>
      <c r="DP1588" s="2505"/>
    </row>
    <row r="1589" spans="12:120">
      <c r="L1589" s="347">
        <v>9.0500000000000007</v>
      </c>
      <c r="M1589" s="347" t="s">
        <v>749</v>
      </c>
      <c r="AB1589" s="347">
        <v>272.07</v>
      </c>
      <c r="AC1589" s="347" t="s">
        <v>363</v>
      </c>
      <c r="AD1589" s="1138"/>
      <c r="AP1589" s="347">
        <v>84.23</v>
      </c>
      <c r="AQ1589" s="347" t="s">
        <v>352</v>
      </c>
      <c r="BF1589" s="347">
        <v>165.01</v>
      </c>
      <c r="BG1589" s="347" t="s">
        <v>352</v>
      </c>
      <c r="BH1589" s="1790"/>
      <c r="BN1589" s="237">
        <v>129</v>
      </c>
      <c r="BO1589" s="237" t="s">
        <v>337</v>
      </c>
      <c r="BT1589" s="347">
        <v>84.21</v>
      </c>
      <c r="BU1589" s="347" t="s">
        <v>352</v>
      </c>
      <c r="CD1589" s="237">
        <v>90.5</v>
      </c>
      <c r="CE1589" s="237" t="s">
        <v>352</v>
      </c>
      <c r="CJ1589" s="347">
        <v>165.15</v>
      </c>
      <c r="CK1589" s="347" t="s">
        <v>359</v>
      </c>
      <c r="CL1589" s="1789"/>
      <c r="CR1589" s="345"/>
      <c r="CS1589" s="345"/>
      <c r="CX1589" s="347"/>
      <c r="CY1589" s="347"/>
      <c r="DH1589" s="237"/>
      <c r="DI1589" s="237"/>
      <c r="DN1589" s="347"/>
      <c r="DO1589" s="347"/>
      <c r="DP1589" s="2505"/>
    </row>
    <row r="1590" spans="12:120">
      <c r="L1590" s="347">
        <v>10.029999999999999</v>
      </c>
      <c r="M1590" s="347" t="s">
        <v>749</v>
      </c>
      <c r="AB1590" s="347">
        <v>272.08</v>
      </c>
      <c r="AC1590" s="347" t="s">
        <v>363</v>
      </c>
      <c r="AD1590" s="1138"/>
      <c r="AP1590" s="347">
        <v>84.24</v>
      </c>
      <c r="AQ1590" s="347" t="s">
        <v>352</v>
      </c>
      <c r="BF1590" s="347">
        <v>165.02</v>
      </c>
      <c r="BG1590" s="347" t="s">
        <v>352</v>
      </c>
      <c r="BH1590" s="1790"/>
      <c r="BN1590" s="237">
        <v>130.01</v>
      </c>
      <c r="BO1590" s="237" t="s">
        <v>337</v>
      </c>
      <c r="BT1590" s="347">
        <v>84.22</v>
      </c>
      <c r="BU1590" s="347" t="s">
        <v>352</v>
      </c>
      <c r="CD1590" s="237">
        <v>90.51</v>
      </c>
      <c r="CE1590" s="237" t="s">
        <v>352</v>
      </c>
      <c r="CJ1590" s="347">
        <v>166</v>
      </c>
      <c r="CK1590" s="347" t="s">
        <v>352</v>
      </c>
      <c r="CL1590" s="1789"/>
      <c r="CR1590" s="345"/>
      <c r="CS1590" s="345"/>
      <c r="CX1590" s="347"/>
      <c r="CY1590" s="347"/>
      <c r="DH1590" s="237"/>
      <c r="DI1590" s="237"/>
      <c r="DN1590" s="347"/>
      <c r="DO1590" s="347"/>
      <c r="DP1590" s="2505"/>
    </row>
    <row r="1591" spans="12:120">
      <c r="L1591" s="347">
        <v>11.01</v>
      </c>
      <c r="M1591" s="347" t="s">
        <v>749</v>
      </c>
      <c r="AB1591" s="347">
        <v>272.08999999999997</v>
      </c>
      <c r="AC1591" s="347" t="s">
        <v>363</v>
      </c>
      <c r="AD1591" s="1138"/>
      <c r="AP1591" s="347">
        <v>84.25</v>
      </c>
      <c r="AQ1591" s="347" t="s">
        <v>352</v>
      </c>
      <c r="BF1591" s="347">
        <v>165.03</v>
      </c>
      <c r="BG1591" s="347" t="s">
        <v>359</v>
      </c>
      <c r="BH1591" s="1790"/>
      <c r="BN1591" s="237">
        <v>130.02000000000001</v>
      </c>
      <c r="BO1591" s="237" t="s">
        <v>337</v>
      </c>
      <c r="BT1591" s="347">
        <v>84.23</v>
      </c>
      <c r="BU1591" s="347" t="s">
        <v>352</v>
      </c>
      <c r="CD1591" s="237">
        <v>90.52</v>
      </c>
      <c r="CE1591" s="237" t="s">
        <v>352</v>
      </c>
      <c r="CJ1591" s="347">
        <v>166.03</v>
      </c>
      <c r="CK1591" s="347" t="s">
        <v>323</v>
      </c>
      <c r="CL1591" s="1789"/>
      <c r="CR1591" s="345"/>
      <c r="CS1591" s="345"/>
      <c r="CX1591" s="347"/>
      <c r="CY1591" s="347"/>
      <c r="DH1591" s="237"/>
      <c r="DI1591" s="237"/>
      <c r="DN1591" s="347"/>
      <c r="DO1591" s="347"/>
      <c r="DP1591" s="2505"/>
    </row>
    <row r="1592" spans="12:120">
      <c r="L1592" s="347">
        <v>11.02</v>
      </c>
      <c r="M1592" s="347" t="s">
        <v>749</v>
      </c>
      <c r="AB1592" s="347">
        <v>272.10000000000002</v>
      </c>
      <c r="AC1592" s="347" t="s">
        <v>363</v>
      </c>
      <c r="AD1592" s="1138"/>
      <c r="AP1592" s="347">
        <v>84.26</v>
      </c>
      <c r="AQ1592" s="347" t="s">
        <v>352</v>
      </c>
      <c r="BF1592" s="347">
        <v>165.04</v>
      </c>
      <c r="BG1592" s="347" t="s">
        <v>359</v>
      </c>
      <c r="BH1592" s="1790"/>
      <c r="BN1592" s="237">
        <v>130.03</v>
      </c>
      <c r="BO1592" s="237" t="s">
        <v>337</v>
      </c>
      <c r="BT1592" s="347">
        <v>84.24</v>
      </c>
      <c r="BU1592" s="347" t="s">
        <v>352</v>
      </c>
      <c r="CD1592" s="237">
        <v>90.53</v>
      </c>
      <c r="CE1592" s="237" t="s">
        <v>352</v>
      </c>
      <c r="CJ1592" s="347">
        <v>166.03</v>
      </c>
      <c r="CK1592" s="347" t="s">
        <v>359</v>
      </c>
      <c r="CL1592" s="1789"/>
      <c r="CR1592" s="345"/>
      <c r="CS1592" s="345"/>
      <c r="CX1592" s="347"/>
      <c r="CY1592" s="347"/>
      <c r="DH1592" s="237"/>
      <c r="DI1592" s="237"/>
      <c r="DN1592" s="347"/>
      <c r="DO1592" s="347"/>
      <c r="DP1592" s="2505"/>
    </row>
    <row r="1593" spans="12:120">
      <c r="L1593" s="347">
        <v>19.04</v>
      </c>
      <c r="M1593" s="347" t="s">
        <v>749</v>
      </c>
      <c r="AB1593" s="347">
        <v>273.08999999999997</v>
      </c>
      <c r="AC1593" s="347" t="s">
        <v>363</v>
      </c>
      <c r="AD1593" s="1138"/>
      <c r="AP1593" s="347">
        <v>84.27</v>
      </c>
      <c r="AQ1593" s="347" t="s">
        <v>352</v>
      </c>
      <c r="BF1593" s="347">
        <v>165.05</v>
      </c>
      <c r="BG1593" s="347" t="s">
        <v>359</v>
      </c>
      <c r="BH1593" s="1790"/>
      <c r="BN1593" s="237">
        <v>130.04</v>
      </c>
      <c r="BO1593" s="237" t="s">
        <v>337</v>
      </c>
      <c r="BT1593" s="347">
        <v>84.25</v>
      </c>
      <c r="BU1593" s="347" t="s">
        <v>352</v>
      </c>
      <c r="CD1593" s="237">
        <v>90.54</v>
      </c>
      <c r="CE1593" s="237" t="s">
        <v>352</v>
      </c>
      <c r="CJ1593" s="347">
        <v>166.04</v>
      </c>
      <c r="CK1593" s="347" t="s">
        <v>323</v>
      </c>
      <c r="CL1593" s="1789"/>
      <c r="CR1593" s="345"/>
      <c r="CS1593" s="345"/>
      <c r="CX1593" s="347"/>
      <c r="CY1593" s="347"/>
      <c r="DH1593" s="237"/>
      <c r="DI1593" s="237"/>
      <c r="DN1593" s="347"/>
      <c r="DO1593" s="347"/>
      <c r="DP1593" s="2505"/>
    </row>
    <row r="1594" spans="12:120">
      <c r="L1594" s="347">
        <v>19.14</v>
      </c>
      <c r="M1594" s="347" t="s">
        <v>749</v>
      </c>
      <c r="AB1594" s="347">
        <v>273.10000000000002</v>
      </c>
      <c r="AC1594" s="347" t="s">
        <v>363</v>
      </c>
      <c r="AD1594" s="1138"/>
      <c r="AP1594" s="347">
        <v>84.28</v>
      </c>
      <c r="AQ1594" s="347" t="s">
        <v>352</v>
      </c>
      <c r="BF1594" s="347">
        <v>165.09</v>
      </c>
      <c r="BG1594" s="347" t="s">
        <v>359</v>
      </c>
      <c r="BH1594" s="1790"/>
      <c r="BN1594" s="237">
        <v>131</v>
      </c>
      <c r="BO1594" s="237" t="s">
        <v>337</v>
      </c>
      <c r="BT1594" s="347">
        <v>84.26</v>
      </c>
      <c r="BU1594" s="347" t="s">
        <v>352</v>
      </c>
      <c r="CD1594" s="237">
        <v>90.55</v>
      </c>
      <c r="CE1594" s="237" t="s">
        <v>352</v>
      </c>
      <c r="CJ1594" s="347">
        <v>166.05</v>
      </c>
      <c r="CK1594" s="347" t="s">
        <v>323</v>
      </c>
      <c r="CL1594" s="1789"/>
      <c r="CR1594" s="345"/>
      <c r="CS1594" s="345"/>
      <c r="CX1594" s="347"/>
      <c r="CY1594" s="347"/>
      <c r="DH1594" s="237"/>
      <c r="DI1594" s="237"/>
      <c r="DN1594" s="347"/>
      <c r="DO1594" s="347"/>
      <c r="DP1594" s="2505"/>
    </row>
    <row r="1595" spans="12:120">
      <c r="L1595" s="347">
        <v>19.149999999999999</v>
      </c>
      <c r="M1595" s="347" t="s">
        <v>749</v>
      </c>
      <c r="AB1595" s="347">
        <v>273.14</v>
      </c>
      <c r="AC1595" s="347" t="s">
        <v>363</v>
      </c>
      <c r="AD1595" s="1138"/>
      <c r="AP1595" s="347">
        <v>84.29</v>
      </c>
      <c r="AQ1595" s="347" t="s">
        <v>352</v>
      </c>
      <c r="BF1595" s="347">
        <v>165.11</v>
      </c>
      <c r="BG1595" s="347" t="s">
        <v>359</v>
      </c>
      <c r="BH1595" s="1790"/>
      <c r="BN1595" s="237">
        <v>132.03</v>
      </c>
      <c r="BO1595" s="237" t="s">
        <v>337</v>
      </c>
      <c r="BT1595" s="347">
        <v>84.27</v>
      </c>
      <c r="BU1595" s="347" t="s">
        <v>352</v>
      </c>
      <c r="CD1595" s="237">
        <v>90.56</v>
      </c>
      <c r="CE1595" s="237" t="s">
        <v>352</v>
      </c>
      <c r="CJ1595" s="347">
        <v>166.06</v>
      </c>
      <c r="CK1595" s="347" t="s">
        <v>359</v>
      </c>
      <c r="CL1595" s="1789"/>
      <c r="CR1595" s="345"/>
      <c r="CS1595" s="345"/>
      <c r="CX1595" s="347"/>
      <c r="CY1595" s="347"/>
      <c r="DH1595" s="237"/>
      <c r="DI1595" s="237"/>
      <c r="DN1595" s="347"/>
      <c r="DO1595" s="347"/>
      <c r="DP1595" s="2505"/>
    </row>
    <row r="1596" spans="12:120">
      <c r="L1596" s="347">
        <v>19.16</v>
      </c>
      <c r="M1596" s="347" t="s">
        <v>749</v>
      </c>
      <c r="AB1596" s="347">
        <v>273.14999999999998</v>
      </c>
      <c r="AC1596" s="347" t="s">
        <v>363</v>
      </c>
      <c r="AD1596" s="1138"/>
      <c r="AP1596" s="347">
        <v>84.3</v>
      </c>
      <c r="AQ1596" s="347" t="s">
        <v>352</v>
      </c>
      <c r="BF1596" s="347">
        <v>165.14</v>
      </c>
      <c r="BG1596" s="347" t="s">
        <v>359</v>
      </c>
      <c r="BH1596" s="1790"/>
      <c r="BN1596" s="237">
        <v>132.04</v>
      </c>
      <c r="BO1596" s="237" t="s">
        <v>337</v>
      </c>
      <c r="BT1596" s="347">
        <v>84.28</v>
      </c>
      <c r="BU1596" s="347" t="s">
        <v>352</v>
      </c>
      <c r="CD1596" s="237">
        <v>90.57</v>
      </c>
      <c r="CE1596" s="237" t="s">
        <v>352</v>
      </c>
      <c r="CJ1596" s="347">
        <v>166.07</v>
      </c>
      <c r="CK1596" s="347" t="s">
        <v>359</v>
      </c>
      <c r="CL1596" s="1789"/>
      <c r="CR1596" s="345"/>
      <c r="CS1596" s="345"/>
      <c r="CX1596" s="347"/>
      <c r="CY1596" s="347"/>
      <c r="DH1596" s="237"/>
      <c r="DI1596" s="237"/>
      <c r="DN1596" s="347"/>
      <c r="DO1596" s="347"/>
      <c r="DP1596" s="2505"/>
    </row>
    <row r="1597" spans="12:120">
      <c r="L1597" s="347">
        <v>20.05</v>
      </c>
      <c r="M1597" s="347" t="s">
        <v>749</v>
      </c>
      <c r="AB1597" s="347">
        <v>273.16000000000003</v>
      </c>
      <c r="AC1597" s="347" t="s">
        <v>363</v>
      </c>
      <c r="AD1597" s="1138"/>
      <c r="AP1597" s="347">
        <v>84.31</v>
      </c>
      <c r="AQ1597" s="347" t="s">
        <v>352</v>
      </c>
      <c r="BF1597" s="347">
        <v>166</v>
      </c>
      <c r="BG1597" s="347" t="s">
        <v>352</v>
      </c>
      <c r="BH1597" s="1790"/>
      <c r="BN1597" s="237">
        <v>132.05000000000001</v>
      </c>
      <c r="BO1597" s="237" t="s">
        <v>337</v>
      </c>
      <c r="BT1597" s="347">
        <v>84.29</v>
      </c>
      <c r="BU1597" s="347" t="s">
        <v>352</v>
      </c>
      <c r="CD1597" s="237">
        <v>90.58</v>
      </c>
      <c r="CE1597" s="237" t="s">
        <v>352</v>
      </c>
      <c r="CJ1597" s="347">
        <v>167</v>
      </c>
      <c r="CK1597" s="347" t="s">
        <v>352</v>
      </c>
      <c r="CL1597" s="1789"/>
      <c r="CR1597" s="345"/>
      <c r="CS1597" s="345"/>
      <c r="CX1597" s="347"/>
      <c r="CY1597" s="347"/>
      <c r="DH1597" s="237"/>
      <c r="DI1597" s="237"/>
      <c r="DN1597" s="347"/>
      <c r="DO1597" s="347"/>
      <c r="DP1597" s="2505"/>
    </row>
    <row r="1598" spans="12:120">
      <c r="L1598" s="347">
        <v>23</v>
      </c>
      <c r="M1598" s="347" t="s">
        <v>749</v>
      </c>
      <c r="AB1598" s="347">
        <v>273.17</v>
      </c>
      <c r="AC1598" s="347" t="s">
        <v>363</v>
      </c>
      <c r="AD1598" s="1138"/>
      <c r="AP1598" s="347">
        <v>85.02</v>
      </c>
      <c r="AQ1598" s="347" t="s">
        <v>352</v>
      </c>
      <c r="BF1598" s="347">
        <v>166.03</v>
      </c>
      <c r="BG1598" s="347" t="s">
        <v>323</v>
      </c>
      <c r="BH1598" s="1790"/>
      <c r="BN1598" s="237">
        <v>132.06</v>
      </c>
      <c r="BO1598" s="237" t="s">
        <v>337</v>
      </c>
      <c r="BT1598" s="347">
        <v>84.3</v>
      </c>
      <c r="BU1598" s="347" t="s">
        <v>352</v>
      </c>
      <c r="CD1598" s="237">
        <v>90.59</v>
      </c>
      <c r="CE1598" s="237" t="s">
        <v>352</v>
      </c>
      <c r="CJ1598" s="347">
        <v>167.09</v>
      </c>
      <c r="CK1598" s="347" t="s">
        <v>359</v>
      </c>
      <c r="CL1598" s="1789"/>
      <c r="CR1598" s="345"/>
      <c r="CS1598" s="345"/>
      <c r="CX1598" s="347"/>
      <c r="CY1598" s="347"/>
      <c r="DH1598" s="237"/>
      <c r="DI1598" s="237"/>
      <c r="DN1598" s="347"/>
      <c r="DO1598" s="347"/>
      <c r="DP1598" s="2505"/>
    </row>
    <row r="1599" spans="12:120">
      <c r="L1599" s="347">
        <v>26</v>
      </c>
      <c r="M1599" s="347" t="s">
        <v>749</v>
      </c>
      <c r="AB1599" s="347">
        <v>273.18</v>
      </c>
      <c r="AC1599" s="347" t="s">
        <v>363</v>
      </c>
      <c r="AD1599" s="1138"/>
      <c r="AP1599" s="347">
        <v>85.04</v>
      </c>
      <c r="AQ1599" s="347" t="s">
        <v>352</v>
      </c>
      <c r="BF1599" s="347">
        <v>166.03</v>
      </c>
      <c r="BG1599" s="347" t="s">
        <v>359</v>
      </c>
      <c r="BH1599" s="1790"/>
      <c r="BN1599" s="237">
        <v>132.07</v>
      </c>
      <c r="BO1599" s="237" t="s">
        <v>337</v>
      </c>
      <c r="BT1599" s="347">
        <v>85.02</v>
      </c>
      <c r="BU1599" s="347" t="s">
        <v>352</v>
      </c>
      <c r="CD1599" s="237">
        <v>90.6</v>
      </c>
      <c r="CE1599" s="237" t="s">
        <v>352</v>
      </c>
      <c r="CJ1599" s="347">
        <v>167.1</v>
      </c>
      <c r="CK1599" s="347" t="s">
        <v>359</v>
      </c>
      <c r="CL1599" s="1789"/>
      <c r="CR1599" s="345"/>
      <c r="CS1599" s="345"/>
      <c r="CX1599" s="347"/>
      <c r="CY1599" s="347"/>
      <c r="DH1599" s="237"/>
      <c r="DI1599" s="237"/>
      <c r="DN1599" s="347"/>
      <c r="DO1599" s="347"/>
      <c r="DP1599" s="2505"/>
    </row>
    <row r="1600" spans="12:120">
      <c r="L1600" s="347">
        <v>27</v>
      </c>
      <c r="M1600" s="347" t="s">
        <v>749</v>
      </c>
      <c r="AB1600" s="347">
        <v>273.19</v>
      </c>
      <c r="AC1600" s="347" t="s">
        <v>363</v>
      </c>
      <c r="AD1600" s="1138"/>
      <c r="AP1600" s="347">
        <v>86.01</v>
      </c>
      <c r="AQ1600" s="347" t="s">
        <v>352</v>
      </c>
      <c r="BF1600" s="347">
        <v>166.04</v>
      </c>
      <c r="BG1600" s="347" t="s">
        <v>323</v>
      </c>
      <c r="BH1600" s="1790"/>
      <c r="BN1600" s="237">
        <v>132.08000000000001</v>
      </c>
      <c r="BO1600" s="237" t="s">
        <v>337</v>
      </c>
      <c r="BT1600" s="347">
        <v>85.04</v>
      </c>
      <c r="BU1600" s="347" t="s">
        <v>352</v>
      </c>
      <c r="CD1600" s="237">
        <v>90.61</v>
      </c>
      <c r="CE1600" s="237" t="s">
        <v>352</v>
      </c>
      <c r="CJ1600" s="347">
        <v>167.11</v>
      </c>
      <c r="CK1600" s="347" t="s">
        <v>323</v>
      </c>
      <c r="CL1600" s="1789"/>
      <c r="CR1600" s="345"/>
      <c r="CS1600" s="345"/>
      <c r="CX1600" s="347"/>
      <c r="CY1600" s="347"/>
      <c r="DH1600" s="237"/>
      <c r="DI1600" s="237"/>
      <c r="DN1600" s="347"/>
      <c r="DO1600" s="347"/>
      <c r="DP1600" s="2505"/>
    </row>
    <row r="1601" spans="12:120">
      <c r="L1601" s="347">
        <v>32.020000000000003</v>
      </c>
      <c r="M1601" s="347" t="s">
        <v>749</v>
      </c>
      <c r="AB1601" s="347">
        <v>273.2</v>
      </c>
      <c r="AC1601" s="347" t="s">
        <v>363</v>
      </c>
      <c r="AD1601" s="1138"/>
      <c r="AP1601" s="347">
        <v>86.03</v>
      </c>
      <c r="AQ1601" s="347" t="s">
        <v>352</v>
      </c>
      <c r="BF1601" s="347">
        <v>166.05</v>
      </c>
      <c r="BG1601" s="347" t="s">
        <v>323</v>
      </c>
      <c r="BH1601" s="1790"/>
      <c r="BN1601" s="237">
        <v>133.05000000000001</v>
      </c>
      <c r="BO1601" s="237" t="s">
        <v>337</v>
      </c>
      <c r="BT1601" s="347">
        <v>86.01</v>
      </c>
      <c r="BU1601" s="347" t="s">
        <v>352</v>
      </c>
      <c r="CD1601" s="237">
        <v>90.62</v>
      </c>
      <c r="CE1601" s="237" t="s">
        <v>352</v>
      </c>
      <c r="CJ1601" s="347">
        <v>167.16</v>
      </c>
      <c r="CK1601" s="347" t="s">
        <v>359</v>
      </c>
      <c r="CL1601" s="1789"/>
      <c r="CR1601" s="345"/>
      <c r="CS1601" s="345"/>
      <c r="CX1601" s="347"/>
      <c r="CY1601" s="347"/>
      <c r="DH1601" s="237"/>
      <c r="DI1601" s="237"/>
      <c r="DN1601" s="347"/>
      <c r="DO1601" s="347"/>
      <c r="DP1601" s="2505"/>
    </row>
    <row r="1602" spans="12:120">
      <c r="L1602" s="347">
        <v>34</v>
      </c>
      <c r="M1602" s="347" t="s">
        <v>749</v>
      </c>
      <c r="AB1602" s="347">
        <v>273.20999999999998</v>
      </c>
      <c r="AC1602" s="347" t="s">
        <v>363</v>
      </c>
      <c r="AD1602" s="1138"/>
      <c r="AP1602" s="347">
        <v>86.04</v>
      </c>
      <c r="AQ1602" s="347" t="s">
        <v>352</v>
      </c>
      <c r="BF1602" s="347">
        <v>166.06</v>
      </c>
      <c r="BG1602" s="347" t="s">
        <v>359</v>
      </c>
      <c r="BH1602" s="1790"/>
      <c r="BN1602" s="237">
        <v>133.07</v>
      </c>
      <c r="BO1602" s="237" t="s">
        <v>337</v>
      </c>
      <c r="BT1602" s="347">
        <v>86.03</v>
      </c>
      <c r="BU1602" s="347" t="s">
        <v>352</v>
      </c>
      <c r="CD1602" s="237">
        <v>90.63</v>
      </c>
      <c r="CE1602" s="237" t="s">
        <v>352</v>
      </c>
      <c r="CJ1602" s="347">
        <v>167.17</v>
      </c>
      <c r="CK1602" s="347" t="s">
        <v>359</v>
      </c>
      <c r="CL1602" s="1789"/>
      <c r="CR1602" s="345"/>
      <c r="CS1602" s="345"/>
      <c r="CX1602" s="347"/>
      <c r="CY1602" s="347"/>
      <c r="DH1602" s="237"/>
      <c r="DI1602" s="237"/>
      <c r="DN1602" s="347"/>
      <c r="DO1602" s="347"/>
      <c r="DP1602" s="2505"/>
    </row>
    <row r="1603" spans="12:120">
      <c r="L1603" s="347">
        <v>35.04</v>
      </c>
      <c r="M1603" s="347" t="s">
        <v>749</v>
      </c>
      <c r="AB1603" s="347">
        <v>273.22000000000003</v>
      </c>
      <c r="AC1603" s="347" t="s">
        <v>363</v>
      </c>
      <c r="AD1603" s="1138"/>
      <c r="AP1603" s="347">
        <v>87.03</v>
      </c>
      <c r="AQ1603" s="347" t="s">
        <v>352</v>
      </c>
      <c r="BF1603" s="347">
        <v>166.07</v>
      </c>
      <c r="BG1603" s="347" t="s">
        <v>359</v>
      </c>
      <c r="BH1603" s="1790"/>
      <c r="BN1603" s="237">
        <v>133.1</v>
      </c>
      <c r="BO1603" s="237" t="s">
        <v>337</v>
      </c>
      <c r="BT1603" s="347">
        <v>86.04</v>
      </c>
      <c r="BU1603" s="347" t="s">
        <v>352</v>
      </c>
      <c r="CD1603" s="237">
        <v>90.64</v>
      </c>
      <c r="CE1603" s="237" t="s">
        <v>352</v>
      </c>
      <c r="CJ1603" s="347">
        <v>167.24</v>
      </c>
      <c r="CK1603" s="347" t="s">
        <v>323</v>
      </c>
      <c r="CL1603" s="1789"/>
      <c r="CR1603" s="345"/>
      <c r="CS1603" s="345"/>
      <c r="CX1603" s="347"/>
      <c r="CY1603" s="347"/>
      <c r="DH1603" s="237"/>
      <c r="DI1603" s="237"/>
      <c r="DN1603" s="347"/>
      <c r="DO1603" s="347"/>
      <c r="DP1603" s="2505"/>
    </row>
    <row r="1604" spans="12:120">
      <c r="L1604" s="347">
        <v>35.07</v>
      </c>
      <c r="M1604" s="347" t="s">
        <v>749</v>
      </c>
      <c r="AB1604" s="347">
        <v>273.23</v>
      </c>
      <c r="AC1604" s="347" t="s">
        <v>363</v>
      </c>
      <c r="AD1604" s="1138"/>
      <c r="AP1604" s="347">
        <v>87.04</v>
      </c>
      <c r="AQ1604" s="347" t="s">
        <v>352</v>
      </c>
      <c r="BF1604" s="347">
        <v>167</v>
      </c>
      <c r="BG1604" s="347" t="s">
        <v>352</v>
      </c>
      <c r="BH1604" s="1790"/>
      <c r="BN1604" s="237">
        <v>133.11000000000001</v>
      </c>
      <c r="BO1604" s="237" t="s">
        <v>337</v>
      </c>
      <c r="BT1604" s="347">
        <v>87.04</v>
      </c>
      <c r="BU1604" s="347" t="s">
        <v>352</v>
      </c>
      <c r="CD1604" s="237">
        <v>90.65</v>
      </c>
      <c r="CE1604" s="237" t="s">
        <v>352</v>
      </c>
      <c r="CJ1604" s="347">
        <v>167.24</v>
      </c>
      <c r="CK1604" s="347" t="s">
        <v>359</v>
      </c>
      <c r="CL1604" s="1789"/>
      <c r="CR1604" s="345"/>
      <c r="CS1604" s="345"/>
      <c r="CX1604" s="347"/>
      <c r="CY1604" s="347"/>
      <c r="DH1604" s="237"/>
      <c r="DI1604" s="237"/>
      <c r="DN1604" s="347"/>
      <c r="DO1604" s="347"/>
      <c r="DP1604" s="2505"/>
    </row>
    <row r="1605" spans="12:120">
      <c r="L1605" s="347">
        <v>35.090000000000003</v>
      </c>
      <c r="M1605" s="347" t="s">
        <v>749</v>
      </c>
      <c r="AB1605" s="347">
        <v>273.24</v>
      </c>
      <c r="AC1605" s="347" t="s">
        <v>363</v>
      </c>
      <c r="AD1605" s="1138"/>
      <c r="AP1605" s="347">
        <v>88.05</v>
      </c>
      <c r="AQ1605" s="347" t="s">
        <v>352</v>
      </c>
      <c r="BF1605" s="347">
        <v>167.09</v>
      </c>
      <c r="BG1605" s="347" t="s">
        <v>359</v>
      </c>
      <c r="BH1605" s="1790"/>
      <c r="BN1605" s="237">
        <v>133.12</v>
      </c>
      <c r="BO1605" s="237" t="s">
        <v>337</v>
      </c>
      <c r="BT1605" s="347">
        <v>88.06</v>
      </c>
      <c r="BU1605" s="347" t="s">
        <v>352</v>
      </c>
      <c r="CD1605" s="237">
        <v>90.66</v>
      </c>
      <c r="CE1605" s="237" t="s">
        <v>352</v>
      </c>
      <c r="CJ1605" s="347">
        <v>167.25</v>
      </c>
      <c r="CK1605" s="347" t="s">
        <v>323</v>
      </c>
      <c r="CL1605" s="1789"/>
      <c r="CR1605" s="345"/>
      <c r="CS1605" s="345"/>
      <c r="CX1605" s="347"/>
      <c r="CY1605" s="347"/>
      <c r="DH1605" s="237"/>
      <c r="DI1605" s="237"/>
      <c r="DN1605" s="347"/>
      <c r="DO1605" s="347"/>
      <c r="DP1605" s="2505"/>
    </row>
    <row r="1606" spans="12:120">
      <c r="L1606" s="347">
        <v>35.11</v>
      </c>
      <c r="M1606" s="347" t="s">
        <v>749</v>
      </c>
      <c r="AB1606" s="347">
        <v>273.25</v>
      </c>
      <c r="AC1606" s="347" t="s">
        <v>363</v>
      </c>
      <c r="AD1606" s="1138"/>
      <c r="AP1606" s="347">
        <v>88.06</v>
      </c>
      <c r="AQ1606" s="347" t="s">
        <v>352</v>
      </c>
      <c r="BF1606" s="347">
        <v>167.1</v>
      </c>
      <c r="BG1606" s="347" t="s">
        <v>359</v>
      </c>
      <c r="BH1606" s="1790"/>
      <c r="BN1606" s="237">
        <v>133.13</v>
      </c>
      <c r="BO1606" s="237" t="s">
        <v>337</v>
      </c>
      <c r="BT1606" s="347">
        <v>88.09</v>
      </c>
      <c r="BU1606" s="347" t="s">
        <v>352</v>
      </c>
      <c r="CD1606" s="237">
        <v>91.01</v>
      </c>
      <c r="CE1606" s="237" t="s">
        <v>352</v>
      </c>
      <c r="CJ1606" s="347">
        <v>167.26</v>
      </c>
      <c r="CK1606" s="347" t="s">
        <v>323</v>
      </c>
      <c r="CL1606" s="1789"/>
      <c r="CR1606" s="345"/>
      <c r="CS1606" s="345"/>
      <c r="CX1606" s="347"/>
      <c r="CY1606" s="347"/>
      <c r="DH1606" s="237"/>
      <c r="DI1606" s="237"/>
      <c r="DN1606" s="347"/>
      <c r="DO1606" s="347"/>
      <c r="DP1606" s="2505"/>
    </row>
    <row r="1607" spans="12:120">
      <c r="L1607" s="347">
        <v>36</v>
      </c>
      <c r="M1607" s="347" t="s">
        <v>749</v>
      </c>
      <c r="AB1607" s="347">
        <v>273.26</v>
      </c>
      <c r="AC1607" s="347" t="s">
        <v>363</v>
      </c>
      <c r="AD1607" s="1138"/>
      <c r="AP1607" s="347">
        <v>88.09</v>
      </c>
      <c r="AQ1607" s="347" t="s">
        <v>352</v>
      </c>
      <c r="BF1607" s="347">
        <v>167.11</v>
      </c>
      <c r="BG1607" s="347" t="s">
        <v>323</v>
      </c>
      <c r="BH1607" s="1790"/>
      <c r="BN1607" s="237">
        <v>133.13999999999999</v>
      </c>
      <c r="BO1607" s="237" t="s">
        <v>337</v>
      </c>
      <c r="BT1607" s="347">
        <v>88.1</v>
      </c>
      <c r="BU1607" s="347" t="s">
        <v>352</v>
      </c>
      <c r="CD1607" s="237">
        <v>91.02</v>
      </c>
      <c r="CE1607" s="237" t="s">
        <v>352</v>
      </c>
      <c r="CJ1607" s="347">
        <v>167.28</v>
      </c>
      <c r="CK1607" s="347" t="s">
        <v>323</v>
      </c>
      <c r="CL1607" s="1789"/>
      <c r="CR1607" s="345"/>
      <c r="CS1607" s="345"/>
      <c r="CX1607" s="347"/>
      <c r="CY1607" s="347"/>
      <c r="DH1607" s="237"/>
      <c r="DI1607" s="237"/>
      <c r="DN1607" s="347"/>
      <c r="DO1607" s="347"/>
      <c r="DP1607" s="2505"/>
    </row>
    <row r="1608" spans="12:120">
      <c r="L1608" s="347">
        <v>38</v>
      </c>
      <c r="M1608" s="347" t="s">
        <v>749</v>
      </c>
      <c r="AB1608" s="347">
        <v>273.27</v>
      </c>
      <c r="AC1608" s="347" t="s">
        <v>363</v>
      </c>
      <c r="AD1608" s="1138"/>
      <c r="AP1608" s="347">
        <v>88.1</v>
      </c>
      <c r="AQ1608" s="347" t="s">
        <v>352</v>
      </c>
      <c r="BF1608" s="347">
        <v>167.16</v>
      </c>
      <c r="BG1608" s="347" t="s">
        <v>359</v>
      </c>
      <c r="BH1608" s="1790"/>
      <c r="BN1608" s="237">
        <v>133.15</v>
      </c>
      <c r="BO1608" s="237" t="s">
        <v>337</v>
      </c>
      <c r="BT1608" s="347">
        <v>89.06</v>
      </c>
      <c r="BU1608" s="347" t="s">
        <v>352</v>
      </c>
      <c r="CD1608" s="237">
        <v>92</v>
      </c>
      <c r="CE1608" s="237" t="s">
        <v>352</v>
      </c>
      <c r="CJ1608" s="347">
        <v>167.28</v>
      </c>
      <c r="CK1608" s="347" t="s">
        <v>359</v>
      </c>
      <c r="CL1608" s="1789"/>
      <c r="CR1608" s="345"/>
      <c r="CS1608" s="345"/>
      <c r="CX1608" s="347"/>
      <c r="CY1608" s="347"/>
      <c r="DH1608" s="237"/>
      <c r="DI1608" s="237"/>
      <c r="DN1608" s="347"/>
      <c r="DO1608" s="347"/>
      <c r="DP1608" s="2505"/>
    </row>
    <row r="1609" spans="12:120">
      <c r="L1609" s="347">
        <v>43</v>
      </c>
      <c r="M1609" s="347" t="s">
        <v>749</v>
      </c>
      <c r="AB1609" s="347">
        <v>274.02999999999997</v>
      </c>
      <c r="AC1609" s="347" t="s">
        <v>363</v>
      </c>
      <c r="AD1609" s="1138"/>
      <c r="AP1609" s="347">
        <v>89.06</v>
      </c>
      <c r="AQ1609" s="347" t="s">
        <v>352</v>
      </c>
      <c r="BF1609" s="347">
        <v>167.23</v>
      </c>
      <c r="BG1609" s="347" t="s">
        <v>359</v>
      </c>
      <c r="BH1609" s="1790"/>
      <c r="BN1609" s="237">
        <v>133.16</v>
      </c>
      <c r="BO1609" s="237" t="s">
        <v>337</v>
      </c>
      <c r="BT1609" s="347">
        <v>89.08</v>
      </c>
      <c r="BU1609" s="347" t="s">
        <v>352</v>
      </c>
      <c r="CD1609" s="237">
        <v>93.05</v>
      </c>
      <c r="CE1609" s="237" t="s">
        <v>352</v>
      </c>
      <c r="CJ1609" s="347">
        <v>167.29</v>
      </c>
      <c r="CK1609" s="347" t="s">
        <v>323</v>
      </c>
      <c r="CL1609" s="1789"/>
      <c r="CR1609" s="345"/>
      <c r="CS1609" s="345"/>
      <c r="CX1609" s="347"/>
      <c r="CY1609" s="347"/>
      <c r="DH1609" s="237"/>
      <c r="DI1609" s="237"/>
      <c r="DN1609" s="347"/>
      <c r="DO1609" s="347"/>
      <c r="DP1609" s="2505"/>
    </row>
    <row r="1610" spans="12:120">
      <c r="L1610" s="347">
        <v>48.09</v>
      </c>
      <c r="M1610" s="347" t="s">
        <v>749</v>
      </c>
      <c r="AB1610" s="347">
        <v>275.01</v>
      </c>
      <c r="AC1610" s="347" t="s">
        <v>363</v>
      </c>
      <c r="AD1610" s="1138"/>
      <c r="AP1610" s="347">
        <v>89.08</v>
      </c>
      <c r="AQ1610" s="347" t="s">
        <v>352</v>
      </c>
      <c r="BF1610" s="347">
        <v>167.24</v>
      </c>
      <c r="BG1610" s="347" t="s">
        <v>323</v>
      </c>
      <c r="BH1610" s="1790"/>
      <c r="BN1610" s="237">
        <v>133.16999999999999</v>
      </c>
      <c r="BO1610" s="237" t="s">
        <v>337</v>
      </c>
      <c r="BT1610" s="347">
        <v>89.09</v>
      </c>
      <c r="BU1610" s="347" t="s">
        <v>352</v>
      </c>
      <c r="CD1610" s="237">
        <v>93.12</v>
      </c>
      <c r="CE1610" s="237" t="s">
        <v>352</v>
      </c>
      <c r="CJ1610" s="347">
        <v>167.3</v>
      </c>
      <c r="CK1610" s="347" t="s">
        <v>323</v>
      </c>
      <c r="CL1610" s="1789"/>
      <c r="CR1610" s="345"/>
      <c r="CS1610" s="345"/>
      <c r="CX1610" s="347"/>
      <c r="CY1610" s="347"/>
      <c r="DH1610" s="237"/>
      <c r="DI1610" s="237"/>
      <c r="DN1610" s="347"/>
      <c r="DO1610" s="347"/>
      <c r="DP1610" s="2505"/>
    </row>
    <row r="1611" spans="12:120">
      <c r="L1611" s="347">
        <v>48.15</v>
      </c>
      <c r="M1611" s="347" t="s">
        <v>749</v>
      </c>
      <c r="AB1611" s="347">
        <v>276.02999999999997</v>
      </c>
      <c r="AC1611" s="347" t="s">
        <v>363</v>
      </c>
      <c r="AD1611" s="1138"/>
      <c r="AP1611" s="347">
        <v>89.09</v>
      </c>
      <c r="AQ1611" s="347" t="s">
        <v>352</v>
      </c>
      <c r="BF1611" s="347">
        <v>167.25</v>
      </c>
      <c r="BG1611" s="347" t="s">
        <v>323</v>
      </c>
      <c r="BH1611" s="1790"/>
      <c r="BN1611" s="237">
        <v>133.19</v>
      </c>
      <c r="BO1611" s="237" t="s">
        <v>337</v>
      </c>
      <c r="BT1611" s="347">
        <v>89.1</v>
      </c>
      <c r="BU1611" s="347" t="s">
        <v>352</v>
      </c>
      <c r="CD1611" s="237">
        <v>93.14</v>
      </c>
      <c r="CE1611" s="237" t="s">
        <v>352</v>
      </c>
      <c r="CJ1611" s="347">
        <v>167.31</v>
      </c>
      <c r="CK1611" s="347" t="s">
        <v>323</v>
      </c>
      <c r="CL1611" s="1789"/>
      <c r="CR1611" s="345"/>
      <c r="CS1611" s="345"/>
      <c r="CX1611" s="347"/>
      <c r="CY1611" s="347"/>
      <c r="DH1611" s="237"/>
      <c r="DI1611" s="237"/>
      <c r="DN1611" s="347"/>
      <c r="DO1611" s="347"/>
      <c r="DP1611" s="2505"/>
    </row>
    <row r="1612" spans="12:120">
      <c r="L1612" s="347">
        <v>49.02</v>
      </c>
      <c r="M1612" s="347" t="s">
        <v>749</v>
      </c>
      <c r="AB1612" s="347">
        <v>276.04000000000002</v>
      </c>
      <c r="AC1612" s="347" t="s">
        <v>363</v>
      </c>
      <c r="AD1612" s="1138"/>
      <c r="AP1612" s="347">
        <v>89.1</v>
      </c>
      <c r="AQ1612" s="347" t="s">
        <v>352</v>
      </c>
      <c r="BF1612" s="347">
        <v>167.26</v>
      </c>
      <c r="BG1612" s="347" t="s">
        <v>323</v>
      </c>
      <c r="BH1612" s="1790"/>
      <c r="BN1612" s="237">
        <v>133.19999999999999</v>
      </c>
      <c r="BO1612" s="237" t="s">
        <v>337</v>
      </c>
      <c r="BT1612" s="347">
        <v>89.11</v>
      </c>
      <c r="BU1612" s="347" t="s">
        <v>352</v>
      </c>
      <c r="CD1612" s="237">
        <v>93.15</v>
      </c>
      <c r="CE1612" s="237" t="s">
        <v>352</v>
      </c>
      <c r="CJ1612" s="347">
        <v>167.31</v>
      </c>
      <c r="CK1612" s="347" t="s">
        <v>359</v>
      </c>
      <c r="CL1612" s="1789"/>
      <c r="CR1612" s="345"/>
      <c r="CS1612" s="345"/>
      <c r="CX1612" s="347"/>
      <c r="CY1612" s="347"/>
      <c r="DH1612" s="237"/>
      <c r="DI1612" s="237"/>
      <c r="DN1612" s="347"/>
      <c r="DO1612" s="347"/>
      <c r="DP1612" s="2505"/>
    </row>
    <row r="1613" spans="12:120">
      <c r="L1613" s="347">
        <v>53</v>
      </c>
      <c r="M1613" s="347" t="s">
        <v>749</v>
      </c>
      <c r="AB1613" s="347">
        <v>276.05</v>
      </c>
      <c r="AC1613" s="347" t="s">
        <v>363</v>
      </c>
      <c r="AD1613" s="1138"/>
      <c r="AP1613" s="347">
        <v>89.11</v>
      </c>
      <c r="AQ1613" s="347" t="s">
        <v>352</v>
      </c>
      <c r="BF1613" s="347">
        <v>167.28</v>
      </c>
      <c r="BG1613" s="347" t="s">
        <v>323</v>
      </c>
      <c r="BH1613" s="1790"/>
      <c r="BN1613" s="237">
        <v>133.22</v>
      </c>
      <c r="BO1613" s="237" t="s">
        <v>337</v>
      </c>
      <c r="BT1613" s="347">
        <v>90.1</v>
      </c>
      <c r="BU1613" s="347" t="s">
        <v>352</v>
      </c>
      <c r="CD1613" s="237">
        <v>93.16</v>
      </c>
      <c r="CE1613" s="237" t="s">
        <v>352</v>
      </c>
      <c r="CJ1613" s="347">
        <v>167.35</v>
      </c>
      <c r="CK1613" s="347" t="s">
        <v>359</v>
      </c>
      <c r="CL1613" s="1789"/>
      <c r="CR1613" s="345"/>
      <c r="CS1613" s="345"/>
      <c r="CX1613" s="347"/>
      <c r="CY1613" s="347"/>
      <c r="DH1613" s="237"/>
      <c r="DI1613" s="237"/>
      <c r="DN1613" s="347"/>
      <c r="DO1613" s="347"/>
      <c r="DP1613" s="2505"/>
    </row>
    <row r="1614" spans="12:120">
      <c r="L1614" s="347">
        <v>54.05</v>
      </c>
      <c r="M1614" s="347" t="s">
        <v>749</v>
      </c>
      <c r="AB1614" s="347">
        <v>276.06</v>
      </c>
      <c r="AC1614" s="347" t="s">
        <v>363</v>
      </c>
      <c r="AD1614" s="1138"/>
      <c r="AP1614" s="347">
        <v>90.1</v>
      </c>
      <c r="AQ1614" s="347" t="s">
        <v>352</v>
      </c>
      <c r="BF1614" s="347">
        <v>167.28</v>
      </c>
      <c r="BG1614" s="347" t="s">
        <v>359</v>
      </c>
      <c r="BH1614" s="1790"/>
      <c r="BN1614" s="237">
        <v>133.22999999999999</v>
      </c>
      <c r="BO1614" s="237" t="s">
        <v>337</v>
      </c>
      <c r="BT1614" s="347">
        <v>90.14</v>
      </c>
      <c r="BU1614" s="347" t="s">
        <v>352</v>
      </c>
      <c r="CD1614" s="237">
        <v>93.17</v>
      </c>
      <c r="CE1614" s="237" t="s">
        <v>352</v>
      </c>
      <c r="CJ1614" s="347">
        <v>167.36</v>
      </c>
      <c r="CK1614" s="347" t="s">
        <v>359</v>
      </c>
      <c r="CL1614" s="1789"/>
      <c r="CR1614" s="345"/>
      <c r="CS1614" s="345"/>
      <c r="CX1614" s="347"/>
      <c r="CY1614" s="347"/>
      <c r="DH1614" s="237"/>
      <c r="DI1614" s="237"/>
      <c r="DN1614" s="347"/>
      <c r="DO1614" s="347"/>
      <c r="DP1614" s="2505"/>
    </row>
    <row r="1615" spans="12:120">
      <c r="L1615" s="347">
        <v>54.07</v>
      </c>
      <c r="M1615" s="347" t="s">
        <v>749</v>
      </c>
      <c r="AB1615" s="347">
        <v>277.01</v>
      </c>
      <c r="AC1615" s="347" t="s">
        <v>363</v>
      </c>
      <c r="AD1615" s="1138"/>
      <c r="AP1615" s="347">
        <v>90.14</v>
      </c>
      <c r="AQ1615" s="347" t="s">
        <v>352</v>
      </c>
      <c r="BF1615" s="347">
        <v>167.29</v>
      </c>
      <c r="BG1615" s="347" t="s">
        <v>323</v>
      </c>
      <c r="BH1615" s="1790"/>
      <c r="BN1615" s="237">
        <v>134.06</v>
      </c>
      <c r="BO1615" s="237" t="s">
        <v>337</v>
      </c>
      <c r="BT1615" s="347">
        <v>90.22</v>
      </c>
      <c r="BU1615" s="347" t="s">
        <v>352</v>
      </c>
      <c r="CD1615" s="237">
        <v>93.18</v>
      </c>
      <c r="CE1615" s="237" t="s">
        <v>352</v>
      </c>
      <c r="CJ1615" s="347">
        <v>167.37</v>
      </c>
      <c r="CK1615" s="347" t="s">
        <v>359</v>
      </c>
      <c r="CL1615" s="1789"/>
      <c r="CR1615" s="345"/>
      <c r="CS1615" s="345"/>
      <c r="CX1615" s="347"/>
      <c r="CY1615" s="347"/>
      <c r="DH1615" s="237"/>
      <c r="DI1615" s="237"/>
      <c r="DN1615" s="347"/>
      <c r="DO1615" s="347"/>
      <c r="DP1615" s="2505"/>
    </row>
    <row r="1616" spans="12:120">
      <c r="L1616" s="347">
        <v>54.09</v>
      </c>
      <c r="M1616" s="347" t="s">
        <v>749</v>
      </c>
      <c r="AB1616" s="347">
        <v>277.02999999999997</v>
      </c>
      <c r="AC1616" s="347" t="s">
        <v>363</v>
      </c>
      <c r="AD1616" s="1138"/>
      <c r="AP1616" s="347">
        <v>90.15</v>
      </c>
      <c r="AQ1616" s="347" t="s">
        <v>352</v>
      </c>
      <c r="BF1616" s="347">
        <v>167.3</v>
      </c>
      <c r="BG1616" s="347" t="s">
        <v>323</v>
      </c>
      <c r="BH1616" s="1790"/>
      <c r="BN1616" s="237">
        <v>134.07</v>
      </c>
      <c r="BO1616" s="237" t="s">
        <v>337</v>
      </c>
      <c r="BT1616" s="347">
        <v>90.24</v>
      </c>
      <c r="BU1616" s="347" t="s">
        <v>352</v>
      </c>
      <c r="CD1616" s="237">
        <v>93.19</v>
      </c>
      <c r="CE1616" s="237" t="s">
        <v>352</v>
      </c>
      <c r="CJ1616" s="347">
        <v>167.4</v>
      </c>
      <c r="CK1616" s="347" t="s">
        <v>359</v>
      </c>
      <c r="CL1616" s="1789"/>
      <c r="CR1616" s="345"/>
      <c r="CS1616" s="345"/>
      <c r="CX1616" s="347"/>
      <c r="CY1616" s="347"/>
      <c r="DH1616" s="237"/>
      <c r="DI1616" s="237"/>
      <c r="DN1616" s="347"/>
      <c r="DO1616" s="347"/>
      <c r="DP1616" s="2505"/>
    </row>
    <row r="1617" spans="12:120">
      <c r="L1617" s="347">
        <v>54.11</v>
      </c>
      <c r="M1617" s="347" t="s">
        <v>749</v>
      </c>
      <c r="AB1617" s="347">
        <v>277.04000000000002</v>
      </c>
      <c r="AC1617" s="347" t="s">
        <v>363</v>
      </c>
      <c r="AD1617" s="1138"/>
      <c r="AP1617" s="347">
        <v>90.22</v>
      </c>
      <c r="AQ1617" s="347" t="s">
        <v>352</v>
      </c>
      <c r="BF1617" s="347">
        <v>167.31</v>
      </c>
      <c r="BG1617" s="347" t="s">
        <v>323</v>
      </c>
      <c r="BH1617" s="1790"/>
      <c r="BN1617" s="237">
        <v>134.09</v>
      </c>
      <c r="BO1617" s="237" t="s">
        <v>337</v>
      </c>
      <c r="BT1617" s="347">
        <v>90.28</v>
      </c>
      <c r="BU1617" s="347" t="s">
        <v>352</v>
      </c>
      <c r="CD1617" s="237">
        <v>93.2</v>
      </c>
      <c r="CE1617" s="237" t="s">
        <v>352</v>
      </c>
      <c r="CJ1617" s="347">
        <v>167.43</v>
      </c>
      <c r="CK1617" s="347" t="s">
        <v>359</v>
      </c>
      <c r="CL1617" s="1789"/>
      <c r="CR1617" s="345"/>
      <c r="CS1617" s="345"/>
      <c r="CX1617" s="347"/>
      <c r="CY1617" s="347"/>
      <c r="DH1617" s="237"/>
      <c r="DI1617" s="237"/>
      <c r="DN1617" s="347"/>
      <c r="DO1617" s="347"/>
      <c r="DP1617" s="2505"/>
    </row>
    <row r="1618" spans="12:120">
      <c r="L1618" s="347">
        <v>56.02</v>
      </c>
      <c r="M1618" s="347" t="s">
        <v>749</v>
      </c>
      <c r="AB1618" s="347">
        <v>278.01</v>
      </c>
      <c r="AC1618" s="347" t="s">
        <v>363</v>
      </c>
      <c r="AD1618" s="1138"/>
      <c r="AP1618" s="347">
        <v>90.24</v>
      </c>
      <c r="AQ1618" s="347" t="s">
        <v>352</v>
      </c>
      <c r="BF1618" s="347">
        <v>167.31</v>
      </c>
      <c r="BG1618" s="347" t="s">
        <v>359</v>
      </c>
      <c r="BH1618" s="1790"/>
      <c r="BN1618" s="237">
        <v>134.1</v>
      </c>
      <c r="BO1618" s="237" t="s">
        <v>337</v>
      </c>
      <c r="BT1618" s="347">
        <v>90.29</v>
      </c>
      <c r="BU1618" s="347" t="s">
        <v>352</v>
      </c>
      <c r="CD1618" s="237">
        <v>93.21</v>
      </c>
      <c r="CE1618" s="237" t="s">
        <v>352</v>
      </c>
      <c r="CJ1618" s="347">
        <v>167.44</v>
      </c>
      <c r="CK1618" s="347" t="s">
        <v>359</v>
      </c>
      <c r="CL1618" s="1789"/>
      <c r="CR1618" s="345"/>
      <c r="CS1618" s="345"/>
      <c r="CX1618" s="347"/>
      <c r="CY1618" s="347"/>
      <c r="DH1618" s="237"/>
      <c r="DI1618" s="237"/>
      <c r="DN1618" s="347"/>
      <c r="DO1618" s="347"/>
      <c r="DP1618" s="2505"/>
    </row>
    <row r="1619" spans="12:120">
      <c r="L1619" s="347">
        <v>58.08</v>
      </c>
      <c r="M1619" s="347" t="s">
        <v>749</v>
      </c>
      <c r="AB1619" s="347">
        <v>278.02</v>
      </c>
      <c r="AC1619" s="347" t="s">
        <v>363</v>
      </c>
      <c r="AD1619" s="1138"/>
      <c r="AP1619" s="347">
        <v>90.28</v>
      </c>
      <c r="AQ1619" s="347" t="s">
        <v>352</v>
      </c>
      <c r="BF1619" s="347">
        <v>167.35</v>
      </c>
      <c r="BG1619" s="347" t="s">
        <v>359</v>
      </c>
      <c r="BH1619" s="1790"/>
      <c r="BN1619" s="237">
        <v>134.11000000000001</v>
      </c>
      <c r="BO1619" s="237" t="s">
        <v>337</v>
      </c>
      <c r="BT1619" s="347">
        <v>90.3</v>
      </c>
      <c r="BU1619" s="347" t="s">
        <v>352</v>
      </c>
      <c r="CD1619" s="237">
        <v>93.22</v>
      </c>
      <c r="CE1619" s="237" t="s">
        <v>352</v>
      </c>
      <c r="CJ1619" s="347">
        <v>167.45</v>
      </c>
      <c r="CK1619" s="347" t="s">
        <v>359</v>
      </c>
      <c r="CL1619" s="1789"/>
      <c r="CR1619" s="345"/>
      <c r="CS1619" s="345"/>
      <c r="CX1619" s="347"/>
      <c r="CY1619" s="347"/>
      <c r="DH1619" s="237"/>
      <c r="DI1619" s="237"/>
      <c r="DN1619" s="347"/>
      <c r="DO1619" s="347"/>
      <c r="DP1619" s="2505"/>
    </row>
    <row r="1620" spans="12:120">
      <c r="L1620" s="347">
        <v>58.11</v>
      </c>
      <c r="M1620" s="347" t="s">
        <v>749</v>
      </c>
      <c r="AB1620" s="347">
        <v>279.01</v>
      </c>
      <c r="AC1620" s="347" t="s">
        <v>363</v>
      </c>
      <c r="AD1620" s="1138"/>
      <c r="AP1620" s="347">
        <v>90.29</v>
      </c>
      <c r="AQ1620" s="347" t="s">
        <v>352</v>
      </c>
      <c r="BF1620" s="347">
        <v>167.36</v>
      </c>
      <c r="BG1620" s="347" t="s">
        <v>359</v>
      </c>
      <c r="BH1620" s="1790"/>
      <c r="BN1620" s="237">
        <v>134.12</v>
      </c>
      <c r="BO1620" s="237" t="s">
        <v>337</v>
      </c>
      <c r="BT1620" s="347">
        <v>90.31</v>
      </c>
      <c r="BU1620" s="347" t="s">
        <v>352</v>
      </c>
      <c r="CD1620" s="237">
        <v>93.23</v>
      </c>
      <c r="CE1620" s="237" t="s">
        <v>352</v>
      </c>
      <c r="CJ1620" s="347">
        <v>167.46</v>
      </c>
      <c r="CK1620" s="347" t="s">
        <v>359</v>
      </c>
      <c r="CL1620" s="1789"/>
      <c r="CR1620" s="345"/>
      <c r="CS1620" s="345"/>
      <c r="CX1620" s="347"/>
      <c r="CY1620" s="347"/>
      <c r="DH1620" s="237"/>
      <c r="DI1620" s="237"/>
      <c r="DN1620" s="347"/>
      <c r="DO1620" s="347"/>
      <c r="DP1620" s="2505"/>
    </row>
    <row r="1621" spans="12:120">
      <c r="L1621" s="347">
        <v>58.13</v>
      </c>
      <c r="M1621" s="347" t="s">
        <v>749</v>
      </c>
      <c r="AB1621" s="347">
        <v>279.02999999999997</v>
      </c>
      <c r="AC1621" s="347" t="s">
        <v>363</v>
      </c>
      <c r="AD1621" s="1138"/>
      <c r="AP1621" s="347">
        <v>90.3</v>
      </c>
      <c r="AQ1621" s="347" t="s">
        <v>352</v>
      </c>
      <c r="BF1621" s="347">
        <v>167.37</v>
      </c>
      <c r="BG1621" s="347" t="s">
        <v>359</v>
      </c>
      <c r="BH1621" s="1790"/>
      <c r="BN1621" s="237">
        <v>134.13</v>
      </c>
      <c r="BO1621" s="237" t="s">
        <v>337</v>
      </c>
      <c r="BT1621" s="347">
        <v>90.39</v>
      </c>
      <c r="BU1621" s="347" t="s">
        <v>352</v>
      </c>
      <c r="CD1621" s="237">
        <v>93.24</v>
      </c>
      <c r="CE1621" s="237" t="s">
        <v>352</v>
      </c>
      <c r="CJ1621" s="347">
        <v>167.47</v>
      </c>
      <c r="CK1621" s="347" t="s">
        <v>359</v>
      </c>
      <c r="CL1621" s="1789"/>
      <c r="CR1621" s="345"/>
      <c r="CS1621" s="345"/>
      <c r="CX1621" s="347"/>
      <c r="CY1621" s="347"/>
      <c r="DH1621" s="237"/>
      <c r="DI1621" s="237"/>
      <c r="DN1621" s="347"/>
      <c r="DO1621" s="347"/>
      <c r="DP1621" s="2505"/>
    </row>
    <row r="1622" spans="12:120">
      <c r="L1622" s="347">
        <v>58.16</v>
      </c>
      <c r="M1622" s="347" t="s">
        <v>749</v>
      </c>
      <c r="AB1622" s="347">
        <v>279.04000000000002</v>
      </c>
      <c r="AC1622" s="347" t="s">
        <v>363</v>
      </c>
      <c r="AD1622" s="1138"/>
      <c r="AP1622" s="347">
        <v>90.31</v>
      </c>
      <c r="AQ1622" s="347" t="s">
        <v>352</v>
      </c>
      <c r="BF1622" s="347">
        <v>167.4</v>
      </c>
      <c r="BG1622" s="347" t="s">
        <v>359</v>
      </c>
      <c r="BH1622" s="1790"/>
      <c r="BN1622" s="237">
        <v>134.13999999999999</v>
      </c>
      <c r="BO1622" s="237" t="s">
        <v>337</v>
      </c>
      <c r="BT1622" s="347">
        <v>90.4</v>
      </c>
      <c r="BU1622" s="347" t="s">
        <v>352</v>
      </c>
      <c r="CD1622" s="237">
        <v>93.25</v>
      </c>
      <c r="CE1622" s="237" t="s">
        <v>352</v>
      </c>
      <c r="CJ1622" s="347">
        <v>167.48</v>
      </c>
      <c r="CK1622" s="347" t="s">
        <v>359</v>
      </c>
      <c r="CL1622" s="1789"/>
      <c r="CR1622" s="345"/>
      <c r="CS1622" s="345"/>
      <c r="CX1622" s="347"/>
      <c r="CY1622" s="347"/>
      <c r="DH1622" s="237"/>
      <c r="DI1622" s="237"/>
      <c r="DN1622" s="347"/>
      <c r="DO1622" s="347"/>
      <c r="DP1622" s="2505"/>
    </row>
    <row r="1623" spans="12:120">
      <c r="L1623" s="347">
        <v>59.03</v>
      </c>
      <c r="M1623" s="347" t="s">
        <v>749</v>
      </c>
      <c r="AB1623" s="347">
        <v>280.02</v>
      </c>
      <c r="AC1623" s="347" t="s">
        <v>363</v>
      </c>
      <c r="AD1623" s="1138"/>
      <c r="AP1623" s="347">
        <v>90.39</v>
      </c>
      <c r="AQ1623" s="347" t="s">
        <v>352</v>
      </c>
      <c r="BF1623" s="347">
        <v>167.41</v>
      </c>
      <c r="BG1623" s="347" t="s">
        <v>359</v>
      </c>
      <c r="BH1623" s="1790"/>
      <c r="BN1623" s="237">
        <v>134.15</v>
      </c>
      <c r="BO1623" s="237" t="s">
        <v>337</v>
      </c>
      <c r="BT1623" s="347">
        <v>90.43</v>
      </c>
      <c r="BU1623" s="347" t="s">
        <v>352</v>
      </c>
      <c r="CD1623" s="237">
        <v>93.26</v>
      </c>
      <c r="CE1623" s="237" t="s">
        <v>352</v>
      </c>
      <c r="CJ1623" s="347">
        <v>167.49</v>
      </c>
      <c r="CK1623" s="347" t="s">
        <v>359</v>
      </c>
      <c r="CL1623" s="1789"/>
      <c r="CR1623" s="345"/>
      <c r="CS1623" s="345"/>
      <c r="CX1623" s="347"/>
      <c r="CY1623" s="347"/>
      <c r="DH1623" s="237"/>
      <c r="DI1623" s="237"/>
      <c r="DN1623" s="347"/>
      <c r="DO1623" s="347"/>
      <c r="DP1623" s="2505"/>
    </row>
    <row r="1624" spans="12:120">
      <c r="L1624" s="347">
        <v>59.16</v>
      </c>
      <c r="M1624" s="347" t="s">
        <v>749</v>
      </c>
      <c r="AB1624" s="347">
        <v>280.02999999999997</v>
      </c>
      <c r="AC1624" s="347" t="s">
        <v>363</v>
      </c>
      <c r="AD1624" s="1138"/>
      <c r="AP1624" s="347">
        <v>90.4</v>
      </c>
      <c r="AQ1624" s="347" t="s">
        <v>352</v>
      </c>
      <c r="BF1624" s="347">
        <v>167.42</v>
      </c>
      <c r="BG1624" s="347" t="s">
        <v>359</v>
      </c>
      <c r="BH1624" s="1790"/>
      <c r="BN1624" s="237">
        <v>135.01</v>
      </c>
      <c r="BO1624" s="237" t="s">
        <v>337</v>
      </c>
      <c r="BT1624" s="347">
        <v>90.44</v>
      </c>
      <c r="BU1624" s="347" t="s">
        <v>352</v>
      </c>
      <c r="CD1624" s="237">
        <v>93.27</v>
      </c>
      <c r="CE1624" s="237" t="s">
        <v>352</v>
      </c>
      <c r="CJ1624" s="347">
        <v>167.5</v>
      </c>
      <c r="CK1624" s="347" t="s">
        <v>359</v>
      </c>
      <c r="CL1624" s="1789"/>
      <c r="CR1624" s="345"/>
      <c r="CS1624" s="345"/>
      <c r="CX1624" s="347"/>
      <c r="CY1624" s="347"/>
      <c r="DH1624" s="237"/>
      <c r="DI1624" s="237"/>
      <c r="DN1624" s="347"/>
      <c r="DO1624" s="347"/>
      <c r="DP1624" s="2505"/>
    </row>
    <row r="1625" spans="12:120">
      <c r="L1625" s="347">
        <v>59.17</v>
      </c>
      <c r="M1625" s="347" t="s">
        <v>749</v>
      </c>
      <c r="AB1625" s="347">
        <v>280.04000000000002</v>
      </c>
      <c r="AC1625" s="347" t="s">
        <v>363</v>
      </c>
      <c r="AD1625" s="1138"/>
      <c r="AP1625" s="347">
        <v>90.43</v>
      </c>
      <c r="AQ1625" s="347" t="s">
        <v>352</v>
      </c>
      <c r="BF1625" s="347">
        <v>167.45</v>
      </c>
      <c r="BG1625" s="347" t="s">
        <v>359</v>
      </c>
      <c r="BH1625" s="1790"/>
      <c r="BN1625" s="237">
        <v>135.03</v>
      </c>
      <c r="BO1625" s="237" t="s">
        <v>337</v>
      </c>
      <c r="BT1625" s="347">
        <v>90.48</v>
      </c>
      <c r="BU1625" s="347" t="s">
        <v>352</v>
      </c>
      <c r="CD1625" s="237">
        <v>94.01</v>
      </c>
      <c r="CE1625" s="237" t="s">
        <v>352</v>
      </c>
      <c r="CJ1625" s="347">
        <v>167.51</v>
      </c>
      <c r="CK1625" s="347" t="s">
        <v>359</v>
      </c>
      <c r="CL1625" s="1789"/>
      <c r="CR1625" s="345"/>
      <c r="CS1625" s="345"/>
      <c r="CX1625" s="347"/>
      <c r="CY1625" s="347"/>
      <c r="DH1625" s="237"/>
      <c r="DI1625" s="237"/>
      <c r="DN1625" s="347"/>
      <c r="DO1625" s="347"/>
      <c r="DP1625" s="2505"/>
    </row>
    <row r="1626" spans="12:120">
      <c r="L1626" s="347">
        <v>59.18</v>
      </c>
      <c r="M1626" s="347" t="s">
        <v>749</v>
      </c>
      <c r="AB1626" s="347">
        <v>281.02</v>
      </c>
      <c r="AC1626" s="347" t="s">
        <v>363</v>
      </c>
      <c r="AD1626" s="1138"/>
      <c r="AP1626" s="347">
        <v>90.44</v>
      </c>
      <c r="AQ1626" s="347" t="s">
        <v>352</v>
      </c>
      <c r="BF1626" s="347">
        <v>167.46</v>
      </c>
      <c r="BG1626" s="347" t="s">
        <v>359</v>
      </c>
      <c r="BH1626" s="1790"/>
      <c r="BN1626" s="237">
        <v>135.04</v>
      </c>
      <c r="BO1626" s="237" t="s">
        <v>337</v>
      </c>
      <c r="BT1626" s="347">
        <v>90.49</v>
      </c>
      <c r="BU1626" s="347" t="s">
        <v>352</v>
      </c>
      <c r="CD1626" s="237">
        <v>94.02</v>
      </c>
      <c r="CE1626" s="237" t="s">
        <v>352</v>
      </c>
      <c r="CJ1626" s="347">
        <v>167.52</v>
      </c>
      <c r="CK1626" s="347" t="s">
        <v>359</v>
      </c>
      <c r="CL1626" s="1789"/>
      <c r="CR1626" s="345"/>
      <c r="CS1626" s="345"/>
      <c r="CX1626" s="347"/>
      <c r="CY1626" s="347"/>
      <c r="DH1626" s="237"/>
      <c r="DI1626" s="237"/>
      <c r="DN1626" s="347"/>
      <c r="DO1626" s="347"/>
      <c r="DP1626" s="2505"/>
    </row>
    <row r="1627" spans="12:120">
      <c r="L1627" s="347">
        <v>59.21</v>
      </c>
      <c r="M1627" s="347" t="s">
        <v>749</v>
      </c>
      <c r="AB1627" s="347">
        <v>282</v>
      </c>
      <c r="AC1627" s="347" t="s">
        <v>363</v>
      </c>
      <c r="AD1627" s="1138"/>
      <c r="AP1627" s="347">
        <v>90.48</v>
      </c>
      <c r="AQ1627" s="347" t="s">
        <v>352</v>
      </c>
      <c r="BF1627" s="347">
        <v>167.47</v>
      </c>
      <c r="BG1627" s="347" t="s">
        <v>359</v>
      </c>
      <c r="BH1627" s="1790"/>
      <c r="BN1627" s="237">
        <v>135.05000000000001</v>
      </c>
      <c r="BO1627" s="237" t="s">
        <v>337</v>
      </c>
      <c r="BT1627" s="347">
        <v>90.5</v>
      </c>
      <c r="BU1627" s="347" t="s">
        <v>352</v>
      </c>
      <c r="CD1627" s="237">
        <v>95.03</v>
      </c>
      <c r="CE1627" s="237" t="s">
        <v>352</v>
      </c>
      <c r="CJ1627" s="347">
        <v>167.53</v>
      </c>
      <c r="CK1627" s="347" t="s">
        <v>359</v>
      </c>
      <c r="CL1627" s="1789"/>
      <c r="CR1627" s="345"/>
      <c r="CS1627" s="345"/>
      <c r="CX1627" s="347"/>
      <c r="CY1627" s="347"/>
      <c r="DH1627" s="237"/>
      <c r="DI1627" s="237"/>
      <c r="DN1627" s="347"/>
      <c r="DO1627" s="347"/>
      <c r="DP1627" s="2505"/>
    </row>
    <row r="1628" spans="12:120">
      <c r="L1628" s="347">
        <v>59.22</v>
      </c>
      <c r="M1628" s="347" t="s">
        <v>749</v>
      </c>
      <c r="AB1628" s="347">
        <v>284.01</v>
      </c>
      <c r="AC1628" s="347" t="s">
        <v>363</v>
      </c>
      <c r="AD1628" s="1138"/>
      <c r="AP1628" s="347">
        <v>90.49</v>
      </c>
      <c r="AQ1628" s="347" t="s">
        <v>352</v>
      </c>
      <c r="BF1628" s="347">
        <v>167.48</v>
      </c>
      <c r="BG1628" s="347" t="s">
        <v>359</v>
      </c>
      <c r="BH1628" s="1790"/>
      <c r="BN1628" s="237">
        <v>136.02000000000001</v>
      </c>
      <c r="BO1628" s="237" t="s">
        <v>337</v>
      </c>
      <c r="BT1628" s="347">
        <v>90.51</v>
      </c>
      <c r="BU1628" s="347" t="s">
        <v>352</v>
      </c>
      <c r="CD1628" s="237">
        <v>95.04</v>
      </c>
      <c r="CE1628" s="237" t="s">
        <v>352</v>
      </c>
      <c r="CJ1628" s="347">
        <v>167.55</v>
      </c>
      <c r="CK1628" s="347" t="s">
        <v>359</v>
      </c>
      <c r="CL1628" s="1789"/>
      <c r="CR1628" s="345"/>
      <c r="CS1628" s="345"/>
      <c r="CX1628" s="347"/>
      <c r="CY1628" s="347"/>
      <c r="DH1628" s="237"/>
      <c r="DI1628" s="237"/>
      <c r="DN1628" s="347"/>
      <c r="DO1628" s="347"/>
      <c r="DP1628" s="2505"/>
    </row>
    <row r="1629" spans="12:120">
      <c r="L1629" s="347">
        <v>59.23</v>
      </c>
      <c r="M1629" s="347" t="s">
        <v>749</v>
      </c>
      <c r="AB1629" s="347">
        <v>301</v>
      </c>
      <c r="AC1629" s="347" t="s">
        <v>310</v>
      </c>
      <c r="AD1629" s="1138"/>
      <c r="AP1629" s="347">
        <v>90.5</v>
      </c>
      <c r="AQ1629" s="347" t="s">
        <v>352</v>
      </c>
      <c r="BF1629" s="347">
        <v>167.49</v>
      </c>
      <c r="BG1629" s="347" t="s">
        <v>359</v>
      </c>
      <c r="BH1629" s="1790"/>
      <c r="BN1629" s="237">
        <v>136.04</v>
      </c>
      <c r="BO1629" s="237" t="s">
        <v>337</v>
      </c>
      <c r="BT1629" s="347">
        <v>90.53</v>
      </c>
      <c r="BU1629" s="347" t="s">
        <v>352</v>
      </c>
      <c r="CD1629" s="237">
        <v>95.05</v>
      </c>
      <c r="CE1629" s="237" t="s">
        <v>352</v>
      </c>
      <c r="CJ1629" s="347">
        <v>167.56</v>
      </c>
      <c r="CK1629" s="347" t="s">
        <v>359</v>
      </c>
      <c r="CL1629" s="1789"/>
      <c r="CR1629" s="345"/>
      <c r="CS1629" s="345"/>
      <c r="CX1629" s="347"/>
      <c r="CY1629" s="347"/>
      <c r="DH1629" s="237"/>
      <c r="DI1629" s="237"/>
      <c r="DN1629" s="347"/>
      <c r="DO1629" s="347"/>
      <c r="DP1629" s="2505"/>
    </row>
    <row r="1630" spans="12:120">
      <c r="L1630" s="347">
        <v>59.26</v>
      </c>
      <c r="M1630" s="347" t="s">
        <v>749</v>
      </c>
      <c r="AB1630" s="347">
        <v>301</v>
      </c>
      <c r="AC1630" s="347" t="s">
        <v>344</v>
      </c>
      <c r="AD1630" s="1138"/>
      <c r="AP1630" s="347">
        <v>90.53</v>
      </c>
      <c r="AQ1630" s="347" t="s">
        <v>352</v>
      </c>
      <c r="BF1630" s="347">
        <v>167.5</v>
      </c>
      <c r="BG1630" s="347" t="s">
        <v>359</v>
      </c>
      <c r="BH1630" s="1790"/>
      <c r="BN1630" s="237">
        <v>137.02000000000001</v>
      </c>
      <c r="BO1630" s="237" t="s">
        <v>337</v>
      </c>
      <c r="BT1630" s="347">
        <v>90.54</v>
      </c>
      <c r="BU1630" s="347" t="s">
        <v>352</v>
      </c>
      <c r="CD1630" s="237">
        <v>95.06</v>
      </c>
      <c r="CE1630" s="237" t="s">
        <v>352</v>
      </c>
      <c r="CJ1630" s="347">
        <v>168.01</v>
      </c>
      <c r="CK1630" s="347" t="s">
        <v>323</v>
      </c>
      <c r="CL1630" s="1789"/>
      <c r="CR1630" s="345"/>
      <c r="CS1630" s="345"/>
      <c r="CX1630" s="347"/>
      <c r="CY1630" s="347"/>
      <c r="DH1630" s="237"/>
      <c r="DI1630" s="237"/>
      <c r="DN1630" s="347"/>
      <c r="DO1630" s="347"/>
      <c r="DP1630" s="2505"/>
    </row>
    <row r="1631" spans="12:120">
      <c r="L1631" s="347">
        <v>59.31</v>
      </c>
      <c r="M1631" s="347" t="s">
        <v>749</v>
      </c>
      <c r="AB1631" s="347">
        <v>301.01</v>
      </c>
      <c r="AC1631" s="347" t="s">
        <v>362</v>
      </c>
      <c r="AD1631" s="1138"/>
      <c r="AP1631" s="347">
        <v>90.54</v>
      </c>
      <c r="AQ1631" s="347" t="s">
        <v>352</v>
      </c>
      <c r="BF1631" s="347">
        <v>167.51</v>
      </c>
      <c r="BG1631" s="347" t="s">
        <v>359</v>
      </c>
      <c r="BH1631" s="1790"/>
      <c r="BN1631" s="237">
        <v>137.03</v>
      </c>
      <c r="BO1631" s="237" t="s">
        <v>337</v>
      </c>
      <c r="BT1631" s="347">
        <v>90.56</v>
      </c>
      <c r="BU1631" s="347" t="s">
        <v>352</v>
      </c>
      <c r="CD1631" s="237">
        <v>96.01</v>
      </c>
      <c r="CE1631" s="237" t="s">
        <v>352</v>
      </c>
      <c r="CJ1631" s="347">
        <v>168.02</v>
      </c>
      <c r="CK1631" s="347" t="s">
        <v>359</v>
      </c>
      <c r="CL1631" s="1789"/>
      <c r="CR1631" s="345"/>
      <c r="CS1631" s="345"/>
      <c r="CX1631" s="347"/>
      <c r="CY1631" s="347"/>
      <c r="DH1631" s="237"/>
      <c r="DI1631" s="237"/>
      <c r="DN1631" s="347"/>
      <c r="DO1631" s="347"/>
      <c r="DP1631" s="2505"/>
    </row>
    <row r="1632" spans="12:120">
      <c r="L1632" s="347">
        <v>59.34</v>
      </c>
      <c r="M1632" s="347" t="s">
        <v>749</v>
      </c>
      <c r="AB1632" s="347">
        <v>301.04000000000002</v>
      </c>
      <c r="AC1632" s="347" t="s">
        <v>343</v>
      </c>
      <c r="AD1632" s="1138"/>
      <c r="AP1632" s="347">
        <v>90.56</v>
      </c>
      <c r="AQ1632" s="347" t="s">
        <v>352</v>
      </c>
      <c r="BF1632" s="347">
        <v>167.52</v>
      </c>
      <c r="BG1632" s="347" t="s">
        <v>359</v>
      </c>
      <c r="BH1632" s="1790"/>
      <c r="BN1632" s="237">
        <v>137.05000000000001</v>
      </c>
      <c r="BO1632" s="237" t="s">
        <v>337</v>
      </c>
      <c r="BT1632" s="347">
        <v>90.57</v>
      </c>
      <c r="BU1632" s="347" t="s">
        <v>352</v>
      </c>
      <c r="CD1632" s="237">
        <v>96.02</v>
      </c>
      <c r="CE1632" s="237" t="s">
        <v>352</v>
      </c>
      <c r="CJ1632" s="347">
        <v>168.03</v>
      </c>
      <c r="CK1632" s="347" t="s">
        <v>323</v>
      </c>
      <c r="CL1632" s="1789"/>
      <c r="CR1632" s="345"/>
      <c r="CS1632" s="345"/>
      <c r="CX1632" s="347"/>
      <c r="CY1632" s="347"/>
      <c r="DH1632" s="237"/>
      <c r="DI1632" s="237"/>
      <c r="DN1632" s="347"/>
      <c r="DO1632" s="347"/>
      <c r="DP1632" s="2505"/>
    </row>
    <row r="1633" spans="12:120">
      <c r="L1633" s="347">
        <v>59.37</v>
      </c>
      <c r="M1633" s="347" t="s">
        <v>749</v>
      </c>
      <c r="AB1633" s="347">
        <v>301.05</v>
      </c>
      <c r="AC1633" s="347" t="s">
        <v>343</v>
      </c>
      <c r="AD1633" s="1138"/>
      <c r="AP1633" s="347">
        <v>90.57</v>
      </c>
      <c r="AQ1633" s="347" t="s">
        <v>352</v>
      </c>
      <c r="BF1633" s="347">
        <v>167.53</v>
      </c>
      <c r="BG1633" s="347" t="s">
        <v>359</v>
      </c>
      <c r="BH1633" s="1790"/>
      <c r="BN1633" s="237">
        <v>137.06</v>
      </c>
      <c r="BO1633" s="237" t="s">
        <v>337</v>
      </c>
      <c r="BT1633" s="347">
        <v>90.58</v>
      </c>
      <c r="BU1633" s="347" t="s">
        <v>352</v>
      </c>
      <c r="CD1633" s="237">
        <v>97.03</v>
      </c>
      <c r="CE1633" s="237" t="s">
        <v>352</v>
      </c>
      <c r="CJ1633" s="347">
        <v>168.04</v>
      </c>
      <c r="CK1633" s="347" t="s">
        <v>323</v>
      </c>
      <c r="CL1633" s="1789"/>
      <c r="CR1633" s="345"/>
      <c r="CS1633" s="345"/>
      <c r="CX1633" s="347"/>
      <c r="CY1633" s="347"/>
      <c r="DH1633" s="237"/>
      <c r="DI1633" s="237"/>
      <c r="DN1633" s="347"/>
      <c r="DO1633" s="347"/>
      <c r="DP1633" s="2505"/>
    </row>
    <row r="1634" spans="12:120">
      <c r="L1634" s="347">
        <v>59.38</v>
      </c>
      <c r="M1634" s="347" t="s">
        <v>749</v>
      </c>
      <c r="AB1634" s="347">
        <v>301.08</v>
      </c>
      <c r="AC1634" s="347" t="s">
        <v>343</v>
      </c>
      <c r="AD1634" s="1138"/>
      <c r="AP1634" s="347">
        <v>90.58</v>
      </c>
      <c r="AQ1634" s="347" t="s">
        <v>352</v>
      </c>
      <c r="BF1634" s="347">
        <v>167.55</v>
      </c>
      <c r="BG1634" s="347" t="s">
        <v>359</v>
      </c>
      <c r="BH1634" s="1790"/>
      <c r="BN1634" s="237">
        <v>138.01</v>
      </c>
      <c r="BO1634" s="237" t="s">
        <v>337</v>
      </c>
      <c r="BT1634" s="347">
        <v>90.59</v>
      </c>
      <c r="BU1634" s="347" t="s">
        <v>352</v>
      </c>
      <c r="CD1634" s="237">
        <v>97.04</v>
      </c>
      <c r="CE1634" s="237" t="s">
        <v>352</v>
      </c>
      <c r="CJ1634" s="347">
        <v>168.04</v>
      </c>
      <c r="CK1634" s="347" t="s">
        <v>359</v>
      </c>
      <c r="CL1634" s="1789"/>
      <c r="CR1634" s="345"/>
      <c r="CS1634" s="345"/>
      <c r="CX1634" s="347"/>
      <c r="CY1634" s="347"/>
      <c r="DH1634" s="237"/>
      <c r="DI1634" s="237"/>
      <c r="DN1634" s="347"/>
      <c r="DO1634" s="347"/>
      <c r="DP1634" s="2505"/>
    </row>
    <row r="1635" spans="12:120">
      <c r="L1635" s="347">
        <v>59.42</v>
      </c>
      <c r="M1635" s="347" t="s">
        <v>749</v>
      </c>
      <c r="AB1635" s="347">
        <v>302.01</v>
      </c>
      <c r="AC1635" s="347" t="s">
        <v>317</v>
      </c>
      <c r="AD1635" s="1138"/>
      <c r="AP1635" s="347">
        <v>90.59</v>
      </c>
      <c r="AQ1635" s="347" t="s">
        <v>352</v>
      </c>
      <c r="BF1635" s="347">
        <v>167.56</v>
      </c>
      <c r="BG1635" s="347" t="s">
        <v>359</v>
      </c>
      <c r="BH1635" s="1790"/>
      <c r="BN1635" s="237">
        <v>138.02000000000001</v>
      </c>
      <c r="BO1635" s="237" t="s">
        <v>337</v>
      </c>
      <c r="BT1635" s="347">
        <v>90.6</v>
      </c>
      <c r="BU1635" s="347" t="s">
        <v>352</v>
      </c>
      <c r="CD1635" s="237">
        <v>97.05</v>
      </c>
      <c r="CE1635" s="237" t="s">
        <v>352</v>
      </c>
      <c r="CJ1635" s="347">
        <v>168.07</v>
      </c>
      <c r="CK1635" s="347" t="s">
        <v>323</v>
      </c>
      <c r="CL1635" s="1789"/>
      <c r="CR1635" s="345"/>
      <c r="CS1635" s="345"/>
      <c r="CX1635" s="347"/>
      <c r="CY1635" s="347"/>
      <c r="DH1635" s="237"/>
      <c r="DI1635" s="237"/>
      <c r="DN1635" s="347"/>
      <c r="DO1635" s="347"/>
      <c r="DP1635" s="2505"/>
    </row>
    <row r="1636" spans="12:120">
      <c r="L1636" s="347">
        <v>59.45</v>
      </c>
      <c r="M1636" s="347" t="s">
        <v>749</v>
      </c>
      <c r="AB1636" s="347">
        <v>302.01</v>
      </c>
      <c r="AC1636" s="347" t="s">
        <v>344</v>
      </c>
      <c r="AD1636" s="1138"/>
      <c r="AP1636" s="347">
        <v>90.6</v>
      </c>
      <c r="AQ1636" s="347" t="s">
        <v>352</v>
      </c>
      <c r="BF1636" s="347">
        <v>168</v>
      </c>
      <c r="BG1636" s="347" t="s">
        <v>352</v>
      </c>
      <c r="BH1636" s="1790"/>
      <c r="BN1636" s="237">
        <v>138.03</v>
      </c>
      <c r="BO1636" s="237" t="s">
        <v>337</v>
      </c>
      <c r="BT1636" s="347">
        <v>90.62</v>
      </c>
      <c r="BU1636" s="347" t="s">
        <v>352</v>
      </c>
      <c r="CD1636" s="237">
        <v>97.06</v>
      </c>
      <c r="CE1636" s="237" t="s">
        <v>352</v>
      </c>
      <c r="CJ1636" s="347">
        <v>168.08</v>
      </c>
      <c r="CK1636" s="347" t="s">
        <v>323</v>
      </c>
      <c r="CL1636" s="1789"/>
      <c r="CR1636" s="345"/>
      <c r="CS1636" s="345"/>
      <c r="CX1636" s="347"/>
      <c r="CY1636" s="347"/>
      <c r="DH1636" s="237"/>
      <c r="DI1636" s="237"/>
      <c r="DN1636" s="347"/>
      <c r="DO1636" s="347"/>
      <c r="DP1636" s="2505"/>
    </row>
    <row r="1637" spans="12:120">
      <c r="L1637" s="347">
        <v>59.46</v>
      </c>
      <c r="M1637" s="347" t="s">
        <v>749</v>
      </c>
      <c r="AB1637" s="347">
        <v>302.02</v>
      </c>
      <c r="AC1637" s="347" t="s">
        <v>317</v>
      </c>
      <c r="AD1637" s="1138"/>
      <c r="AP1637" s="347">
        <v>90.62</v>
      </c>
      <c r="AQ1637" s="347" t="s">
        <v>352</v>
      </c>
      <c r="BF1637" s="347">
        <v>168.01</v>
      </c>
      <c r="BG1637" s="347" t="s">
        <v>323</v>
      </c>
      <c r="BH1637" s="1790"/>
      <c r="BN1637" s="237">
        <v>138.04</v>
      </c>
      <c r="BO1637" s="237" t="s">
        <v>337</v>
      </c>
      <c r="BT1637" s="347">
        <v>90.64</v>
      </c>
      <c r="BU1637" s="347" t="s">
        <v>352</v>
      </c>
      <c r="CD1637" s="237">
        <v>98.03</v>
      </c>
      <c r="CE1637" s="237" t="s">
        <v>352</v>
      </c>
      <c r="CJ1637" s="347">
        <v>168.08</v>
      </c>
      <c r="CK1637" s="347" t="s">
        <v>359</v>
      </c>
      <c r="CL1637" s="1789"/>
      <c r="CR1637" s="345"/>
      <c r="CS1637" s="345"/>
      <c r="CX1637" s="347"/>
      <c r="CY1637" s="347"/>
      <c r="DH1637" s="237"/>
      <c r="DI1637" s="237"/>
      <c r="DN1637" s="347"/>
      <c r="DO1637" s="347"/>
      <c r="DP1637" s="2505"/>
    </row>
    <row r="1638" spans="12:120">
      <c r="L1638" s="347">
        <v>59.47</v>
      </c>
      <c r="M1638" s="347" t="s">
        <v>749</v>
      </c>
      <c r="AB1638" s="347">
        <v>302.02</v>
      </c>
      <c r="AC1638" s="347" t="s">
        <v>362</v>
      </c>
      <c r="AD1638" s="1138"/>
      <c r="AP1638" s="347">
        <v>90.64</v>
      </c>
      <c r="AQ1638" s="347" t="s">
        <v>352</v>
      </c>
      <c r="BF1638" s="347">
        <v>168.02</v>
      </c>
      <c r="BG1638" s="347" t="s">
        <v>359</v>
      </c>
      <c r="BH1638" s="1790"/>
      <c r="BN1638" s="237">
        <v>138.06</v>
      </c>
      <c r="BO1638" s="237" t="s">
        <v>337</v>
      </c>
      <c r="BT1638" s="347">
        <v>90.65</v>
      </c>
      <c r="BU1638" s="347" t="s">
        <v>352</v>
      </c>
      <c r="CD1638" s="237">
        <v>98.04</v>
      </c>
      <c r="CE1638" s="237" t="s">
        <v>352</v>
      </c>
      <c r="CJ1638" s="347">
        <v>168.09</v>
      </c>
      <c r="CK1638" s="347" t="s">
        <v>323</v>
      </c>
      <c r="CL1638" s="1789"/>
      <c r="CR1638" s="345"/>
      <c r="CS1638" s="345"/>
      <c r="CX1638" s="347"/>
      <c r="CY1638" s="347"/>
      <c r="DH1638" s="237"/>
      <c r="DI1638" s="237"/>
      <c r="DN1638" s="347"/>
      <c r="DO1638" s="347"/>
      <c r="DP1638" s="2505"/>
    </row>
    <row r="1639" spans="12:120">
      <c r="L1639" s="347">
        <v>59.49</v>
      </c>
      <c r="M1639" s="347" t="s">
        <v>749</v>
      </c>
      <c r="AB1639" s="347">
        <v>302.02999999999997</v>
      </c>
      <c r="AC1639" s="347" t="s">
        <v>317</v>
      </c>
      <c r="AD1639" s="1138"/>
      <c r="AP1639" s="347">
        <v>90.66</v>
      </c>
      <c r="AQ1639" s="347" t="s">
        <v>352</v>
      </c>
      <c r="BF1639" s="347">
        <v>168.03</v>
      </c>
      <c r="BG1639" s="347" t="s">
        <v>323</v>
      </c>
      <c r="BH1639" s="1790"/>
      <c r="BN1639" s="237">
        <v>138.07</v>
      </c>
      <c r="BO1639" s="237" t="s">
        <v>337</v>
      </c>
      <c r="BT1639" s="347">
        <v>90.66</v>
      </c>
      <c r="BU1639" s="347" t="s">
        <v>352</v>
      </c>
      <c r="CD1639" s="237">
        <v>98.06</v>
      </c>
      <c r="CE1639" s="237" t="s">
        <v>352</v>
      </c>
      <c r="CJ1639" s="347">
        <v>168.1</v>
      </c>
      <c r="CK1639" s="347" t="s">
        <v>323</v>
      </c>
      <c r="CL1639" s="1789"/>
      <c r="CR1639" s="345"/>
      <c r="CS1639" s="345"/>
      <c r="CX1639" s="347"/>
      <c r="CY1639" s="347"/>
      <c r="DH1639" s="237"/>
      <c r="DI1639" s="237"/>
      <c r="DN1639" s="347"/>
      <c r="DO1639" s="347"/>
      <c r="DP1639" s="2505"/>
    </row>
    <row r="1640" spans="12:120">
      <c r="L1640" s="347">
        <v>59.5</v>
      </c>
      <c r="M1640" s="347" t="s">
        <v>749</v>
      </c>
      <c r="AB1640" s="347">
        <v>302.02999999999997</v>
      </c>
      <c r="AC1640" s="347" t="s">
        <v>343</v>
      </c>
      <c r="AD1640" s="1138"/>
      <c r="AP1640" s="347">
        <v>92</v>
      </c>
      <c r="AQ1640" s="347" t="s">
        <v>352</v>
      </c>
      <c r="BF1640" s="347">
        <v>168.04</v>
      </c>
      <c r="BG1640" s="347" t="s">
        <v>323</v>
      </c>
      <c r="BH1640" s="1790"/>
      <c r="BN1640" s="237">
        <v>139.03</v>
      </c>
      <c r="BO1640" s="237" t="s">
        <v>337</v>
      </c>
      <c r="BT1640" s="347">
        <v>92</v>
      </c>
      <c r="BU1640" s="347" t="s">
        <v>352</v>
      </c>
      <c r="CD1640" s="237">
        <v>98.09</v>
      </c>
      <c r="CE1640" s="237" t="s">
        <v>352</v>
      </c>
      <c r="CJ1640" s="347">
        <v>168.1</v>
      </c>
      <c r="CK1640" s="347" t="s">
        <v>359</v>
      </c>
      <c r="CL1640" s="1789"/>
      <c r="CR1640" s="345"/>
      <c r="CS1640" s="345"/>
      <c r="CX1640" s="347"/>
      <c r="CY1640" s="347"/>
      <c r="DH1640" s="237"/>
      <c r="DI1640" s="237"/>
      <c r="DN1640" s="347"/>
      <c r="DO1640" s="347"/>
      <c r="DP1640" s="2505"/>
    </row>
    <row r="1641" spans="12:120">
      <c r="L1641" s="347">
        <v>59.53</v>
      </c>
      <c r="M1641" s="347" t="s">
        <v>749</v>
      </c>
      <c r="AB1641" s="347">
        <v>302.02999999999997</v>
      </c>
      <c r="AC1641" s="347" t="s">
        <v>344</v>
      </c>
      <c r="AD1641" s="1138"/>
      <c r="AP1641" s="347">
        <v>93.05</v>
      </c>
      <c r="AQ1641" s="347" t="s">
        <v>352</v>
      </c>
      <c r="BF1641" s="347">
        <v>168.04</v>
      </c>
      <c r="BG1641" s="347" t="s">
        <v>359</v>
      </c>
      <c r="BH1641" s="1790"/>
      <c r="BN1641" s="237">
        <v>139.07</v>
      </c>
      <c r="BO1641" s="237" t="s">
        <v>337</v>
      </c>
      <c r="BT1641" s="347">
        <v>93.05</v>
      </c>
      <c r="BU1641" s="347" t="s">
        <v>352</v>
      </c>
      <c r="CD1641" s="237">
        <v>98.1</v>
      </c>
      <c r="CE1641" s="237" t="s">
        <v>352</v>
      </c>
      <c r="CJ1641" s="347">
        <v>168.11</v>
      </c>
      <c r="CK1641" s="347" t="s">
        <v>323</v>
      </c>
      <c r="CL1641" s="1789"/>
      <c r="CR1641" s="345"/>
      <c r="CS1641" s="345"/>
      <c r="CX1641" s="347"/>
      <c r="CY1641" s="347"/>
      <c r="DH1641" s="237"/>
      <c r="DI1641" s="237"/>
      <c r="DN1641" s="347"/>
      <c r="DO1641" s="347"/>
      <c r="DP1641" s="2505"/>
    </row>
    <row r="1642" spans="12:120">
      <c r="L1642" s="347">
        <v>59.54</v>
      </c>
      <c r="M1642" s="347" t="s">
        <v>749</v>
      </c>
      <c r="AB1642" s="347">
        <v>302.04000000000002</v>
      </c>
      <c r="AC1642" s="347" t="s">
        <v>362</v>
      </c>
      <c r="AD1642" s="1138"/>
      <c r="AP1642" s="347">
        <v>93.12</v>
      </c>
      <c r="AQ1642" s="347" t="s">
        <v>352</v>
      </c>
      <c r="BF1642" s="347">
        <v>168.07</v>
      </c>
      <c r="BG1642" s="347" t="s">
        <v>323</v>
      </c>
      <c r="BH1642" s="1790"/>
      <c r="BN1642" s="237">
        <v>139.12</v>
      </c>
      <c r="BO1642" s="237" t="s">
        <v>337</v>
      </c>
      <c r="BT1642" s="347">
        <v>93.12</v>
      </c>
      <c r="BU1642" s="347" t="s">
        <v>352</v>
      </c>
      <c r="CD1642" s="237">
        <v>98.11</v>
      </c>
      <c r="CE1642" s="237" t="s">
        <v>352</v>
      </c>
      <c r="CJ1642" s="347">
        <v>168.11</v>
      </c>
      <c r="CK1642" s="347" t="s">
        <v>359</v>
      </c>
      <c r="CL1642" s="1789"/>
      <c r="CR1642" s="345"/>
      <c r="CS1642" s="345"/>
      <c r="CX1642" s="347"/>
      <c r="CY1642" s="347"/>
      <c r="DH1642" s="237"/>
      <c r="DI1642" s="237"/>
      <c r="DN1642" s="347"/>
      <c r="DO1642" s="347"/>
      <c r="DP1642" s="2505"/>
    </row>
    <row r="1643" spans="12:120">
      <c r="L1643" s="347">
        <v>59.55</v>
      </c>
      <c r="M1643" s="347" t="s">
        <v>749</v>
      </c>
      <c r="AB1643" s="347">
        <v>302.05</v>
      </c>
      <c r="AC1643" s="347" t="s">
        <v>362</v>
      </c>
      <c r="AD1643" s="1138"/>
      <c r="AP1643" s="347">
        <v>93.16</v>
      </c>
      <c r="AQ1643" s="347" t="s">
        <v>352</v>
      </c>
      <c r="BF1643" s="347">
        <v>168.08</v>
      </c>
      <c r="BG1643" s="347" t="s">
        <v>359</v>
      </c>
      <c r="BH1643" s="1790"/>
      <c r="BN1643" s="237">
        <v>139.13</v>
      </c>
      <c r="BO1643" s="237" t="s">
        <v>337</v>
      </c>
      <c r="BT1643" s="347">
        <v>93.19</v>
      </c>
      <c r="BU1643" s="347" t="s">
        <v>352</v>
      </c>
      <c r="CD1643" s="237">
        <v>98.12</v>
      </c>
      <c r="CE1643" s="237" t="s">
        <v>352</v>
      </c>
      <c r="CJ1643" s="347">
        <v>168.12</v>
      </c>
      <c r="CK1643" s="347" t="s">
        <v>323</v>
      </c>
      <c r="CL1643" s="1789"/>
      <c r="CR1643" s="345"/>
      <c r="CS1643" s="345"/>
      <c r="CX1643" s="347"/>
      <c r="CY1643" s="347"/>
      <c r="DH1643" s="237"/>
      <c r="DI1643" s="237"/>
      <c r="DN1643" s="347"/>
      <c r="DO1643" s="347"/>
      <c r="DP1643" s="2505"/>
    </row>
    <row r="1644" spans="12:120">
      <c r="L1644" s="347">
        <v>60.05</v>
      </c>
      <c r="M1644" s="347" t="s">
        <v>749</v>
      </c>
      <c r="AB1644" s="347">
        <v>302.07</v>
      </c>
      <c r="AC1644" s="347" t="s">
        <v>343</v>
      </c>
      <c r="AD1644" s="1138"/>
      <c r="AP1644" s="347">
        <v>93.17</v>
      </c>
      <c r="AQ1644" s="347" t="s">
        <v>352</v>
      </c>
      <c r="BF1644" s="347">
        <v>168.09</v>
      </c>
      <c r="BG1644" s="347" t="s">
        <v>323</v>
      </c>
      <c r="BH1644" s="1790"/>
      <c r="BN1644" s="237">
        <v>139.13999999999999</v>
      </c>
      <c r="BO1644" s="237" t="s">
        <v>337</v>
      </c>
      <c r="BT1644" s="347">
        <v>93.21</v>
      </c>
      <c r="BU1644" s="347" t="s">
        <v>352</v>
      </c>
      <c r="CD1644" s="237">
        <v>99.03</v>
      </c>
      <c r="CE1644" s="237" t="s">
        <v>352</v>
      </c>
      <c r="CJ1644" s="347">
        <v>168.13</v>
      </c>
      <c r="CK1644" s="347" t="s">
        <v>323</v>
      </c>
      <c r="CL1644" s="1789"/>
      <c r="CR1644" s="345"/>
      <c r="CS1644" s="345"/>
      <c r="CX1644" s="347"/>
      <c r="CY1644" s="347"/>
      <c r="DH1644" s="237"/>
      <c r="DI1644" s="237"/>
      <c r="DN1644" s="347"/>
      <c r="DO1644" s="347"/>
      <c r="DP1644" s="2505"/>
    </row>
    <row r="1645" spans="12:120">
      <c r="L1645" s="347">
        <v>60.06</v>
      </c>
      <c r="M1645" s="347" t="s">
        <v>749</v>
      </c>
      <c r="AB1645" s="347">
        <v>302.08</v>
      </c>
      <c r="AC1645" s="347" t="s">
        <v>343</v>
      </c>
      <c r="AD1645" s="1138"/>
      <c r="AP1645" s="347">
        <v>93.19</v>
      </c>
      <c r="AQ1645" s="347" t="s">
        <v>352</v>
      </c>
      <c r="BF1645" s="347">
        <v>168.09</v>
      </c>
      <c r="BG1645" s="347" t="s">
        <v>359</v>
      </c>
      <c r="BH1645" s="1790"/>
      <c r="BN1645" s="237">
        <v>139.15</v>
      </c>
      <c r="BO1645" s="237" t="s">
        <v>337</v>
      </c>
      <c r="BT1645" s="347">
        <v>93.23</v>
      </c>
      <c r="BU1645" s="347" t="s">
        <v>352</v>
      </c>
      <c r="CD1645" s="237">
        <v>99.04</v>
      </c>
      <c r="CE1645" s="237" t="s">
        <v>352</v>
      </c>
      <c r="CJ1645" s="347">
        <v>168.13</v>
      </c>
      <c r="CK1645" s="347" t="s">
        <v>359</v>
      </c>
      <c r="CL1645" s="1789"/>
      <c r="CR1645" s="345"/>
      <c r="CS1645" s="345"/>
      <c r="CX1645" s="347"/>
      <c r="CY1645" s="347"/>
      <c r="DH1645" s="237"/>
      <c r="DI1645" s="237"/>
      <c r="DN1645" s="347"/>
      <c r="DO1645" s="347"/>
      <c r="DP1645" s="2505"/>
    </row>
    <row r="1646" spans="12:120">
      <c r="L1646" s="347">
        <v>60.08</v>
      </c>
      <c r="M1646" s="347" t="s">
        <v>749</v>
      </c>
      <c r="AB1646" s="347">
        <v>303</v>
      </c>
      <c r="AC1646" s="347" t="s">
        <v>344</v>
      </c>
      <c r="AD1646" s="1138"/>
      <c r="AP1646" s="347">
        <v>93.21</v>
      </c>
      <c r="AQ1646" s="347" t="s">
        <v>352</v>
      </c>
      <c r="BF1646" s="347">
        <v>168.1</v>
      </c>
      <c r="BG1646" s="347" t="s">
        <v>323</v>
      </c>
      <c r="BH1646" s="1790"/>
      <c r="BN1646" s="237">
        <v>139.16</v>
      </c>
      <c r="BO1646" s="237" t="s">
        <v>337</v>
      </c>
      <c r="BT1646" s="347">
        <v>93.25</v>
      </c>
      <c r="BU1646" s="347" t="s">
        <v>352</v>
      </c>
      <c r="CD1646" s="237">
        <v>99.05</v>
      </c>
      <c r="CE1646" s="237" t="s">
        <v>352</v>
      </c>
      <c r="CJ1646" s="347">
        <v>169</v>
      </c>
      <c r="CK1646" s="347" t="s">
        <v>352</v>
      </c>
      <c r="CL1646" s="1789"/>
      <c r="CR1646" s="345"/>
      <c r="CS1646" s="345"/>
      <c r="CX1646" s="347"/>
      <c r="CY1646" s="347"/>
      <c r="DH1646" s="237"/>
      <c r="DI1646" s="237"/>
      <c r="DN1646" s="347"/>
      <c r="DO1646" s="347"/>
      <c r="DP1646" s="2505"/>
    </row>
    <row r="1647" spans="12:120">
      <c r="L1647" s="347">
        <v>62.02</v>
      </c>
      <c r="M1647" s="347" t="s">
        <v>749</v>
      </c>
      <c r="AB1647" s="347">
        <v>303.01</v>
      </c>
      <c r="AC1647" s="347" t="s">
        <v>317</v>
      </c>
      <c r="AD1647" s="1138"/>
      <c r="AP1647" s="347">
        <v>93.23</v>
      </c>
      <c r="AQ1647" s="347" t="s">
        <v>352</v>
      </c>
      <c r="BF1647" s="347">
        <v>168.1</v>
      </c>
      <c r="BG1647" s="347" t="s">
        <v>359</v>
      </c>
      <c r="BH1647" s="1790"/>
      <c r="BN1647" s="237">
        <v>139.16999999999999</v>
      </c>
      <c r="BO1647" s="237" t="s">
        <v>337</v>
      </c>
      <c r="BT1647" s="347">
        <v>93.27</v>
      </c>
      <c r="BU1647" s="347" t="s">
        <v>352</v>
      </c>
      <c r="CD1647" s="237">
        <v>99.06</v>
      </c>
      <c r="CE1647" s="237" t="s">
        <v>352</v>
      </c>
      <c r="CJ1647" s="347">
        <v>169.09</v>
      </c>
      <c r="CK1647" s="347" t="s">
        <v>359</v>
      </c>
      <c r="CL1647" s="1789"/>
      <c r="CR1647" s="345"/>
      <c r="CS1647" s="345"/>
      <c r="CX1647" s="347"/>
      <c r="CY1647" s="347"/>
      <c r="DH1647" s="237"/>
      <c r="DI1647" s="237"/>
      <c r="DN1647" s="347"/>
      <c r="DO1647" s="347"/>
      <c r="DP1647" s="2505"/>
    </row>
    <row r="1648" spans="12:120">
      <c r="L1648" s="347">
        <v>63</v>
      </c>
      <c r="M1648" s="347" t="s">
        <v>749</v>
      </c>
      <c r="AB1648" s="347">
        <v>303.01</v>
      </c>
      <c r="AC1648" s="347" t="s">
        <v>362</v>
      </c>
      <c r="AD1648" s="1138"/>
      <c r="AP1648" s="347">
        <v>96.01</v>
      </c>
      <c r="AQ1648" s="347" t="s">
        <v>352</v>
      </c>
      <c r="BF1648" s="347">
        <v>168.11</v>
      </c>
      <c r="BG1648" s="347" t="s">
        <v>323</v>
      </c>
      <c r="BH1648" s="1790"/>
      <c r="BN1648" s="237">
        <v>139.18</v>
      </c>
      <c r="BO1648" s="237" t="s">
        <v>337</v>
      </c>
      <c r="BT1648" s="347">
        <v>94.02</v>
      </c>
      <c r="BU1648" s="347" t="s">
        <v>352</v>
      </c>
      <c r="CD1648" s="237">
        <v>99.07</v>
      </c>
      <c r="CE1648" s="237" t="s">
        <v>352</v>
      </c>
      <c r="CJ1648" s="347">
        <v>170.04</v>
      </c>
      <c r="CK1648" s="347" t="s">
        <v>359</v>
      </c>
      <c r="CL1648" s="1789"/>
      <c r="CR1648" s="345"/>
      <c r="CS1648" s="345"/>
      <c r="CX1648" s="347"/>
      <c r="CY1648" s="347"/>
      <c r="DH1648" s="237"/>
      <c r="DI1648" s="237"/>
      <c r="DN1648" s="347"/>
      <c r="DO1648" s="347"/>
      <c r="DP1648" s="2505"/>
    </row>
    <row r="1649" spans="12:120">
      <c r="L1649" s="347">
        <v>64.010000000000005</v>
      </c>
      <c r="M1649" s="347" t="s">
        <v>749</v>
      </c>
      <c r="AB1649" s="347">
        <v>303.02</v>
      </c>
      <c r="AC1649" s="347" t="s">
        <v>343</v>
      </c>
      <c r="AD1649" s="1138"/>
      <c r="AP1649" s="347">
        <v>97.03</v>
      </c>
      <c r="AQ1649" s="347" t="s">
        <v>352</v>
      </c>
      <c r="BF1649" s="347">
        <v>168.11</v>
      </c>
      <c r="BG1649" s="347" t="s">
        <v>359</v>
      </c>
      <c r="BH1649" s="1790"/>
      <c r="BN1649" s="237">
        <v>139.19</v>
      </c>
      <c r="BO1649" s="237" t="s">
        <v>337</v>
      </c>
      <c r="BT1649" s="347">
        <v>96.01</v>
      </c>
      <c r="BU1649" s="347" t="s">
        <v>352</v>
      </c>
      <c r="CD1649" s="237">
        <v>99.08</v>
      </c>
      <c r="CE1649" s="237" t="s">
        <v>352</v>
      </c>
      <c r="CJ1649" s="347">
        <v>170.06</v>
      </c>
      <c r="CK1649" s="347" t="s">
        <v>359</v>
      </c>
      <c r="CL1649" s="1789"/>
      <c r="CR1649" s="345"/>
      <c r="CS1649" s="345"/>
      <c r="CX1649" s="347"/>
      <c r="CY1649" s="347"/>
      <c r="DH1649" s="237"/>
      <c r="DI1649" s="237"/>
      <c r="DN1649" s="347"/>
      <c r="DO1649" s="347"/>
      <c r="DP1649" s="2505"/>
    </row>
    <row r="1650" spans="12:120">
      <c r="L1650" s="347">
        <v>64.02</v>
      </c>
      <c r="M1650" s="347" t="s">
        <v>749</v>
      </c>
      <c r="AB1650" s="347">
        <v>303.02999999999997</v>
      </c>
      <c r="AC1650" s="347" t="s">
        <v>317</v>
      </c>
      <c r="AD1650" s="1138"/>
      <c r="AP1650" s="347">
        <v>97.04</v>
      </c>
      <c r="AQ1650" s="347" t="s">
        <v>352</v>
      </c>
      <c r="BF1650" s="347">
        <v>168.12</v>
      </c>
      <c r="BG1650" s="347" t="s">
        <v>323</v>
      </c>
      <c r="BH1650" s="1790"/>
      <c r="BN1650" s="237">
        <v>139.22</v>
      </c>
      <c r="BO1650" s="237" t="s">
        <v>337</v>
      </c>
      <c r="BT1650" s="347">
        <v>97.03</v>
      </c>
      <c r="BU1650" s="347" t="s">
        <v>352</v>
      </c>
      <c r="CD1650" s="237">
        <v>99.09</v>
      </c>
      <c r="CE1650" s="237" t="s">
        <v>352</v>
      </c>
      <c r="CJ1650" s="347">
        <v>170.12</v>
      </c>
      <c r="CK1650" s="347" t="s">
        <v>359</v>
      </c>
      <c r="CL1650" s="1789"/>
      <c r="CR1650" s="345"/>
      <c r="CS1650" s="345"/>
      <c r="CX1650" s="347"/>
      <c r="CY1650" s="347"/>
      <c r="DH1650" s="237"/>
      <c r="DI1650" s="237"/>
      <c r="DN1650" s="347"/>
      <c r="DO1650" s="347"/>
      <c r="DP1650" s="2505"/>
    </row>
    <row r="1651" spans="12:120">
      <c r="L1651" s="347">
        <v>66.02</v>
      </c>
      <c r="M1651" s="347" t="s">
        <v>749</v>
      </c>
      <c r="AB1651" s="347">
        <v>303.02999999999997</v>
      </c>
      <c r="AC1651" s="347" t="s">
        <v>362</v>
      </c>
      <c r="AD1651" s="1138"/>
      <c r="AP1651" s="347">
        <v>98.03</v>
      </c>
      <c r="AQ1651" s="347" t="s">
        <v>352</v>
      </c>
      <c r="BF1651" s="347">
        <v>168.13</v>
      </c>
      <c r="BG1651" s="347" t="s">
        <v>323</v>
      </c>
      <c r="BH1651" s="1790"/>
      <c r="BN1651" s="237">
        <v>139.22999999999999</v>
      </c>
      <c r="BO1651" s="237" t="s">
        <v>337</v>
      </c>
      <c r="BT1651" s="347">
        <v>97.04</v>
      </c>
      <c r="BU1651" s="347" t="s">
        <v>352</v>
      </c>
      <c r="CD1651" s="237">
        <v>100.1</v>
      </c>
      <c r="CE1651" s="237" t="s">
        <v>352</v>
      </c>
      <c r="CJ1651" s="347">
        <v>170.15</v>
      </c>
      <c r="CK1651" s="347" t="s">
        <v>359</v>
      </c>
      <c r="CL1651" s="1789"/>
      <c r="CR1651" s="345"/>
      <c r="CS1651" s="345"/>
      <c r="CX1651" s="347"/>
      <c r="CY1651" s="347"/>
      <c r="DH1651" s="237"/>
      <c r="DI1651" s="237"/>
      <c r="DN1651" s="347"/>
      <c r="DO1651" s="347"/>
      <c r="DP1651" s="2505"/>
    </row>
    <row r="1652" spans="12:120">
      <c r="L1652" s="347">
        <v>66.03</v>
      </c>
      <c r="M1652" s="347" t="s">
        <v>749</v>
      </c>
      <c r="AB1652" s="347">
        <v>303.05</v>
      </c>
      <c r="AC1652" s="347" t="s">
        <v>343</v>
      </c>
      <c r="AD1652" s="1138"/>
      <c r="AP1652" s="347">
        <v>98.04</v>
      </c>
      <c r="AQ1652" s="347" t="s">
        <v>352</v>
      </c>
      <c r="BF1652" s="347">
        <v>169</v>
      </c>
      <c r="BG1652" s="347" t="s">
        <v>352</v>
      </c>
      <c r="BH1652" s="1790"/>
      <c r="BN1652" s="237">
        <v>139.24</v>
      </c>
      <c r="BO1652" s="237" t="s">
        <v>337</v>
      </c>
      <c r="BT1652" s="347">
        <v>98.03</v>
      </c>
      <c r="BU1652" s="347" t="s">
        <v>352</v>
      </c>
      <c r="CD1652" s="237">
        <v>100.12</v>
      </c>
      <c r="CE1652" s="237" t="s">
        <v>352</v>
      </c>
      <c r="CJ1652" s="347">
        <v>170.2</v>
      </c>
      <c r="CK1652" s="347" t="s">
        <v>359</v>
      </c>
      <c r="CL1652" s="1789"/>
      <c r="CR1652" s="345"/>
      <c r="CS1652" s="345"/>
      <c r="CX1652" s="347"/>
      <c r="CY1652" s="347"/>
      <c r="DH1652" s="237"/>
      <c r="DI1652" s="237"/>
      <c r="DN1652" s="347"/>
      <c r="DO1652" s="347"/>
      <c r="DP1652" s="2505"/>
    </row>
    <row r="1653" spans="12:120">
      <c r="L1653" s="347">
        <v>66.05</v>
      </c>
      <c r="M1653" s="347" t="s">
        <v>749</v>
      </c>
      <c r="AB1653" s="347">
        <v>303.08</v>
      </c>
      <c r="AC1653" s="347" t="s">
        <v>343</v>
      </c>
      <c r="AD1653" s="1138"/>
      <c r="AP1653" s="347">
        <v>98.09</v>
      </c>
      <c r="AQ1653" s="347" t="s">
        <v>352</v>
      </c>
      <c r="BF1653" s="347">
        <v>169.08</v>
      </c>
      <c r="BG1653" s="347" t="s">
        <v>359</v>
      </c>
      <c r="BH1653" s="1790"/>
      <c r="BN1653" s="237">
        <v>139.25</v>
      </c>
      <c r="BO1653" s="237" t="s">
        <v>337</v>
      </c>
      <c r="BT1653" s="347">
        <v>98.04</v>
      </c>
      <c r="BU1653" s="347" t="s">
        <v>352</v>
      </c>
      <c r="CD1653" s="237">
        <v>100.13</v>
      </c>
      <c r="CE1653" s="237" t="s">
        <v>352</v>
      </c>
      <c r="CJ1653" s="347">
        <v>170.21</v>
      </c>
      <c r="CK1653" s="347" t="s">
        <v>359</v>
      </c>
      <c r="CL1653" s="1789"/>
      <c r="CR1653" s="345"/>
      <c r="CS1653" s="345"/>
      <c r="CX1653" s="347"/>
      <c r="CY1653" s="347"/>
      <c r="DH1653" s="237"/>
      <c r="DI1653" s="237"/>
      <c r="DN1653" s="347"/>
      <c r="DO1653" s="347"/>
      <c r="DP1653" s="2505"/>
    </row>
    <row r="1654" spans="12:120">
      <c r="L1654" s="347">
        <v>69.06</v>
      </c>
      <c r="M1654" s="347" t="s">
        <v>749</v>
      </c>
      <c r="AB1654" s="347">
        <v>304.01</v>
      </c>
      <c r="AC1654" s="347" t="s">
        <v>315</v>
      </c>
      <c r="AD1654" s="1138"/>
      <c r="AP1654" s="347">
        <v>98.1</v>
      </c>
      <c r="AQ1654" s="347" t="s">
        <v>352</v>
      </c>
      <c r="BF1654" s="347">
        <v>170</v>
      </c>
      <c r="BG1654" s="347" t="s">
        <v>352</v>
      </c>
      <c r="BH1654" s="1790"/>
      <c r="BN1654" s="237">
        <v>139.26</v>
      </c>
      <c r="BO1654" s="237" t="s">
        <v>337</v>
      </c>
      <c r="BT1654" s="347">
        <v>98.09</v>
      </c>
      <c r="BU1654" s="347" t="s">
        <v>352</v>
      </c>
      <c r="CD1654" s="237">
        <v>100.15</v>
      </c>
      <c r="CE1654" s="237" t="s">
        <v>352</v>
      </c>
      <c r="CJ1654" s="347">
        <v>170.22</v>
      </c>
      <c r="CK1654" s="347" t="s">
        <v>359</v>
      </c>
      <c r="CL1654" s="1789"/>
      <c r="CR1654" s="345"/>
      <c r="CS1654" s="345"/>
      <c r="CX1654" s="347"/>
      <c r="CY1654" s="347"/>
      <c r="DH1654" s="237"/>
      <c r="DI1654" s="237"/>
      <c r="DN1654" s="347"/>
      <c r="DO1654" s="347"/>
      <c r="DP1654" s="2505"/>
    </row>
    <row r="1655" spans="12:120">
      <c r="L1655" s="347">
        <v>69.11</v>
      </c>
      <c r="M1655" s="347" t="s">
        <v>749</v>
      </c>
      <c r="AB1655" s="347">
        <v>304.02</v>
      </c>
      <c r="AC1655" s="347" t="s">
        <v>315</v>
      </c>
      <c r="AD1655" s="1138"/>
      <c r="AP1655" s="347">
        <v>98.12</v>
      </c>
      <c r="AQ1655" s="347" t="s">
        <v>352</v>
      </c>
      <c r="BF1655" s="347">
        <v>170.04</v>
      </c>
      <c r="BG1655" s="347" t="s">
        <v>359</v>
      </c>
      <c r="BH1655" s="1790"/>
      <c r="BN1655" s="237">
        <v>140.02000000000001</v>
      </c>
      <c r="BO1655" s="237" t="s">
        <v>337</v>
      </c>
      <c r="BT1655" s="347">
        <v>98.1</v>
      </c>
      <c r="BU1655" s="347" t="s">
        <v>352</v>
      </c>
      <c r="CD1655" s="237">
        <v>100.16</v>
      </c>
      <c r="CE1655" s="237" t="s">
        <v>352</v>
      </c>
      <c r="CJ1655" s="347">
        <v>170.24</v>
      </c>
      <c r="CK1655" s="347" t="s">
        <v>359</v>
      </c>
      <c r="CL1655" s="1789"/>
      <c r="CR1655" s="345"/>
      <c r="CS1655" s="345"/>
      <c r="CX1655" s="347"/>
      <c r="CY1655" s="347"/>
      <c r="DH1655" s="237"/>
      <c r="DI1655" s="237"/>
      <c r="DN1655" s="347"/>
      <c r="DO1655" s="347"/>
      <c r="DP1655" s="2505"/>
    </row>
    <row r="1656" spans="12:120">
      <c r="L1656" s="347">
        <v>69.12</v>
      </c>
      <c r="M1656" s="347" t="s">
        <v>749</v>
      </c>
      <c r="AB1656" s="347">
        <v>304.04000000000002</v>
      </c>
      <c r="AC1656" s="347" t="s">
        <v>362</v>
      </c>
      <c r="AD1656" s="1138"/>
      <c r="AP1656" s="347">
        <v>99.07</v>
      </c>
      <c r="AQ1656" s="347" t="s">
        <v>352</v>
      </c>
      <c r="BF1656" s="347">
        <v>170.06</v>
      </c>
      <c r="BG1656" s="347" t="s">
        <v>359</v>
      </c>
      <c r="BH1656" s="1790"/>
      <c r="BN1656" s="237">
        <v>140.03</v>
      </c>
      <c r="BO1656" s="237" t="s">
        <v>337</v>
      </c>
      <c r="BT1656" s="347">
        <v>98.12</v>
      </c>
      <c r="BU1656" s="347" t="s">
        <v>352</v>
      </c>
      <c r="CD1656" s="237">
        <v>100.17</v>
      </c>
      <c r="CE1656" s="237" t="s">
        <v>352</v>
      </c>
      <c r="CJ1656" s="347">
        <v>170.25</v>
      </c>
      <c r="CK1656" s="347" t="s">
        <v>359</v>
      </c>
      <c r="CL1656" s="1789"/>
      <c r="CR1656" s="345"/>
      <c r="CS1656" s="345"/>
      <c r="CX1656" s="347"/>
      <c r="CY1656" s="347"/>
      <c r="DH1656" s="237"/>
      <c r="DI1656" s="237"/>
      <c r="DN1656" s="347"/>
      <c r="DO1656" s="347"/>
      <c r="DP1656" s="2505"/>
    </row>
    <row r="1657" spans="12:120">
      <c r="L1657" s="347">
        <v>70.02</v>
      </c>
      <c r="M1657" s="347" t="s">
        <v>749</v>
      </c>
      <c r="AB1657" s="347">
        <v>304.06</v>
      </c>
      <c r="AC1657" s="347" t="s">
        <v>343</v>
      </c>
      <c r="AD1657" s="1138"/>
      <c r="AP1657" s="347">
        <v>99.09</v>
      </c>
      <c r="AQ1657" s="347" t="s">
        <v>352</v>
      </c>
      <c r="BF1657" s="347">
        <v>170.12</v>
      </c>
      <c r="BG1657" s="347" t="s">
        <v>359</v>
      </c>
      <c r="BH1657" s="1790"/>
      <c r="BN1657" s="237">
        <v>140.07</v>
      </c>
      <c r="BO1657" s="237" t="s">
        <v>337</v>
      </c>
      <c r="BT1657" s="347">
        <v>99.07</v>
      </c>
      <c r="BU1657" s="347" t="s">
        <v>352</v>
      </c>
      <c r="CD1657" s="237">
        <v>100.18</v>
      </c>
      <c r="CE1657" s="237" t="s">
        <v>352</v>
      </c>
      <c r="CJ1657" s="347">
        <v>170.26</v>
      </c>
      <c r="CK1657" s="347" t="s">
        <v>359</v>
      </c>
      <c r="CL1657" s="1789"/>
      <c r="CR1657" s="345"/>
      <c r="CS1657" s="345"/>
      <c r="CX1657" s="347"/>
      <c r="CY1657" s="347"/>
      <c r="DH1657" s="237"/>
      <c r="DI1657" s="237"/>
      <c r="DN1657" s="347"/>
      <c r="DO1657" s="347"/>
      <c r="DP1657" s="2505"/>
    </row>
    <row r="1658" spans="12:120">
      <c r="L1658" s="347">
        <v>70.05</v>
      </c>
      <c r="M1658" s="347" t="s">
        <v>749</v>
      </c>
      <c r="AB1658" s="347">
        <v>304.08</v>
      </c>
      <c r="AC1658" s="347" t="s">
        <v>343</v>
      </c>
      <c r="AD1658" s="1138"/>
      <c r="AP1658" s="347">
        <v>100.12</v>
      </c>
      <c r="AQ1658" s="347" t="s">
        <v>352</v>
      </c>
      <c r="BF1658" s="347">
        <v>170.15</v>
      </c>
      <c r="BG1658" s="347" t="s">
        <v>359</v>
      </c>
      <c r="BH1658" s="1790"/>
      <c r="BN1658" s="237">
        <v>140.08000000000001</v>
      </c>
      <c r="BO1658" s="237" t="s">
        <v>337</v>
      </c>
      <c r="BT1658" s="347">
        <v>99.09</v>
      </c>
      <c r="BU1658" s="347" t="s">
        <v>352</v>
      </c>
      <c r="CD1658" s="237">
        <v>100.19</v>
      </c>
      <c r="CE1658" s="237" t="s">
        <v>352</v>
      </c>
      <c r="CJ1658" s="347">
        <v>171.01</v>
      </c>
      <c r="CK1658" s="347" t="s">
        <v>323</v>
      </c>
      <c r="CL1658" s="1789"/>
      <c r="CR1658" s="345"/>
      <c r="CS1658" s="345"/>
      <c r="CX1658" s="347"/>
      <c r="CY1658" s="347"/>
      <c r="DH1658" s="237"/>
      <c r="DI1658" s="237"/>
      <c r="DN1658" s="347"/>
      <c r="DO1658" s="347"/>
      <c r="DP1658" s="2505"/>
    </row>
    <row r="1659" spans="12:120">
      <c r="L1659" s="347">
        <v>70.06</v>
      </c>
      <c r="M1659" s="347" t="s">
        <v>749</v>
      </c>
      <c r="AB1659" s="347">
        <v>304.08999999999997</v>
      </c>
      <c r="AC1659" s="347" t="s">
        <v>362</v>
      </c>
      <c r="AD1659" s="1138"/>
      <c r="AP1659" s="347">
        <v>100.13</v>
      </c>
      <c r="AQ1659" s="347" t="s">
        <v>352</v>
      </c>
      <c r="BF1659" s="347">
        <v>170.18</v>
      </c>
      <c r="BG1659" s="347" t="s">
        <v>359</v>
      </c>
      <c r="BH1659" s="1790"/>
      <c r="BN1659" s="237">
        <v>140.09</v>
      </c>
      <c r="BO1659" s="237" t="s">
        <v>337</v>
      </c>
      <c r="BT1659" s="347">
        <v>100.12</v>
      </c>
      <c r="BU1659" s="347" t="s">
        <v>352</v>
      </c>
      <c r="CD1659" s="237">
        <v>100.2</v>
      </c>
      <c r="CE1659" s="237" t="s">
        <v>352</v>
      </c>
      <c r="CJ1659" s="347">
        <v>171.01</v>
      </c>
      <c r="CK1659" s="347" t="s">
        <v>352</v>
      </c>
      <c r="CL1659" s="1789"/>
      <c r="CR1659" s="345"/>
      <c r="CS1659" s="345"/>
      <c r="CX1659" s="347"/>
      <c r="CY1659" s="347"/>
      <c r="DH1659" s="237"/>
      <c r="DI1659" s="237"/>
      <c r="DN1659" s="347"/>
      <c r="DO1659" s="347"/>
      <c r="DP1659" s="2505"/>
    </row>
    <row r="1660" spans="12:120">
      <c r="L1660" s="347">
        <v>70.069999999999993</v>
      </c>
      <c r="M1660" s="347" t="s">
        <v>749</v>
      </c>
      <c r="AB1660" s="347">
        <v>304.10000000000002</v>
      </c>
      <c r="AC1660" s="347" t="s">
        <v>343</v>
      </c>
      <c r="AD1660" s="1138"/>
      <c r="AP1660" s="347">
        <v>100.16</v>
      </c>
      <c r="AQ1660" s="347" t="s">
        <v>352</v>
      </c>
      <c r="BF1660" s="347">
        <v>170.2</v>
      </c>
      <c r="BG1660" s="347" t="s">
        <v>359</v>
      </c>
      <c r="BH1660" s="1790"/>
      <c r="BN1660" s="237">
        <v>140.1</v>
      </c>
      <c r="BO1660" s="237" t="s">
        <v>337</v>
      </c>
      <c r="BT1660" s="347">
        <v>100.13</v>
      </c>
      <c r="BU1660" s="347" t="s">
        <v>352</v>
      </c>
      <c r="CD1660" s="237">
        <v>100.21</v>
      </c>
      <c r="CE1660" s="237" t="s">
        <v>352</v>
      </c>
      <c r="CJ1660" s="347">
        <v>171.02</v>
      </c>
      <c r="CK1660" s="347" t="s">
        <v>323</v>
      </c>
      <c r="CL1660" s="1789"/>
      <c r="CR1660" s="345"/>
      <c r="CS1660" s="345"/>
      <c r="CX1660" s="347"/>
      <c r="CY1660" s="347"/>
      <c r="DH1660" s="237"/>
      <c r="DI1660" s="237"/>
      <c r="DN1660" s="347"/>
      <c r="DO1660" s="347"/>
      <c r="DP1660" s="2505"/>
    </row>
    <row r="1661" spans="12:120">
      <c r="L1661" s="347">
        <v>70.08</v>
      </c>
      <c r="M1661" s="347" t="s">
        <v>749</v>
      </c>
      <c r="AB1661" s="347">
        <v>305.01</v>
      </c>
      <c r="AC1661" s="347" t="s">
        <v>315</v>
      </c>
      <c r="AD1661" s="1138"/>
      <c r="AP1661" s="347">
        <v>100.17</v>
      </c>
      <c r="AQ1661" s="347" t="s">
        <v>352</v>
      </c>
      <c r="BF1661" s="347">
        <v>170.22</v>
      </c>
      <c r="BG1661" s="347" t="s">
        <v>359</v>
      </c>
      <c r="BH1661" s="1790"/>
      <c r="BN1661" s="237">
        <v>140.11000000000001</v>
      </c>
      <c r="BO1661" s="237" t="s">
        <v>337</v>
      </c>
      <c r="BT1661" s="347">
        <v>100.16</v>
      </c>
      <c r="BU1661" s="347" t="s">
        <v>352</v>
      </c>
      <c r="CD1661" s="237">
        <v>100.22</v>
      </c>
      <c r="CE1661" s="237" t="s">
        <v>352</v>
      </c>
      <c r="CJ1661" s="347">
        <v>171.02</v>
      </c>
      <c r="CK1661" s="347" t="s">
        <v>352</v>
      </c>
      <c r="CL1661" s="1789"/>
      <c r="CR1661" s="345"/>
      <c r="CS1661" s="345"/>
      <c r="CX1661" s="347"/>
      <c r="CY1661" s="347"/>
      <c r="DH1661" s="237"/>
      <c r="DI1661" s="237"/>
      <c r="DN1661" s="347"/>
      <c r="DO1661" s="347"/>
      <c r="DP1661" s="2505"/>
    </row>
    <row r="1662" spans="12:120">
      <c r="L1662" s="347">
        <v>70.09</v>
      </c>
      <c r="M1662" s="347" t="s">
        <v>749</v>
      </c>
      <c r="AB1662" s="347">
        <v>305.02999999999997</v>
      </c>
      <c r="AC1662" s="347" t="s">
        <v>315</v>
      </c>
      <c r="AD1662" s="1138"/>
      <c r="AP1662" s="347">
        <v>100.18</v>
      </c>
      <c r="AQ1662" s="347" t="s">
        <v>352</v>
      </c>
      <c r="BF1662" s="347">
        <v>170.24</v>
      </c>
      <c r="BG1662" s="347" t="s">
        <v>359</v>
      </c>
      <c r="BH1662" s="1790"/>
      <c r="BN1662" s="237">
        <v>140.12</v>
      </c>
      <c r="BO1662" s="237" t="s">
        <v>337</v>
      </c>
      <c r="BT1662" s="347">
        <v>100.17</v>
      </c>
      <c r="BU1662" s="347" t="s">
        <v>352</v>
      </c>
      <c r="CD1662" s="237">
        <v>100.23</v>
      </c>
      <c r="CE1662" s="237" t="s">
        <v>352</v>
      </c>
      <c r="CJ1662" s="347">
        <v>171.08</v>
      </c>
      <c r="CK1662" s="347" t="s">
        <v>359</v>
      </c>
      <c r="CL1662" s="1789"/>
      <c r="CR1662" s="345"/>
      <c r="CS1662" s="345"/>
      <c r="CX1662" s="347"/>
      <c r="CY1662" s="347"/>
      <c r="DH1662" s="237"/>
      <c r="DI1662" s="237"/>
      <c r="DN1662" s="347"/>
      <c r="DO1662" s="347"/>
      <c r="DP1662" s="2505"/>
    </row>
    <row r="1663" spans="12:120">
      <c r="L1663" s="347">
        <v>70.099999999999994</v>
      </c>
      <c r="M1663" s="347" t="s">
        <v>749</v>
      </c>
      <c r="AB1663" s="347">
        <v>307.01</v>
      </c>
      <c r="AC1663" s="347" t="s">
        <v>317</v>
      </c>
      <c r="AD1663" s="1138"/>
      <c r="AP1663" s="347">
        <v>100.2</v>
      </c>
      <c r="AQ1663" s="347" t="s">
        <v>352</v>
      </c>
      <c r="BF1663" s="347">
        <v>170.25</v>
      </c>
      <c r="BG1663" s="347" t="s">
        <v>359</v>
      </c>
      <c r="BH1663" s="1790"/>
      <c r="BN1663" s="237">
        <v>140.13</v>
      </c>
      <c r="BO1663" s="237" t="s">
        <v>337</v>
      </c>
      <c r="BT1663" s="347">
        <v>100.25</v>
      </c>
      <c r="BU1663" s="347" t="s">
        <v>352</v>
      </c>
      <c r="CD1663" s="237">
        <v>100.24</v>
      </c>
      <c r="CE1663" s="237" t="s">
        <v>352</v>
      </c>
      <c r="CJ1663" s="347">
        <v>171.09</v>
      </c>
      <c r="CK1663" s="347" t="s">
        <v>359</v>
      </c>
      <c r="CL1663" s="1789"/>
      <c r="CR1663" s="345"/>
      <c r="CS1663" s="345"/>
      <c r="CX1663" s="347"/>
      <c r="CY1663" s="347"/>
      <c r="DH1663" s="237"/>
      <c r="DI1663" s="237"/>
      <c r="DN1663" s="347"/>
      <c r="DO1663" s="347"/>
      <c r="DP1663" s="2505"/>
    </row>
    <row r="1664" spans="12:120">
      <c r="L1664" s="347">
        <v>70.11</v>
      </c>
      <c r="M1664" s="347" t="s">
        <v>749</v>
      </c>
      <c r="AB1664" s="347">
        <v>307.01</v>
      </c>
      <c r="AC1664" s="347" t="s">
        <v>343</v>
      </c>
      <c r="AD1664" s="1138"/>
      <c r="AP1664" s="347">
        <v>100.21</v>
      </c>
      <c r="AQ1664" s="347" t="s">
        <v>352</v>
      </c>
      <c r="BF1664" s="347">
        <v>170.26</v>
      </c>
      <c r="BG1664" s="347" t="s">
        <v>359</v>
      </c>
      <c r="BH1664" s="1790"/>
      <c r="BN1664" s="237">
        <v>140.13999999999999</v>
      </c>
      <c r="BO1664" s="237" t="s">
        <v>337</v>
      </c>
      <c r="BT1664" s="347">
        <v>101.93</v>
      </c>
      <c r="BU1664" s="347" t="s">
        <v>352</v>
      </c>
      <c r="CD1664" s="237">
        <v>100.25</v>
      </c>
      <c r="CE1664" s="237" t="s">
        <v>352</v>
      </c>
      <c r="CJ1664" s="347">
        <v>171.1</v>
      </c>
      <c r="CK1664" s="347" t="s">
        <v>359</v>
      </c>
      <c r="CL1664" s="1789"/>
      <c r="CR1664" s="345"/>
      <c r="CS1664" s="345"/>
      <c r="CX1664" s="347"/>
      <c r="CY1664" s="347"/>
      <c r="DH1664" s="237"/>
      <c r="DI1664" s="237"/>
      <c r="DN1664" s="347"/>
      <c r="DO1664" s="347"/>
      <c r="DP1664" s="2505"/>
    </row>
    <row r="1665" spans="12:120">
      <c r="L1665" s="347">
        <v>72.010000000000005</v>
      </c>
      <c r="M1665" s="347" t="s">
        <v>749</v>
      </c>
      <c r="AB1665" s="347">
        <v>307.02</v>
      </c>
      <c r="AC1665" s="347" t="s">
        <v>310</v>
      </c>
      <c r="AD1665" s="1138"/>
      <c r="AP1665" s="347">
        <v>100.25</v>
      </c>
      <c r="AQ1665" s="347" t="s">
        <v>352</v>
      </c>
      <c r="BF1665" s="347">
        <v>171.01</v>
      </c>
      <c r="BG1665" s="347" t="s">
        <v>323</v>
      </c>
      <c r="BH1665" s="1790"/>
      <c r="BN1665" s="237">
        <v>140.16999999999999</v>
      </c>
      <c r="BO1665" s="237" t="s">
        <v>337</v>
      </c>
      <c r="BT1665" s="347">
        <v>101.98</v>
      </c>
      <c r="BU1665" s="347" t="s">
        <v>352</v>
      </c>
      <c r="CD1665" s="237">
        <v>100.26</v>
      </c>
      <c r="CE1665" s="237" t="s">
        <v>352</v>
      </c>
      <c r="CJ1665" s="347">
        <v>171.11</v>
      </c>
      <c r="CK1665" s="347" t="s">
        <v>359</v>
      </c>
      <c r="CL1665" s="1789"/>
      <c r="CR1665" s="345"/>
      <c r="CS1665" s="345"/>
      <c r="CX1665" s="347"/>
      <c r="CY1665" s="347"/>
      <c r="DH1665" s="237"/>
      <c r="DI1665" s="237"/>
      <c r="DN1665" s="347"/>
      <c r="DO1665" s="347"/>
      <c r="DP1665" s="2505"/>
    </row>
    <row r="1666" spans="12:120">
      <c r="L1666" s="347">
        <v>72.02</v>
      </c>
      <c r="M1666" s="347" t="s">
        <v>749</v>
      </c>
      <c r="AB1666" s="347">
        <v>307.02</v>
      </c>
      <c r="AC1666" s="347" t="s">
        <v>317</v>
      </c>
      <c r="AD1666" s="1138"/>
      <c r="AP1666" s="347">
        <v>101.93</v>
      </c>
      <c r="AQ1666" s="347" t="s">
        <v>352</v>
      </c>
      <c r="BF1666" s="347">
        <v>171.01</v>
      </c>
      <c r="BG1666" s="347" t="s">
        <v>352</v>
      </c>
      <c r="BH1666" s="1790"/>
      <c r="BN1666" s="237">
        <v>141.04</v>
      </c>
      <c r="BO1666" s="237" t="s">
        <v>337</v>
      </c>
      <c r="BT1666" s="347">
        <v>102.01</v>
      </c>
      <c r="BU1666" s="347" t="s">
        <v>352</v>
      </c>
      <c r="CD1666" s="345">
        <v>101</v>
      </c>
      <c r="CE1666" s="345" t="s">
        <v>315</v>
      </c>
      <c r="CJ1666" s="347">
        <v>171.12</v>
      </c>
      <c r="CK1666" s="347" t="s">
        <v>359</v>
      </c>
      <c r="CL1666" s="1789"/>
      <c r="CR1666" s="345"/>
      <c r="CS1666" s="345"/>
      <c r="CX1666" s="347"/>
      <c r="CY1666" s="347"/>
      <c r="DH1666" s="237"/>
      <c r="DI1666" s="237"/>
      <c r="DN1666" s="347"/>
      <c r="DO1666" s="347"/>
      <c r="DP1666" s="2505"/>
    </row>
    <row r="1667" spans="12:120">
      <c r="L1667" s="347">
        <v>72.03</v>
      </c>
      <c r="M1667" s="347" t="s">
        <v>749</v>
      </c>
      <c r="AB1667" s="347">
        <v>307.02</v>
      </c>
      <c r="AC1667" s="347" t="s">
        <v>343</v>
      </c>
      <c r="AD1667" s="1138"/>
      <c r="AP1667" s="347">
        <v>101.98</v>
      </c>
      <c r="AQ1667" s="347" t="s">
        <v>352</v>
      </c>
      <c r="BF1667" s="347">
        <v>171.02</v>
      </c>
      <c r="BG1667" s="347" t="s">
        <v>352</v>
      </c>
      <c r="BH1667" s="1790"/>
      <c r="BN1667" s="237">
        <v>141.06</v>
      </c>
      <c r="BO1667" s="237" t="s">
        <v>337</v>
      </c>
      <c r="BT1667" s="347">
        <v>102.12</v>
      </c>
      <c r="BU1667" s="347" t="s">
        <v>352</v>
      </c>
      <c r="CD1667" s="237">
        <v>101</v>
      </c>
      <c r="CE1667" s="237" t="s">
        <v>367</v>
      </c>
      <c r="CJ1667" s="347">
        <v>171.13</v>
      </c>
      <c r="CK1667" s="347" t="s">
        <v>359</v>
      </c>
      <c r="CL1667" s="1789"/>
      <c r="CR1667" s="345"/>
      <c r="CS1667" s="345"/>
      <c r="CX1667" s="347"/>
      <c r="CY1667" s="347"/>
      <c r="DH1667" s="237"/>
      <c r="DI1667" s="237"/>
      <c r="DN1667" s="347"/>
      <c r="DO1667" s="347"/>
      <c r="DP1667" s="2505"/>
    </row>
    <row r="1668" spans="12:120">
      <c r="L1668" s="347">
        <v>73.010000000000005</v>
      </c>
      <c r="M1668" s="347" t="s">
        <v>749</v>
      </c>
      <c r="AB1668" s="347">
        <v>307.02999999999997</v>
      </c>
      <c r="AC1668" s="347" t="s">
        <v>317</v>
      </c>
      <c r="AD1668" s="1138"/>
      <c r="AP1668" s="347">
        <v>102.01</v>
      </c>
      <c r="AQ1668" s="347" t="s">
        <v>352</v>
      </c>
      <c r="BF1668" s="347">
        <v>171.08</v>
      </c>
      <c r="BG1668" s="347" t="s">
        <v>359</v>
      </c>
      <c r="BH1668" s="1790"/>
      <c r="BN1668" s="237">
        <v>141.08000000000001</v>
      </c>
      <c r="BO1668" s="237" t="s">
        <v>337</v>
      </c>
      <c r="BT1668" s="347">
        <v>103.01</v>
      </c>
      <c r="BU1668" s="347" t="s">
        <v>352</v>
      </c>
      <c r="CD1668" s="237">
        <v>101.01</v>
      </c>
      <c r="CE1668" s="237" t="s">
        <v>323</v>
      </c>
      <c r="CJ1668" s="347">
        <v>171.14</v>
      </c>
      <c r="CK1668" s="347" t="s">
        <v>359</v>
      </c>
      <c r="CL1668" s="1789"/>
      <c r="CR1668" s="345"/>
      <c r="CS1668" s="345"/>
      <c r="CX1668" s="347"/>
      <c r="CY1668" s="347"/>
      <c r="DH1668" s="237"/>
      <c r="DI1668" s="237"/>
      <c r="DN1668" s="347"/>
      <c r="DO1668" s="347"/>
      <c r="DP1668" s="2505"/>
    </row>
    <row r="1669" spans="12:120">
      <c r="L1669" s="347">
        <v>74.069999999999993</v>
      </c>
      <c r="M1669" s="347" t="s">
        <v>749</v>
      </c>
      <c r="AB1669" s="347">
        <v>307.04000000000002</v>
      </c>
      <c r="AC1669" s="347" t="s">
        <v>310</v>
      </c>
      <c r="AD1669" s="1138"/>
      <c r="AP1669" s="347">
        <v>102.12</v>
      </c>
      <c r="AQ1669" s="347" t="s">
        <v>352</v>
      </c>
      <c r="BF1669" s="347">
        <v>171.09</v>
      </c>
      <c r="BG1669" s="347" t="s">
        <v>359</v>
      </c>
      <c r="BH1669" s="1790"/>
      <c r="BN1669" s="237">
        <v>141.09</v>
      </c>
      <c r="BO1669" s="237" t="s">
        <v>337</v>
      </c>
      <c r="BT1669" s="347">
        <v>103.02</v>
      </c>
      <c r="BU1669" s="347" t="s">
        <v>352</v>
      </c>
      <c r="CD1669" s="237">
        <v>101.01</v>
      </c>
      <c r="CE1669" s="237" t="s">
        <v>377</v>
      </c>
      <c r="CJ1669" s="347">
        <v>171.15</v>
      </c>
      <c r="CK1669" s="347" t="s">
        <v>359</v>
      </c>
      <c r="CL1669" s="1789"/>
      <c r="CR1669" s="345"/>
      <c r="CS1669" s="345"/>
      <c r="CX1669" s="347"/>
      <c r="CY1669" s="347"/>
      <c r="DH1669" s="237"/>
      <c r="DI1669" s="237"/>
      <c r="DN1669" s="347"/>
      <c r="DO1669" s="347"/>
      <c r="DP1669" s="2505"/>
    </row>
    <row r="1670" spans="12:120">
      <c r="L1670" s="347">
        <v>74.099999999999994</v>
      </c>
      <c r="M1670" s="347" t="s">
        <v>749</v>
      </c>
      <c r="AB1670" s="347">
        <v>308.01</v>
      </c>
      <c r="AC1670" s="347" t="s">
        <v>317</v>
      </c>
      <c r="AD1670" s="1138"/>
      <c r="AP1670" s="347">
        <v>103.01</v>
      </c>
      <c r="AQ1670" s="347" t="s">
        <v>352</v>
      </c>
      <c r="BF1670" s="347">
        <v>171.1</v>
      </c>
      <c r="BG1670" s="347" t="s">
        <v>359</v>
      </c>
      <c r="BH1670" s="1790"/>
      <c r="BN1670" s="237">
        <v>141.16999999999999</v>
      </c>
      <c r="BO1670" s="237" t="s">
        <v>337</v>
      </c>
      <c r="BT1670" s="347">
        <v>103.03</v>
      </c>
      <c r="BU1670" s="347" t="s">
        <v>352</v>
      </c>
      <c r="CD1670" s="345">
        <v>101.02</v>
      </c>
      <c r="CE1670" s="345" t="s">
        <v>310</v>
      </c>
      <c r="CJ1670" s="347">
        <v>171.16</v>
      </c>
      <c r="CK1670" s="347" t="s">
        <v>359</v>
      </c>
      <c r="CL1670" s="1789"/>
      <c r="CR1670" s="345"/>
      <c r="CS1670" s="345"/>
      <c r="CX1670" s="347"/>
      <c r="CY1670" s="347"/>
      <c r="DH1670" s="237"/>
      <c r="DI1670" s="237"/>
      <c r="DN1670" s="347"/>
      <c r="DO1670" s="347"/>
      <c r="DP1670" s="2505"/>
    </row>
    <row r="1671" spans="12:120">
      <c r="L1671" s="347">
        <v>74.12</v>
      </c>
      <c r="M1671" s="347" t="s">
        <v>749</v>
      </c>
      <c r="AB1671" s="347">
        <v>308.02</v>
      </c>
      <c r="AC1671" s="347" t="s">
        <v>317</v>
      </c>
      <c r="AD1671" s="1138"/>
      <c r="AP1671" s="347">
        <v>104</v>
      </c>
      <c r="AQ1671" s="347" t="s">
        <v>352</v>
      </c>
      <c r="BF1671" s="347">
        <v>171.11</v>
      </c>
      <c r="BG1671" s="347" t="s">
        <v>359</v>
      </c>
      <c r="BH1671" s="1790"/>
      <c r="BN1671" s="237">
        <v>141.18</v>
      </c>
      <c r="BO1671" s="237" t="s">
        <v>337</v>
      </c>
      <c r="BT1671" s="347">
        <v>104</v>
      </c>
      <c r="BU1671" s="347" t="s">
        <v>352</v>
      </c>
      <c r="CD1671" s="237">
        <v>101.02</v>
      </c>
      <c r="CE1671" s="237" t="s">
        <v>318</v>
      </c>
      <c r="CJ1671" s="347">
        <v>171.17</v>
      </c>
      <c r="CK1671" s="347" t="s">
        <v>359</v>
      </c>
      <c r="CL1671" s="1789"/>
      <c r="CR1671" s="345"/>
      <c r="CS1671" s="345"/>
      <c r="CX1671" s="347"/>
      <c r="CY1671" s="347"/>
      <c r="DH1671" s="237"/>
      <c r="DI1671" s="237"/>
      <c r="DN1671" s="347"/>
      <c r="DO1671" s="347"/>
      <c r="DP1671" s="2505"/>
    </row>
    <row r="1672" spans="12:120">
      <c r="L1672" s="347">
        <v>74.14</v>
      </c>
      <c r="M1672" s="347" t="s">
        <v>749</v>
      </c>
      <c r="AB1672" s="347">
        <v>308.04000000000002</v>
      </c>
      <c r="AC1672" s="347" t="s">
        <v>343</v>
      </c>
      <c r="AD1672" s="1138"/>
      <c r="AP1672" s="347">
        <v>105.02</v>
      </c>
      <c r="AQ1672" s="347" t="s">
        <v>352</v>
      </c>
      <c r="BF1672" s="347">
        <v>171.12</v>
      </c>
      <c r="BG1672" s="347" t="s">
        <v>359</v>
      </c>
      <c r="BH1672" s="1790"/>
      <c r="BN1672" s="237">
        <v>141.19</v>
      </c>
      <c r="BO1672" s="237" t="s">
        <v>337</v>
      </c>
      <c r="BT1672" s="347">
        <v>105.02</v>
      </c>
      <c r="BU1672" s="347" t="s">
        <v>352</v>
      </c>
      <c r="CD1672" s="237">
        <v>101.02</v>
      </c>
      <c r="CE1672" s="237" t="s">
        <v>377</v>
      </c>
      <c r="CJ1672" s="347">
        <v>171.18</v>
      </c>
      <c r="CK1672" s="347" t="s">
        <v>359</v>
      </c>
      <c r="CL1672" s="1789"/>
      <c r="CR1672" s="345"/>
      <c r="CS1672" s="345"/>
      <c r="CX1672" s="347"/>
      <c r="CY1672" s="347"/>
      <c r="DH1672" s="237"/>
      <c r="DI1672" s="237"/>
      <c r="DN1672" s="347"/>
      <c r="DO1672" s="347"/>
      <c r="DP1672" s="2505"/>
    </row>
    <row r="1673" spans="12:120">
      <c r="L1673" s="347">
        <v>74.16</v>
      </c>
      <c r="M1673" s="347" t="s">
        <v>749</v>
      </c>
      <c r="AB1673" s="347">
        <v>309.02</v>
      </c>
      <c r="AC1673" s="347" t="s">
        <v>310</v>
      </c>
      <c r="AD1673" s="1138"/>
      <c r="AP1673" s="347">
        <v>106.04</v>
      </c>
      <c r="AQ1673" s="347" t="s">
        <v>352</v>
      </c>
      <c r="BF1673" s="347">
        <v>171.13</v>
      </c>
      <c r="BG1673" s="347" t="s">
        <v>359</v>
      </c>
      <c r="BH1673" s="1790"/>
      <c r="BN1673" s="237">
        <v>141.21</v>
      </c>
      <c r="BO1673" s="237" t="s">
        <v>337</v>
      </c>
      <c r="BT1673" s="347">
        <v>106.04</v>
      </c>
      <c r="BU1673" s="347" t="s">
        <v>352</v>
      </c>
      <c r="CD1673" s="345">
        <v>101.03</v>
      </c>
      <c r="CE1673" s="345" t="s">
        <v>310</v>
      </c>
      <c r="CJ1673" s="347">
        <v>171.19</v>
      </c>
      <c r="CK1673" s="347" t="s">
        <v>359</v>
      </c>
      <c r="CL1673" s="1789"/>
      <c r="CR1673" s="345"/>
      <c r="CS1673" s="345"/>
      <c r="CX1673" s="347"/>
      <c r="CY1673" s="347"/>
      <c r="DH1673" s="237"/>
      <c r="DI1673" s="237"/>
      <c r="DN1673" s="347"/>
      <c r="DO1673" s="347"/>
      <c r="DP1673" s="2505"/>
    </row>
    <row r="1674" spans="12:120">
      <c r="L1674" s="347">
        <v>74.180000000000007</v>
      </c>
      <c r="M1674" s="347" t="s">
        <v>749</v>
      </c>
      <c r="AB1674" s="347">
        <v>309.02</v>
      </c>
      <c r="AC1674" s="347" t="s">
        <v>317</v>
      </c>
      <c r="AD1674" s="1138"/>
      <c r="AP1674" s="347">
        <v>106.08</v>
      </c>
      <c r="AQ1674" s="347" t="s">
        <v>352</v>
      </c>
      <c r="BF1674" s="347">
        <v>171.14</v>
      </c>
      <c r="BG1674" s="347" t="s">
        <v>359</v>
      </c>
      <c r="BH1674" s="1790"/>
      <c r="BN1674" s="237">
        <v>141.22</v>
      </c>
      <c r="BO1674" s="237" t="s">
        <v>337</v>
      </c>
      <c r="BT1674" s="347">
        <v>106.08</v>
      </c>
      <c r="BU1674" s="347" t="s">
        <v>352</v>
      </c>
      <c r="CD1674" s="345">
        <v>101.04</v>
      </c>
      <c r="CE1674" s="345" t="s">
        <v>310</v>
      </c>
      <c r="CJ1674" s="347">
        <v>171.2</v>
      </c>
      <c r="CK1674" s="347" t="s">
        <v>359</v>
      </c>
      <c r="CL1674" s="1789"/>
      <c r="CR1674" s="345"/>
      <c r="CS1674" s="345"/>
      <c r="CX1674" s="347"/>
      <c r="CY1674" s="347"/>
      <c r="DH1674" s="237"/>
      <c r="DI1674" s="237"/>
      <c r="DN1674" s="347"/>
      <c r="DO1674" s="347"/>
      <c r="DP1674" s="2505"/>
    </row>
    <row r="1675" spans="12:120">
      <c r="L1675" s="347">
        <v>74.2</v>
      </c>
      <c r="M1675" s="347" t="s">
        <v>749</v>
      </c>
      <c r="AB1675" s="347">
        <v>309.02</v>
      </c>
      <c r="AC1675" s="347" t="s">
        <v>343</v>
      </c>
      <c r="AD1675" s="1138"/>
      <c r="AP1675" s="347">
        <v>106.1</v>
      </c>
      <c r="AQ1675" s="347" t="s">
        <v>352</v>
      </c>
      <c r="BF1675" s="347">
        <v>171.15</v>
      </c>
      <c r="BG1675" s="347" t="s">
        <v>359</v>
      </c>
      <c r="BH1675" s="1790"/>
      <c r="BN1675" s="237">
        <v>142</v>
      </c>
      <c r="BO1675" s="237" t="s">
        <v>337</v>
      </c>
      <c r="BT1675" s="347">
        <v>106.1</v>
      </c>
      <c r="BU1675" s="347" t="s">
        <v>352</v>
      </c>
      <c r="CD1675" s="237">
        <v>101.04</v>
      </c>
      <c r="CE1675" s="237" t="s">
        <v>323</v>
      </c>
      <c r="CJ1675" s="347">
        <v>171.22</v>
      </c>
      <c r="CK1675" s="347" t="s">
        <v>359</v>
      </c>
      <c r="CL1675" s="1789"/>
      <c r="CR1675" s="345"/>
      <c r="CS1675" s="345"/>
      <c r="CX1675" s="347"/>
      <c r="CY1675" s="347"/>
      <c r="DH1675" s="237"/>
      <c r="DI1675" s="237"/>
      <c r="DN1675" s="347"/>
      <c r="DO1675" s="347"/>
      <c r="DP1675" s="2505"/>
    </row>
    <row r="1676" spans="12:120">
      <c r="L1676" s="347">
        <v>75.010000000000005</v>
      </c>
      <c r="M1676" s="347" t="s">
        <v>749</v>
      </c>
      <c r="AB1676" s="347">
        <v>309.02999999999997</v>
      </c>
      <c r="AC1676" s="347" t="s">
        <v>362</v>
      </c>
      <c r="AD1676" s="1138"/>
      <c r="AP1676" s="347">
        <v>106.13</v>
      </c>
      <c r="AQ1676" s="347" t="s">
        <v>352</v>
      </c>
      <c r="BF1676" s="347">
        <v>171.16</v>
      </c>
      <c r="BG1676" s="347" t="s">
        <v>359</v>
      </c>
      <c r="BH1676" s="1790"/>
      <c r="BN1676" s="237">
        <v>143</v>
      </c>
      <c r="BO1676" s="237" t="s">
        <v>337</v>
      </c>
      <c r="BT1676" s="347">
        <v>106.18</v>
      </c>
      <c r="BU1676" s="347" t="s">
        <v>352</v>
      </c>
      <c r="CD1676" s="237">
        <v>101.04</v>
      </c>
      <c r="CE1676" s="237" t="s">
        <v>344</v>
      </c>
      <c r="CJ1676" s="347">
        <v>171.23</v>
      </c>
      <c r="CK1676" s="347" t="s">
        <v>359</v>
      </c>
      <c r="CL1676" s="1789"/>
      <c r="CR1676" s="345"/>
      <c r="CS1676" s="345"/>
      <c r="CX1676" s="347"/>
      <c r="CY1676" s="347"/>
      <c r="DH1676" s="237"/>
      <c r="DI1676" s="237"/>
      <c r="DN1676" s="347"/>
      <c r="DO1676" s="347"/>
      <c r="DP1676" s="2505"/>
    </row>
    <row r="1677" spans="12:120">
      <c r="L1677" s="347">
        <v>75.040000000000006</v>
      </c>
      <c r="M1677" s="347" t="s">
        <v>749</v>
      </c>
      <c r="AB1677" s="347">
        <v>309.04000000000002</v>
      </c>
      <c r="AC1677" s="347" t="s">
        <v>310</v>
      </c>
      <c r="AD1677" s="1138"/>
      <c r="AP1677" s="347">
        <v>106.18</v>
      </c>
      <c r="AQ1677" s="347" t="s">
        <v>352</v>
      </c>
      <c r="BF1677" s="347">
        <v>171.17</v>
      </c>
      <c r="BG1677" s="347" t="s">
        <v>359</v>
      </c>
      <c r="BH1677" s="1790"/>
      <c r="BN1677" s="237">
        <v>144</v>
      </c>
      <c r="BO1677" s="237" t="s">
        <v>337</v>
      </c>
      <c r="BT1677" s="347">
        <v>106.19</v>
      </c>
      <c r="BU1677" s="347" t="s">
        <v>352</v>
      </c>
      <c r="CD1677" s="237">
        <v>101.05</v>
      </c>
      <c r="CE1677" s="237" t="s">
        <v>323</v>
      </c>
      <c r="CJ1677" s="347">
        <v>172</v>
      </c>
      <c r="CK1677" s="347" t="s">
        <v>323</v>
      </c>
      <c r="CL1677" s="1789"/>
      <c r="CR1677" s="345"/>
      <c r="CS1677" s="345"/>
      <c r="CX1677" s="347"/>
      <c r="CY1677" s="347"/>
      <c r="DH1677" s="237"/>
      <c r="DI1677" s="237"/>
      <c r="DN1677" s="347"/>
      <c r="DO1677" s="347"/>
      <c r="DP1677" s="2505"/>
    </row>
    <row r="1678" spans="12:120">
      <c r="L1678" s="347">
        <v>75.05</v>
      </c>
      <c r="M1678" s="347" t="s">
        <v>749</v>
      </c>
      <c r="AB1678" s="347">
        <v>309.04000000000002</v>
      </c>
      <c r="AC1678" s="347" t="s">
        <v>317</v>
      </c>
      <c r="AD1678" s="1138"/>
      <c r="AP1678" s="347">
        <v>106.19</v>
      </c>
      <c r="AQ1678" s="347" t="s">
        <v>352</v>
      </c>
      <c r="BF1678" s="347">
        <v>171.18</v>
      </c>
      <c r="BG1678" s="347" t="s">
        <v>359</v>
      </c>
      <c r="BH1678" s="1790"/>
      <c r="BN1678" s="237">
        <v>9801</v>
      </c>
      <c r="BO1678" s="237" t="s">
        <v>337</v>
      </c>
      <c r="BT1678" s="347">
        <v>106.2</v>
      </c>
      <c r="BU1678" s="347" t="s">
        <v>352</v>
      </c>
      <c r="CD1678" s="237">
        <v>101.05</v>
      </c>
      <c r="CE1678" s="237" t="s">
        <v>337</v>
      </c>
      <c r="CJ1678" s="347">
        <v>172</v>
      </c>
      <c r="CK1678" s="347" t="s">
        <v>352</v>
      </c>
      <c r="CL1678" s="1789"/>
      <c r="CR1678" s="345"/>
      <c r="CS1678" s="345"/>
      <c r="CX1678" s="347"/>
      <c r="CY1678" s="347"/>
      <c r="DH1678" s="237"/>
      <c r="DI1678" s="237"/>
      <c r="DN1678" s="347"/>
      <c r="DO1678" s="347"/>
      <c r="DP1678" s="2505"/>
    </row>
    <row r="1679" spans="12:120">
      <c r="L1679" s="347">
        <v>76.03</v>
      </c>
      <c r="M1679" s="347" t="s">
        <v>749</v>
      </c>
      <c r="AB1679" s="347">
        <v>309.05</v>
      </c>
      <c r="AC1679" s="347" t="s">
        <v>362</v>
      </c>
      <c r="AD1679" s="1138"/>
      <c r="AP1679" s="347">
        <v>106.21</v>
      </c>
      <c r="AQ1679" s="347" t="s">
        <v>352</v>
      </c>
      <c r="BF1679" s="347">
        <v>171.19</v>
      </c>
      <c r="BG1679" s="347" t="s">
        <v>359</v>
      </c>
      <c r="BH1679" s="1790"/>
      <c r="BN1679" s="237">
        <v>9802</v>
      </c>
      <c r="BO1679" s="237" t="s">
        <v>337</v>
      </c>
      <c r="BT1679" s="347">
        <v>106.23</v>
      </c>
      <c r="BU1679" s="347" t="s">
        <v>352</v>
      </c>
      <c r="CD1679" s="237">
        <v>101.06</v>
      </c>
      <c r="CE1679" s="237" t="s">
        <v>323</v>
      </c>
      <c r="CJ1679" s="347">
        <v>172</v>
      </c>
      <c r="CK1679" s="347" t="s">
        <v>359</v>
      </c>
      <c r="CL1679" s="1789"/>
      <c r="CR1679" s="345"/>
      <c r="CS1679" s="345"/>
      <c r="CX1679" s="347"/>
      <c r="CY1679" s="347"/>
      <c r="DH1679" s="237"/>
      <c r="DI1679" s="237"/>
      <c r="DN1679" s="347"/>
      <c r="DO1679" s="347"/>
      <c r="DP1679" s="2505"/>
    </row>
    <row r="1680" spans="12:120">
      <c r="L1680" s="347">
        <v>76.040000000000006</v>
      </c>
      <c r="M1680" s="347" t="s">
        <v>749</v>
      </c>
      <c r="AB1680" s="347">
        <v>309.12</v>
      </c>
      <c r="AC1680" s="347" t="s">
        <v>343</v>
      </c>
      <c r="AD1680" s="1138"/>
      <c r="AP1680" s="347">
        <v>106.22</v>
      </c>
      <c r="AQ1680" s="347" t="s">
        <v>352</v>
      </c>
      <c r="BF1680" s="347">
        <v>171.2</v>
      </c>
      <c r="BG1680" s="347" t="s">
        <v>359</v>
      </c>
      <c r="BH1680" s="1790"/>
      <c r="BN1680" s="237">
        <v>9803</v>
      </c>
      <c r="BO1680" s="237" t="s">
        <v>337</v>
      </c>
      <c r="BT1680" s="347">
        <v>106.24</v>
      </c>
      <c r="BU1680" s="347" t="s">
        <v>352</v>
      </c>
      <c r="CD1680" s="237">
        <v>101.06</v>
      </c>
      <c r="CE1680" s="237" t="s">
        <v>337</v>
      </c>
      <c r="CJ1680" s="347">
        <v>173</v>
      </c>
      <c r="CK1680" s="347" t="s">
        <v>352</v>
      </c>
      <c r="CL1680" s="1789"/>
      <c r="CR1680" s="345"/>
      <c r="CS1680" s="345"/>
      <c r="CX1680" s="347"/>
      <c r="CY1680" s="347"/>
      <c r="DH1680" s="237"/>
      <c r="DI1680" s="237"/>
      <c r="DN1680" s="347"/>
      <c r="DO1680" s="347"/>
      <c r="DP1680" s="2505"/>
    </row>
    <row r="1681" spans="12:120">
      <c r="L1681" s="347">
        <v>76.05</v>
      </c>
      <c r="M1681" s="347" t="s">
        <v>749</v>
      </c>
      <c r="AB1681" s="347">
        <v>309.13</v>
      </c>
      <c r="AC1681" s="347" t="s">
        <v>343</v>
      </c>
      <c r="AD1681" s="1138"/>
      <c r="AP1681" s="347">
        <v>106.23</v>
      </c>
      <c r="AQ1681" s="347" t="s">
        <v>352</v>
      </c>
      <c r="BF1681" s="347">
        <v>171.22</v>
      </c>
      <c r="BG1681" s="347" t="s">
        <v>359</v>
      </c>
      <c r="BH1681" s="1790"/>
      <c r="BN1681" s="237">
        <v>9804</v>
      </c>
      <c r="BO1681" s="237" t="s">
        <v>337</v>
      </c>
      <c r="BT1681" s="347">
        <v>106.25</v>
      </c>
      <c r="BU1681" s="347" t="s">
        <v>352</v>
      </c>
      <c r="CD1681" s="237">
        <v>101.06</v>
      </c>
      <c r="CE1681" s="237" t="s">
        <v>344</v>
      </c>
      <c r="CJ1681" s="347">
        <v>173.01</v>
      </c>
      <c r="CK1681" s="347" t="s">
        <v>359</v>
      </c>
      <c r="CL1681" s="1789"/>
      <c r="CR1681" s="345"/>
      <c r="CS1681" s="345"/>
      <c r="CX1681" s="347"/>
      <c r="CY1681" s="347"/>
      <c r="DH1681" s="237"/>
      <c r="DI1681" s="237"/>
      <c r="DN1681" s="347"/>
      <c r="DO1681" s="347"/>
      <c r="DP1681" s="2505"/>
    </row>
    <row r="1682" spans="12:120">
      <c r="L1682" s="347">
        <v>76.069999999999993</v>
      </c>
      <c r="M1682" s="347" t="s">
        <v>749</v>
      </c>
      <c r="AB1682" s="347">
        <v>309.14</v>
      </c>
      <c r="AC1682" s="347" t="s">
        <v>343</v>
      </c>
      <c r="AD1682" s="1138"/>
      <c r="AP1682" s="347">
        <v>106.24</v>
      </c>
      <c r="AQ1682" s="347" t="s">
        <v>352</v>
      </c>
      <c r="BF1682" s="347">
        <v>171.23</v>
      </c>
      <c r="BG1682" s="347" t="s">
        <v>359</v>
      </c>
      <c r="BH1682" s="1790"/>
      <c r="BN1682" s="237">
        <v>9805</v>
      </c>
      <c r="BO1682" s="237" t="s">
        <v>337</v>
      </c>
      <c r="BT1682" s="347">
        <v>107.05</v>
      </c>
      <c r="BU1682" s="347" t="s">
        <v>352</v>
      </c>
      <c r="CD1682" s="237">
        <v>101.07</v>
      </c>
      <c r="CE1682" s="237" t="s">
        <v>318</v>
      </c>
      <c r="CJ1682" s="347">
        <v>174.02</v>
      </c>
      <c r="CK1682" s="347" t="s">
        <v>352</v>
      </c>
      <c r="CL1682" s="1789"/>
      <c r="CR1682" s="345"/>
      <c r="CS1682" s="345"/>
      <c r="CX1682" s="347"/>
      <c r="CY1682" s="347"/>
      <c r="DH1682" s="237"/>
      <c r="DI1682" s="237"/>
      <c r="DN1682" s="347"/>
      <c r="DO1682" s="347"/>
      <c r="DP1682" s="2505"/>
    </row>
    <row r="1683" spans="12:120">
      <c r="L1683" s="347">
        <v>76.099999999999994</v>
      </c>
      <c r="M1683" s="347" t="s">
        <v>749</v>
      </c>
      <c r="AB1683" s="347">
        <v>310</v>
      </c>
      <c r="AC1683" s="347" t="s">
        <v>343</v>
      </c>
      <c r="AD1683" s="1138"/>
      <c r="AP1683" s="347">
        <v>106.25</v>
      </c>
      <c r="AQ1683" s="347" t="s">
        <v>352</v>
      </c>
      <c r="BF1683" s="347">
        <v>172</v>
      </c>
      <c r="BG1683" s="347" t="s">
        <v>352</v>
      </c>
      <c r="BH1683" s="1790"/>
      <c r="BN1683" s="237">
        <v>9806</v>
      </c>
      <c r="BO1683" s="237" t="s">
        <v>337</v>
      </c>
      <c r="BT1683" s="347">
        <v>107.08</v>
      </c>
      <c r="BU1683" s="347" t="s">
        <v>352</v>
      </c>
      <c r="CD1683" s="237">
        <v>101.07</v>
      </c>
      <c r="CE1683" s="237" t="s">
        <v>323</v>
      </c>
      <c r="CJ1683" s="347">
        <v>175.04</v>
      </c>
      <c r="CK1683" s="347" t="s">
        <v>359</v>
      </c>
      <c r="CL1683" s="1789"/>
      <c r="CR1683" s="345"/>
      <c r="CS1683" s="345"/>
      <c r="CX1683" s="347"/>
      <c r="CY1683" s="347"/>
      <c r="DH1683" s="237"/>
      <c r="DI1683" s="237"/>
      <c r="DN1683" s="347"/>
      <c r="DO1683" s="347"/>
      <c r="DP1683" s="2505"/>
    </row>
    <row r="1684" spans="12:120">
      <c r="L1684" s="347">
        <v>76.12</v>
      </c>
      <c r="M1684" s="347" t="s">
        <v>749</v>
      </c>
      <c r="AB1684" s="347">
        <v>310.02</v>
      </c>
      <c r="AC1684" s="347" t="s">
        <v>310</v>
      </c>
      <c r="AD1684" s="1138"/>
      <c r="AP1684" s="347">
        <v>107.05</v>
      </c>
      <c r="AQ1684" s="347" t="s">
        <v>352</v>
      </c>
      <c r="BF1684" s="347">
        <v>172</v>
      </c>
      <c r="BG1684" s="347" t="s">
        <v>359</v>
      </c>
      <c r="BH1684" s="1790"/>
      <c r="BN1684" s="237">
        <v>9807</v>
      </c>
      <c r="BO1684" s="237" t="s">
        <v>337</v>
      </c>
      <c r="BT1684" s="347">
        <v>107.09</v>
      </c>
      <c r="BU1684" s="347" t="s">
        <v>352</v>
      </c>
      <c r="CD1684" s="237">
        <v>101.07</v>
      </c>
      <c r="CE1684" s="237" t="s">
        <v>337</v>
      </c>
      <c r="CJ1684" s="347">
        <v>175.05</v>
      </c>
      <c r="CK1684" s="347" t="s">
        <v>359</v>
      </c>
      <c r="CL1684" s="1789"/>
      <c r="CR1684" s="345"/>
      <c r="CS1684" s="345"/>
      <c r="CX1684" s="347"/>
      <c r="CY1684" s="347"/>
      <c r="DH1684" s="237"/>
      <c r="DI1684" s="237"/>
      <c r="DN1684" s="347"/>
      <c r="DO1684" s="347"/>
      <c r="DP1684" s="2505"/>
    </row>
    <row r="1685" spans="12:120">
      <c r="L1685" s="347">
        <v>76.13</v>
      </c>
      <c r="M1685" s="347" t="s">
        <v>749</v>
      </c>
      <c r="AB1685" s="347">
        <v>310.12</v>
      </c>
      <c r="AC1685" s="347" t="s">
        <v>362</v>
      </c>
      <c r="AD1685" s="1138"/>
      <c r="AP1685" s="347">
        <v>107.09</v>
      </c>
      <c r="AQ1685" s="347" t="s">
        <v>352</v>
      </c>
      <c r="BF1685" s="347">
        <v>173</v>
      </c>
      <c r="BG1685" s="347" t="s">
        <v>323</v>
      </c>
      <c r="BH1685" s="1790"/>
      <c r="BN1685" s="237">
        <v>9900</v>
      </c>
      <c r="BO1685" s="237" t="s">
        <v>337</v>
      </c>
      <c r="BT1685" s="347">
        <v>107.1</v>
      </c>
      <c r="BU1685" s="347" t="s">
        <v>352</v>
      </c>
      <c r="CD1685" s="237">
        <v>101.07</v>
      </c>
      <c r="CE1685" s="237" t="s">
        <v>344</v>
      </c>
      <c r="CJ1685" s="347">
        <v>175.06</v>
      </c>
      <c r="CK1685" s="347" t="s">
        <v>359</v>
      </c>
      <c r="CL1685" s="1789"/>
      <c r="CR1685" s="345"/>
      <c r="CS1685" s="345"/>
      <c r="CX1685" s="347"/>
      <c r="CY1685" s="347"/>
      <c r="DH1685" s="237"/>
      <c r="DI1685" s="237"/>
      <c r="DN1685" s="347"/>
      <c r="DO1685" s="347"/>
      <c r="DP1685" s="2505"/>
    </row>
    <row r="1686" spans="12:120">
      <c r="L1686" s="347">
        <v>76.14</v>
      </c>
      <c r="M1686" s="347" t="s">
        <v>749</v>
      </c>
      <c r="AB1686" s="347">
        <v>310.13</v>
      </c>
      <c r="AC1686" s="347" t="s">
        <v>362</v>
      </c>
      <c r="AD1686" s="1138"/>
      <c r="AP1686" s="347">
        <v>107.1</v>
      </c>
      <c r="AQ1686" s="347" t="s">
        <v>352</v>
      </c>
      <c r="BF1686" s="347">
        <v>173</v>
      </c>
      <c r="BG1686" s="347" t="s">
        <v>352</v>
      </c>
      <c r="BH1686" s="1790"/>
      <c r="BN1686" s="237">
        <v>9901</v>
      </c>
      <c r="BO1686" s="237" t="s">
        <v>337</v>
      </c>
      <c r="BT1686" s="347">
        <v>110.03</v>
      </c>
      <c r="BU1686" s="347" t="s">
        <v>352</v>
      </c>
      <c r="CD1686" s="237">
        <v>101.08</v>
      </c>
      <c r="CE1686" s="237" t="s">
        <v>318</v>
      </c>
      <c r="CJ1686" s="347">
        <v>176</v>
      </c>
      <c r="CK1686" s="347" t="s">
        <v>352</v>
      </c>
      <c r="CL1686" s="1789"/>
      <c r="CR1686" s="345"/>
      <c r="CS1686" s="345"/>
      <c r="CX1686" s="347"/>
      <c r="CY1686" s="347"/>
      <c r="DH1686" s="237"/>
      <c r="DI1686" s="237"/>
      <c r="DN1686" s="347"/>
      <c r="DO1686" s="347"/>
      <c r="DP1686" s="2505"/>
    </row>
    <row r="1687" spans="12:120">
      <c r="L1687" s="347">
        <v>76.16</v>
      </c>
      <c r="M1687" s="347" t="s">
        <v>749</v>
      </c>
      <c r="AB1687" s="347">
        <v>311.01</v>
      </c>
      <c r="AC1687" s="347" t="s">
        <v>310</v>
      </c>
      <c r="AD1687" s="1138"/>
      <c r="AP1687" s="347">
        <v>110.03</v>
      </c>
      <c r="AQ1687" s="347" t="s">
        <v>352</v>
      </c>
      <c r="BF1687" s="347">
        <v>173.01</v>
      </c>
      <c r="BG1687" s="347" t="s">
        <v>359</v>
      </c>
      <c r="BH1687" s="1790"/>
      <c r="BN1687" s="237">
        <v>501.01</v>
      </c>
      <c r="BO1687" s="237" t="s">
        <v>339</v>
      </c>
      <c r="BT1687" s="347">
        <v>110.08</v>
      </c>
      <c r="BU1687" s="347" t="s">
        <v>352</v>
      </c>
      <c r="CD1687" s="237">
        <v>101.08</v>
      </c>
      <c r="CE1687" s="237" t="s">
        <v>337</v>
      </c>
      <c r="CJ1687" s="347">
        <v>177</v>
      </c>
      <c r="CK1687" s="347" t="s">
        <v>352</v>
      </c>
      <c r="CL1687" s="1789"/>
      <c r="CR1687" s="345"/>
      <c r="CS1687" s="345"/>
      <c r="CX1687" s="347"/>
      <c r="CY1687" s="347"/>
      <c r="DH1687" s="237"/>
      <c r="DI1687" s="237"/>
      <c r="DN1687" s="347"/>
      <c r="DO1687" s="347"/>
      <c r="DP1687" s="2505"/>
    </row>
    <row r="1688" spans="12:120">
      <c r="L1688" s="347">
        <v>76.17</v>
      </c>
      <c r="M1688" s="347" t="s">
        <v>749</v>
      </c>
      <c r="AB1688" s="347">
        <v>311.02</v>
      </c>
      <c r="AC1688" s="347" t="s">
        <v>310</v>
      </c>
      <c r="AD1688" s="1138"/>
      <c r="AP1688" s="347">
        <v>110.08</v>
      </c>
      <c r="AQ1688" s="347" t="s">
        <v>352</v>
      </c>
      <c r="BF1688" s="347">
        <v>175.06</v>
      </c>
      <c r="BG1688" s="347" t="s">
        <v>359</v>
      </c>
      <c r="BH1688" s="1790"/>
      <c r="BN1688" s="237">
        <v>501.02</v>
      </c>
      <c r="BO1688" s="237" t="s">
        <v>339</v>
      </c>
      <c r="BT1688" s="347">
        <v>110.09</v>
      </c>
      <c r="BU1688" s="347" t="s">
        <v>352</v>
      </c>
      <c r="CD1688" s="237">
        <v>101.08</v>
      </c>
      <c r="CE1688" s="237" t="s">
        <v>344</v>
      </c>
      <c r="CJ1688" s="347">
        <v>177.01</v>
      </c>
      <c r="CK1688" s="347" t="s">
        <v>359</v>
      </c>
      <c r="CL1688" s="1789"/>
      <c r="CR1688" s="345"/>
      <c r="CS1688" s="345"/>
      <c r="CX1688" s="347"/>
      <c r="CY1688" s="347"/>
      <c r="DH1688" s="237"/>
      <c r="DI1688" s="237"/>
      <c r="DN1688" s="347"/>
      <c r="DO1688" s="347"/>
      <c r="DP1688" s="2505"/>
    </row>
    <row r="1689" spans="12:120">
      <c r="L1689" s="347">
        <v>76.180000000000007</v>
      </c>
      <c r="M1689" s="347" t="s">
        <v>749</v>
      </c>
      <c r="AB1689" s="347">
        <v>311.02</v>
      </c>
      <c r="AC1689" s="347" t="s">
        <v>343</v>
      </c>
      <c r="AD1689" s="1138"/>
      <c r="AP1689" s="347">
        <v>110.09</v>
      </c>
      <c r="AQ1689" s="347" t="s">
        <v>352</v>
      </c>
      <c r="BF1689" s="347">
        <v>176</v>
      </c>
      <c r="BG1689" s="347" t="s">
        <v>352</v>
      </c>
      <c r="BH1689" s="1790"/>
      <c r="BN1689" s="237">
        <v>502.01</v>
      </c>
      <c r="BO1689" s="237" t="s">
        <v>339</v>
      </c>
      <c r="BT1689" s="347">
        <v>110.13</v>
      </c>
      <c r="BU1689" s="347" t="s">
        <v>352</v>
      </c>
      <c r="CD1689" s="237">
        <v>101.09</v>
      </c>
      <c r="CE1689" s="237" t="s">
        <v>318</v>
      </c>
      <c r="CJ1689" s="347">
        <v>177.02</v>
      </c>
      <c r="CK1689" s="347" t="s">
        <v>359</v>
      </c>
      <c r="CL1689" s="1789"/>
      <c r="CR1689" s="345"/>
      <c r="CS1689" s="345"/>
      <c r="CX1689" s="347"/>
      <c r="CY1689" s="347"/>
      <c r="DH1689" s="237"/>
      <c r="DI1689" s="237"/>
      <c r="DN1689" s="347"/>
      <c r="DO1689" s="347"/>
      <c r="DP1689" s="2505"/>
    </row>
    <row r="1690" spans="12:120">
      <c r="L1690" s="347">
        <v>77.05</v>
      </c>
      <c r="M1690" s="347" t="s">
        <v>749</v>
      </c>
      <c r="AB1690" s="347">
        <v>311.02999999999997</v>
      </c>
      <c r="AC1690" s="347" t="s">
        <v>343</v>
      </c>
      <c r="AD1690" s="1138"/>
      <c r="AP1690" s="347">
        <v>110.13</v>
      </c>
      <c r="AQ1690" s="347" t="s">
        <v>352</v>
      </c>
      <c r="BF1690" s="347">
        <v>177</v>
      </c>
      <c r="BG1690" s="347" t="s">
        <v>352</v>
      </c>
      <c r="BH1690" s="1790"/>
      <c r="BN1690" s="237">
        <v>502.02</v>
      </c>
      <c r="BO1690" s="237" t="s">
        <v>339</v>
      </c>
      <c r="BT1690" s="347">
        <v>110.14</v>
      </c>
      <c r="BU1690" s="347" t="s">
        <v>352</v>
      </c>
      <c r="CD1690" s="237">
        <v>101.09</v>
      </c>
      <c r="CE1690" s="237" t="s">
        <v>344</v>
      </c>
      <c r="CJ1690" s="347">
        <v>178.05</v>
      </c>
      <c r="CK1690" s="347" t="s">
        <v>359</v>
      </c>
      <c r="CL1690" s="1789"/>
      <c r="CR1690" s="345"/>
      <c r="CS1690" s="345"/>
      <c r="CX1690" s="347"/>
      <c r="CY1690" s="347"/>
      <c r="DH1690" s="237"/>
      <c r="DI1690" s="237"/>
      <c r="DN1690" s="347"/>
      <c r="DO1690" s="347"/>
      <c r="DP1690" s="2505"/>
    </row>
    <row r="1691" spans="12:120">
      <c r="L1691" s="347">
        <v>77.099999999999994</v>
      </c>
      <c r="M1691" s="347" t="s">
        <v>749</v>
      </c>
      <c r="AB1691" s="347">
        <v>311.07</v>
      </c>
      <c r="AC1691" s="347" t="s">
        <v>317</v>
      </c>
      <c r="AD1691" s="1138"/>
      <c r="AP1691" s="347">
        <v>110.14</v>
      </c>
      <c r="AQ1691" s="347" t="s">
        <v>352</v>
      </c>
      <c r="BF1691" s="347">
        <v>177.01</v>
      </c>
      <c r="BG1691" s="347" t="s">
        <v>359</v>
      </c>
      <c r="BH1691" s="1790"/>
      <c r="BN1691" s="237">
        <v>503.03</v>
      </c>
      <c r="BO1691" s="237" t="s">
        <v>339</v>
      </c>
      <c r="BT1691" s="347">
        <v>110.15</v>
      </c>
      <c r="BU1691" s="347" t="s">
        <v>352</v>
      </c>
      <c r="CD1691" s="237">
        <v>101.1</v>
      </c>
      <c r="CE1691" s="237" t="s">
        <v>318</v>
      </c>
      <c r="CJ1691" s="347">
        <v>178.06</v>
      </c>
      <c r="CK1691" s="347" t="s">
        <v>359</v>
      </c>
      <c r="CL1691" s="1789"/>
      <c r="CR1691" s="345"/>
      <c r="CS1691" s="345"/>
      <c r="CX1691" s="347"/>
      <c r="CY1691" s="347"/>
      <c r="DH1691" s="237"/>
      <c r="DI1691" s="237"/>
      <c r="DN1691" s="347"/>
      <c r="DO1691" s="347"/>
      <c r="DP1691" s="2505"/>
    </row>
    <row r="1692" spans="12:120">
      <c r="L1692" s="347">
        <v>77.13</v>
      </c>
      <c r="M1692" s="347" t="s">
        <v>749</v>
      </c>
      <c r="AB1692" s="347">
        <v>312</v>
      </c>
      <c r="AC1692" s="347" t="s">
        <v>317</v>
      </c>
      <c r="AD1692" s="1138"/>
      <c r="AP1692" s="347">
        <v>110.15</v>
      </c>
      <c r="AQ1692" s="347" t="s">
        <v>352</v>
      </c>
      <c r="BF1692" s="347">
        <v>177.02</v>
      </c>
      <c r="BG1692" s="347" t="s">
        <v>359</v>
      </c>
      <c r="BH1692" s="1790"/>
      <c r="BN1692" s="237">
        <v>503.04</v>
      </c>
      <c r="BO1692" s="237" t="s">
        <v>339</v>
      </c>
      <c r="BT1692" s="347">
        <v>111.05</v>
      </c>
      <c r="BU1692" s="347" t="s">
        <v>352</v>
      </c>
      <c r="CD1692" s="237">
        <v>101.1</v>
      </c>
      <c r="CE1692" s="237" t="s">
        <v>344</v>
      </c>
      <c r="CJ1692" s="347">
        <v>178.08</v>
      </c>
      <c r="CK1692" s="347" t="s">
        <v>359</v>
      </c>
      <c r="CL1692" s="1789"/>
      <c r="CR1692" s="345"/>
      <c r="CS1692" s="345"/>
      <c r="CX1692" s="347"/>
      <c r="CY1692" s="347"/>
      <c r="DH1692" s="237"/>
      <c r="DI1692" s="237"/>
      <c r="DN1692" s="347"/>
      <c r="DO1692" s="347"/>
      <c r="DP1692" s="2505"/>
    </row>
    <row r="1693" spans="12:120">
      <c r="L1693" s="347">
        <v>77.209999999999994</v>
      </c>
      <c r="M1693" s="347" t="s">
        <v>749</v>
      </c>
      <c r="AB1693" s="347">
        <v>312.02</v>
      </c>
      <c r="AC1693" s="347" t="s">
        <v>310</v>
      </c>
      <c r="AD1693" s="1138"/>
      <c r="AP1693" s="347">
        <v>111.05</v>
      </c>
      <c r="AQ1693" s="347" t="s">
        <v>352</v>
      </c>
      <c r="BF1693" s="347">
        <v>178</v>
      </c>
      <c r="BG1693" s="347" t="s">
        <v>352</v>
      </c>
      <c r="BH1693" s="1790"/>
      <c r="BN1693" s="237">
        <v>503.05</v>
      </c>
      <c r="BO1693" s="237" t="s">
        <v>339</v>
      </c>
      <c r="BT1693" s="347">
        <v>111.06</v>
      </c>
      <c r="BU1693" s="347" t="s">
        <v>352</v>
      </c>
      <c r="CD1693" s="237">
        <v>101.11</v>
      </c>
      <c r="CE1693" s="237" t="s">
        <v>318</v>
      </c>
      <c r="CJ1693" s="347">
        <v>178.09</v>
      </c>
      <c r="CK1693" s="347" t="s">
        <v>359</v>
      </c>
      <c r="CL1693" s="1789"/>
      <c r="CR1693" s="345"/>
      <c r="CS1693" s="345"/>
      <c r="CX1693" s="347"/>
      <c r="CY1693" s="347"/>
      <c r="DH1693" s="237"/>
      <c r="DI1693" s="237"/>
      <c r="DN1693" s="347"/>
      <c r="DO1693" s="347"/>
      <c r="DP1693" s="2505"/>
    </row>
    <row r="1694" spans="12:120">
      <c r="L1694" s="347">
        <v>77.23</v>
      </c>
      <c r="M1694" s="347" t="s">
        <v>749</v>
      </c>
      <c r="AB1694" s="347">
        <v>312.02</v>
      </c>
      <c r="AC1694" s="347" t="s">
        <v>343</v>
      </c>
      <c r="AD1694" s="1138"/>
      <c r="AP1694" s="347">
        <v>111.06</v>
      </c>
      <c r="AQ1694" s="347" t="s">
        <v>352</v>
      </c>
      <c r="BF1694" s="347">
        <v>178.05</v>
      </c>
      <c r="BG1694" s="347" t="s">
        <v>359</v>
      </c>
      <c r="BH1694" s="1790"/>
      <c r="BN1694" s="237">
        <v>503.06</v>
      </c>
      <c r="BO1694" s="237" t="s">
        <v>339</v>
      </c>
      <c r="BT1694" s="347">
        <v>112.04</v>
      </c>
      <c r="BU1694" s="347" t="s">
        <v>352</v>
      </c>
      <c r="CD1694" s="237">
        <v>101.11</v>
      </c>
      <c r="CE1694" s="237" t="s">
        <v>344</v>
      </c>
      <c r="CJ1694" s="347">
        <v>178.1</v>
      </c>
      <c r="CK1694" s="347" t="s">
        <v>359</v>
      </c>
      <c r="CL1694" s="1789"/>
      <c r="CR1694" s="345"/>
      <c r="CS1694" s="345"/>
      <c r="CX1694" s="347"/>
      <c r="CY1694" s="347"/>
      <c r="DH1694" s="237"/>
      <c r="DI1694" s="237"/>
      <c r="DN1694" s="347"/>
      <c r="DO1694" s="347"/>
      <c r="DP1694" s="2505"/>
    </row>
    <row r="1695" spans="12:120">
      <c r="L1695" s="347">
        <v>77.239999999999995</v>
      </c>
      <c r="M1695" s="347" t="s">
        <v>749</v>
      </c>
      <c r="AB1695" s="347">
        <v>312.02999999999997</v>
      </c>
      <c r="AC1695" s="347" t="s">
        <v>310</v>
      </c>
      <c r="AD1695" s="1138"/>
      <c r="AP1695" s="347">
        <v>112.04</v>
      </c>
      <c r="AQ1695" s="347" t="s">
        <v>352</v>
      </c>
      <c r="BF1695" s="347">
        <v>178.06</v>
      </c>
      <c r="BG1695" s="347" t="s">
        <v>359</v>
      </c>
      <c r="BH1695" s="1790"/>
      <c r="BN1695" s="237">
        <v>504.01</v>
      </c>
      <c r="BO1695" s="237" t="s">
        <v>339</v>
      </c>
      <c r="BT1695" s="347">
        <v>112.06</v>
      </c>
      <c r="BU1695" s="347" t="s">
        <v>352</v>
      </c>
      <c r="CD1695" s="237">
        <v>101.12</v>
      </c>
      <c r="CE1695" s="237" t="s">
        <v>318</v>
      </c>
      <c r="CJ1695" s="347">
        <v>178.11</v>
      </c>
      <c r="CK1695" s="347" t="s">
        <v>359</v>
      </c>
      <c r="CL1695" s="1789"/>
      <c r="CR1695" s="345"/>
      <c r="CS1695" s="345"/>
      <c r="CX1695" s="347"/>
      <c r="CY1695" s="347"/>
      <c r="DH1695" s="237"/>
      <c r="DI1695" s="237"/>
      <c r="DN1695" s="347"/>
      <c r="DO1695" s="347"/>
      <c r="DP1695" s="2505"/>
    </row>
    <row r="1696" spans="12:120">
      <c r="L1696" s="347">
        <v>77.25</v>
      </c>
      <c r="M1696" s="347" t="s">
        <v>749</v>
      </c>
      <c r="AB1696" s="347">
        <v>312.05</v>
      </c>
      <c r="AC1696" s="347" t="s">
        <v>310</v>
      </c>
      <c r="AD1696" s="1138"/>
      <c r="AP1696" s="347">
        <v>112.06</v>
      </c>
      <c r="AQ1696" s="347" t="s">
        <v>352</v>
      </c>
      <c r="BF1696" s="347">
        <v>178.07</v>
      </c>
      <c r="BG1696" s="347" t="s">
        <v>359</v>
      </c>
      <c r="BH1696" s="1790"/>
      <c r="BN1696" s="237">
        <v>504.02</v>
      </c>
      <c r="BO1696" s="237" t="s">
        <v>339</v>
      </c>
      <c r="BT1696" s="347">
        <v>114.1</v>
      </c>
      <c r="BU1696" s="347" t="s">
        <v>352</v>
      </c>
      <c r="CD1696" s="237">
        <v>101.12</v>
      </c>
      <c r="CE1696" s="237" t="s">
        <v>344</v>
      </c>
      <c r="CJ1696" s="347">
        <v>178.12</v>
      </c>
      <c r="CK1696" s="347" t="s">
        <v>359</v>
      </c>
      <c r="CL1696" s="1789"/>
      <c r="CR1696" s="345"/>
      <c r="CS1696" s="345"/>
      <c r="CX1696" s="347"/>
      <c r="CY1696" s="347"/>
      <c r="DH1696" s="237"/>
      <c r="DI1696" s="237"/>
      <c r="DN1696" s="347"/>
      <c r="DO1696" s="347"/>
      <c r="DP1696" s="2505"/>
    </row>
    <row r="1697" spans="12:120">
      <c r="L1697" s="347">
        <v>77.3</v>
      </c>
      <c r="M1697" s="347" t="s">
        <v>749</v>
      </c>
      <c r="AB1697" s="347">
        <v>312.05</v>
      </c>
      <c r="AC1697" s="347" t="s">
        <v>362</v>
      </c>
      <c r="AD1697" s="1138"/>
      <c r="AP1697" s="347">
        <v>114.09</v>
      </c>
      <c r="AQ1697" s="347" t="s">
        <v>352</v>
      </c>
      <c r="BF1697" s="347">
        <v>178.08</v>
      </c>
      <c r="BG1697" s="347" t="s">
        <v>359</v>
      </c>
      <c r="BH1697" s="1790"/>
      <c r="BN1697" s="237">
        <v>505.04</v>
      </c>
      <c r="BO1697" s="237" t="s">
        <v>339</v>
      </c>
      <c r="BT1697" s="347">
        <v>114.11</v>
      </c>
      <c r="BU1697" s="347" t="s">
        <v>352</v>
      </c>
      <c r="CD1697" s="237">
        <v>101.13</v>
      </c>
      <c r="CE1697" s="237" t="s">
        <v>318</v>
      </c>
      <c r="CJ1697" s="347">
        <v>178.13</v>
      </c>
      <c r="CK1697" s="347" t="s">
        <v>359</v>
      </c>
      <c r="CL1697" s="1789"/>
      <c r="CR1697" s="345"/>
      <c r="CS1697" s="345"/>
      <c r="CX1697" s="347"/>
      <c r="CY1697" s="347"/>
      <c r="DH1697" s="237"/>
      <c r="DI1697" s="237"/>
      <c r="DN1697" s="347"/>
      <c r="DO1697" s="347"/>
      <c r="DP1697" s="2505"/>
    </row>
    <row r="1698" spans="12:120">
      <c r="L1698" s="347">
        <v>77.31</v>
      </c>
      <c r="M1698" s="347" t="s">
        <v>749</v>
      </c>
      <c r="AB1698" s="347">
        <v>312.08</v>
      </c>
      <c r="AC1698" s="347" t="s">
        <v>362</v>
      </c>
      <c r="AD1698" s="1138"/>
      <c r="AP1698" s="347">
        <v>114.1</v>
      </c>
      <c r="AQ1698" s="347" t="s">
        <v>352</v>
      </c>
      <c r="BF1698" s="347">
        <v>178.09</v>
      </c>
      <c r="BG1698" s="347" t="s">
        <v>359</v>
      </c>
      <c r="BH1698" s="1790"/>
      <c r="BN1698" s="237">
        <v>505.05</v>
      </c>
      <c r="BO1698" s="237" t="s">
        <v>339</v>
      </c>
      <c r="BT1698" s="347">
        <v>114.12</v>
      </c>
      <c r="BU1698" s="347" t="s">
        <v>352</v>
      </c>
      <c r="CD1698" s="237">
        <v>101.13</v>
      </c>
      <c r="CE1698" s="237" t="s">
        <v>344</v>
      </c>
      <c r="CJ1698" s="347">
        <v>178.14</v>
      </c>
      <c r="CK1698" s="347" t="s">
        <v>359</v>
      </c>
      <c r="CL1698" s="1789"/>
      <c r="CR1698" s="345"/>
      <c r="CS1698" s="345"/>
      <c r="CX1698" s="347"/>
      <c r="CY1698" s="347"/>
      <c r="DH1698" s="237"/>
      <c r="DI1698" s="237"/>
      <c r="DN1698" s="347"/>
      <c r="DO1698" s="347"/>
      <c r="DP1698" s="2505"/>
    </row>
    <row r="1699" spans="12:120">
      <c r="L1699" s="347">
        <v>77.33</v>
      </c>
      <c r="M1699" s="347" t="s">
        <v>749</v>
      </c>
      <c r="AB1699" s="347">
        <v>313.01</v>
      </c>
      <c r="AC1699" s="347" t="s">
        <v>343</v>
      </c>
      <c r="AD1699" s="1138"/>
      <c r="AP1699" s="347">
        <v>114.11</v>
      </c>
      <c r="AQ1699" s="347" t="s">
        <v>352</v>
      </c>
      <c r="BF1699" s="347">
        <v>178.11</v>
      </c>
      <c r="BG1699" s="347" t="s">
        <v>359</v>
      </c>
      <c r="BH1699" s="1790"/>
      <c r="BN1699" s="237">
        <v>505.06</v>
      </c>
      <c r="BO1699" s="237" t="s">
        <v>339</v>
      </c>
      <c r="BT1699" s="347">
        <v>115</v>
      </c>
      <c r="BU1699" s="347" t="s">
        <v>352</v>
      </c>
      <c r="CD1699" s="237">
        <v>101.14</v>
      </c>
      <c r="CE1699" s="237" t="s">
        <v>318</v>
      </c>
      <c r="CJ1699" s="347">
        <v>179.01</v>
      </c>
      <c r="CK1699" s="347" t="s">
        <v>352</v>
      </c>
      <c r="CL1699" s="1789"/>
      <c r="CR1699" s="345"/>
      <c r="CS1699" s="345"/>
      <c r="CX1699" s="347"/>
      <c r="CY1699" s="347"/>
      <c r="DH1699" s="237"/>
      <c r="DI1699" s="237"/>
      <c r="DN1699" s="347"/>
      <c r="DO1699" s="347"/>
      <c r="DP1699" s="2505"/>
    </row>
    <row r="1700" spans="12:120">
      <c r="L1700" s="347">
        <v>77.34</v>
      </c>
      <c r="M1700" s="347" t="s">
        <v>749</v>
      </c>
      <c r="AB1700" s="347">
        <v>313.01</v>
      </c>
      <c r="AC1700" s="347" t="s">
        <v>362</v>
      </c>
      <c r="AD1700" s="1138"/>
      <c r="AP1700" s="347">
        <v>114.12</v>
      </c>
      <c r="AQ1700" s="347" t="s">
        <v>352</v>
      </c>
      <c r="BF1700" s="347">
        <v>178.12</v>
      </c>
      <c r="BG1700" s="347" t="s">
        <v>359</v>
      </c>
      <c r="BH1700" s="1790"/>
      <c r="BN1700" s="237">
        <v>505.07</v>
      </c>
      <c r="BO1700" s="237" t="s">
        <v>339</v>
      </c>
      <c r="BT1700" s="347">
        <v>116.01</v>
      </c>
      <c r="BU1700" s="347" t="s">
        <v>352</v>
      </c>
      <c r="CD1700" s="237">
        <v>101.93</v>
      </c>
      <c r="CE1700" s="237" t="s">
        <v>352</v>
      </c>
      <c r="CJ1700" s="347">
        <v>179.01</v>
      </c>
      <c r="CK1700" s="347" t="s">
        <v>359</v>
      </c>
      <c r="CL1700" s="1789"/>
      <c r="CR1700" s="345"/>
      <c r="CS1700" s="345"/>
      <c r="CX1700" s="347"/>
      <c r="CY1700" s="347"/>
      <c r="DH1700" s="237"/>
      <c r="DI1700" s="237"/>
      <c r="DN1700" s="347"/>
      <c r="DO1700" s="347"/>
      <c r="DP1700" s="2505"/>
    </row>
    <row r="1701" spans="12:120">
      <c r="L1701" s="347">
        <v>77.349999999999994</v>
      </c>
      <c r="M1701" s="347" t="s">
        <v>749</v>
      </c>
      <c r="AB1701" s="347">
        <v>313.02</v>
      </c>
      <c r="AC1701" s="347" t="s">
        <v>362</v>
      </c>
      <c r="AD1701" s="1138"/>
      <c r="AP1701" s="347">
        <v>115</v>
      </c>
      <c r="AQ1701" s="347" t="s">
        <v>352</v>
      </c>
      <c r="BF1701" s="347">
        <v>178.13</v>
      </c>
      <c r="BG1701" s="347" t="s">
        <v>359</v>
      </c>
      <c r="BH1701" s="1790"/>
      <c r="BN1701" s="237">
        <v>505.08</v>
      </c>
      <c r="BO1701" s="237" t="s">
        <v>339</v>
      </c>
      <c r="BT1701" s="347">
        <v>116.02</v>
      </c>
      <c r="BU1701" s="347" t="s">
        <v>352</v>
      </c>
      <c r="CD1701" s="237">
        <v>101.98</v>
      </c>
      <c r="CE1701" s="237" t="s">
        <v>352</v>
      </c>
      <c r="CJ1701" s="347">
        <v>179.02</v>
      </c>
      <c r="CK1701" s="347" t="s">
        <v>352</v>
      </c>
      <c r="CL1701" s="1789"/>
      <c r="CR1701" s="345"/>
      <c r="CS1701" s="345"/>
      <c r="CX1701" s="347"/>
      <c r="CY1701" s="347"/>
      <c r="DH1701" s="237"/>
      <c r="DI1701" s="237"/>
      <c r="DN1701" s="347"/>
      <c r="DO1701" s="347"/>
      <c r="DP1701" s="2505"/>
    </row>
    <row r="1702" spans="12:120">
      <c r="L1702" s="347">
        <v>77.36</v>
      </c>
      <c r="M1702" s="347" t="s">
        <v>749</v>
      </c>
      <c r="AB1702" s="347">
        <v>313.05</v>
      </c>
      <c r="AC1702" s="347" t="s">
        <v>343</v>
      </c>
      <c r="AD1702" s="1138"/>
      <c r="AP1702" s="347">
        <v>116.02</v>
      </c>
      <c r="AQ1702" s="347" t="s">
        <v>352</v>
      </c>
      <c r="BF1702" s="347">
        <v>178.14</v>
      </c>
      <c r="BG1702" s="347" t="s">
        <v>359</v>
      </c>
      <c r="BH1702" s="1790"/>
      <c r="BN1702" s="237">
        <v>505.09</v>
      </c>
      <c r="BO1702" s="237" t="s">
        <v>339</v>
      </c>
      <c r="BT1702" s="347">
        <v>117.01</v>
      </c>
      <c r="BU1702" s="347" t="s">
        <v>352</v>
      </c>
      <c r="CD1702" s="345">
        <v>102</v>
      </c>
      <c r="CE1702" s="345" t="s">
        <v>315</v>
      </c>
      <c r="CJ1702" s="347">
        <v>180.01</v>
      </c>
      <c r="CK1702" s="347" t="s">
        <v>352</v>
      </c>
      <c r="CL1702" s="1789"/>
      <c r="CR1702" s="345"/>
      <c r="CS1702" s="345"/>
      <c r="CX1702" s="347"/>
      <c r="CY1702" s="347"/>
      <c r="DH1702" s="237"/>
      <c r="DI1702" s="237"/>
      <c r="DN1702" s="347"/>
      <c r="DO1702" s="347"/>
      <c r="DP1702" s="2505"/>
    </row>
    <row r="1703" spans="12:120">
      <c r="L1703" s="347">
        <v>77.400000000000006</v>
      </c>
      <c r="M1703" s="347" t="s">
        <v>749</v>
      </c>
      <c r="AB1703" s="347">
        <v>313.06</v>
      </c>
      <c r="AC1703" s="347" t="s">
        <v>343</v>
      </c>
      <c r="AD1703" s="1138"/>
      <c r="AP1703" s="347">
        <v>118</v>
      </c>
      <c r="AQ1703" s="347" t="s">
        <v>352</v>
      </c>
      <c r="BF1703" s="347">
        <v>179.01</v>
      </c>
      <c r="BG1703" s="347" t="s">
        <v>352</v>
      </c>
      <c r="BH1703" s="1790"/>
      <c r="BN1703" s="237">
        <v>506.01</v>
      </c>
      <c r="BO1703" s="237" t="s">
        <v>339</v>
      </c>
      <c r="BT1703" s="347">
        <v>118</v>
      </c>
      <c r="BU1703" s="347" t="s">
        <v>352</v>
      </c>
      <c r="CD1703" s="237">
        <v>102</v>
      </c>
      <c r="CE1703" s="237" t="s">
        <v>367</v>
      </c>
      <c r="CJ1703" s="347">
        <v>180.02</v>
      </c>
      <c r="CK1703" s="347" t="s">
        <v>352</v>
      </c>
      <c r="CL1703" s="1789"/>
      <c r="CR1703" s="345"/>
      <c r="CS1703" s="345"/>
      <c r="CX1703" s="347"/>
      <c r="CY1703" s="347"/>
      <c r="DH1703" s="237"/>
      <c r="DI1703" s="237"/>
      <c r="DN1703" s="347"/>
      <c r="DO1703" s="347"/>
      <c r="DP1703" s="2505"/>
    </row>
    <row r="1704" spans="12:120">
      <c r="L1704" s="347">
        <v>77.430000000000007</v>
      </c>
      <c r="M1704" s="347" t="s">
        <v>749</v>
      </c>
      <c r="AB1704" s="347">
        <v>313.07</v>
      </c>
      <c r="AC1704" s="347" t="s">
        <v>343</v>
      </c>
      <c r="AD1704" s="1138"/>
      <c r="AP1704" s="347">
        <v>119</v>
      </c>
      <c r="AQ1704" s="347" t="s">
        <v>352</v>
      </c>
      <c r="BF1704" s="347">
        <v>179.01</v>
      </c>
      <c r="BG1704" s="347" t="s">
        <v>359</v>
      </c>
      <c r="BH1704" s="1790"/>
      <c r="BN1704" s="237">
        <v>506.02</v>
      </c>
      <c r="BO1704" s="237" t="s">
        <v>339</v>
      </c>
      <c r="BT1704" s="347">
        <v>119</v>
      </c>
      <c r="BU1704" s="347" t="s">
        <v>352</v>
      </c>
      <c r="CD1704" s="345">
        <v>102.01</v>
      </c>
      <c r="CE1704" s="345" t="s">
        <v>310</v>
      </c>
      <c r="CJ1704" s="347">
        <v>180.03</v>
      </c>
      <c r="CK1704" s="347" t="s">
        <v>352</v>
      </c>
      <c r="CL1704" s="1789"/>
      <c r="CR1704" s="345"/>
      <c r="CS1704" s="345"/>
      <c r="CX1704" s="347"/>
      <c r="CY1704" s="347"/>
      <c r="DH1704" s="237"/>
      <c r="DI1704" s="237"/>
      <c r="DN1704" s="347"/>
      <c r="DO1704" s="347"/>
      <c r="DP1704" s="2505"/>
    </row>
    <row r="1705" spans="12:120">
      <c r="L1705" s="347">
        <v>77.48</v>
      </c>
      <c r="M1705" s="347" t="s">
        <v>749</v>
      </c>
      <c r="AB1705" s="347">
        <v>313.08</v>
      </c>
      <c r="AC1705" s="347" t="s">
        <v>343</v>
      </c>
      <c r="AD1705" s="1138"/>
      <c r="AP1705" s="347">
        <v>121.01</v>
      </c>
      <c r="AQ1705" s="347" t="s">
        <v>352</v>
      </c>
      <c r="BF1705" s="347">
        <v>179.02</v>
      </c>
      <c r="BG1705" s="347" t="s">
        <v>352</v>
      </c>
      <c r="BH1705" s="1790"/>
      <c r="BN1705" s="237">
        <v>506.03</v>
      </c>
      <c r="BO1705" s="237" t="s">
        <v>339</v>
      </c>
      <c r="BT1705" s="347">
        <v>121.01</v>
      </c>
      <c r="BU1705" s="347" t="s">
        <v>352</v>
      </c>
      <c r="CD1705" s="237">
        <v>102.01</v>
      </c>
      <c r="CE1705" s="237" t="s">
        <v>352</v>
      </c>
      <c r="CJ1705" s="347">
        <v>181</v>
      </c>
      <c r="CK1705" s="347" t="s">
        <v>352</v>
      </c>
      <c r="CL1705" s="1789"/>
      <c r="CR1705" s="345"/>
      <c r="CS1705" s="345"/>
      <c r="CX1705" s="347"/>
      <c r="CY1705" s="347"/>
      <c r="DH1705" s="237"/>
      <c r="DI1705" s="237"/>
      <c r="DN1705" s="347"/>
      <c r="DO1705" s="347"/>
      <c r="DP1705" s="2505"/>
    </row>
    <row r="1706" spans="12:120">
      <c r="L1706" s="347">
        <v>77.489999999999995</v>
      </c>
      <c r="M1706" s="347" t="s">
        <v>749</v>
      </c>
      <c r="AB1706" s="347">
        <v>313.08999999999997</v>
      </c>
      <c r="AC1706" s="347" t="s">
        <v>343</v>
      </c>
      <c r="AD1706" s="1138"/>
      <c r="AP1706" s="347">
        <v>121.02</v>
      </c>
      <c r="AQ1706" s="347" t="s">
        <v>352</v>
      </c>
      <c r="BF1706" s="347">
        <v>180.01</v>
      </c>
      <c r="BG1706" s="347" t="s">
        <v>352</v>
      </c>
      <c r="BH1706" s="1790"/>
      <c r="BN1706" s="237">
        <v>506.04</v>
      </c>
      <c r="BO1706" s="237" t="s">
        <v>339</v>
      </c>
      <c r="BT1706" s="347">
        <v>121.02</v>
      </c>
      <c r="BU1706" s="347" t="s">
        <v>352</v>
      </c>
      <c r="CD1706" s="237">
        <v>102.01</v>
      </c>
      <c r="CE1706" s="237" t="s">
        <v>359</v>
      </c>
      <c r="CJ1706" s="347">
        <v>181</v>
      </c>
      <c r="CK1706" s="347" t="s">
        <v>359</v>
      </c>
      <c r="CL1706" s="1789"/>
      <c r="CR1706" s="345"/>
      <c r="CS1706" s="345"/>
      <c r="CX1706" s="347"/>
      <c r="CY1706" s="347"/>
      <c r="DH1706" s="237"/>
      <c r="DI1706" s="237"/>
      <c r="DN1706" s="347"/>
      <c r="DO1706" s="347"/>
      <c r="DP1706" s="2505"/>
    </row>
    <row r="1707" spans="12:120">
      <c r="L1707" s="347">
        <v>77.510000000000005</v>
      </c>
      <c r="M1707" s="347" t="s">
        <v>749</v>
      </c>
      <c r="AB1707" s="347">
        <v>313.10000000000002</v>
      </c>
      <c r="AC1707" s="347" t="s">
        <v>343</v>
      </c>
      <c r="AD1707" s="1138"/>
      <c r="AP1707" s="347">
        <v>121.04</v>
      </c>
      <c r="AQ1707" s="347" t="s">
        <v>352</v>
      </c>
      <c r="BF1707" s="347">
        <v>180.02</v>
      </c>
      <c r="BG1707" s="347" t="s">
        <v>352</v>
      </c>
      <c r="BH1707" s="1790"/>
      <c r="BN1707" s="237">
        <v>506.05</v>
      </c>
      <c r="BO1707" s="237" t="s">
        <v>339</v>
      </c>
      <c r="BT1707" s="347">
        <v>121.03</v>
      </c>
      <c r="BU1707" s="347" t="s">
        <v>352</v>
      </c>
      <c r="CD1707" s="345">
        <v>102.02</v>
      </c>
      <c r="CE1707" s="345" t="s">
        <v>310</v>
      </c>
      <c r="CJ1707" s="347">
        <v>182</v>
      </c>
      <c r="CK1707" s="347" t="s">
        <v>352</v>
      </c>
      <c r="CL1707" s="1789"/>
      <c r="CR1707" s="345"/>
      <c r="CS1707" s="345"/>
      <c r="CX1707" s="347"/>
      <c r="CY1707" s="347"/>
      <c r="DH1707" s="237"/>
      <c r="DI1707" s="237"/>
      <c r="DN1707" s="347"/>
      <c r="DO1707" s="347"/>
      <c r="DP1707" s="2505"/>
    </row>
    <row r="1708" spans="12:120">
      <c r="L1708" s="347">
        <v>77.52</v>
      </c>
      <c r="M1708" s="347" t="s">
        <v>749</v>
      </c>
      <c r="AB1708" s="347">
        <v>313.11</v>
      </c>
      <c r="AC1708" s="347" t="s">
        <v>343</v>
      </c>
      <c r="AD1708" s="1138"/>
      <c r="AP1708" s="347">
        <v>121.05</v>
      </c>
      <c r="AQ1708" s="347" t="s">
        <v>352</v>
      </c>
      <c r="BF1708" s="347">
        <v>180.03</v>
      </c>
      <c r="BG1708" s="347" t="s">
        <v>352</v>
      </c>
      <c r="BH1708" s="1790"/>
      <c r="BN1708" s="237">
        <v>506.07</v>
      </c>
      <c r="BO1708" s="237" t="s">
        <v>339</v>
      </c>
      <c r="BT1708" s="347">
        <v>121.05</v>
      </c>
      <c r="BU1708" s="347" t="s">
        <v>352</v>
      </c>
      <c r="CD1708" s="237">
        <v>102.02</v>
      </c>
      <c r="CE1708" s="237" t="s">
        <v>323</v>
      </c>
      <c r="CJ1708" s="347">
        <v>182.01</v>
      </c>
      <c r="CK1708" s="347" t="s">
        <v>359</v>
      </c>
      <c r="CL1708" s="1789"/>
      <c r="CR1708" s="345"/>
      <c r="CS1708" s="345"/>
      <c r="CX1708" s="347"/>
      <c r="CY1708" s="347"/>
      <c r="DH1708" s="237"/>
      <c r="DI1708" s="237"/>
      <c r="DN1708" s="347"/>
      <c r="DO1708" s="347"/>
      <c r="DP1708" s="2505"/>
    </row>
    <row r="1709" spans="12:120">
      <c r="L1709" s="347">
        <v>77.53</v>
      </c>
      <c r="M1709" s="347" t="s">
        <v>749</v>
      </c>
      <c r="AB1709" s="347">
        <v>314.08999999999997</v>
      </c>
      <c r="AC1709" s="347" t="s">
        <v>362</v>
      </c>
      <c r="AD1709" s="1138"/>
      <c r="AP1709" s="347">
        <v>122</v>
      </c>
      <c r="AQ1709" s="347" t="s">
        <v>352</v>
      </c>
      <c r="BF1709" s="347">
        <v>181</v>
      </c>
      <c r="BG1709" s="347" t="s">
        <v>352</v>
      </c>
      <c r="BH1709" s="1790"/>
      <c r="BN1709" s="237">
        <v>506.08</v>
      </c>
      <c r="BO1709" s="237" t="s">
        <v>339</v>
      </c>
      <c r="BT1709" s="347">
        <v>122</v>
      </c>
      <c r="BU1709" s="347" t="s">
        <v>352</v>
      </c>
      <c r="CD1709" s="237">
        <v>102.02</v>
      </c>
      <c r="CE1709" s="237" t="s">
        <v>359</v>
      </c>
      <c r="CJ1709" s="347">
        <v>182.02</v>
      </c>
      <c r="CK1709" s="347" t="s">
        <v>359</v>
      </c>
      <c r="CL1709" s="1789"/>
      <c r="CR1709" s="345"/>
      <c r="CS1709" s="345"/>
      <c r="CX1709" s="347"/>
      <c r="CY1709" s="347"/>
      <c r="DH1709" s="237"/>
      <c r="DI1709" s="237"/>
      <c r="DN1709" s="347"/>
      <c r="DO1709" s="347"/>
      <c r="DP1709" s="2505"/>
    </row>
    <row r="1710" spans="12:120">
      <c r="L1710" s="347">
        <v>77.540000000000006</v>
      </c>
      <c r="M1710" s="347" t="s">
        <v>749</v>
      </c>
      <c r="AB1710" s="347">
        <v>315.02999999999997</v>
      </c>
      <c r="AC1710" s="347" t="s">
        <v>362</v>
      </c>
      <c r="AD1710" s="1138"/>
      <c r="AP1710" s="347">
        <v>123.01</v>
      </c>
      <c r="AQ1710" s="347" t="s">
        <v>352</v>
      </c>
      <c r="BF1710" s="347">
        <v>181</v>
      </c>
      <c r="BG1710" s="347" t="s">
        <v>359</v>
      </c>
      <c r="BH1710" s="1790"/>
      <c r="BN1710" s="237">
        <v>507.02</v>
      </c>
      <c r="BO1710" s="237" t="s">
        <v>339</v>
      </c>
      <c r="BT1710" s="347">
        <v>123.01</v>
      </c>
      <c r="BU1710" s="347" t="s">
        <v>352</v>
      </c>
      <c r="CD1710" s="237">
        <v>102.03</v>
      </c>
      <c r="CE1710" s="237" t="s">
        <v>323</v>
      </c>
      <c r="CJ1710" s="347">
        <v>182.04</v>
      </c>
      <c r="CK1710" s="347" t="s">
        <v>359</v>
      </c>
      <c r="CL1710" s="1789"/>
      <c r="CR1710" s="345"/>
      <c r="CS1710" s="345"/>
      <c r="CX1710" s="347"/>
      <c r="CY1710" s="347"/>
      <c r="DH1710" s="237"/>
      <c r="DI1710" s="237"/>
      <c r="DN1710" s="347"/>
      <c r="DO1710" s="347"/>
      <c r="DP1710" s="2505"/>
    </row>
    <row r="1711" spans="12:120">
      <c r="L1711" s="347">
        <v>77.56</v>
      </c>
      <c r="M1711" s="347" t="s">
        <v>749</v>
      </c>
      <c r="AB1711" s="347">
        <v>315.04000000000002</v>
      </c>
      <c r="AC1711" s="347" t="s">
        <v>362</v>
      </c>
      <c r="AD1711" s="1138"/>
      <c r="AP1711" s="347">
        <v>123.02</v>
      </c>
      <c r="AQ1711" s="347" t="s">
        <v>352</v>
      </c>
      <c r="BF1711" s="347">
        <v>182</v>
      </c>
      <c r="BG1711" s="347" t="s">
        <v>352</v>
      </c>
      <c r="BH1711" s="1790"/>
      <c r="BN1711" s="237">
        <v>507.04</v>
      </c>
      <c r="BO1711" s="237" t="s">
        <v>339</v>
      </c>
      <c r="BT1711" s="347">
        <v>123.02</v>
      </c>
      <c r="BU1711" s="347" t="s">
        <v>352</v>
      </c>
      <c r="CD1711" s="237">
        <v>102.03</v>
      </c>
      <c r="CE1711" s="237" t="s">
        <v>337</v>
      </c>
      <c r="CJ1711" s="347">
        <v>183</v>
      </c>
      <c r="CK1711" s="347" t="s">
        <v>352</v>
      </c>
      <c r="CL1711" s="1789"/>
      <c r="CR1711" s="345"/>
      <c r="CS1711" s="345"/>
      <c r="CX1711" s="347"/>
      <c r="CY1711" s="347"/>
      <c r="DH1711" s="237"/>
      <c r="DI1711" s="237"/>
      <c r="DN1711" s="347"/>
      <c r="DO1711" s="347"/>
      <c r="DP1711" s="2505"/>
    </row>
    <row r="1712" spans="12:120">
      <c r="L1712" s="347">
        <v>77.569999999999993</v>
      </c>
      <c r="M1712" s="347" t="s">
        <v>749</v>
      </c>
      <c r="AB1712" s="347">
        <v>315.05</v>
      </c>
      <c r="AC1712" s="347" t="s">
        <v>362</v>
      </c>
      <c r="AD1712" s="1138"/>
      <c r="AP1712" s="347">
        <v>124.01</v>
      </c>
      <c r="AQ1712" s="347" t="s">
        <v>352</v>
      </c>
      <c r="BF1712" s="347">
        <v>182.01</v>
      </c>
      <c r="BG1712" s="347" t="s">
        <v>359</v>
      </c>
      <c r="BH1712" s="1790"/>
      <c r="BN1712" s="237">
        <v>507.06</v>
      </c>
      <c r="BO1712" s="237" t="s">
        <v>339</v>
      </c>
      <c r="BT1712" s="347">
        <v>124.01</v>
      </c>
      <c r="BU1712" s="347" t="s">
        <v>352</v>
      </c>
      <c r="CD1712" s="237">
        <v>102.03</v>
      </c>
      <c r="CE1712" s="237" t="s">
        <v>344</v>
      </c>
      <c r="CJ1712" s="347">
        <v>184</v>
      </c>
      <c r="CK1712" s="347" t="s">
        <v>352</v>
      </c>
      <c r="CL1712" s="1789"/>
      <c r="CR1712" s="345"/>
      <c r="CS1712" s="345"/>
      <c r="CX1712" s="347"/>
      <c r="CY1712" s="347"/>
      <c r="DH1712" s="237"/>
      <c r="DI1712" s="237"/>
      <c r="DN1712" s="347"/>
      <c r="DO1712" s="347"/>
      <c r="DP1712" s="2505"/>
    </row>
    <row r="1713" spans="12:120">
      <c r="L1713" s="347">
        <v>77.58</v>
      </c>
      <c r="M1713" s="347" t="s">
        <v>749</v>
      </c>
      <c r="AB1713" s="347">
        <v>315.06</v>
      </c>
      <c r="AC1713" s="347" t="s">
        <v>362</v>
      </c>
      <c r="AD1713" s="1138"/>
      <c r="AP1713" s="347">
        <v>124.02</v>
      </c>
      <c r="AQ1713" s="347" t="s">
        <v>352</v>
      </c>
      <c r="BF1713" s="347">
        <v>182.02</v>
      </c>
      <c r="BG1713" s="347" t="s">
        <v>359</v>
      </c>
      <c r="BH1713" s="1790"/>
      <c r="BN1713" s="237">
        <v>507.07</v>
      </c>
      <c r="BO1713" s="237" t="s">
        <v>339</v>
      </c>
      <c r="BT1713" s="347">
        <v>124.02</v>
      </c>
      <c r="BU1713" s="347" t="s">
        <v>352</v>
      </c>
      <c r="CD1713" s="237">
        <v>102.04</v>
      </c>
      <c r="CE1713" s="237" t="s">
        <v>323</v>
      </c>
      <c r="CJ1713" s="347">
        <v>184</v>
      </c>
      <c r="CK1713" s="347" t="s">
        <v>359</v>
      </c>
      <c r="CL1713" s="1789"/>
      <c r="CR1713" s="345"/>
      <c r="CS1713" s="345"/>
      <c r="CX1713" s="347"/>
      <c r="CY1713" s="347"/>
      <c r="DH1713" s="237"/>
      <c r="DI1713" s="237"/>
      <c r="DN1713" s="347"/>
      <c r="DO1713" s="347"/>
      <c r="DP1713" s="2505"/>
    </row>
    <row r="1714" spans="12:120">
      <c r="L1714" s="347">
        <v>77.59</v>
      </c>
      <c r="M1714" s="347" t="s">
        <v>749</v>
      </c>
      <c r="AB1714" s="347">
        <v>315.07</v>
      </c>
      <c r="AC1714" s="347" t="s">
        <v>362</v>
      </c>
      <c r="AD1714" s="1138"/>
      <c r="AP1714" s="347">
        <v>124.03</v>
      </c>
      <c r="AQ1714" s="347" t="s">
        <v>352</v>
      </c>
      <c r="BF1714" s="347">
        <v>182.03</v>
      </c>
      <c r="BG1714" s="347" t="s">
        <v>359</v>
      </c>
      <c r="BH1714" s="1790"/>
      <c r="BN1714" s="237">
        <v>507.08</v>
      </c>
      <c r="BO1714" s="237" t="s">
        <v>339</v>
      </c>
      <c r="BT1714" s="347">
        <v>124.03</v>
      </c>
      <c r="BU1714" s="347" t="s">
        <v>352</v>
      </c>
      <c r="CD1714" s="237">
        <v>102.04</v>
      </c>
      <c r="CE1714" s="237" t="s">
        <v>337</v>
      </c>
      <c r="CJ1714" s="347">
        <v>185</v>
      </c>
      <c r="CK1714" s="347" t="s">
        <v>352</v>
      </c>
      <c r="CL1714" s="1789"/>
      <c r="CR1714" s="345"/>
      <c r="CS1714" s="345"/>
      <c r="CX1714" s="347"/>
      <c r="CY1714" s="347"/>
      <c r="DH1714" s="237"/>
      <c r="DI1714" s="237"/>
      <c r="DN1714" s="347"/>
      <c r="DO1714" s="347"/>
      <c r="DP1714" s="2505"/>
    </row>
    <row r="1715" spans="12:120">
      <c r="L1715" s="347">
        <v>77.599999999999994</v>
      </c>
      <c r="M1715" s="347" t="s">
        <v>749</v>
      </c>
      <c r="AB1715" s="347">
        <v>315.08</v>
      </c>
      <c r="AC1715" s="347" t="s">
        <v>362</v>
      </c>
      <c r="AD1715" s="1138"/>
      <c r="AP1715" s="347">
        <v>125.01</v>
      </c>
      <c r="AQ1715" s="347" t="s">
        <v>352</v>
      </c>
      <c r="BF1715" s="347">
        <v>182.04</v>
      </c>
      <c r="BG1715" s="347" t="s">
        <v>359</v>
      </c>
      <c r="BH1715" s="1790"/>
      <c r="BN1715" s="237">
        <v>507.09</v>
      </c>
      <c r="BO1715" s="237" t="s">
        <v>339</v>
      </c>
      <c r="BT1715" s="347">
        <v>125.01</v>
      </c>
      <c r="BU1715" s="347" t="s">
        <v>352</v>
      </c>
      <c r="CD1715" s="237">
        <v>102.04</v>
      </c>
      <c r="CE1715" s="237" t="s">
        <v>377</v>
      </c>
      <c r="CJ1715" s="347">
        <v>186.01</v>
      </c>
      <c r="CK1715" s="347" t="s">
        <v>352</v>
      </c>
      <c r="CL1715" s="1789"/>
      <c r="CR1715" s="345"/>
      <c r="CS1715" s="345"/>
      <c r="CX1715" s="347"/>
      <c r="CY1715" s="347"/>
      <c r="DH1715" s="237"/>
      <c r="DI1715" s="237"/>
      <c r="DN1715" s="347"/>
      <c r="DO1715" s="347"/>
      <c r="DP1715" s="2505"/>
    </row>
    <row r="1716" spans="12:120">
      <c r="L1716" s="347">
        <v>77.62</v>
      </c>
      <c r="M1716" s="347" t="s">
        <v>749</v>
      </c>
      <c r="AB1716" s="347">
        <v>316.01</v>
      </c>
      <c r="AC1716" s="347" t="s">
        <v>362</v>
      </c>
      <c r="AD1716" s="1138"/>
      <c r="AP1716" s="347">
        <v>125.02</v>
      </c>
      <c r="AQ1716" s="347" t="s">
        <v>352</v>
      </c>
      <c r="BF1716" s="347">
        <v>183</v>
      </c>
      <c r="BG1716" s="347" t="s">
        <v>352</v>
      </c>
      <c r="BH1716" s="1790"/>
      <c r="BN1716" s="237">
        <v>508.05</v>
      </c>
      <c r="BO1716" s="237" t="s">
        <v>339</v>
      </c>
      <c r="BT1716" s="347">
        <v>125.02</v>
      </c>
      <c r="BU1716" s="347" t="s">
        <v>352</v>
      </c>
      <c r="CD1716" s="237">
        <v>102.05</v>
      </c>
      <c r="CE1716" s="237" t="s">
        <v>318</v>
      </c>
      <c r="CJ1716" s="347">
        <v>186.02</v>
      </c>
      <c r="CK1716" s="347" t="s">
        <v>352</v>
      </c>
      <c r="CL1716" s="1789"/>
      <c r="CR1716" s="345"/>
      <c r="CS1716" s="345"/>
      <c r="CX1716" s="347"/>
      <c r="CY1716" s="347"/>
      <c r="DH1716" s="237"/>
      <c r="DI1716" s="237"/>
      <c r="DN1716" s="347"/>
      <c r="DO1716" s="347"/>
      <c r="DP1716" s="2505"/>
    </row>
    <row r="1717" spans="12:120">
      <c r="L1717" s="347">
        <v>77.63</v>
      </c>
      <c r="M1717" s="347" t="s">
        <v>749</v>
      </c>
      <c r="AB1717" s="347">
        <v>316.02</v>
      </c>
      <c r="AC1717" s="347" t="s">
        <v>362</v>
      </c>
      <c r="AD1717" s="1138"/>
      <c r="AP1717" s="347">
        <v>126.01</v>
      </c>
      <c r="AQ1717" s="347" t="s">
        <v>352</v>
      </c>
      <c r="BF1717" s="347">
        <v>184</v>
      </c>
      <c r="BG1717" s="347" t="s">
        <v>352</v>
      </c>
      <c r="BH1717" s="1790"/>
      <c r="BN1717" s="237">
        <v>508.06</v>
      </c>
      <c r="BO1717" s="237" t="s">
        <v>339</v>
      </c>
      <c r="BT1717" s="347">
        <v>126.01</v>
      </c>
      <c r="BU1717" s="347" t="s">
        <v>352</v>
      </c>
      <c r="CD1717" s="237">
        <v>102.05</v>
      </c>
      <c r="CE1717" s="237" t="s">
        <v>344</v>
      </c>
      <c r="CJ1717" s="347">
        <v>187</v>
      </c>
      <c r="CK1717" s="347" t="s">
        <v>352</v>
      </c>
      <c r="CL1717" s="1789"/>
      <c r="CR1717" s="345"/>
      <c r="CS1717" s="345"/>
      <c r="CX1717" s="347"/>
      <c r="CY1717" s="347"/>
      <c r="DH1717" s="237"/>
      <c r="DI1717" s="237"/>
      <c r="DN1717" s="347"/>
      <c r="DO1717" s="347"/>
      <c r="DP1717" s="2505"/>
    </row>
    <row r="1718" spans="12:120">
      <c r="L1718" s="347">
        <v>77.64</v>
      </c>
      <c r="M1718" s="347" t="s">
        <v>749</v>
      </c>
      <c r="AB1718" s="347">
        <v>316.02999999999997</v>
      </c>
      <c r="AC1718" s="347" t="s">
        <v>362</v>
      </c>
      <c r="AD1718" s="1138"/>
      <c r="AP1718" s="347">
        <v>126.02</v>
      </c>
      <c r="AQ1718" s="347" t="s">
        <v>352</v>
      </c>
      <c r="BF1718" s="347">
        <v>184</v>
      </c>
      <c r="BG1718" s="347" t="s">
        <v>359</v>
      </c>
      <c r="BH1718" s="1790"/>
      <c r="BN1718" s="237">
        <v>508.07</v>
      </c>
      <c r="BO1718" s="237" t="s">
        <v>339</v>
      </c>
      <c r="BT1718" s="347">
        <v>127.01</v>
      </c>
      <c r="BU1718" s="347" t="s">
        <v>352</v>
      </c>
      <c r="CD1718" s="237">
        <v>102.05</v>
      </c>
      <c r="CE1718" s="237" t="s">
        <v>352</v>
      </c>
      <c r="CJ1718" s="347">
        <v>188</v>
      </c>
      <c r="CK1718" s="347" t="s">
        <v>359</v>
      </c>
      <c r="CL1718" s="1789"/>
      <c r="CR1718" s="345"/>
      <c r="CS1718" s="345"/>
      <c r="CX1718" s="347"/>
      <c r="CY1718" s="347"/>
      <c r="DH1718" s="237"/>
      <c r="DI1718" s="237"/>
      <c r="DN1718" s="347"/>
      <c r="DO1718" s="347"/>
      <c r="DP1718" s="2505"/>
    </row>
    <row r="1719" spans="12:120">
      <c r="L1719" s="347">
        <v>77.650000000000006</v>
      </c>
      <c r="M1719" s="347" t="s">
        <v>749</v>
      </c>
      <c r="AB1719" s="347">
        <v>316.04000000000002</v>
      </c>
      <c r="AC1719" s="347" t="s">
        <v>362</v>
      </c>
      <c r="AD1719" s="1138"/>
      <c r="AP1719" s="347">
        <v>127.01</v>
      </c>
      <c r="AQ1719" s="347" t="s">
        <v>352</v>
      </c>
      <c r="BF1719" s="347">
        <v>185</v>
      </c>
      <c r="BG1719" s="347" t="s">
        <v>352</v>
      </c>
      <c r="BH1719" s="1790"/>
      <c r="BN1719" s="237">
        <v>508.08</v>
      </c>
      <c r="BO1719" s="237" t="s">
        <v>339</v>
      </c>
      <c r="BT1719" s="347">
        <v>127.02</v>
      </c>
      <c r="BU1719" s="347" t="s">
        <v>352</v>
      </c>
      <c r="CD1719" s="237">
        <v>102.05</v>
      </c>
      <c r="CE1719" s="237" t="s">
        <v>377</v>
      </c>
      <c r="CJ1719" s="347">
        <v>188.01</v>
      </c>
      <c r="CK1719" s="347" t="s">
        <v>352</v>
      </c>
      <c r="CL1719" s="1789"/>
      <c r="CR1719" s="345"/>
      <c r="CS1719" s="345"/>
      <c r="CX1719" s="347"/>
      <c r="CY1719" s="347"/>
      <c r="DH1719" s="237"/>
      <c r="DI1719" s="237"/>
      <c r="DN1719" s="347"/>
      <c r="DO1719" s="347"/>
      <c r="DP1719" s="2505"/>
    </row>
    <row r="1720" spans="12:120">
      <c r="L1720" s="347">
        <v>78.05</v>
      </c>
      <c r="M1720" s="347" t="s">
        <v>749</v>
      </c>
      <c r="AB1720" s="347">
        <v>316.05</v>
      </c>
      <c r="AC1720" s="347" t="s">
        <v>362</v>
      </c>
      <c r="AD1720" s="1138"/>
      <c r="AP1720" s="347">
        <v>127.02</v>
      </c>
      <c r="AQ1720" s="347" t="s">
        <v>352</v>
      </c>
      <c r="BF1720" s="347">
        <v>186.01</v>
      </c>
      <c r="BG1720" s="347" t="s">
        <v>352</v>
      </c>
      <c r="BH1720" s="1790"/>
      <c r="BN1720" s="237">
        <v>508.09</v>
      </c>
      <c r="BO1720" s="237" t="s">
        <v>339</v>
      </c>
      <c r="BT1720" s="347">
        <v>128.01</v>
      </c>
      <c r="BU1720" s="347" t="s">
        <v>352</v>
      </c>
      <c r="CD1720" s="237">
        <v>102.06</v>
      </c>
      <c r="CE1720" s="237" t="s">
        <v>344</v>
      </c>
      <c r="CJ1720" s="347">
        <v>188.03</v>
      </c>
      <c r="CK1720" s="347" t="s">
        <v>352</v>
      </c>
      <c r="CL1720" s="1789"/>
      <c r="CR1720" s="345"/>
      <c r="CS1720" s="345"/>
      <c r="CX1720" s="347"/>
      <c r="CY1720" s="347"/>
      <c r="DH1720" s="237"/>
      <c r="DI1720" s="237"/>
      <c r="DN1720" s="347"/>
      <c r="DO1720" s="347"/>
      <c r="DP1720" s="2505"/>
    </row>
    <row r="1721" spans="12:120">
      <c r="L1721" s="347">
        <v>78.08</v>
      </c>
      <c r="M1721" s="347" t="s">
        <v>749</v>
      </c>
      <c r="AB1721" s="347">
        <v>317.01</v>
      </c>
      <c r="AC1721" s="347" t="s">
        <v>362</v>
      </c>
      <c r="AD1721" s="1138"/>
      <c r="AP1721" s="347">
        <v>128.01</v>
      </c>
      <c r="AQ1721" s="347" t="s">
        <v>352</v>
      </c>
      <c r="BF1721" s="347">
        <v>186.02</v>
      </c>
      <c r="BG1721" s="347" t="s">
        <v>352</v>
      </c>
      <c r="BH1721" s="1790"/>
      <c r="BN1721" s="237">
        <v>508.1</v>
      </c>
      <c r="BO1721" s="237" t="s">
        <v>339</v>
      </c>
      <c r="BT1721" s="347">
        <v>128.02000000000001</v>
      </c>
      <c r="BU1721" s="347" t="s">
        <v>352</v>
      </c>
      <c r="CD1721" s="237">
        <v>102.06</v>
      </c>
      <c r="CE1721" s="237" t="s">
        <v>377</v>
      </c>
      <c r="CJ1721" s="347">
        <v>189.01</v>
      </c>
      <c r="CK1721" s="347" t="s">
        <v>352</v>
      </c>
      <c r="CL1721" s="1789"/>
      <c r="CR1721" s="345"/>
      <c r="CS1721" s="345"/>
      <c r="CX1721" s="347"/>
      <c r="CY1721" s="347"/>
      <c r="DH1721" s="237"/>
      <c r="DI1721" s="237"/>
      <c r="DN1721" s="347"/>
      <c r="DO1721" s="347"/>
      <c r="DP1721" s="2505"/>
    </row>
    <row r="1722" spans="12:120">
      <c r="L1722" s="347">
        <v>78.12</v>
      </c>
      <c r="M1722" s="347" t="s">
        <v>749</v>
      </c>
      <c r="AB1722" s="347">
        <v>317.04000000000002</v>
      </c>
      <c r="AC1722" s="347" t="s">
        <v>362</v>
      </c>
      <c r="AD1722" s="1138"/>
      <c r="AP1722" s="347">
        <v>128.02000000000001</v>
      </c>
      <c r="AQ1722" s="347" t="s">
        <v>352</v>
      </c>
      <c r="BF1722" s="347">
        <v>187</v>
      </c>
      <c r="BG1722" s="347" t="s">
        <v>352</v>
      </c>
      <c r="BH1722" s="1790"/>
      <c r="BN1722" s="237">
        <v>508.11</v>
      </c>
      <c r="BO1722" s="237" t="s">
        <v>339</v>
      </c>
      <c r="BT1722" s="347">
        <v>129</v>
      </c>
      <c r="BU1722" s="347" t="s">
        <v>352</v>
      </c>
      <c r="CD1722" s="237">
        <v>102.07</v>
      </c>
      <c r="CE1722" s="237" t="s">
        <v>344</v>
      </c>
      <c r="CJ1722" s="347">
        <v>189.02</v>
      </c>
      <c r="CK1722" s="347" t="s">
        <v>352</v>
      </c>
      <c r="CL1722" s="1789"/>
      <c r="CR1722" s="345"/>
      <c r="CS1722" s="345"/>
      <c r="CX1722" s="347"/>
      <c r="CY1722" s="347"/>
      <c r="DH1722" s="237"/>
      <c r="DI1722" s="237"/>
      <c r="DN1722" s="347"/>
      <c r="DO1722" s="347"/>
      <c r="DP1722" s="2505"/>
    </row>
    <row r="1723" spans="12:120">
      <c r="L1723" s="347">
        <v>78.13</v>
      </c>
      <c r="M1723" s="347" t="s">
        <v>749</v>
      </c>
      <c r="AB1723" s="347">
        <v>317.05</v>
      </c>
      <c r="AC1723" s="347" t="s">
        <v>362</v>
      </c>
      <c r="AD1723" s="1138"/>
      <c r="AP1723" s="347">
        <v>129</v>
      </c>
      <c r="AQ1723" s="347" t="s">
        <v>352</v>
      </c>
      <c r="BF1723" s="347">
        <v>188</v>
      </c>
      <c r="BG1723" s="347" t="s">
        <v>359</v>
      </c>
      <c r="BH1723" s="1790"/>
      <c r="BN1723" s="237">
        <v>508.12</v>
      </c>
      <c r="BO1723" s="237" t="s">
        <v>339</v>
      </c>
      <c r="BT1723" s="347">
        <v>130</v>
      </c>
      <c r="BU1723" s="347" t="s">
        <v>352</v>
      </c>
      <c r="CD1723" s="237">
        <v>102.07</v>
      </c>
      <c r="CE1723" s="237" t="s">
        <v>352</v>
      </c>
      <c r="CJ1723" s="347">
        <v>189.02</v>
      </c>
      <c r="CK1723" s="347" t="s">
        <v>359</v>
      </c>
      <c r="CL1723" s="1789"/>
      <c r="CR1723" s="345"/>
      <c r="CS1723" s="345"/>
      <c r="CX1723" s="347"/>
      <c r="CY1723" s="347"/>
      <c r="DH1723" s="237"/>
      <c r="DI1723" s="237"/>
      <c r="DN1723" s="347"/>
      <c r="DO1723" s="347"/>
      <c r="DP1723" s="2505"/>
    </row>
    <row r="1724" spans="12:120">
      <c r="L1724" s="347">
        <v>78.14</v>
      </c>
      <c r="M1724" s="347" t="s">
        <v>749</v>
      </c>
      <c r="AB1724" s="347">
        <v>317.06</v>
      </c>
      <c r="AC1724" s="347" t="s">
        <v>362</v>
      </c>
      <c r="AD1724" s="1138"/>
      <c r="AP1724" s="347">
        <v>130</v>
      </c>
      <c r="AQ1724" s="347" t="s">
        <v>352</v>
      </c>
      <c r="BF1724" s="347">
        <v>188.01</v>
      </c>
      <c r="BG1724" s="347" t="s">
        <v>352</v>
      </c>
      <c r="BH1724" s="1790"/>
      <c r="BN1724" s="237">
        <v>509.03</v>
      </c>
      <c r="BO1724" s="237" t="s">
        <v>339</v>
      </c>
      <c r="BT1724" s="347">
        <v>132.01</v>
      </c>
      <c r="BU1724" s="347" t="s">
        <v>352</v>
      </c>
      <c r="CD1724" s="237">
        <v>102.07</v>
      </c>
      <c r="CE1724" s="237" t="s">
        <v>377</v>
      </c>
      <c r="CJ1724" s="347">
        <v>190</v>
      </c>
      <c r="CK1724" s="347" t="s">
        <v>352</v>
      </c>
      <c r="CL1724" s="1789"/>
      <c r="CR1724" s="345"/>
      <c r="CS1724" s="345"/>
      <c r="CX1724" s="347"/>
      <c r="CY1724" s="347"/>
      <c r="DH1724" s="237"/>
      <c r="DI1724" s="237"/>
      <c r="DN1724" s="347"/>
      <c r="DO1724" s="347"/>
      <c r="DP1724" s="2505"/>
    </row>
    <row r="1725" spans="12:120">
      <c r="L1725" s="347">
        <v>78.17</v>
      </c>
      <c r="M1725" s="347" t="s">
        <v>749</v>
      </c>
      <c r="AB1725" s="347">
        <v>317.07</v>
      </c>
      <c r="AC1725" s="347" t="s">
        <v>362</v>
      </c>
      <c r="AD1725" s="1138"/>
      <c r="AP1725" s="347">
        <v>131</v>
      </c>
      <c r="AQ1725" s="347" t="s">
        <v>352</v>
      </c>
      <c r="BF1725" s="347">
        <v>188.02</v>
      </c>
      <c r="BG1725" s="347" t="s">
        <v>352</v>
      </c>
      <c r="BH1725" s="1790"/>
      <c r="BN1725" s="237">
        <v>509.05</v>
      </c>
      <c r="BO1725" s="237" t="s">
        <v>339</v>
      </c>
      <c r="BT1725" s="347">
        <v>132.02000000000001</v>
      </c>
      <c r="BU1725" s="347" t="s">
        <v>352</v>
      </c>
      <c r="CD1725" s="237">
        <v>102.08</v>
      </c>
      <c r="CE1725" s="237" t="s">
        <v>318</v>
      </c>
      <c r="CJ1725" s="347">
        <v>190</v>
      </c>
      <c r="CK1725" s="347" t="s">
        <v>359</v>
      </c>
      <c r="CL1725" s="1789"/>
      <c r="CR1725" s="345"/>
      <c r="CS1725" s="345"/>
      <c r="CX1725" s="347"/>
      <c r="CY1725" s="347"/>
      <c r="DH1725" s="237"/>
      <c r="DI1725" s="237"/>
      <c r="DN1725" s="347"/>
      <c r="DO1725" s="347"/>
      <c r="DP1725" s="2505"/>
    </row>
    <row r="1726" spans="12:120">
      <c r="L1726" s="347">
        <v>78.180000000000007</v>
      </c>
      <c r="M1726" s="347" t="s">
        <v>749</v>
      </c>
      <c r="AB1726" s="347">
        <v>317.08</v>
      </c>
      <c r="AC1726" s="347" t="s">
        <v>362</v>
      </c>
      <c r="AD1726" s="1138"/>
      <c r="AP1726" s="347">
        <v>132.01</v>
      </c>
      <c r="AQ1726" s="347" t="s">
        <v>352</v>
      </c>
      <c r="BF1726" s="347">
        <v>188.03</v>
      </c>
      <c r="BG1726" s="347" t="s">
        <v>352</v>
      </c>
      <c r="BH1726" s="1790"/>
      <c r="BN1726" s="237">
        <v>509.06</v>
      </c>
      <c r="BO1726" s="237" t="s">
        <v>339</v>
      </c>
      <c r="BT1726" s="347">
        <v>133.01</v>
      </c>
      <c r="BU1726" s="347" t="s">
        <v>352</v>
      </c>
      <c r="CD1726" s="237">
        <v>102.08</v>
      </c>
      <c r="CE1726" s="237" t="s">
        <v>344</v>
      </c>
      <c r="CJ1726" s="347">
        <v>191</v>
      </c>
      <c r="CK1726" s="347" t="s">
        <v>352</v>
      </c>
      <c r="CL1726" s="1789"/>
      <c r="CR1726" s="345"/>
      <c r="CS1726" s="345"/>
      <c r="CX1726" s="347"/>
      <c r="CY1726" s="347"/>
      <c r="DH1726" s="237"/>
      <c r="DI1726" s="237"/>
      <c r="DN1726" s="347"/>
      <c r="DO1726" s="347"/>
      <c r="DP1726" s="2505"/>
    </row>
    <row r="1727" spans="12:120">
      <c r="L1727" s="347">
        <v>78.2</v>
      </c>
      <c r="M1727" s="347" t="s">
        <v>749</v>
      </c>
      <c r="AB1727" s="347">
        <v>318.04000000000002</v>
      </c>
      <c r="AC1727" s="347" t="s">
        <v>362</v>
      </c>
      <c r="AD1727" s="1138"/>
      <c r="AP1727" s="347">
        <v>132.02000000000001</v>
      </c>
      <c r="AQ1727" s="347" t="s">
        <v>352</v>
      </c>
      <c r="BF1727" s="347">
        <v>189.01</v>
      </c>
      <c r="BG1727" s="347" t="s">
        <v>352</v>
      </c>
      <c r="BH1727" s="1790"/>
      <c r="BN1727" s="237">
        <v>509.07</v>
      </c>
      <c r="BO1727" s="237" t="s">
        <v>339</v>
      </c>
      <c r="BT1727" s="347">
        <v>133.02000000000001</v>
      </c>
      <c r="BU1727" s="347" t="s">
        <v>352</v>
      </c>
      <c r="CD1727" s="237">
        <v>102.08</v>
      </c>
      <c r="CE1727" s="237" t="s">
        <v>352</v>
      </c>
      <c r="CJ1727" s="347">
        <v>192</v>
      </c>
      <c r="CK1727" s="347" t="s">
        <v>352</v>
      </c>
      <c r="CL1727" s="1789"/>
      <c r="CR1727" s="345"/>
      <c r="CS1727" s="345"/>
      <c r="CX1727" s="347"/>
      <c r="CY1727" s="347"/>
      <c r="DH1727" s="237"/>
      <c r="DI1727" s="237"/>
      <c r="DN1727" s="347"/>
      <c r="DO1727" s="347"/>
      <c r="DP1727" s="2505"/>
    </row>
    <row r="1728" spans="12:120">
      <c r="L1728" s="347">
        <v>78.209999999999994</v>
      </c>
      <c r="M1728" s="347" t="s">
        <v>749</v>
      </c>
      <c r="AB1728" s="347">
        <v>318.05</v>
      </c>
      <c r="AC1728" s="347" t="s">
        <v>362</v>
      </c>
      <c r="AD1728" s="1138"/>
      <c r="AP1728" s="347">
        <v>133.01</v>
      </c>
      <c r="AQ1728" s="347" t="s">
        <v>352</v>
      </c>
      <c r="BF1728" s="347">
        <v>189.01</v>
      </c>
      <c r="BG1728" s="347" t="s">
        <v>359</v>
      </c>
      <c r="BH1728" s="1790"/>
      <c r="BN1728" s="237">
        <v>509.08</v>
      </c>
      <c r="BO1728" s="237" t="s">
        <v>339</v>
      </c>
      <c r="BT1728" s="347">
        <v>139</v>
      </c>
      <c r="BU1728" s="347" t="s">
        <v>352</v>
      </c>
      <c r="CD1728" s="237">
        <v>102.08</v>
      </c>
      <c r="CE1728" s="237" t="s">
        <v>377</v>
      </c>
      <c r="CJ1728" s="347">
        <v>193.01</v>
      </c>
      <c r="CK1728" s="347" t="s">
        <v>352</v>
      </c>
      <c r="CL1728" s="1789"/>
      <c r="CR1728" s="345"/>
      <c r="CS1728" s="345"/>
      <c r="CX1728" s="347"/>
      <c r="CY1728" s="347"/>
      <c r="DH1728" s="237"/>
      <c r="DI1728" s="237"/>
      <c r="DN1728" s="347"/>
      <c r="DO1728" s="347"/>
      <c r="DP1728" s="2505"/>
    </row>
    <row r="1729" spans="12:120">
      <c r="L1729" s="347">
        <v>78.22</v>
      </c>
      <c r="M1729" s="347" t="s">
        <v>749</v>
      </c>
      <c r="AB1729" s="347">
        <v>318.08</v>
      </c>
      <c r="AC1729" s="347" t="s">
        <v>362</v>
      </c>
      <c r="AD1729" s="1138"/>
      <c r="AP1729" s="347">
        <v>133.02000000000001</v>
      </c>
      <c r="AQ1729" s="347" t="s">
        <v>352</v>
      </c>
      <c r="BF1729" s="347">
        <v>189.02</v>
      </c>
      <c r="BG1729" s="347" t="s">
        <v>352</v>
      </c>
      <c r="BH1729" s="1790"/>
      <c r="BN1729" s="237">
        <v>509.09</v>
      </c>
      <c r="BO1729" s="237" t="s">
        <v>339</v>
      </c>
      <c r="BT1729" s="347">
        <v>141</v>
      </c>
      <c r="BU1729" s="347" t="s">
        <v>352</v>
      </c>
      <c r="CD1729" s="237">
        <v>102.09</v>
      </c>
      <c r="CE1729" s="237" t="s">
        <v>318</v>
      </c>
      <c r="CJ1729" s="347">
        <v>193.02</v>
      </c>
      <c r="CK1729" s="347" t="s">
        <v>352</v>
      </c>
      <c r="CL1729" s="1789"/>
      <c r="CR1729" s="345"/>
      <c r="CS1729" s="345"/>
      <c r="CX1729" s="347"/>
      <c r="CY1729" s="347"/>
      <c r="DH1729" s="237"/>
      <c r="DI1729" s="237"/>
      <c r="DN1729" s="347"/>
      <c r="DO1729" s="347"/>
      <c r="DP1729" s="2505"/>
    </row>
    <row r="1730" spans="12:120">
      <c r="L1730" s="347">
        <v>78.23</v>
      </c>
      <c r="M1730" s="347" t="s">
        <v>749</v>
      </c>
      <c r="AB1730" s="347">
        <v>319.01</v>
      </c>
      <c r="AC1730" s="347" t="s">
        <v>362</v>
      </c>
      <c r="AD1730" s="1138"/>
      <c r="AP1730" s="347">
        <v>138.01</v>
      </c>
      <c r="AQ1730" s="347" t="s">
        <v>352</v>
      </c>
      <c r="BF1730" s="347">
        <v>189.02</v>
      </c>
      <c r="BG1730" s="347" t="s">
        <v>359</v>
      </c>
      <c r="BH1730" s="1790"/>
      <c r="BN1730" s="237">
        <v>9800</v>
      </c>
      <c r="BO1730" s="237" t="s">
        <v>339</v>
      </c>
      <c r="BT1730" s="347">
        <v>142</v>
      </c>
      <c r="BU1730" s="347" t="s">
        <v>352</v>
      </c>
      <c r="CD1730" s="237">
        <v>102.09</v>
      </c>
      <c r="CE1730" s="237" t="s">
        <v>344</v>
      </c>
      <c r="CJ1730" s="347">
        <v>194.01</v>
      </c>
      <c r="CK1730" s="347" t="s">
        <v>352</v>
      </c>
      <c r="CL1730" s="1789"/>
      <c r="CR1730" s="345"/>
      <c r="CS1730" s="345"/>
      <c r="CX1730" s="347"/>
      <c r="CY1730" s="347"/>
      <c r="DH1730" s="237"/>
      <c r="DI1730" s="237"/>
      <c r="DN1730" s="347"/>
      <c r="DO1730" s="347"/>
      <c r="DP1730" s="2505"/>
    </row>
    <row r="1731" spans="12:120">
      <c r="L1731" s="347">
        <v>78.28</v>
      </c>
      <c r="M1731" s="347" t="s">
        <v>749</v>
      </c>
      <c r="AB1731" s="347">
        <v>319.02</v>
      </c>
      <c r="AC1731" s="347" t="s">
        <v>362</v>
      </c>
      <c r="AD1731" s="1138"/>
      <c r="AP1731" s="347">
        <v>139</v>
      </c>
      <c r="AQ1731" s="347" t="s">
        <v>352</v>
      </c>
      <c r="BF1731" s="347">
        <v>190</v>
      </c>
      <c r="BG1731" s="347" t="s">
        <v>352</v>
      </c>
      <c r="BH1731" s="1790"/>
      <c r="BN1731" s="237">
        <v>9900</v>
      </c>
      <c r="BO1731" s="237" t="s">
        <v>339</v>
      </c>
      <c r="BT1731" s="347">
        <v>143</v>
      </c>
      <c r="BU1731" s="347" t="s">
        <v>352</v>
      </c>
      <c r="CD1731" s="237">
        <v>102.09</v>
      </c>
      <c r="CE1731" s="237" t="s">
        <v>352</v>
      </c>
      <c r="CJ1731" s="347">
        <v>194.02</v>
      </c>
      <c r="CK1731" s="347" t="s">
        <v>352</v>
      </c>
      <c r="CL1731" s="1789"/>
      <c r="CR1731" s="345"/>
      <c r="CS1731" s="345"/>
      <c r="CX1731" s="347"/>
      <c r="CY1731" s="347"/>
      <c r="DH1731" s="237"/>
      <c r="DI1731" s="237"/>
      <c r="DN1731" s="347"/>
      <c r="DO1731" s="347"/>
      <c r="DP1731" s="2505"/>
    </row>
    <row r="1732" spans="12:120">
      <c r="L1732" s="347">
        <v>78.3</v>
      </c>
      <c r="M1732" s="347" t="s">
        <v>749</v>
      </c>
      <c r="AB1732" s="347">
        <v>319.02999999999997</v>
      </c>
      <c r="AC1732" s="347" t="s">
        <v>362</v>
      </c>
      <c r="AD1732" s="1138"/>
      <c r="AP1732" s="347">
        <v>142</v>
      </c>
      <c r="AQ1732" s="347" t="s">
        <v>352</v>
      </c>
      <c r="BF1732" s="347">
        <v>190</v>
      </c>
      <c r="BG1732" s="347" t="s">
        <v>359</v>
      </c>
      <c r="BH1732" s="1790"/>
      <c r="BN1732" s="237">
        <v>2501.0300000000002</v>
      </c>
      <c r="BO1732" s="237" t="s">
        <v>341</v>
      </c>
      <c r="BT1732" s="347">
        <v>144</v>
      </c>
      <c r="BU1732" s="347" t="s">
        <v>352</v>
      </c>
      <c r="CD1732" s="237">
        <v>102.09</v>
      </c>
      <c r="CE1732" s="237" t="s">
        <v>377</v>
      </c>
      <c r="CJ1732" s="347">
        <v>195.01</v>
      </c>
      <c r="CK1732" s="347" t="s">
        <v>352</v>
      </c>
      <c r="CL1732" s="1789"/>
      <c r="CR1732" s="345"/>
      <c r="CS1732" s="345"/>
      <c r="CX1732" s="347"/>
      <c r="CY1732" s="347"/>
      <c r="DH1732" s="237"/>
      <c r="DI1732" s="237"/>
      <c r="DN1732" s="347"/>
      <c r="DO1732" s="347"/>
      <c r="DP1732" s="2505"/>
    </row>
    <row r="1733" spans="12:120">
      <c r="L1733" s="347">
        <v>78.31</v>
      </c>
      <c r="M1733" s="347" t="s">
        <v>749</v>
      </c>
      <c r="AB1733" s="347">
        <v>320.01</v>
      </c>
      <c r="AC1733" s="347" t="s">
        <v>362</v>
      </c>
      <c r="AD1733" s="1138"/>
      <c r="AP1733" s="347">
        <v>143</v>
      </c>
      <c r="AQ1733" s="347" t="s">
        <v>352</v>
      </c>
      <c r="BF1733" s="347">
        <v>191</v>
      </c>
      <c r="BG1733" s="347" t="s">
        <v>352</v>
      </c>
      <c r="BH1733" s="1790"/>
      <c r="BN1733" s="237">
        <v>2501.04</v>
      </c>
      <c r="BO1733" s="237" t="s">
        <v>341</v>
      </c>
      <c r="BT1733" s="347">
        <v>145</v>
      </c>
      <c r="BU1733" s="347" t="s">
        <v>352</v>
      </c>
      <c r="CD1733" s="237">
        <v>102.1</v>
      </c>
      <c r="CE1733" s="237" t="s">
        <v>318</v>
      </c>
      <c r="CJ1733" s="347">
        <v>195.02</v>
      </c>
      <c r="CK1733" s="347" t="s">
        <v>352</v>
      </c>
      <c r="CL1733" s="1789"/>
      <c r="CR1733" s="345"/>
      <c r="CS1733" s="345"/>
      <c r="CX1733" s="347"/>
      <c r="CY1733" s="347"/>
      <c r="DH1733" s="237"/>
      <c r="DI1733" s="237"/>
      <c r="DN1733" s="347"/>
      <c r="DO1733" s="347"/>
      <c r="DP1733" s="2505"/>
    </row>
    <row r="1734" spans="12:120">
      <c r="L1734" s="347">
        <v>78.34</v>
      </c>
      <c r="M1734" s="347" t="s">
        <v>749</v>
      </c>
      <c r="AB1734" s="347">
        <v>320.05</v>
      </c>
      <c r="AC1734" s="347" t="s">
        <v>362</v>
      </c>
      <c r="AD1734" s="1138"/>
      <c r="AP1734" s="347">
        <v>144</v>
      </c>
      <c r="AQ1734" s="347" t="s">
        <v>352</v>
      </c>
      <c r="BF1734" s="347">
        <v>192</v>
      </c>
      <c r="BG1734" s="347" t="s">
        <v>352</v>
      </c>
      <c r="BH1734" s="1790"/>
      <c r="BN1734" s="237">
        <v>2501.0500000000002</v>
      </c>
      <c r="BO1734" s="237" t="s">
        <v>341</v>
      </c>
      <c r="BT1734" s="347">
        <v>147.02000000000001</v>
      </c>
      <c r="BU1734" s="347" t="s">
        <v>352</v>
      </c>
      <c r="CD1734" s="237">
        <v>102.1</v>
      </c>
      <c r="CE1734" s="237" t="s">
        <v>337</v>
      </c>
      <c r="CJ1734" s="347">
        <v>196</v>
      </c>
      <c r="CK1734" s="347" t="s">
        <v>352</v>
      </c>
      <c r="CL1734" s="1789"/>
      <c r="CR1734" s="345"/>
      <c r="CS1734" s="345"/>
      <c r="CX1734" s="347"/>
      <c r="CY1734" s="347"/>
      <c r="DH1734" s="237"/>
      <c r="DI1734" s="237"/>
      <c r="DN1734" s="347"/>
      <c r="DO1734" s="347"/>
      <c r="DP1734" s="2505"/>
    </row>
    <row r="1735" spans="12:120">
      <c r="L1735" s="347">
        <v>78.349999999999994</v>
      </c>
      <c r="M1735" s="347" t="s">
        <v>749</v>
      </c>
      <c r="AB1735" s="347">
        <v>320.06</v>
      </c>
      <c r="AC1735" s="347" t="s">
        <v>362</v>
      </c>
      <c r="AD1735" s="1138"/>
      <c r="AP1735" s="347">
        <v>145</v>
      </c>
      <c r="AQ1735" s="347" t="s">
        <v>352</v>
      </c>
      <c r="BF1735" s="347">
        <v>193.01</v>
      </c>
      <c r="BG1735" s="347" t="s">
        <v>352</v>
      </c>
      <c r="BH1735" s="1790"/>
      <c r="BN1735" s="237">
        <v>2501.06</v>
      </c>
      <c r="BO1735" s="237" t="s">
        <v>341</v>
      </c>
      <c r="BT1735" s="347">
        <v>149</v>
      </c>
      <c r="BU1735" s="347" t="s">
        <v>352</v>
      </c>
      <c r="CD1735" s="237">
        <v>102.1</v>
      </c>
      <c r="CE1735" s="237" t="s">
        <v>344</v>
      </c>
      <c r="CJ1735" s="347">
        <v>197</v>
      </c>
      <c r="CK1735" s="347" t="s">
        <v>352</v>
      </c>
      <c r="CL1735" s="1789"/>
      <c r="CR1735" s="345"/>
      <c r="CS1735" s="345"/>
      <c r="CX1735" s="347"/>
      <c r="CY1735" s="347"/>
      <c r="DH1735" s="237"/>
      <c r="DI1735" s="237"/>
      <c r="DN1735" s="347"/>
      <c r="DO1735" s="347"/>
      <c r="DP1735" s="2505"/>
    </row>
    <row r="1736" spans="12:120">
      <c r="L1736" s="347">
        <v>78.36</v>
      </c>
      <c r="M1736" s="347" t="s">
        <v>749</v>
      </c>
      <c r="AB1736" s="347">
        <v>320.07</v>
      </c>
      <c r="AC1736" s="347" t="s">
        <v>362</v>
      </c>
      <c r="AD1736" s="1138"/>
      <c r="AP1736" s="347">
        <v>146.02000000000001</v>
      </c>
      <c r="AQ1736" s="347" t="s">
        <v>352</v>
      </c>
      <c r="BF1736" s="347">
        <v>193.02</v>
      </c>
      <c r="BG1736" s="347" t="s">
        <v>352</v>
      </c>
      <c r="BH1736" s="1790"/>
      <c r="BN1736" s="237">
        <v>2502</v>
      </c>
      <c r="BO1736" s="237" t="s">
        <v>341</v>
      </c>
      <c r="BT1736" s="347">
        <v>150.01</v>
      </c>
      <c r="BU1736" s="347" t="s">
        <v>352</v>
      </c>
      <c r="CD1736" s="237">
        <v>102.11</v>
      </c>
      <c r="CE1736" s="237" t="s">
        <v>318</v>
      </c>
      <c r="CJ1736" s="347">
        <v>198.01</v>
      </c>
      <c r="CK1736" s="347" t="s">
        <v>352</v>
      </c>
      <c r="CL1736" s="1789"/>
      <c r="CR1736" s="345"/>
      <c r="CS1736" s="345"/>
      <c r="CX1736" s="347"/>
      <c r="CY1736" s="347"/>
      <c r="DH1736" s="237"/>
      <c r="DI1736" s="237"/>
      <c r="DN1736" s="347"/>
      <c r="DO1736" s="347"/>
      <c r="DP1736" s="2505"/>
    </row>
    <row r="1737" spans="12:120">
      <c r="L1737" s="347">
        <v>78.37</v>
      </c>
      <c r="M1737" s="347" t="s">
        <v>749</v>
      </c>
      <c r="AB1737" s="347">
        <v>320.08</v>
      </c>
      <c r="AC1737" s="347" t="s">
        <v>362</v>
      </c>
      <c r="AD1737" s="1138"/>
      <c r="AP1737" s="347">
        <v>147.02000000000001</v>
      </c>
      <c r="AQ1737" s="347" t="s">
        <v>352</v>
      </c>
      <c r="BF1737" s="347">
        <v>194.01</v>
      </c>
      <c r="BG1737" s="347" t="s">
        <v>352</v>
      </c>
      <c r="BH1737" s="1790"/>
      <c r="BN1737" s="237">
        <v>9900</v>
      </c>
      <c r="BO1737" s="237" t="s">
        <v>341</v>
      </c>
      <c r="BT1737" s="347">
        <v>151.01</v>
      </c>
      <c r="BU1737" s="347" t="s">
        <v>352</v>
      </c>
      <c r="CD1737" s="237">
        <v>102.11</v>
      </c>
      <c r="CE1737" s="237" t="s">
        <v>337</v>
      </c>
      <c r="CJ1737" s="347">
        <v>198.02</v>
      </c>
      <c r="CK1737" s="347" t="s">
        <v>352</v>
      </c>
      <c r="CL1737" s="1789"/>
      <c r="CR1737" s="345"/>
      <c r="CS1737" s="345"/>
      <c r="CX1737" s="347"/>
      <c r="CY1737" s="347"/>
      <c r="DH1737" s="237"/>
      <c r="DI1737" s="237"/>
      <c r="DN1737" s="347"/>
      <c r="DO1737" s="347"/>
      <c r="DP1737" s="2505"/>
    </row>
    <row r="1738" spans="12:120">
      <c r="L1738" s="347">
        <v>78.38</v>
      </c>
      <c r="M1738" s="347" t="s">
        <v>749</v>
      </c>
      <c r="AB1738" s="347">
        <v>320.08999999999997</v>
      </c>
      <c r="AC1738" s="347" t="s">
        <v>362</v>
      </c>
      <c r="AD1738" s="1138"/>
      <c r="AP1738" s="347">
        <v>149</v>
      </c>
      <c r="AQ1738" s="347" t="s">
        <v>352</v>
      </c>
      <c r="BF1738" s="347">
        <v>194.02</v>
      </c>
      <c r="BG1738" s="347" t="s">
        <v>352</v>
      </c>
      <c r="BH1738" s="1790"/>
      <c r="BN1738" s="237">
        <v>301.02</v>
      </c>
      <c r="BO1738" s="237" t="s">
        <v>343</v>
      </c>
      <c r="BT1738" s="347">
        <v>151.02000000000001</v>
      </c>
      <c r="BU1738" s="347" t="s">
        <v>352</v>
      </c>
      <c r="CD1738" s="237">
        <v>102.11</v>
      </c>
      <c r="CE1738" s="237" t="s">
        <v>352</v>
      </c>
      <c r="CJ1738" s="347">
        <v>199.02</v>
      </c>
      <c r="CK1738" s="347" t="s">
        <v>352</v>
      </c>
      <c r="CL1738" s="1789"/>
      <c r="CR1738" s="345"/>
      <c r="CS1738" s="345"/>
      <c r="CX1738" s="347"/>
      <c r="CY1738" s="347"/>
      <c r="DH1738" s="237"/>
      <c r="DI1738" s="237"/>
      <c r="DN1738" s="347"/>
      <c r="DO1738" s="347"/>
      <c r="DP1738" s="2505"/>
    </row>
    <row r="1739" spans="12:120">
      <c r="L1739" s="347">
        <v>78.39</v>
      </c>
      <c r="M1739" s="347" t="s">
        <v>749</v>
      </c>
      <c r="AB1739" s="347">
        <v>320.10000000000002</v>
      </c>
      <c r="AC1739" s="347" t="s">
        <v>362</v>
      </c>
      <c r="AD1739" s="1138"/>
      <c r="AP1739" s="347">
        <v>150.01</v>
      </c>
      <c r="AQ1739" s="347" t="s">
        <v>352</v>
      </c>
      <c r="BF1739" s="347">
        <v>195.01</v>
      </c>
      <c r="BG1739" s="347" t="s">
        <v>352</v>
      </c>
      <c r="BH1739" s="1790"/>
      <c r="BN1739" s="237">
        <v>301.04000000000002</v>
      </c>
      <c r="BO1739" s="237" t="s">
        <v>343</v>
      </c>
      <c r="BT1739" s="347">
        <v>151.03</v>
      </c>
      <c r="BU1739" s="347" t="s">
        <v>352</v>
      </c>
      <c r="CD1739" s="237">
        <v>102.12</v>
      </c>
      <c r="CE1739" s="237" t="s">
        <v>337</v>
      </c>
      <c r="CJ1739" s="347">
        <v>200.02</v>
      </c>
      <c r="CK1739" s="347" t="s">
        <v>352</v>
      </c>
      <c r="CL1739" s="1789"/>
      <c r="CR1739" s="345"/>
      <c r="CS1739" s="345"/>
      <c r="CX1739" s="347"/>
      <c r="CY1739" s="347"/>
      <c r="DH1739" s="237"/>
      <c r="DI1739" s="237"/>
      <c r="DN1739" s="347"/>
      <c r="DO1739" s="347"/>
      <c r="DP1739" s="2505"/>
    </row>
    <row r="1740" spans="12:120">
      <c r="L1740" s="347">
        <v>79.09</v>
      </c>
      <c r="M1740" s="347" t="s">
        <v>749</v>
      </c>
      <c r="AB1740" s="347">
        <v>320.11</v>
      </c>
      <c r="AC1740" s="347" t="s">
        <v>362</v>
      </c>
      <c r="AD1740" s="1138"/>
      <c r="AP1740" s="347">
        <v>151.01</v>
      </c>
      <c r="AQ1740" s="347" t="s">
        <v>352</v>
      </c>
      <c r="BF1740" s="347">
        <v>195.02</v>
      </c>
      <c r="BG1740" s="347" t="s">
        <v>352</v>
      </c>
      <c r="BH1740" s="1790"/>
      <c r="BN1740" s="237">
        <v>301.06</v>
      </c>
      <c r="BO1740" s="237" t="s">
        <v>343</v>
      </c>
      <c r="BT1740" s="347">
        <v>152.01</v>
      </c>
      <c r="BU1740" s="347" t="s">
        <v>352</v>
      </c>
      <c r="CD1740" s="237">
        <v>102.12</v>
      </c>
      <c r="CE1740" s="237" t="s">
        <v>352</v>
      </c>
      <c r="CJ1740" s="347">
        <v>201</v>
      </c>
      <c r="CK1740" s="347" t="s">
        <v>352</v>
      </c>
      <c r="CL1740" s="1789"/>
      <c r="CR1740" s="345"/>
      <c r="CS1740" s="345"/>
      <c r="CX1740" s="347"/>
      <c r="CY1740" s="347"/>
      <c r="DH1740" s="237"/>
      <c r="DI1740" s="237"/>
      <c r="DN1740" s="347"/>
      <c r="DO1740" s="347"/>
      <c r="DP1740" s="2505"/>
    </row>
    <row r="1741" spans="12:120">
      <c r="L1741" s="347">
        <v>79.099999999999994</v>
      </c>
      <c r="M1741" s="347" t="s">
        <v>749</v>
      </c>
      <c r="AB1741" s="347">
        <v>320.12</v>
      </c>
      <c r="AC1741" s="347" t="s">
        <v>362</v>
      </c>
      <c r="AD1741" s="1138"/>
      <c r="AP1741" s="347">
        <v>151.02000000000001</v>
      </c>
      <c r="AQ1741" s="347" t="s">
        <v>352</v>
      </c>
      <c r="BF1741" s="347">
        <v>196</v>
      </c>
      <c r="BG1741" s="347" t="s">
        <v>352</v>
      </c>
      <c r="BH1741" s="1790"/>
      <c r="BN1741" s="237">
        <v>301.08</v>
      </c>
      <c r="BO1741" s="237" t="s">
        <v>343</v>
      </c>
      <c r="BT1741" s="347">
        <v>152.02000000000001</v>
      </c>
      <c r="BU1741" s="347" t="s">
        <v>352</v>
      </c>
      <c r="CD1741" s="237">
        <v>102.13</v>
      </c>
      <c r="CE1741" s="237" t="s">
        <v>318</v>
      </c>
      <c r="CJ1741" s="347">
        <v>201.01</v>
      </c>
      <c r="CK1741" s="347" t="s">
        <v>310</v>
      </c>
      <c r="CL1741" s="1789"/>
      <c r="CR1741" s="345"/>
      <c r="CS1741" s="345"/>
      <c r="CX1741" s="347"/>
      <c r="CY1741" s="347"/>
      <c r="DH1741" s="237"/>
      <c r="DI1741" s="237"/>
      <c r="DN1741" s="347"/>
      <c r="DO1741" s="347"/>
      <c r="DP1741" s="2505"/>
    </row>
    <row r="1742" spans="12:120">
      <c r="L1742" s="347">
        <v>79.12</v>
      </c>
      <c r="M1742" s="347" t="s">
        <v>749</v>
      </c>
      <c r="AB1742" s="347">
        <v>320.13</v>
      </c>
      <c r="AC1742" s="347" t="s">
        <v>362</v>
      </c>
      <c r="AD1742" s="1138"/>
      <c r="AP1742" s="347">
        <v>151.03</v>
      </c>
      <c r="AQ1742" s="347" t="s">
        <v>352</v>
      </c>
      <c r="BF1742" s="347">
        <v>197</v>
      </c>
      <c r="BG1742" s="347" t="s">
        <v>352</v>
      </c>
      <c r="BH1742" s="1790"/>
      <c r="BN1742" s="237">
        <v>301.08999999999997</v>
      </c>
      <c r="BO1742" s="237" t="s">
        <v>343</v>
      </c>
      <c r="BT1742" s="347">
        <v>153</v>
      </c>
      <c r="BU1742" s="347" t="s">
        <v>352</v>
      </c>
      <c r="CD1742" s="237">
        <v>102.13</v>
      </c>
      <c r="CE1742" s="237" t="s">
        <v>337</v>
      </c>
      <c r="CJ1742" s="347">
        <v>201.01</v>
      </c>
      <c r="CK1742" s="347" t="s">
        <v>328</v>
      </c>
      <c r="CL1742" s="1789"/>
      <c r="CR1742" s="345"/>
      <c r="CS1742" s="345"/>
      <c r="CX1742" s="347"/>
      <c r="CY1742" s="347"/>
      <c r="DH1742" s="237"/>
      <c r="DI1742" s="237"/>
      <c r="DN1742" s="347"/>
      <c r="DO1742" s="347"/>
      <c r="DP1742" s="2505"/>
    </row>
    <row r="1743" spans="12:120">
      <c r="L1743" s="347">
        <v>301.01</v>
      </c>
      <c r="M1743" s="347" t="s">
        <v>362</v>
      </c>
      <c r="AB1743" s="347">
        <v>320.14</v>
      </c>
      <c r="AC1743" s="347" t="s">
        <v>362</v>
      </c>
      <c r="AD1743" s="1138"/>
      <c r="AP1743" s="347">
        <v>152.01</v>
      </c>
      <c r="AQ1743" s="347" t="s">
        <v>352</v>
      </c>
      <c r="BF1743" s="347">
        <v>198.01</v>
      </c>
      <c r="BG1743" s="347" t="s">
        <v>352</v>
      </c>
      <c r="BH1743" s="1790"/>
      <c r="BN1743" s="237">
        <v>301.10000000000002</v>
      </c>
      <c r="BO1743" s="237" t="s">
        <v>343</v>
      </c>
      <c r="BT1743" s="347">
        <v>154</v>
      </c>
      <c r="BU1743" s="347" t="s">
        <v>352</v>
      </c>
      <c r="CD1743" s="237">
        <v>102.13</v>
      </c>
      <c r="CE1743" s="237" t="s">
        <v>352</v>
      </c>
      <c r="CJ1743" s="347">
        <v>201.01</v>
      </c>
      <c r="CK1743" s="347" t="s">
        <v>357</v>
      </c>
      <c r="CL1743" s="1789"/>
      <c r="CR1743" s="345"/>
      <c r="CS1743" s="345"/>
      <c r="CX1743" s="347"/>
      <c r="CY1743" s="347"/>
      <c r="DH1743" s="237"/>
      <c r="DI1743" s="237"/>
      <c r="DN1743" s="347"/>
      <c r="DO1743" s="347"/>
      <c r="DP1743" s="2505"/>
    </row>
    <row r="1744" spans="12:120">
      <c r="L1744" s="347">
        <v>302.02</v>
      </c>
      <c r="M1744" s="347" t="s">
        <v>362</v>
      </c>
      <c r="AB1744" s="347">
        <v>321.02999999999997</v>
      </c>
      <c r="AC1744" s="347" t="s">
        <v>362</v>
      </c>
      <c r="AD1744" s="1138"/>
      <c r="AP1744" s="347">
        <v>152.02000000000001</v>
      </c>
      <c r="AQ1744" s="347" t="s">
        <v>352</v>
      </c>
      <c r="BF1744" s="347">
        <v>198.02</v>
      </c>
      <c r="BG1744" s="347" t="s">
        <v>352</v>
      </c>
      <c r="BH1744" s="1790"/>
      <c r="BN1744" s="237">
        <v>301.11</v>
      </c>
      <c r="BO1744" s="237" t="s">
        <v>343</v>
      </c>
      <c r="BT1744" s="347">
        <v>155.02000000000001</v>
      </c>
      <c r="BU1744" s="347" t="s">
        <v>352</v>
      </c>
      <c r="CD1744" s="237">
        <v>102.14</v>
      </c>
      <c r="CE1744" s="237" t="s">
        <v>352</v>
      </c>
      <c r="CJ1744" s="347">
        <v>201.02</v>
      </c>
      <c r="CK1744" s="347" t="s">
        <v>357</v>
      </c>
      <c r="CL1744" s="1789"/>
      <c r="CR1744" s="345"/>
      <c r="CS1744" s="345"/>
      <c r="CX1744" s="347"/>
      <c r="CY1744" s="347"/>
      <c r="DH1744" s="237"/>
      <c r="DI1744" s="237"/>
      <c r="DN1744" s="347"/>
      <c r="DO1744" s="347"/>
      <c r="DP1744" s="2505"/>
    </row>
    <row r="1745" spans="12:120">
      <c r="L1745" s="347">
        <v>302.04000000000002</v>
      </c>
      <c r="M1745" s="347" t="s">
        <v>362</v>
      </c>
      <c r="AB1745" s="347">
        <v>321.04000000000002</v>
      </c>
      <c r="AC1745" s="347" t="s">
        <v>362</v>
      </c>
      <c r="AD1745" s="1138"/>
      <c r="AP1745" s="347">
        <v>153</v>
      </c>
      <c r="AQ1745" s="347" t="s">
        <v>352</v>
      </c>
      <c r="BF1745" s="347">
        <v>199.02</v>
      </c>
      <c r="BG1745" s="347" t="s">
        <v>352</v>
      </c>
      <c r="BH1745" s="1790"/>
      <c r="BN1745" s="237">
        <v>301.12</v>
      </c>
      <c r="BO1745" s="237" t="s">
        <v>343</v>
      </c>
      <c r="BT1745" s="347">
        <v>156</v>
      </c>
      <c r="BU1745" s="347" t="s">
        <v>352</v>
      </c>
      <c r="CD1745" s="237">
        <v>102.15</v>
      </c>
      <c r="CE1745" s="237" t="s">
        <v>318</v>
      </c>
      <c r="CJ1745" s="347">
        <v>201.03</v>
      </c>
      <c r="CK1745" s="347" t="s">
        <v>315</v>
      </c>
      <c r="CL1745" s="1789"/>
      <c r="CR1745" s="345"/>
      <c r="CS1745" s="345"/>
      <c r="CX1745" s="347"/>
      <c r="CY1745" s="347"/>
      <c r="DH1745" s="237"/>
      <c r="DI1745" s="237"/>
      <c r="DN1745" s="347"/>
      <c r="DO1745" s="347"/>
      <c r="DP1745" s="2505"/>
    </row>
    <row r="1746" spans="12:120">
      <c r="L1746" s="347">
        <v>302.05</v>
      </c>
      <c r="M1746" s="347" t="s">
        <v>362</v>
      </c>
      <c r="AB1746" s="347">
        <v>321.05</v>
      </c>
      <c r="AC1746" s="347" t="s">
        <v>362</v>
      </c>
      <c r="AD1746" s="1138"/>
      <c r="AP1746" s="347">
        <v>154</v>
      </c>
      <c r="AQ1746" s="347" t="s">
        <v>352</v>
      </c>
      <c r="BF1746" s="347">
        <v>200.02</v>
      </c>
      <c r="BG1746" s="347" t="s">
        <v>352</v>
      </c>
      <c r="BH1746" s="1790"/>
      <c r="BN1746" s="237">
        <v>302.02999999999997</v>
      </c>
      <c r="BO1746" s="237" t="s">
        <v>343</v>
      </c>
      <c r="BT1746" s="347">
        <v>157</v>
      </c>
      <c r="BU1746" s="347" t="s">
        <v>352</v>
      </c>
      <c r="CD1746" s="237">
        <v>102.15</v>
      </c>
      <c r="CE1746" s="237" t="s">
        <v>337</v>
      </c>
      <c r="CJ1746" s="347">
        <v>201.03</v>
      </c>
      <c r="CK1746" s="347" t="s">
        <v>328</v>
      </c>
      <c r="CL1746" s="1789"/>
      <c r="CR1746" s="345"/>
      <c r="CS1746" s="345"/>
      <c r="CX1746" s="347"/>
      <c r="CY1746" s="347"/>
      <c r="DH1746" s="237"/>
      <c r="DI1746" s="237"/>
      <c r="DN1746" s="347"/>
      <c r="DO1746" s="347"/>
      <c r="DP1746" s="2505"/>
    </row>
    <row r="1747" spans="12:120">
      <c r="L1747" s="347">
        <v>303.01</v>
      </c>
      <c r="M1747" s="347" t="s">
        <v>362</v>
      </c>
      <c r="AB1747" s="347">
        <v>321.06</v>
      </c>
      <c r="AC1747" s="347" t="s">
        <v>362</v>
      </c>
      <c r="AD1747" s="1138"/>
      <c r="AP1747" s="347">
        <v>155.02000000000001</v>
      </c>
      <c r="AQ1747" s="347" t="s">
        <v>352</v>
      </c>
      <c r="BF1747" s="347">
        <v>201.01</v>
      </c>
      <c r="BG1747" s="347" t="s">
        <v>315</v>
      </c>
      <c r="BH1747" s="1790"/>
      <c r="BN1747" s="237">
        <v>302.04000000000002</v>
      </c>
      <c r="BO1747" s="237" t="s">
        <v>343</v>
      </c>
      <c r="BT1747" s="347">
        <v>158</v>
      </c>
      <c r="BU1747" s="347" t="s">
        <v>352</v>
      </c>
      <c r="CD1747" s="237">
        <v>102.16</v>
      </c>
      <c r="CE1747" s="237" t="s">
        <v>318</v>
      </c>
      <c r="CJ1747" s="347">
        <v>201.04</v>
      </c>
      <c r="CK1747" s="347" t="s">
        <v>315</v>
      </c>
      <c r="CL1747" s="1789"/>
      <c r="CR1747" s="345"/>
      <c r="CS1747" s="345"/>
      <c r="CX1747" s="347"/>
      <c r="CY1747" s="347"/>
      <c r="DH1747" s="237"/>
      <c r="DI1747" s="237"/>
      <c r="DN1747" s="347"/>
      <c r="DO1747" s="347"/>
      <c r="DP1747" s="2505"/>
    </row>
    <row r="1748" spans="12:120">
      <c r="L1748" s="347">
        <v>303.02999999999997</v>
      </c>
      <c r="M1748" s="347" t="s">
        <v>362</v>
      </c>
      <c r="AB1748" s="347">
        <v>321.07</v>
      </c>
      <c r="AC1748" s="347" t="s">
        <v>362</v>
      </c>
      <c r="AD1748" s="1138"/>
      <c r="AP1748" s="347">
        <v>156</v>
      </c>
      <c r="AQ1748" s="347" t="s">
        <v>352</v>
      </c>
      <c r="BF1748" s="347">
        <v>201.01</v>
      </c>
      <c r="BG1748" s="347" t="s">
        <v>328</v>
      </c>
      <c r="BH1748" s="1790"/>
      <c r="BN1748" s="237">
        <v>302.06</v>
      </c>
      <c r="BO1748" s="237" t="s">
        <v>343</v>
      </c>
      <c r="BT1748" s="347">
        <v>160</v>
      </c>
      <c r="BU1748" s="347" t="s">
        <v>352</v>
      </c>
      <c r="CD1748" s="237">
        <v>102.16</v>
      </c>
      <c r="CE1748" s="237" t="s">
        <v>337</v>
      </c>
      <c r="CJ1748" s="347">
        <v>201.04</v>
      </c>
      <c r="CK1748" s="347" t="s">
        <v>328</v>
      </c>
      <c r="CL1748" s="1789"/>
      <c r="CR1748" s="345"/>
      <c r="CS1748" s="345"/>
      <c r="CX1748" s="347"/>
      <c r="CY1748" s="347"/>
      <c r="DH1748" s="237"/>
      <c r="DI1748" s="237"/>
      <c r="DN1748" s="347"/>
      <c r="DO1748" s="347"/>
      <c r="DP1748" s="2505"/>
    </row>
    <row r="1749" spans="12:120">
      <c r="L1749" s="347">
        <v>304.04000000000002</v>
      </c>
      <c r="M1749" s="347" t="s">
        <v>362</v>
      </c>
      <c r="AB1749" s="347">
        <v>321.08</v>
      </c>
      <c r="AC1749" s="347" t="s">
        <v>362</v>
      </c>
      <c r="AD1749" s="1138"/>
      <c r="AP1749" s="347">
        <v>157</v>
      </c>
      <c r="AQ1749" s="347" t="s">
        <v>352</v>
      </c>
      <c r="BF1749" s="347">
        <v>201.01</v>
      </c>
      <c r="BG1749" s="347" t="s">
        <v>357</v>
      </c>
      <c r="BH1749" s="1790"/>
      <c r="BN1749" s="237">
        <v>302.08</v>
      </c>
      <c r="BO1749" s="237" t="s">
        <v>343</v>
      </c>
      <c r="BT1749" s="347">
        <v>161</v>
      </c>
      <c r="BU1749" s="347" t="s">
        <v>352</v>
      </c>
      <c r="CD1749" s="237">
        <v>102.17</v>
      </c>
      <c r="CE1749" s="237" t="s">
        <v>318</v>
      </c>
      <c r="CJ1749" s="347">
        <v>201.04</v>
      </c>
      <c r="CK1749" s="347" t="s">
        <v>344</v>
      </c>
      <c r="CL1749" s="1789"/>
      <c r="CR1749" s="345"/>
      <c r="CS1749" s="345"/>
      <c r="CX1749" s="347"/>
      <c r="CY1749" s="347"/>
      <c r="DH1749" s="237"/>
      <c r="DI1749" s="237"/>
      <c r="DN1749" s="347"/>
      <c r="DO1749" s="347"/>
      <c r="DP1749" s="2505"/>
    </row>
    <row r="1750" spans="12:120">
      <c r="L1750" s="347">
        <v>304.08999999999997</v>
      </c>
      <c r="M1750" s="347" t="s">
        <v>362</v>
      </c>
      <c r="AB1750" s="347">
        <v>321.08999999999997</v>
      </c>
      <c r="AC1750" s="347" t="s">
        <v>362</v>
      </c>
      <c r="AD1750" s="1138"/>
      <c r="AP1750" s="347">
        <v>158</v>
      </c>
      <c r="AQ1750" s="347" t="s">
        <v>352</v>
      </c>
      <c r="BF1750" s="347">
        <v>201.03</v>
      </c>
      <c r="BG1750" s="347" t="s">
        <v>315</v>
      </c>
      <c r="BH1750" s="1790"/>
      <c r="BN1750" s="237">
        <v>302.08999999999997</v>
      </c>
      <c r="BO1750" s="237" t="s">
        <v>343</v>
      </c>
      <c r="BT1750" s="347">
        <v>162</v>
      </c>
      <c r="BU1750" s="347" t="s">
        <v>352</v>
      </c>
      <c r="CD1750" s="237">
        <v>102.17</v>
      </c>
      <c r="CE1750" s="237" t="s">
        <v>337</v>
      </c>
      <c r="CJ1750" s="347">
        <v>201.05</v>
      </c>
      <c r="CK1750" s="347" t="s">
        <v>363</v>
      </c>
      <c r="CL1750" s="1789"/>
      <c r="CR1750" s="345"/>
      <c r="CS1750" s="345"/>
      <c r="CX1750" s="347"/>
      <c r="CY1750" s="347"/>
      <c r="DH1750" s="237"/>
      <c r="DI1750" s="237"/>
      <c r="DN1750" s="347"/>
      <c r="DO1750" s="347"/>
      <c r="DP1750" s="2505"/>
    </row>
    <row r="1751" spans="12:120">
      <c r="L1751" s="347">
        <v>309.02999999999997</v>
      </c>
      <c r="M1751" s="347" t="s">
        <v>362</v>
      </c>
      <c r="AB1751" s="347">
        <v>321.10000000000002</v>
      </c>
      <c r="AC1751" s="347" t="s">
        <v>362</v>
      </c>
      <c r="AD1751" s="1138"/>
      <c r="AP1751" s="347">
        <v>160</v>
      </c>
      <c r="AQ1751" s="347" t="s">
        <v>352</v>
      </c>
      <c r="BF1751" s="347">
        <v>201.03</v>
      </c>
      <c r="BG1751" s="347" t="s">
        <v>328</v>
      </c>
      <c r="BH1751" s="1790"/>
      <c r="BN1751" s="237">
        <v>302.10000000000002</v>
      </c>
      <c r="BO1751" s="237" t="s">
        <v>343</v>
      </c>
      <c r="BT1751" s="347">
        <v>163</v>
      </c>
      <c r="BU1751" s="347" t="s">
        <v>352</v>
      </c>
      <c r="CD1751" s="237">
        <v>102.18</v>
      </c>
      <c r="CE1751" s="237" t="s">
        <v>337</v>
      </c>
      <c r="CJ1751" s="347">
        <v>201.06</v>
      </c>
      <c r="CK1751" s="347" t="s">
        <v>363</v>
      </c>
      <c r="CL1751" s="1789"/>
      <c r="CR1751" s="345"/>
      <c r="CS1751" s="345"/>
      <c r="CX1751" s="347"/>
      <c r="CY1751" s="347"/>
      <c r="DH1751" s="237"/>
      <c r="DI1751" s="237"/>
      <c r="DN1751" s="347"/>
      <c r="DO1751" s="347"/>
      <c r="DP1751" s="2505"/>
    </row>
    <row r="1752" spans="12:120">
      <c r="L1752" s="347">
        <v>309.05</v>
      </c>
      <c r="M1752" s="347" t="s">
        <v>362</v>
      </c>
      <c r="AB1752" s="347">
        <v>321.11</v>
      </c>
      <c r="AC1752" s="347" t="s">
        <v>362</v>
      </c>
      <c r="AD1752" s="1138"/>
      <c r="AP1752" s="347">
        <v>161</v>
      </c>
      <c r="AQ1752" s="347" t="s">
        <v>352</v>
      </c>
      <c r="BF1752" s="347">
        <v>201.04</v>
      </c>
      <c r="BG1752" s="347" t="s">
        <v>315</v>
      </c>
      <c r="BH1752" s="1790"/>
      <c r="BN1752" s="237">
        <v>302.11</v>
      </c>
      <c r="BO1752" s="237" t="s">
        <v>343</v>
      </c>
      <c r="BT1752" s="347">
        <v>164.01</v>
      </c>
      <c r="BU1752" s="347" t="s">
        <v>352</v>
      </c>
      <c r="CD1752" s="237">
        <v>103</v>
      </c>
      <c r="CE1752" s="237" t="s">
        <v>318</v>
      </c>
      <c r="CJ1752" s="347">
        <v>201.07</v>
      </c>
      <c r="CK1752" s="347" t="s">
        <v>363</v>
      </c>
      <c r="CL1752" s="1789"/>
      <c r="CR1752" s="345"/>
      <c r="CS1752" s="345"/>
      <c r="CX1752" s="347"/>
      <c r="CY1752" s="347"/>
      <c r="DH1752" s="237"/>
      <c r="DI1752" s="237"/>
      <c r="DN1752" s="347"/>
      <c r="DO1752" s="347"/>
      <c r="DP1752" s="2505"/>
    </row>
    <row r="1753" spans="12:120">
      <c r="L1753" s="347">
        <v>310.12</v>
      </c>
      <c r="M1753" s="347" t="s">
        <v>362</v>
      </c>
      <c r="AB1753" s="347">
        <v>321.12</v>
      </c>
      <c r="AC1753" s="347" t="s">
        <v>362</v>
      </c>
      <c r="AD1753" s="1138"/>
      <c r="AP1753" s="347">
        <v>162</v>
      </c>
      <c r="AQ1753" s="347" t="s">
        <v>352</v>
      </c>
      <c r="BF1753" s="347">
        <v>201.04</v>
      </c>
      <c r="BG1753" s="347" t="s">
        <v>328</v>
      </c>
      <c r="BH1753" s="1790"/>
      <c r="BN1753" s="237">
        <v>303.02</v>
      </c>
      <c r="BO1753" s="237" t="s">
        <v>343</v>
      </c>
      <c r="BT1753" s="347">
        <v>164.02</v>
      </c>
      <c r="BU1753" s="347" t="s">
        <v>352</v>
      </c>
      <c r="CD1753" s="237">
        <v>103</v>
      </c>
      <c r="CE1753" s="237" t="s">
        <v>359</v>
      </c>
      <c r="CJ1753" s="347">
        <v>201.08</v>
      </c>
      <c r="CK1753" s="347" t="s">
        <v>363</v>
      </c>
      <c r="CL1753" s="1789"/>
      <c r="CR1753" s="345"/>
      <c r="CS1753" s="345"/>
      <c r="CX1753" s="347"/>
      <c r="CY1753" s="347"/>
      <c r="DH1753" s="237"/>
      <c r="DI1753" s="237"/>
      <c r="DN1753" s="347"/>
      <c r="DO1753" s="347"/>
      <c r="DP1753" s="2505"/>
    </row>
    <row r="1754" spans="12:120">
      <c r="L1754" s="347">
        <v>310.13</v>
      </c>
      <c r="M1754" s="347" t="s">
        <v>362</v>
      </c>
      <c r="AB1754" s="347">
        <v>321.13</v>
      </c>
      <c r="AC1754" s="347" t="s">
        <v>362</v>
      </c>
      <c r="AD1754" s="1138"/>
      <c r="AP1754" s="347">
        <v>163</v>
      </c>
      <c r="AQ1754" s="347" t="s">
        <v>352</v>
      </c>
      <c r="BF1754" s="347">
        <v>201.04</v>
      </c>
      <c r="BG1754" s="347" t="s">
        <v>344</v>
      </c>
      <c r="BH1754" s="1790"/>
      <c r="BN1754" s="237">
        <v>303.05</v>
      </c>
      <c r="BO1754" s="237" t="s">
        <v>343</v>
      </c>
      <c r="BT1754" s="347">
        <v>165.01</v>
      </c>
      <c r="BU1754" s="347" t="s">
        <v>352</v>
      </c>
      <c r="CD1754" s="237">
        <v>103</v>
      </c>
      <c r="CE1754" s="237" t="s">
        <v>365</v>
      </c>
      <c r="CJ1754" s="347">
        <v>201.1</v>
      </c>
      <c r="CK1754" s="347" t="s">
        <v>363</v>
      </c>
      <c r="CL1754" s="1789"/>
      <c r="CR1754" s="345"/>
      <c r="CS1754" s="345"/>
      <c r="CX1754" s="347"/>
      <c r="CY1754" s="347"/>
      <c r="DH1754" s="237"/>
      <c r="DI1754" s="237"/>
      <c r="DN1754" s="347"/>
      <c r="DO1754" s="347"/>
      <c r="DP1754" s="2505"/>
    </row>
    <row r="1755" spans="12:120">
      <c r="L1755" s="347">
        <v>312.05</v>
      </c>
      <c r="M1755" s="347" t="s">
        <v>362</v>
      </c>
      <c r="AB1755" s="347">
        <v>322</v>
      </c>
      <c r="AC1755" s="347" t="s">
        <v>362</v>
      </c>
      <c r="AD1755" s="1138"/>
      <c r="AP1755" s="347">
        <v>164.01</v>
      </c>
      <c r="AQ1755" s="347" t="s">
        <v>352</v>
      </c>
      <c r="BF1755" s="347">
        <v>201.05</v>
      </c>
      <c r="BG1755" s="347" t="s">
        <v>363</v>
      </c>
      <c r="BH1755" s="1790"/>
      <c r="BN1755" s="237">
        <v>303.06</v>
      </c>
      <c r="BO1755" s="237" t="s">
        <v>343</v>
      </c>
      <c r="BT1755" s="347">
        <v>165.02</v>
      </c>
      <c r="BU1755" s="347" t="s">
        <v>352</v>
      </c>
      <c r="CD1755" s="345">
        <v>103.01</v>
      </c>
      <c r="CE1755" s="345" t="s">
        <v>315</v>
      </c>
      <c r="CJ1755" s="347">
        <v>202</v>
      </c>
      <c r="CK1755" s="347" t="s">
        <v>370</v>
      </c>
      <c r="CL1755" s="1789"/>
      <c r="CR1755" s="345"/>
      <c r="CS1755" s="345"/>
      <c r="CX1755" s="347"/>
      <c r="CY1755" s="347"/>
      <c r="DH1755" s="237"/>
      <c r="DI1755" s="237"/>
      <c r="DN1755" s="347"/>
      <c r="DO1755" s="347"/>
      <c r="DP1755" s="2505"/>
    </row>
    <row r="1756" spans="12:120">
      <c r="L1756" s="347">
        <v>312.08</v>
      </c>
      <c r="M1756" s="347" t="s">
        <v>362</v>
      </c>
      <c r="AB1756" s="347">
        <v>323</v>
      </c>
      <c r="AC1756" s="347" t="s">
        <v>362</v>
      </c>
      <c r="AD1756" s="1138"/>
      <c r="AP1756" s="347">
        <v>164.02</v>
      </c>
      <c r="AQ1756" s="347" t="s">
        <v>352</v>
      </c>
      <c r="BF1756" s="347">
        <v>201.06</v>
      </c>
      <c r="BG1756" s="347" t="s">
        <v>363</v>
      </c>
      <c r="BH1756" s="1790"/>
      <c r="BN1756" s="237">
        <v>303.07</v>
      </c>
      <c r="BO1756" s="237" t="s">
        <v>343</v>
      </c>
      <c r="BT1756" s="347">
        <v>166</v>
      </c>
      <c r="BU1756" s="347" t="s">
        <v>352</v>
      </c>
      <c r="CD1756" s="237">
        <v>103.01</v>
      </c>
      <c r="CE1756" s="237" t="s">
        <v>323</v>
      </c>
      <c r="CJ1756" s="347">
        <v>202.01</v>
      </c>
      <c r="CK1756" s="347" t="s">
        <v>363</v>
      </c>
      <c r="CL1756" s="1789"/>
      <c r="CR1756" s="345"/>
      <c r="CS1756" s="345"/>
      <c r="CX1756" s="347"/>
      <c r="CY1756" s="347"/>
      <c r="DH1756" s="237"/>
      <c r="DI1756" s="237"/>
      <c r="DN1756" s="347"/>
      <c r="DO1756" s="347"/>
      <c r="DP1756" s="2505"/>
    </row>
    <row r="1757" spans="12:120">
      <c r="L1757" s="347">
        <v>313.01</v>
      </c>
      <c r="M1757" s="347" t="s">
        <v>362</v>
      </c>
      <c r="AB1757" s="347">
        <v>324.01</v>
      </c>
      <c r="AC1757" s="347" t="s">
        <v>362</v>
      </c>
      <c r="AD1757" s="1138"/>
      <c r="AP1757" s="347">
        <v>165.01</v>
      </c>
      <c r="AQ1757" s="347" t="s">
        <v>352</v>
      </c>
      <c r="BF1757" s="347">
        <v>201.07</v>
      </c>
      <c r="BG1757" s="347" t="s">
        <v>363</v>
      </c>
      <c r="BH1757" s="1790"/>
      <c r="BN1757" s="237">
        <v>303.08</v>
      </c>
      <c r="BO1757" s="237" t="s">
        <v>343</v>
      </c>
      <c r="BT1757" s="347">
        <v>167</v>
      </c>
      <c r="BU1757" s="347" t="s">
        <v>352</v>
      </c>
      <c r="CD1757" s="237">
        <v>103.01</v>
      </c>
      <c r="CE1757" s="237" t="s">
        <v>352</v>
      </c>
      <c r="CJ1757" s="347">
        <v>202.02</v>
      </c>
      <c r="CK1757" s="347" t="s">
        <v>344</v>
      </c>
      <c r="CL1757" s="1789"/>
      <c r="CR1757" s="345"/>
      <c r="CS1757" s="345"/>
      <c r="CX1757" s="347"/>
      <c r="CY1757" s="347"/>
      <c r="DH1757" s="237"/>
      <c r="DI1757" s="237"/>
      <c r="DN1757" s="347"/>
      <c r="DO1757" s="347"/>
      <c r="DP1757" s="2505"/>
    </row>
    <row r="1758" spans="12:120">
      <c r="L1758" s="347">
        <v>313.02</v>
      </c>
      <c r="M1758" s="347" t="s">
        <v>362</v>
      </c>
      <c r="AB1758" s="347">
        <v>325</v>
      </c>
      <c r="AC1758" s="347" t="s">
        <v>362</v>
      </c>
      <c r="AD1758" s="1138"/>
      <c r="AP1758" s="347">
        <v>165.02</v>
      </c>
      <c r="AQ1758" s="347" t="s">
        <v>352</v>
      </c>
      <c r="BF1758" s="347">
        <v>201.08</v>
      </c>
      <c r="BG1758" s="347" t="s">
        <v>363</v>
      </c>
      <c r="BH1758" s="1790"/>
      <c r="BN1758" s="237">
        <v>304.05</v>
      </c>
      <c r="BO1758" s="237" t="s">
        <v>343</v>
      </c>
      <c r="BT1758" s="347">
        <v>169</v>
      </c>
      <c r="BU1758" s="347" t="s">
        <v>352</v>
      </c>
      <c r="CD1758" s="237">
        <v>103.01</v>
      </c>
      <c r="CE1758" s="237" t="s">
        <v>367</v>
      </c>
      <c r="CJ1758" s="347">
        <v>202.02</v>
      </c>
      <c r="CK1758" s="347" t="s">
        <v>363</v>
      </c>
      <c r="CL1758" s="1789"/>
      <c r="CR1758" s="345"/>
      <c r="CS1758" s="345"/>
      <c r="CX1758" s="347"/>
      <c r="CY1758" s="347"/>
      <c r="DH1758" s="237"/>
      <c r="DI1758" s="237"/>
      <c r="DN1758" s="347"/>
      <c r="DO1758" s="347"/>
      <c r="DP1758" s="2505"/>
    </row>
    <row r="1759" spans="12:120">
      <c r="L1759" s="347">
        <v>314.08999999999997</v>
      </c>
      <c r="M1759" s="347" t="s">
        <v>362</v>
      </c>
      <c r="AB1759" s="347">
        <v>326.02</v>
      </c>
      <c r="AC1759" s="347" t="s">
        <v>362</v>
      </c>
      <c r="AD1759" s="1138"/>
      <c r="AP1759" s="347">
        <v>166</v>
      </c>
      <c r="AQ1759" s="347" t="s">
        <v>352</v>
      </c>
      <c r="BF1759" s="347">
        <v>201.09</v>
      </c>
      <c r="BG1759" s="347" t="s">
        <v>363</v>
      </c>
      <c r="BH1759" s="1790"/>
      <c r="BN1759" s="237">
        <v>304.06</v>
      </c>
      <c r="BO1759" s="237" t="s">
        <v>343</v>
      </c>
      <c r="BT1759" s="347">
        <v>171.01</v>
      </c>
      <c r="BU1759" s="347" t="s">
        <v>352</v>
      </c>
      <c r="CD1759" s="345">
        <v>103.02</v>
      </c>
      <c r="CE1759" s="345" t="s">
        <v>315</v>
      </c>
      <c r="CJ1759" s="347">
        <v>202.04</v>
      </c>
      <c r="CK1759" s="347" t="s">
        <v>310</v>
      </c>
      <c r="CL1759" s="1789"/>
      <c r="CR1759" s="345"/>
      <c r="CS1759" s="345"/>
      <c r="CX1759" s="347"/>
      <c r="CY1759" s="347"/>
      <c r="DH1759" s="237"/>
      <c r="DI1759" s="237"/>
      <c r="DN1759" s="347"/>
      <c r="DO1759" s="347"/>
      <c r="DP1759" s="2505"/>
    </row>
    <row r="1760" spans="12:120">
      <c r="L1760" s="347">
        <v>315.02999999999997</v>
      </c>
      <c r="M1760" s="347" t="s">
        <v>362</v>
      </c>
      <c r="AB1760" s="347">
        <v>328.01</v>
      </c>
      <c r="AC1760" s="347" t="s">
        <v>362</v>
      </c>
      <c r="AD1760" s="1138"/>
      <c r="AP1760" s="347">
        <v>167</v>
      </c>
      <c r="AQ1760" s="347" t="s">
        <v>352</v>
      </c>
      <c r="BF1760" s="347">
        <v>202</v>
      </c>
      <c r="BG1760" s="347" t="s">
        <v>352</v>
      </c>
      <c r="BH1760" s="1790"/>
      <c r="BN1760" s="237">
        <v>304.07</v>
      </c>
      <c r="BO1760" s="237" t="s">
        <v>343</v>
      </c>
      <c r="BT1760" s="347">
        <v>171.02</v>
      </c>
      <c r="BU1760" s="347" t="s">
        <v>352</v>
      </c>
      <c r="CD1760" s="237">
        <v>103.02</v>
      </c>
      <c r="CE1760" s="237" t="s">
        <v>344</v>
      </c>
      <c r="CJ1760" s="347">
        <v>202.04</v>
      </c>
      <c r="CK1760" s="347" t="s">
        <v>315</v>
      </c>
      <c r="CL1760" s="1789"/>
      <c r="CR1760" s="345"/>
      <c r="CS1760" s="345"/>
      <c r="CX1760" s="347"/>
      <c r="CY1760" s="347"/>
      <c r="DH1760" s="237"/>
      <c r="DI1760" s="237"/>
      <c r="DN1760" s="347"/>
      <c r="DO1760" s="347"/>
      <c r="DP1760" s="2505"/>
    </row>
    <row r="1761" spans="12:120">
      <c r="L1761" s="347">
        <v>315.04000000000002</v>
      </c>
      <c r="M1761" s="347" t="s">
        <v>362</v>
      </c>
      <c r="AB1761" s="347">
        <v>328.03</v>
      </c>
      <c r="AC1761" s="347" t="s">
        <v>362</v>
      </c>
      <c r="AD1761" s="1138"/>
      <c r="AP1761" s="347">
        <v>168</v>
      </c>
      <c r="AQ1761" s="347" t="s">
        <v>352</v>
      </c>
      <c r="BF1761" s="347">
        <v>202</v>
      </c>
      <c r="BG1761" s="347" t="s">
        <v>370</v>
      </c>
      <c r="BH1761" s="1790"/>
      <c r="BN1761" s="237">
        <v>304.08</v>
      </c>
      <c r="BO1761" s="237" t="s">
        <v>343</v>
      </c>
      <c r="BT1761" s="347">
        <v>172</v>
      </c>
      <c r="BU1761" s="347" t="s">
        <v>352</v>
      </c>
      <c r="CD1761" s="237">
        <v>103.02</v>
      </c>
      <c r="CE1761" s="237" t="s">
        <v>352</v>
      </c>
      <c r="CJ1761" s="347">
        <v>202.06</v>
      </c>
      <c r="CK1761" s="347" t="s">
        <v>310</v>
      </c>
      <c r="CL1761" s="1789"/>
      <c r="CR1761" s="345"/>
      <c r="CS1761" s="345"/>
      <c r="CX1761" s="347"/>
      <c r="CY1761" s="347"/>
      <c r="DH1761" s="237"/>
      <c r="DI1761" s="237"/>
      <c r="DN1761" s="347"/>
      <c r="DO1761" s="347"/>
      <c r="DP1761" s="2505"/>
    </row>
    <row r="1762" spans="12:120">
      <c r="L1762" s="347">
        <v>315.05</v>
      </c>
      <c r="M1762" s="347" t="s">
        <v>362</v>
      </c>
      <c r="AB1762" s="347">
        <v>329.02</v>
      </c>
      <c r="AC1762" s="347" t="s">
        <v>362</v>
      </c>
      <c r="AD1762" s="1138"/>
      <c r="AP1762" s="347">
        <v>169</v>
      </c>
      <c r="AQ1762" s="347" t="s">
        <v>352</v>
      </c>
      <c r="BF1762" s="347">
        <v>202.01</v>
      </c>
      <c r="BG1762" s="347" t="s">
        <v>363</v>
      </c>
      <c r="BH1762" s="1790"/>
      <c r="BN1762" s="237">
        <v>304.08999999999997</v>
      </c>
      <c r="BO1762" s="237" t="s">
        <v>343</v>
      </c>
      <c r="BT1762" s="347">
        <v>173</v>
      </c>
      <c r="BU1762" s="347" t="s">
        <v>352</v>
      </c>
      <c r="CD1762" s="237">
        <v>103.02</v>
      </c>
      <c r="CE1762" s="237" t="s">
        <v>367</v>
      </c>
      <c r="CJ1762" s="347">
        <v>202.06</v>
      </c>
      <c r="CK1762" s="347" t="s">
        <v>315</v>
      </c>
      <c r="CL1762" s="1789"/>
      <c r="CR1762" s="345"/>
      <c r="CS1762" s="345"/>
      <c r="CX1762" s="347"/>
      <c r="CY1762" s="347"/>
      <c r="DH1762" s="237"/>
      <c r="DI1762" s="237"/>
      <c r="DN1762" s="347"/>
      <c r="DO1762" s="347"/>
      <c r="DP1762" s="2505"/>
    </row>
    <row r="1763" spans="12:120">
      <c r="L1763" s="347">
        <v>315.06</v>
      </c>
      <c r="M1763" s="347" t="s">
        <v>362</v>
      </c>
      <c r="AB1763" s="347">
        <v>330.05</v>
      </c>
      <c r="AC1763" s="347" t="s">
        <v>362</v>
      </c>
      <c r="AD1763" s="1138"/>
      <c r="AP1763" s="347">
        <v>170</v>
      </c>
      <c r="AQ1763" s="347" t="s">
        <v>352</v>
      </c>
      <c r="BF1763" s="347">
        <v>202.02</v>
      </c>
      <c r="BG1763" s="347" t="s">
        <v>344</v>
      </c>
      <c r="BH1763" s="1790"/>
      <c r="BN1763" s="237">
        <v>304.10000000000002</v>
      </c>
      <c r="BO1763" s="237" t="s">
        <v>343</v>
      </c>
      <c r="BT1763" s="347">
        <v>174.02</v>
      </c>
      <c r="BU1763" s="347" t="s">
        <v>352</v>
      </c>
      <c r="CD1763" s="237">
        <v>103.03</v>
      </c>
      <c r="CE1763" s="237" t="s">
        <v>337</v>
      </c>
      <c r="CJ1763" s="347">
        <v>202.06</v>
      </c>
      <c r="CK1763" s="347" t="s">
        <v>363</v>
      </c>
      <c r="CL1763" s="1789"/>
      <c r="CR1763" s="345"/>
      <c r="CS1763" s="345"/>
      <c r="CX1763" s="347"/>
      <c r="CY1763" s="347"/>
      <c r="DH1763" s="237"/>
      <c r="DI1763" s="237"/>
      <c r="DN1763" s="347"/>
      <c r="DO1763" s="347"/>
      <c r="DP1763" s="2505"/>
    </row>
    <row r="1764" spans="12:120">
      <c r="L1764" s="347">
        <v>315.07</v>
      </c>
      <c r="M1764" s="347" t="s">
        <v>362</v>
      </c>
      <c r="AB1764" s="347">
        <v>401.01</v>
      </c>
      <c r="AC1764" s="347" t="s">
        <v>302</v>
      </c>
      <c r="AD1764" s="1138"/>
      <c r="AP1764" s="347">
        <v>171.01</v>
      </c>
      <c r="AQ1764" s="347" t="s">
        <v>352</v>
      </c>
      <c r="BF1764" s="347">
        <v>202.02</v>
      </c>
      <c r="BG1764" s="347" t="s">
        <v>363</v>
      </c>
      <c r="BH1764" s="1790"/>
      <c r="BN1764" s="237">
        <v>304.11</v>
      </c>
      <c r="BO1764" s="237" t="s">
        <v>343</v>
      </c>
      <c r="BT1764" s="347">
        <v>176</v>
      </c>
      <c r="BU1764" s="347" t="s">
        <v>352</v>
      </c>
      <c r="CD1764" s="237">
        <v>103.03</v>
      </c>
      <c r="CE1764" s="237" t="s">
        <v>344</v>
      </c>
      <c r="CJ1764" s="347">
        <v>202.07</v>
      </c>
      <c r="CK1764" s="347" t="s">
        <v>363</v>
      </c>
      <c r="CL1764" s="1789"/>
      <c r="CR1764" s="345"/>
      <c r="CS1764" s="345"/>
      <c r="CX1764" s="347"/>
      <c r="CY1764" s="347"/>
      <c r="DH1764" s="237"/>
      <c r="DI1764" s="237"/>
      <c r="DN1764" s="347"/>
      <c r="DO1764" s="347"/>
      <c r="DP1764" s="2505"/>
    </row>
    <row r="1765" spans="12:120">
      <c r="L1765" s="347">
        <v>315.08</v>
      </c>
      <c r="M1765" s="347" t="s">
        <v>362</v>
      </c>
      <c r="AB1765" s="347">
        <v>401.01</v>
      </c>
      <c r="AC1765" s="347" t="s">
        <v>310</v>
      </c>
      <c r="AD1765" s="1138"/>
      <c r="AP1765" s="347">
        <v>171.02</v>
      </c>
      <c r="AQ1765" s="347" t="s">
        <v>352</v>
      </c>
      <c r="BF1765" s="347">
        <v>202.03</v>
      </c>
      <c r="BG1765" s="347" t="s">
        <v>315</v>
      </c>
      <c r="BH1765" s="1790"/>
      <c r="BN1765" s="237">
        <v>305.05</v>
      </c>
      <c r="BO1765" s="237" t="s">
        <v>343</v>
      </c>
      <c r="BT1765" s="347">
        <v>177</v>
      </c>
      <c r="BU1765" s="347" t="s">
        <v>352</v>
      </c>
      <c r="CD1765" s="237">
        <v>103.03</v>
      </c>
      <c r="CE1765" s="237" t="s">
        <v>352</v>
      </c>
      <c r="CJ1765" s="347">
        <v>202.08</v>
      </c>
      <c r="CK1765" s="347" t="s">
        <v>363</v>
      </c>
      <c r="CL1765" s="1789"/>
      <c r="CR1765" s="345"/>
      <c r="CS1765" s="345"/>
      <c r="CX1765" s="347"/>
      <c r="CY1765" s="347"/>
      <c r="DH1765" s="237"/>
      <c r="DI1765" s="237"/>
      <c r="DN1765" s="347"/>
      <c r="DO1765" s="347"/>
      <c r="DP1765" s="2505"/>
    </row>
    <row r="1766" spans="12:120">
      <c r="L1766" s="347">
        <v>316.01</v>
      </c>
      <c r="M1766" s="347" t="s">
        <v>362</v>
      </c>
      <c r="AB1766" s="347">
        <v>401.02</v>
      </c>
      <c r="AC1766" s="347" t="s">
        <v>302</v>
      </c>
      <c r="AD1766" s="1138"/>
      <c r="AP1766" s="347">
        <v>172</v>
      </c>
      <c r="AQ1766" s="347" t="s">
        <v>352</v>
      </c>
      <c r="BF1766" s="347">
        <v>202.04</v>
      </c>
      <c r="BG1766" s="347" t="s">
        <v>310</v>
      </c>
      <c r="BH1766" s="1790"/>
      <c r="BN1766" s="237">
        <v>305.06</v>
      </c>
      <c r="BO1766" s="237" t="s">
        <v>343</v>
      </c>
      <c r="BT1766" s="347">
        <v>179.01</v>
      </c>
      <c r="BU1766" s="347" t="s">
        <v>352</v>
      </c>
      <c r="CD1766" s="237">
        <v>103.03</v>
      </c>
      <c r="CE1766" s="237" t="s">
        <v>367</v>
      </c>
      <c r="CJ1766" s="347">
        <v>202.09</v>
      </c>
      <c r="CK1766" s="347" t="s">
        <v>363</v>
      </c>
      <c r="CL1766" s="1789"/>
      <c r="CR1766" s="345"/>
      <c r="CS1766" s="345"/>
      <c r="CX1766" s="347"/>
      <c r="CY1766" s="347"/>
      <c r="DH1766" s="237"/>
      <c r="DI1766" s="237"/>
      <c r="DN1766" s="347"/>
      <c r="DO1766" s="347"/>
      <c r="DP1766" s="2505"/>
    </row>
    <row r="1767" spans="12:120">
      <c r="L1767" s="347">
        <v>316.02</v>
      </c>
      <c r="M1767" s="347" t="s">
        <v>362</v>
      </c>
      <c r="AB1767" s="347">
        <v>401.02</v>
      </c>
      <c r="AC1767" s="347" t="s">
        <v>310</v>
      </c>
      <c r="AD1767" s="1138"/>
      <c r="AP1767" s="347">
        <v>173</v>
      </c>
      <c r="AQ1767" s="347" t="s">
        <v>352</v>
      </c>
      <c r="BF1767" s="347">
        <v>202.04</v>
      </c>
      <c r="BG1767" s="347" t="s">
        <v>315</v>
      </c>
      <c r="BH1767" s="1790"/>
      <c r="BN1767" s="237">
        <v>305.07</v>
      </c>
      <c r="BO1767" s="237" t="s">
        <v>343</v>
      </c>
      <c r="BT1767" s="347">
        <v>179.02</v>
      </c>
      <c r="BU1767" s="347" t="s">
        <v>352</v>
      </c>
      <c r="CD1767" s="345">
        <v>103.04</v>
      </c>
      <c r="CE1767" s="345" t="s">
        <v>310</v>
      </c>
      <c r="CJ1767" s="347">
        <v>202.1</v>
      </c>
      <c r="CK1767" s="347" t="s">
        <v>310</v>
      </c>
      <c r="CL1767" s="1789"/>
      <c r="CR1767" s="345"/>
      <c r="CS1767" s="345"/>
      <c r="CX1767" s="347"/>
      <c r="CY1767" s="347"/>
      <c r="DH1767" s="237"/>
      <c r="DI1767" s="237"/>
      <c r="DN1767" s="347"/>
      <c r="DO1767" s="347"/>
      <c r="DP1767" s="2505"/>
    </row>
    <row r="1768" spans="12:120">
      <c r="L1768" s="347">
        <v>316.02999999999997</v>
      </c>
      <c r="M1768" s="347" t="s">
        <v>362</v>
      </c>
      <c r="AB1768" s="347">
        <v>401.08</v>
      </c>
      <c r="AC1768" s="347" t="s">
        <v>344</v>
      </c>
      <c r="AD1768" s="1138"/>
      <c r="AP1768" s="347">
        <v>176</v>
      </c>
      <c r="AQ1768" s="347" t="s">
        <v>352</v>
      </c>
      <c r="BF1768" s="347">
        <v>202.06</v>
      </c>
      <c r="BG1768" s="347" t="s">
        <v>310</v>
      </c>
      <c r="BH1768" s="1790"/>
      <c r="BN1768" s="237">
        <v>306.01</v>
      </c>
      <c r="BO1768" s="237" t="s">
        <v>343</v>
      </c>
      <c r="BT1768" s="347">
        <v>180.01</v>
      </c>
      <c r="BU1768" s="347" t="s">
        <v>352</v>
      </c>
      <c r="CD1768" s="237">
        <v>103.04</v>
      </c>
      <c r="CE1768" s="237" t="s">
        <v>337</v>
      </c>
      <c r="CJ1768" s="347">
        <v>202.14</v>
      </c>
      <c r="CK1768" s="347" t="s">
        <v>310</v>
      </c>
      <c r="CL1768" s="1789"/>
      <c r="CR1768" s="345"/>
      <c r="CS1768" s="345"/>
      <c r="CX1768" s="347"/>
      <c r="CY1768" s="347"/>
      <c r="DH1768" s="237"/>
      <c r="DI1768" s="237"/>
      <c r="DN1768" s="347"/>
      <c r="DO1768" s="347"/>
      <c r="DP1768" s="2505"/>
    </row>
    <row r="1769" spans="12:120">
      <c r="L1769" s="347">
        <v>316.04000000000002</v>
      </c>
      <c r="M1769" s="347" t="s">
        <v>362</v>
      </c>
      <c r="AB1769" s="347">
        <v>401.1</v>
      </c>
      <c r="AC1769" s="347" t="s">
        <v>344</v>
      </c>
      <c r="AD1769" s="1138"/>
      <c r="AP1769" s="347">
        <v>177</v>
      </c>
      <c r="AQ1769" s="347" t="s">
        <v>352</v>
      </c>
      <c r="BF1769" s="347">
        <v>202.06</v>
      </c>
      <c r="BG1769" s="347" t="s">
        <v>315</v>
      </c>
      <c r="BH1769" s="1790"/>
      <c r="BN1769" s="237">
        <v>306.02</v>
      </c>
      <c r="BO1769" s="237" t="s">
        <v>343</v>
      </c>
      <c r="BT1769" s="347">
        <v>180.02</v>
      </c>
      <c r="BU1769" s="347" t="s">
        <v>352</v>
      </c>
      <c r="CD1769" s="345">
        <v>103.05</v>
      </c>
      <c r="CE1769" s="345" t="s">
        <v>310</v>
      </c>
      <c r="CJ1769" s="347">
        <v>203</v>
      </c>
      <c r="CK1769" s="347" t="s">
        <v>352</v>
      </c>
      <c r="CL1769" s="1789"/>
      <c r="CR1769" s="345"/>
      <c r="CS1769" s="345"/>
      <c r="CX1769" s="347"/>
      <c r="CY1769" s="347"/>
      <c r="DH1769" s="237"/>
      <c r="DI1769" s="237"/>
      <c r="DN1769" s="347"/>
      <c r="DO1769" s="347"/>
      <c r="DP1769" s="2505"/>
    </row>
    <row r="1770" spans="12:120">
      <c r="L1770" s="347">
        <v>316.05</v>
      </c>
      <c r="M1770" s="347" t="s">
        <v>362</v>
      </c>
      <c r="AB1770" s="347">
        <v>401.11</v>
      </c>
      <c r="AC1770" s="347" t="s">
        <v>344</v>
      </c>
      <c r="AD1770" s="1138"/>
      <c r="AP1770" s="347">
        <v>178</v>
      </c>
      <c r="AQ1770" s="347" t="s">
        <v>352</v>
      </c>
      <c r="BF1770" s="347">
        <v>202.06</v>
      </c>
      <c r="BG1770" s="347" t="s">
        <v>363</v>
      </c>
      <c r="BH1770" s="1790"/>
      <c r="BN1770" s="237">
        <v>307.01</v>
      </c>
      <c r="BO1770" s="237" t="s">
        <v>343</v>
      </c>
      <c r="BT1770" s="347">
        <v>180.03</v>
      </c>
      <c r="BU1770" s="347" t="s">
        <v>352</v>
      </c>
      <c r="CD1770" s="237">
        <v>103.05</v>
      </c>
      <c r="CE1770" s="237" t="s">
        <v>323</v>
      </c>
      <c r="CJ1770" s="347">
        <v>203.01</v>
      </c>
      <c r="CK1770" s="347" t="s">
        <v>363</v>
      </c>
      <c r="CL1770" s="1789"/>
      <c r="CR1770" s="345"/>
      <c r="CS1770" s="345"/>
      <c r="CX1770" s="347"/>
      <c r="CY1770" s="347"/>
      <c r="DH1770" s="237"/>
      <c r="DI1770" s="237"/>
      <c r="DN1770" s="347"/>
      <c r="DO1770" s="347"/>
      <c r="DP1770" s="2505"/>
    </row>
    <row r="1771" spans="12:120">
      <c r="L1771" s="347">
        <v>317.01</v>
      </c>
      <c r="M1771" s="347" t="s">
        <v>362</v>
      </c>
      <c r="AB1771" s="347">
        <v>401.12</v>
      </c>
      <c r="AC1771" s="347" t="s">
        <v>344</v>
      </c>
      <c r="AD1771" s="1138"/>
      <c r="AP1771" s="347">
        <v>179.01</v>
      </c>
      <c r="AQ1771" s="347" t="s">
        <v>352</v>
      </c>
      <c r="BF1771" s="347">
        <v>202.07</v>
      </c>
      <c r="BG1771" s="347" t="s">
        <v>363</v>
      </c>
      <c r="BH1771" s="1790"/>
      <c r="BN1771" s="237">
        <v>307.02</v>
      </c>
      <c r="BO1771" s="237" t="s">
        <v>343</v>
      </c>
      <c r="BT1771" s="347">
        <v>181</v>
      </c>
      <c r="BU1771" s="347" t="s">
        <v>352</v>
      </c>
      <c r="CD1771" s="237">
        <v>103.05</v>
      </c>
      <c r="CE1771" s="237" t="s">
        <v>337</v>
      </c>
      <c r="CJ1771" s="347">
        <v>203.02</v>
      </c>
      <c r="CK1771" s="347" t="s">
        <v>363</v>
      </c>
      <c r="CL1771" s="1789"/>
      <c r="CR1771" s="345"/>
      <c r="CS1771" s="345"/>
      <c r="CX1771" s="347"/>
      <c r="CY1771" s="347"/>
      <c r="DH1771" s="237"/>
      <c r="DI1771" s="237"/>
      <c r="DN1771" s="347"/>
      <c r="DO1771" s="347"/>
      <c r="DP1771" s="2505"/>
    </row>
    <row r="1772" spans="12:120">
      <c r="L1772" s="347">
        <v>317.04000000000002</v>
      </c>
      <c r="M1772" s="347" t="s">
        <v>362</v>
      </c>
      <c r="AB1772" s="347">
        <v>401.13</v>
      </c>
      <c r="AC1772" s="347" t="s">
        <v>344</v>
      </c>
      <c r="AD1772" s="1138"/>
      <c r="AP1772" s="347">
        <v>179.02</v>
      </c>
      <c r="AQ1772" s="347" t="s">
        <v>352</v>
      </c>
      <c r="BF1772" s="347">
        <v>202.09</v>
      </c>
      <c r="BG1772" s="347" t="s">
        <v>363</v>
      </c>
      <c r="BH1772" s="1790"/>
      <c r="BN1772" s="237">
        <v>308.02999999999997</v>
      </c>
      <c r="BO1772" s="237" t="s">
        <v>343</v>
      </c>
      <c r="BT1772" s="347">
        <v>182</v>
      </c>
      <c r="BU1772" s="347" t="s">
        <v>352</v>
      </c>
      <c r="CD1772" s="237">
        <v>103.05</v>
      </c>
      <c r="CE1772" s="237" t="s">
        <v>344</v>
      </c>
      <c r="CJ1772" s="347">
        <v>203.03</v>
      </c>
      <c r="CK1772" s="347" t="s">
        <v>315</v>
      </c>
      <c r="CL1772" s="1789"/>
      <c r="CR1772" s="345"/>
      <c r="CS1772" s="345"/>
      <c r="CX1772" s="347"/>
      <c r="CY1772" s="347"/>
      <c r="DH1772" s="237"/>
      <c r="DI1772" s="237"/>
      <c r="DN1772" s="347"/>
      <c r="DO1772" s="347"/>
      <c r="DP1772" s="2505"/>
    </row>
    <row r="1773" spans="12:120">
      <c r="L1773" s="347">
        <v>317.05</v>
      </c>
      <c r="M1773" s="347" t="s">
        <v>362</v>
      </c>
      <c r="AB1773" s="347">
        <v>401.14</v>
      </c>
      <c r="AC1773" s="347" t="s">
        <v>344</v>
      </c>
      <c r="AD1773" s="1138"/>
      <c r="AP1773" s="347">
        <v>180.01</v>
      </c>
      <c r="AQ1773" s="347" t="s">
        <v>352</v>
      </c>
      <c r="BF1773" s="347">
        <v>202.1</v>
      </c>
      <c r="BG1773" s="347" t="s">
        <v>310</v>
      </c>
      <c r="BH1773" s="1790"/>
      <c r="BN1773" s="237">
        <v>308.04000000000002</v>
      </c>
      <c r="BO1773" s="237" t="s">
        <v>343</v>
      </c>
      <c r="BT1773" s="347">
        <v>183</v>
      </c>
      <c r="BU1773" s="347" t="s">
        <v>352</v>
      </c>
      <c r="CD1773" s="345">
        <v>103.06</v>
      </c>
      <c r="CE1773" s="345" t="s">
        <v>310</v>
      </c>
      <c r="CJ1773" s="347">
        <v>203.03</v>
      </c>
      <c r="CK1773" s="347" t="s">
        <v>357</v>
      </c>
      <c r="CL1773" s="1789"/>
      <c r="CR1773" s="345"/>
      <c r="CS1773" s="345"/>
      <c r="CX1773" s="347"/>
      <c r="CY1773" s="347"/>
      <c r="DH1773" s="237"/>
      <c r="DI1773" s="237"/>
      <c r="DN1773" s="347"/>
      <c r="DO1773" s="347"/>
      <c r="DP1773" s="2505"/>
    </row>
    <row r="1774" spans="12:120">
      <c r="L1774" s="347">
        <v>317.06</v>
      </c>
      <c r="M1774" s="347" t="s">
        <v>362</v>
      </c>
      <c r="AB1774" s="347">
        <v>401.15</v>
      </c>
      <c r="AC1774" s="347" t="s">
        <v>344</v>
      </c>
      <c r="AD1774" s="1138"/>
      <c r="AP1774" s="347">
        <v>180.02</v>
      </c>
      <c r="AQ1774" s="347" t="s">
        <v>352</v>
      </c>
      <c r="BF1774" s="347">
        <v>202.14</v>
      </c>
      <c r="BG1774" s="347" t="s">
        <v>310</v>
      </c>
      <c r="BH1774" s="1790"/>
      <c r="BN1774" s="237">
        <v>308.05</v>
      </c>
      <c r="BO1774" s="237" t="s">
        <v>343</v>
      </c>
      <c r="BT1774" s="347">
        <v>184</v>
      </c>
      <c r="BU1774" s="347" t="s">
        <v>352</v>
      </c>
      <c r="CD1774" s="237">
        <v>103.06</v>
      </c>
      <c r="CE1774" s="237" t="s">
        <v>323</v>
      </c>
      <c r="CJ1774" s="347">
        <v>203.04</v>
      </c>
      <c r="CK1774" s="347" t="s">
        <v>357</v>
      </c>
      <c r="CL1774" s="1789"/>
      <c r="CR1774" s="345"/>
      <c r="CS1774" s="345"/>
      <c r="CX1774" s="347"/>
      <c r="CY1774" s="347"/>
      <c r="DH1774" s="237"/>
      <c r="DI1774" s="237"/>
      <c r="DN1774" s="347"/>
      <c r="DO1774" s="347"/>
      <c r="DP1774" s="2505"/>
    </row>
    <row r="1775" spans="12:120">
      <c r="L1775" s="347">
        <v>317.07</v>
      </c>
      <c r="M1775" s="347" t="s">
        <v>362</v>
      </c>
      <c r="AB1775" s="347">
        <v>401.16</v>
      </c>
      <c r="AC1775" s="347" t="s">
        <v>344</v>
      </c>
      <c r="AD1775" s="1138"/>
      <c r="AP1775" s="347">
        <v>180.03</v>
      </c>
      <c r="AQ1775" s="347" t="s">
        <v>352</v>
      </c>
      <c r="BF1775" s="347">
        <v>203.01</v>
      </c>
      <c r="BG1775" s="347" t="s">
        <v>315</v>
      </c>
      <c r="BH1775" s="1790"/>
      <c r="BN1775" s="237">
        <v>308.06</v>
      </c>
      <c r="BO1775" s="237" t="s">
        <v>343</v>
      </c>
      <c r="BT1775" s="347">
        <v>185</v>
      </c>
      <c r="BU1775" s="347" t="s">
        <v>352</v>
      </c>
      <c r="CD1775" s="237">
        <v>103.06</v>
      </c>
      <c r="CE1775" s="237" t="s">
        <v>344</v>
      </c>
      <c r="CJ1775" s="347">
        <v>203.05</v>
      </c>
      <c r="CK1775" s="347" t="s">
        <v>357</v>
      </c>
      <c r="CL1775" s="1789"/>
      <c r="CR1775" s="345"/>
      <c r="CS1775" s="345"/>
      <c r="CX1775" s="347"/>
      <c r="CY1775" s="347"/>
      <c r="DH1775" s="237"/>
      <c r="DI1775" s="237"/>
      <c r="DN1775" s="347"/>
      <c r="DO1775" s="347"/>
      <c r="DP1775" s="2505"/>
    </row>
    <row r="1776" spans="12:120">
      <c r="L1776" s="347">
        <v>317.08</v>
      </c>
      <c r="M1776" s="347" t="s">
        <v>362</v>
      </c>
      <c r="AB1776" s="347">
        <v>401.17</v>
      </c>
      <c r="AC1776" s="347" t="s">
        <v>344</v>
      </c>
      <c r="AD1776" s="1138"/>
      <c r="AP1776" s="347">
        <v>181</v>
      </c>
      <c r="AQ1776" s="347" t="s">
        <v>352</v>
      </c>
      <c r="BF1776" s="347">
        <v>203.02</v>
      </c>
      <c r="BG1776" s="347" t="s">
        <v>363</v>
      </c>
      <c r="BH1776" s="1790"/>
      <c r="BN1776" s="237">
        <v>308.07</v>
      </c>
      <c r="BO1776" s="237" t="s">
        <v>343</v>
      </c>
      <c r="BT1776" s="347">
        <v>186.01</v>
      </c>
      <c r="BU1776" s="347" t="s">
        <v>352</v>
      </c>
      <c r="CD1776" s="345">
        <v>103.07</v>
      </c>
      <c r="CE1776" s="345" t="s">
        <v>310</v>
      </c>
      <c r="CJ1776" s="347">
        <v>203.06</v>
      </c>
      <c r="CK1776" s="347" t="s">
        <v>357</v>
      </c>
      <c r="CL1776" s="1789"/>
      <c r="CR1776" s="345"/>
      <c r="CS1776" s="345"/>
      <c r="CX1776" s="347"/>
      <c r="CY1776" s="347"/>
      <c r="DH1776" s="237"/>
      <c r="DI1776" s="237"/>
      <c r="DN1776" s="347"/>
      <c r="DO1776" s="347"/>
      <c r="DP1776" s="2505"/>
    </row>
    <row r="1777" spans="12:120">
      <c r="L1777" s="347">
        <v>318.04000000000002</v>
      </c>
      <c r="M1777" s="347" t="s">
        <v>362</v>
      </c>
      <c r="AB1777" s="347">
        <v>401.18</v>
      </c>
      <c r="AC1777" s="347" t="s">
        <v>344</v>
      </c>
      <c r="AD1777" s="1138"/>
      <c r="AP1777" s="347">
        <v>182</v>
      </c>
      <c r="AQ1777" s="347" t="s">
        <v>352</v>
      </c>
      <c r="BF1777" s="347">
        <v>203.04</v>
      </c>
      <c r="BG1777" s="347" t="s">
        <v>357</v>
      </c>
      <c r="BH1777" s="1790"/>
      <c r="BN1777" s="237">
        <v>309.14</v>
      </c>
      <c r="BO1777" s="237" t="s">
        <v>343</v>
      </c>
      <c r="BT1777" s="347">
        <v>186.02</v>
      </c>
      <c r="BU1777" s="347" t="s">
        <v>352</v>
      </c>
      <c r="CD1777" s="237">
        <v>103.07</v>
      </c>
      <c r="CE1777" s="237" t="s">
        <v>323</v>
      </c>
      <c r="CJ1777" s="347">
        <v>203.09</v>
      </c>
      <c r="CK1777" s="347" t="s">
        <v>310</v>
      </c>
      <c r="CL1777" s="1789"/>
      <c r="CR1777" s="345"/>
      <c r="CS1777" s="345"/>
      <c r="CX1777" s="347"/>
      <c r="CY1777" s="347"/>
      <c r="DH1777" s="237"/>
      <c r="DI1777" s="237"/>
      <c r="DN1777" s="347"/>
      <c r="DO1777" s="347"/>
      <c r="DP1777" s="2505"/>
    </row>
    <row r="1778" spans="12:120">
      <c r="L1778" s="347">
        <v>318.05</v>
      </c>
      <c r="M1778" s="347" t="s">
        <v>362</v>
      </c>
      <c r="AB1778" s="347">
        <v>401.19</v>
      </c>
      <c r="AC1778" s="347" t="s">
        <v>344</v>
      </c>
      <c r="AD1778" s="1138"/>
      <c r="AP1778" s="347">
        <v>183</v>
      </c>
      <c r="AQ1778" s="347" t="s">
        <v>352</v>
      </c>
      <c r="BF1778" s="347">
        <v>203.05</v>
      </c>
      <c r="BG1778" s="347" t="s">
        <v>357</v>
      </c>
      <c r="BH1778" s="1790"/>
      <c r="BN1778" s="237">
        <v>309.14999999999998</v>
      </c>
      <c r="BO1778" s="237" t="s">
        <v>343</v>
      </c>
      <c r="BT1778" s="347">
        <v>187</v>
      </c>
      <c r="BU1778" s="347" t="s">
        <v>352</v>
      </c>
      <c r="CD1778" s="237">
        <v>103.07</v>
      </c>
      <c r="CE1778" s="237" t="s">
        <v>344</v>
      </c>
      <c r="CJ1778" s="347">
        <v>203.12</v>
      </c>
      <c r="CK1778" s="347" t="s">
        <v>310</v>
      </c>
      <c r="CL1778" s="1789"/>
      <c r="CR1778" s="345"/>
      <c r="CS1778" s="345"/>
      <c r="CX1778" s="347"/>
      <c r="CY1778" s="347"/>
      <c r="DH1778" s="237"/>
      <c r="DI1778" s="237"/>
      <c r="DN1778" s="347"/>
      <c r="DO1778" s="347"/>
      <c r="DP1778" s="2505"/>
    </row>
    <row r="1779" spans="12:120">
      <c r="L1779" s="347">
        <v>318.08</v>
      </c>
      <c r="M1779" s="347" t="s">
        <v>362</v>
      </c>
      <c r="AB1779" s="347">
        <v>401.2</v>
      </c>
      <c r="AC1779" s="347" t="s">
        <v>344</v>
      </c>
      <c r="AD1779" s="1138"/>
      <c r="AP1779" s="347">
        <v>184</v>
      </c>
      <c r="AQ1779" s="347" t="s">
        <v>352</v>
      </c>
      <c r="BF1779" s="347">
        <v>203.06</v>
      </c>
      <c r="BG1779" s="347" t="s">
        <v>357</v>
      </c>
      <c r="BH1779" s="1790"/>
      <c r="BN1779" s="237">
        <v>309.16000000000003</v>
      </c>
      <c r="BO1779" s="237" t="s">
        <v>343</v>
      </c>
      <c r="BT1779" s="347">
        <v>188.01</v>
      </c>
      <c r="BU1779" s="347" t="s">
        <v>352</v>
      </c>
      <c r="CD1779" s="345">
        <v>103.08</v>
      </c>
      <c r="CE1779" s="345" t="s">
        <v>310</v>
      </c>
      <c r="CJ1779" s="347">
        <v>203.13</v>
      </c>
      <c r="CK1779" s="347" t="s">
        <v>310</v>
      </c>
      <c r="CL1779" s="1789"/>
      <c r="CR1779" s="345"/>
      <c r="CS1779" s="345"/>
      <c r="CX1779" s="347"/>
      <c r="CY1779" s="347"/>
      <c r="DH1779" s="237"/>
      <c r="DI1779" s="237"/>
      <c r="DN1779" s="347"/>
      <c r="DO1779" s="347"/>
      <c r="DP1779" s="2505"/>
    </row>
    <row r="1780" spans="12:120">
      <c r="L1780" s="347">
        <v>319.01</v>
      </c>
      <c r="M1780" s="347" t="s">
        <v>362</v>
      </c>
      <c r="AB1780" s="347">
        <v>401.23</v>
      </c>
      <c r="AC1780" s="347" t="s">
        <v>344</v>
      </c>
      <c r="AD1780" s="1138"/>
      <c r="AP1780" s="347">
        <v>185</v>
      </c>
      <c r="AQ1780" s="347" t="s">
        <v>352</v>
      </c>
      <c r="BF1780" s="347">
        <v>203.09</v>
      </c>
      <c r="BG1780" s="347" t="s">
        <v>310</v>
      </c>
      <c r="BH1780" s="1790"/>
      <c r="BN1780" s="237">
        <v>309.17</v>
      </c>
      <c r="BO1780" s="237" t="s">
        <v>343</v>
      </c>
      <c r="BT1780" s="347">
        <v>188.03</v>
      </c>
      <c r="BU1780" s="347" t="s">
        <v>352</v>
      </c>
      <c r="CD1780" s="237">
        <v>103.08</v>
      </c>
      <c r="CE1780" s="237" t="s">
        <v>323</v>
      </c>
      <c r="CJ1780" s="347">
        <v>203.15</v>
      </c>
      <c r="CK1780" s="347" t="s">
        <v>310</v>
      </c>
      <c r="CL1780" s="1789"/>
      <c r="CR1780" s="345"/>
      <c r="CS1780" s="345"/>
      <c r="CX1780" s="347"/>
      <c r="CY1780" s="347"/>
      <c r="DH1780" s="237"/>
      <c r="DI1780" s="237"/>
      <c r="DN1780" s="347"/>
      <c r="DO1780" s="347"/>
      <c r="DP1780" s="2505"/>
    </row>
    <row r="1781" spans="12:120">
      <c r="L1781" s="347">
        <v>319.02</v>
      </c>
      <c r="M1781" s="347" t="s">
        <v>362</v>
      </c>
      <c r="AB1781" s="347">
        <v>401.25</v>
      </c>
      <c r="AC1781" s="347" t="s">
        <v>344</v>
      </c>
      <c r="AD1781" s="1138"/>
      <c r="AP1781" s="347">
        <v>186.01</v>
      </c>
      <c r="AQ1781" s="347" t="s">
        <v>352</v>
      </c>
      <c r="BF1781" s="347">
        <v>203.12</v>
      </c>
      <c r="BG1781" s="347" t="s">
        <v>310</v>
      </c>
      <c r="BH1781" s="1790"/>
      <c r="BN1781" s="237">
        <v>309.18</v>
      </c>
      <c r="BO1781" s="237" t="s">
        <v>343</v>
      </c>
      <c r="BT1781" s="347">
        <v>189.01</v>
      </c>
      <c r="BU1781" s="347" t="s">
        <v>352</v>
      </c>
      <c r="CD1781" s="237">
        <v>103.08</v>
      </c>
      <c r="CE1781" s="237" t="s">
        <v>344</v>
      </c>
      <c r="CJ1781" s="347">
        <v>203.16</v>
      </c>
      <c r="CK1781" s="347" t="s">
        <v>310</v>
      </c>
      <c r="CL1781" s="1789"/>
      <c r="CR1781" s="345"/>
      <c r="CS1781" s="345"/>
      <c r="CX1781" s="347"/>
      <c r="CY1781" s="347"/>
      <c r="DH1781" s="237"/>
      <c r="DI1781" s="237"/>
      <c r="DN1781" s="347"/>
      <c r="DO1781" s="347"/>
      <c r="DP1781" s="2505"/>
    </row>
    <row r="1782" spans="12:120">
      <c r="L1782" s="347">
        <v>319.02999999999997</v>
      </c>
      <c r="M1782" s="347" t="s">
        <v>362</v>
      </c>
      <c r="AB1782" s="347">
        <v>402.01</v>
      </c>
      <c r="AC1782" s="347" t="s">
        <v>335</v>
      </c>
      <c r="AD1782" s="1138"/>
      <c r="AP1782" s="347">
        <v>186.02</v>
      </c>
      <c r="AQ1782" s="347" t="s">
        <v>352</v>
      </c>
      <c r="BF1782" s="347">
        <v>203.13</v>
      </c>
      <c r="BG1782" s="347" t="s">
        <v>310</v>
      </c>
      <c r="BH1782" s="1790"/>
      <c r="BN1782" s="237">
        <v>310.01</v>
      </c>
      <c r="BO1782" s="237" t="s">
        <v>343</v>
      </c>
      <c r="BT1782" s="347">
        <v>189.02</v>
      </c>
      <c r="BU1782" s="347" t="s">
        <v>352</v>
      </c>
      <c r="CD1782" s="237">
        <v>103.09</v>
      </c>
      <c r="CE1782" s="237" t="s">
        <v>344</v>
      </c>
      <c r="CJ1782" s="347">
        <v>203.17</v>
      </c>
      <c r="CK1782" s="347" t="s">
        <v>310</v>
      </c>
      <c r="CL1782" s="1789"/>
      <c r="CR1782" s="345"/>
      <c r="CS1782" s="345"/>
      <c r="CX1782" s="347"/>
      <c r="CY1782" s="347"/>
      <c r="DH1782" s="237"/>
      <c r="DI1782" s="237"/>
      <c r="DN1782" s="347"/>
      <c r="DO1782" s="347"/>
      <c r="DP1782" s="2505"/>
    </row>
    <row r="1783" spans="12:120">
      <c r="L1783" s="347">
        <v>320.01</v>
      </c>
      <c r="M1783" s="347" t="s">
        <v>362</v>
      </c>
      <c r="AB1783" s="347">
        <v>402.02</v>
      </c>
      <c r="AC1783" s="347" t="s">
        <v>335</v>
      </c>
      <c r="AD1783" s="1138"/>
      <c r="AP1783" s="347">
        <v>187</v>
      </c>
      <c r="AQ1783" s="347" t="s">
        <v>352</v>
      </c>
      <c r="BF1783" s="347">
        <v>203.15</v>
      </c>
      <c r="BG1783" s="347" t="s">
        <v>310</v>
      </c>
      <c r="BH1783" s="1790"/>
      <c r="BN1783" s="237">
        <v>310.02</v>
      </c>
      <c r="BO1783" s="237" t="s">
        <v>343</v>
      </c>
      <c r="BT1783" s="347">
        <v>190</v>
      </c>
      <c r="BU1783" s="347" t="s">
        <v>352</v>
      </c>
      <c r="CD1783" s="237">
        <v>104</v>
      </c>
      <c r="CE1783" s="237" t="s">
        <v>352</v>
      </c>
      <c r="CJ1783" s="347">
        <v>203.18</v>
      </c>
      <c r="CK1783" s="347" t="s">
        <v>310</v>
      </c>
      <c r="CL1783" s="1789"/>
      <c r="CR1783" s="345"/>
      <c r="CS1783" s="345"/>
      <c r="CX1783" s="347"/>
      <c r="CY1783" s="347"/>
      <c r="DH1783" s="237"/>
      <c r="DI1783" s="237"/>
      <c r="DN1783" s="347"/>
      <c r="DO1783" s="347"/>
      <c r="DP1783" s="2505"/>
    </row>
    <row r="1784" spans="12:120">
      <c r="L1784" s="347">
        <v>320.05</v>
      </c>
      <c r="M1784" s="347" t="s">
        <v>362</v>
      </c>
      <c r="AB1784" s="347">
        <v>402.03</v>
      </c>
      <c r="AC1784" s="347" t="s">
        <v>310</v>
      </c>
      <c r="AD1784" s="1138"/>
      <c r="AP1784" s="347">
        <v>188.01</v>
      </c>
      <c r="AQ1784" s="347" t="s">
        <v>352</v>
      </c>
      <c r="BF1784" s="347">
        <v>203.16</v>
      </c>
      <c r="BG1784" s="347" t="s">
        <v>310</v>
      </c>
      <c r="BH1784" s="1790"/>
      <c r="BN1784" s="237">
        <v>311.02999999999997</v>
      </c>
      <c r="BO1784" s="237" t="s">
        <v>343</v>
      </c>
      <c r="BT1784" s="347">
        <v>191</v>
      </c>
      <c r="BU1784" s="347" t="s">
        <v>352</v>
      </c>
      <c r="CD1784" s="237">
        <v>104</v>
      </c>
      <c r="CE1784" s="237" t="s">
        <v>359</v>
      </c>
      <c r="CJ1784" s="347">
        <v>203.19</v>
      </c>
      <c r="CK1784" s="347" t="s">
        <v>310</v>
      </c>
      <c r="CL1784" s="1789"/>
      <c r="CR1784" s="345"/>
      <c r="CS1784" s="345"/>
      <c r="CX1784" s="347"/>
      <c r="CY1784" s="347"/>
      <c r="DH1784" s="237"/>
      <c r="DI1784" s="237"/>
      <c r="DN1784" s="347"/>
      <c r="DO1784" s="347"/>
      <c r="DP1784" s="2505"/>
    </row>
    <row r="1785" spans="12:120">
      <c r="L1785" s="347">
        <v>320.06</v>
      </c>
      <c r="M1785" s="347" t="s">
        <v>362</v>
      </c>
      <c r="AB1785" s="347">
        <v>402.04</v>
      </c>
      <c r="AC1785" s="347" t="s">
        <v>310</v>
      </c>
      <c r="AD1785" s="1138"/>
      <c r="AP1785" s="347">
        <v>188.02</v>
      </c>
      <c r="AQ1785" s="347" t="s">
        <v>352</v>
      </c>
      <c r="BF1785" s="347">
        <v>203.17</v>
      </c>
      <c r="BG1785" s="347" t="s">
        <v>310</v>
      </c>
      <c r="BH1785" s="1790"/>
      <c r="BN1785" s="237">
        <v>311.04000000000002</v>
      </c>
      <c r="BO1785" s="237" t="s">
        <v>343</v>
      </c>
      <c r="BT1785" s="347">
        <v>192</v>
      </c>
      <c r="BU1785" s="347" t="s">
        <v>352</v>
      </c>
      <c r="CD1785" s="237">
        <v>104</v>
      </c>
      <c r="CE1785" s="237" t="s">
        <v>367</v>
      </c>
      <c r="CJ1785" s="347">
        <v>203.2</v>
      </c>
      <c r="CK1785" s="347" t="s">
        <v>310</v>
      </c>
      <c r="CL1785" s="1789"/>
      <c r="CR1785" s="345"/>
      <c r="CS1785" s="345"/>
      <c r="CX1785" s="347"/>
      <c r="CY1785" s="347"/>
      <c r="DH1785" s="237"/>
      <c r="DI1785" s="237"/>
      <c r="DN1785" s="347"/>
      <c r="DO1785" s="347"/>
      <c r="DP1785" s="2505"/>
    </row>
    <row r="1786" spans="12:120">
      <c r="L1786" s="347">
        <v>320.07</v>
      </c>
      <c r="M1786" s="347" t="s">
        <v>362</v>
      </c>
      <c r="AB1786" s="347">
        <v>402.05</v>
      </c>
      <c r="AC1786" s="347" t="s">
        <v>310</v>
      </c>
      <c r="AD1786" s="1138"/>
      <c r="AP1786" s="347">
        <v>188.03</v>
      </c>
      <c r="AQ1786" s="347" t="s">
        <v>352</v>
      </c>
      <c r="BF1786" s="347">
        <v>203.18</v>
      </c>
      <c r="BG1786" s="347" t="s">
        <v>310</v>
      </c>
      <c r="BH1786" s="1790"/>
      <c r="BN1786" s="237">
        <v>311.05</v>
      </c>
      <c r="BO1786" s="237" t="s">
        <v>343</v>
      </c>
      <c r="BT1786" s="347">
        <v>193.01</v>
      </c>
      <c r="BU1786" s="347" t="s">
        <v>352</v>
      </c>
      <c r="CD1786" s="345">
        <v>104.01</v>
      </c>
      <c r="CE1786" s="345" t="s">
        <v>310</v>
      </c>
      <c r="CJ1786" s="347">
        <v>203.21</v>
      </c>
      <c r="CK1786" s="347" t="s">
        <v>310</v>
      </c>
      <c r="CL1786" s="1789"/>
      <c r="CR1786" s="345"/>
      <c r="CS1786" s="345"/>
      <c r="CX1786" s="347"/>
      <c r="CY1786" s="347"/>
      <c r="DH1786" s="237"/>
      <c r="DI1786" s="237"/>
      <c r="DN1786" s="347"/>
      <c r="DO1786" s="347"/>
      <c r="DP1786" s="2505"/>
    </row>
    <row r="1787" spans="12:120">
      <c r="L1787" s="347">
        <v>320.08</v>
      </c>
      <c r="M1787" s="347" t="s">
        <v>362</v>
      </c>
      <c r="AB1787" s="347">
        <v>402.06</v>
      </c>
      <c r="AC1787" s="347" t="s">
        <v>310</v>
      </c>
      <c r="AD1787" s="1138"/>
      <c r="AP1787" s="347">
        <v>189.01</v>
      </c>
      <c r="AQ1787" s="347" t="s">
        <v>352</v>
      </c>
      <c r="BF1787" s="347">
        <v>203.19</v>
      </c>
      <c r="BG1787" s="347" t="s">
        <v>310</v>
      </c>
      <c r="BH1787" s="1790"/>
      <c r="BN1787" s="237">
        <v>311.06</v>
      </c>
      <c r="BO1787" s="237" t="s">
        <v>343</v>
      </c>
      <c r="BT1787" s="347">
        <v>193.02</v>
      </c>
      <c r="BU1787" s="347" t="s">
        <v>352</v>
      </c>
      <c r="CD1787" s="345">
        <v>104.01</v>
      </c>
      <c r="CE1787" s="345" t="s">
        <v>315</v>
      </c>
      <c r="CJ1787" s="347">
        <v>203.22</v>
      </c>
      <c r="CK1787" s="347" t="s">
        <v>310</v>
      </c>
      <c r="CL1787" s="1789"/>
      <c r="CR1787" s="345"/>
      <c r="CS1787" s="345"/>
      <c r="CX1787" s="347"/>
      <c r="CY1787" s="347"/>
      <c r="DH1787" s="237"/>
      <c r="DI1787" s="237"/>
      <c r="DN1787" s="347"/>
      <c r="DO1787" s="347"/>
      <c r="DP1787" s="2505"/>
    </row>
    <row r="1788" spans="12:120">
      <c r="L1788" s="347">
        <v>320.08999999999997</v>
      </c>
      <c r="M1788" s="347" t="s">
        <v>362</v>
      </c>
      <c r="AB1788" s="347">
        <v>402.06</v>
      </c>
      <c r="AC1788" s="347" t="s">
        <v>344</v>
      </c>
      <c r="AD1788" s="1138"/>
      <c r="AP1788" s="347">
        <v>189.02</v>
      </c>
      <c r="AQ1788" s="347" t="s">
        <v>352</v>
      </c>
      <c r="BF1788" s="347">
        <v>203.2</v>
      </c>
      <c r="BG1788" s="347" t="s">
        <v>310</v>
      </c>
      <c r="BH1788" s="1790"/>
      <c r="BN1788" s="237">
        <v>311.07</v>
      </c>
      <c r="BO1788" s="237" t="s">
        <v>343</v>
      </c>
      <c r="BT1788" s="347">
        <v>194.01</v>
      </c>
      <c r="BU1788" s="347" t="s">
        <v>352</v>
      </c>
      <c r="CD1788" s="237">
        <v>104.01</v>
      </c>
      <c r="CE1788" s="237" t="s">
        <v>318</v>
      </c>
      <c r="CJ1788" s="347">
        <v>203.25</v>
      </c>
      <c r="CK1788" s="347" t="s">
        <v>310</v>
      </c>
      <c r="CL1788" s="1789"/>
      <c r="CR1788" s="345"/>
      <c r="CS1788" s="345"/>
      <c r="CX1788" s="347"/>
      <c r="CY1788" s="347"/>
      <c r="DH1788" s="237"/>
      <c r="DI1788" s="237"/>
      <c r="DN1788" s="347"/>
      <c r="DO1788" s="347"/>
      <c r="DP1788" s="2505"/>
    </row>
    <row r="1789" spans="12:120">
      <c r="L1789" s="347">
        <v>320.10000000000002</v>
      </c>
      <c r="M1789" s="347" t="s">
        <v>362</v>
      </c>
      <c r="AB1789" s="347">
        <v>402.07</v>
      </c>
      <c r="AC1789" s="347" t="s">
        <v>344</v>
      </c>
      <c r="AD1789" s="1138"/>
      <c r="AP1789" s="347">
        <v>190</v>
      </c>
      <c r="AQ1789" s="347" t="s">
        <v>352</v>
      </c>
      <c r="BF1789" s="347">
        <v>203.21</v>
      </c>
      <c r="BG1789" s="347" t="s">
        <v>310</v>
      </c>
      <c r="BH1789" s="1790"/>
      <c r="BN1789" s="237">
        <v>311.08</v>
      </c>
      <c r="BO1789" s="237" t="s">
        <v>343</v>
      </c>
      <c r="BT1789" s="347">
        <v>194.02</v>
      </c>
      <c r="BU1789" s="347" t="s">
        <v>352</v>
      </c>
      <c r="CD1789" s="237">
        <v>104.01</v>
      </c>
      <c r="CE1789" s="237" t="s">
        <v>323</v>
      </c>
      <c r="CJ1789" s="347">
        <v>203.26</v>
      </c>
      <c r="CK1789" s="347" t="s">
        <v>310</v>
      </c>
      <c r="CL1789" s="1789"/>
      <c r="CR1789" s="345"/>
      <c r="CS1789" s="345"/>
      <c r="CX1789" s="347"/>
      <c r="CY1789" s="347"/>
      <c r="DH1789" s="237"/>
      <c r="DI1789" s="237"/>
      <c r="DN1789" s="347"/>
      <c r="DO1789" s="347"/>
      <c r="DP1789" s="2505"/>
    </row>
    <row r="1790" spans="12:120">
      <c r="L1790" s="347">
        <v>320.11</v>
      </c>
      <c r="M1790" s="347" t="s">
        <v>362</v>
      </c>
      <c r="AB1790" s="347">
        <v>403.01</v>
      </c>
      <c r="AC1790" s="347" t="s">
        <v>335</v>
      </c>
      <c r="AD1790" s="1138"/>
      <c r="AP1790" s="347">
        <v>191</v>
      </c>
      <c r="AQ1790" s="347" t="s">
        <v>352</v>
      </c>
      <c r="BF1790" s="347">
        <v>203.22</v>
      </c>
      <c r="BG1790" s="347" t="s">
        <v>310</v>
      </c>
      <c r="BH1790" s="1790"/>
      <c r="BN1790" s="237">
        <v>312.02</v>
      </c>
      <c r="BO1790" s="237" t="s">
        <v>343</v>
      </c>
      <c r="BT1790" s="347">
        <v>195.01</v>
      </c>
      <c r="BU1790" s="347" t="s">
        <v>352</v>
      </c>
      <c r="CD1790" s="237">
        <v>104.01</v>
      </c>
      <c r="CE1790" s="237" t="s">
        <v>337</v>
      </c>
      <c r="CJ1790" s="347">
        <v>204</v>
      </c>
      <c r="CK1790" s="347" t="s">
        <v>344</v>
      </c>
      <c r="CL1790" s="1789"/>
      <c r="CR1790" s="345"/>
      <c r="CS1790" s="345"/>
      <c r="CX1790" s="347"/>
      <c r="CY1790" s="347"/>
      <c r="DH1790" s="237"/>
      <c r="DI1790" s="237"/>
      <c r="DN1790" s="347"/>
      <c r="DO1790" s="347"/>
      <c r="DP1790" s="2505"/>
    </row>
    <row r="1791" spans="12:120">
      <c r="L1791" s="347">
        <v>320.12</v>
      </c>
      <c r="M1791" s="347" t="s">
        <v>362</v>
      </c>
      <c r="AB1791" s="347">
        <v>403.02</v>
      </c>
      <c r="AC1791" s="347" t="s">
        <v>335</v>
      </c>
      <c r="AD1791" s="1138"/>
      <c r="AP1791" s="347">
        <v>192</v>
      </c>
      <c r="AQ1791" s="347" t="s">
        <v>352</v>
      </c>
      <c r="BF1791" s="347">
        <v>203.23</v>
      </c>
      <c r="BG1791" s="347" t="s">
        <v>310</v>
      </c>
      <c r="BH1791" s="1790"/>
      <c r="BN1791" s="237">
        <v>312.02999999999997</v>
      </c>
      <c r="BO1791" s="237" t="s">
        <v>343</v>
      </c>
      <c r="BT1791" s="347">
        <v>195.02</v>
      </c>
      <c r="BU1791" s="347" t="s">
        <v>352</v>
      </c>
      <c r="CD1791" s="237">
        <v>104.01</v>
      </c>
      <c r="CE1791" s="237" t="s">
        <v>365</v>
      </c>
      <c r="CJ1791" s="347">
        <v>204</v>
      </c>
      <c r="CK1791" s="347" t="s">
        <v>363</v>
      </c>
      <c r="CL1791" s="1789"/>
      <c r="CR1791" s="345"/>
      <c r="CS1791" s="345"/>
      <c r="CX1791" s="347"/>
      <c r="CY1791" s="347"/>
      <c r="DH1791" s="237"/>
      <c r="DI1791" s="237"/>
      <c r="DN1791" s="347"/>
      <c r="DO1791" s="347"/>
      <c r="DP1791" s="2505"/>
    </row>
    <row r="1792" spans="12:120">
      <c r="L1792" s="347">
        <v>320.13</v>
      </c>
      <c r="M1792" s="347" t="s">
        <v>362</v>
      </c>
      <c r="AB1792" s="347">
        <v>403.03</v>
      </c>
      <c r="AC1792" s="347" t="s">
        <v>335</v>
      </c>
      <c r="AD1792" s="1138"/>
      <c r="AP1792" s="347">
        <v>193.01</v>
      </c>
      <c r="AQ1792" s="347" t="s">
        <v>352</v>
      </c>
      <c r="BF1792" s="347">
        <v>203.25</v>
      </c>
      <c r="BG1792" s="347" t="s">
        <v>310</v>
      </c>
      <c r="BH1792" s="1790"/>
      <c r="BN1792" s="237">
        <v>312.05</v>
      </c>
      <c r="BO1792" s="237" t="s">
        <v>343</v>
      </c>
      <c r="BT1792" s="347">
        <v>196</v>
      </c>
      <c r="BU1792" s="347" t="s">
        <v>352</v>
      </c>
      <c r="CD1792" s="345">
        <v>104.02</v>
      </c>
      <c r="CE1792" s="345" t="s">
        <v>310</v>
      </c>
      <c r="CJ1792" s="347">
        <v>204.01</v>
      </c>
      <c r="CK1792" s="347" t="s">
        <v>315</v>
      </c>
      <c r="CL1792" s="1789"/>
      <c r="CR1792" s="345"/>
      <c r="CS1792" s="345"/>
      <c r="CX1792" s="347"/>
      <c r="CY1792" s="347"/>
      <c r="DH1792" s="237"/>
      <c r="DI1792" s="237"/>
      <c r="DN1792" s="347"/>
      <c r="DO1792" s="347"/>
      <c r="DP1792" s="2505"/>
    </row>
    <row r="1793" spans="12:120">
      <c r="L1793" s="347">
        <v>320.14</v>
      </c>
      <c r="M1793" s="347" t="s">
        <v>362</v>
      </c>
      <c r="AB1793" s="347">
        <v>403.1</v>
      </c>
      <c r="AC1793" s="347" t="s">
        <v>344</v>
      </c>
      <c r="AD1793" s="1138"/>
      <c r="AP1793" s="347">
        <v>193.02</v>
      </c>
      <c r="AQ1793" s="347" t="s">
        <v>352</v>
      </c>
      <c r="BF1793" s="347">
        <v>203.26</v>
      </c>
      <c r="BG1793" s="347" t="s">
        <v>310</v>
      </c>
      <c r="BH1793" s="1790"/>
      <c r="BN1793" s="237">
        <v>312.06</v>
      </c>
      <c r="BO1793" s="237" t="s">
        <v>343</v>
      </c>
      <c r="BT1793" s="347">
        <v>197</v>
      </c>
      <c r="BU1793" s="347" t="s">
        <v>352</v>
      </c>
      <c r="CD1793" s="345">
        <v>104.02</v>
      </c>
      <c r="CE1793" s="345" t="s">
        <v>315</v>
      </c>
      <c r="CJ1793" s="347">
        <v>204.02</v>
      </c>
      <c r="CK1793" s="347" t="s">
        <v>315</v>
      </c>
      <c r="CL1793" s="1789"/>
      <c r="CR1793" s="345"/>
      <c r="CS1793" s="345"/>
      <c r="CX1793" s="347"/>
      <c r="CY1793" s="347"/>
      <c r="DH1793" s="237"/>
      <c r="DI1793" s="237"/>
      <c r="DN1793" s="347"/>
      <c r="DO1793" s="347"/>
      <c r="DP1793" s="2505"/>
    </row>
    <row r="1794" spans="12:120">
      <c r="L1794" s="347">
        <v>321.02999999999997</v>
      </c>
      <c r="M1794" s="347" t="s">
        <v>362</v>
      </c>
      <c r="AB1794" s="347">
        <v>404.01</v>
      </c>
      <c r="AC1794" s="347" t="s">
        <v>310</v>
      </c>
      <c r="AD1794" s="1138"/>
      <c r="AP1794" s="347">
        <v>194.01</v>
      </c>
      <c r="AQ1794" s="347" t="s">
        <v>352</v>
      </c>
      <c r="BF1794" s="347">
        <v>204</v>
      </c>
      <c r="BG1794" s="347" t="s">
        <v>328</v>
      </c>
      <c r="BH1794" s="1790"/>
      <c r="BN1794" s="237">
        <v>312.07</v>
      </c>
      <c r="BO1794" s="237" t="s">
        <v>343</v>
      </c>
      <c r="BT1794" s="347">
        <v>198.01</v>
      </c>
      <c r="BU1794" s="347" t="s">
        <v>352</v>
      </c>
      <c r="CD1794" s="237">
        <v>104.02</v>
      </c>
      <c r="CE1794" s="237" t="s">
        <v>323</v>
      </c>
      <c r="CJ1794" s="347">
        <v>204.04</v>
      </c>
      <c r="CK1794" s="347" t="s">
        <v>310</v>
      </c>
      <c r="CL1794" s="1789"/>
      <c r="CR1794" s="345"/>
      <c r="CS1794" s="345"/>
      <c r="CX1794" s="347"/>
      <c r="CY1794" s="347"/>
      <c r="DH1794" s="237"/>
      <c r="DI1794" s="237"/>
      <c r="DN1794" s="347"/>
      <c r="DO1794" s="347"/>
      <c r="DP1794" s="2505"/>
    </row>
    <row r="1795" spans="12:120">
      <c r="L1795" s="347">
        <v>321.04000000000002</v>
      </c>
      <c r="M1795" s="347" t="s">
        <v>362</v>
      </c>
      <c r="AB1795" s="347">
        <v>404.02</v>
      </c>
      <c r="AC1795" s="347" t="s">
        <v>310</v>
      </c>
      <c r="AD1795" s="1138"/>
      <c r="AP1795" s="347">
        <v>194.02</v>
      </c>
      <c r="AQ1795" s="347" t="s">
        <v>352</v>
      </c>
      <c r="BF1795" s="347">
        <v>204</v>
      </c>
      <c r="BG1795" s="347" t="s">
        <v>344</v>
      </c>
      <c r="BH1795" s="1790"/>
      <c r="BN1795" s="237">
        <v>312.08</v>
      </c>
      <c r="BO1795" s="237" t="s">
        <v>343</v>
      </c>
      <c r="BT1795" s="347">
        <v>198.02</v>
      </c>
      <c r="BU1795" s="347" t="s">
        <v>352</v>
      </c>
      <c r="CD1795" s="237">
        <v>104.02</v>
      </c>
      <c r="CE1795" s="237" t="s">
        <v>337</v>
      </c>
      <c r="CJ1795" s="347">
        <v>204.06</v>
      </c>
      <c r="CK1795" s="347" t="s">
        <v>310</v>
      </c>
      <c r="CL1795" s="1789"/>
      <c r="CR1795" s="345"/>
      <c r="CS1795" s="345"/>
      <c r="CX1795" s="347"/>
      <c r="CY1795" s="347"/>
      <c r="DH1795" s="237"/>
      <c r="DI1795" s="237"/>
      <c r="DN1795" s="347"/>
      <c r="DO1795" s="347"/>
      <c r="DP1795" s="2505"/>
    </row>
    <row r="1796" spans="12:120">
      <c r="L1796" s="347">
        <v>321.05</v>
      </c>
      <c r="M1796" s="347" t="s">
        <v>362</v>
      </c>
      <c r="AB1796" s="347">
        <v>405.02</v>
      </c>
      <c r="AC1796" s="347" t="s">
        <v>310</v>
      </c>
      <c r="AD1796" s="1138"/>
      <c r="AP1796" s="347">
        <v>195.01</v>
      </c>
      <c r="AQ1796" s="347" t="s">
        <v>352</v>
      </c>
      <c r="BF1796" s="347">
        <v>204</v>
      </c>
      <c r="BG1796" s="347" t="s">
        <v>363</v>
      </c>
      <c r="BH1796" s="1790"/>
      <c r="BN1796" s="237">
        <v>313.01</v>
      </c>
      <c r="BO1796" s="237" t="s">
        <v>343</v>
      </c>
      <c r="BT1796" s="347">
        <v>199.02</v>
      </c>
      <c r="BU1796" s="347" t="s">
        <v>352</v>
      </c>
      <c r="CD1796" s="237">
        <v>104.02</v>
      </c>
      <c r="CE1796" s="237" t="s">
        <v>365</v>
      </c>
      <c r="CJ1796" s="347">
        <v>204.15</v>
      </c>
      <c r="CK1796" s="347" t="s">
        <v>310</v>
      </c>
      <c r="CL1796" s="1789"/>
      <c r="CR1796" s="345"/>
      <c r="CS1796" s="345"/>
      <c r="CX1796" s="347"/>
      <c r="CY1796" s="347"/>
      <c r="DH1796" s="237"/>
      <c r="DI1796" s="237"/>
      <c r="DN1796" s="347"/>
      <c r="DO1796" s="347"/>
      <c r="DP1796" s="2505"/>
    </row>
    <row r="1797" spans="12:120">
      <c r="L1797" s="347">
        <v>321.06</v>
      </c>
      <c r="M1797" s="347" t="s">
        <v>362</v>
      </c>
      <c r="AB1797" s="347">
        <v>405.03</v>
      </c>
      <c r="AC1797" s="347" t="s">
        <v>310</v>
      </c>
      <c r="AD1797" s="1138"/>
      <c r="AP1797" s="347">
        <v>195.02</v>
      </c>
      <c r="AQ1797" s="347" t="s">
        <v>352</v>
      </c>
      <c r="BF1797" s="347">
        <v>204.01</v>
      </c>
      <c r="BG1797" s="347" t="s">
        <v>315</v>
      </c>
      <c r="BH1797" s="1790"/>
      <c r="BN1797" s="237">
        <v>313.06</v>
      </c>
      <c r="BO1797" s="237" t="s">
        <v>343</v>
      </c>
      <c r="BT1797" s="347">
        <v>200.02</v>
      </c>
      <c r="BU1797" s="347" t="s">
        <v>352</v>
      </c>
      <c r="CD1797" s="345">
        <v>104.03</v>
      </c>
      <c r="CE1797" s="345" t="s">
        <v>310</v>
      </c>
      <c r="CJ1797" s="347">
        <v>204.18</v>
      </c>
      <c r="CK1797" s="347" t="s">
        <v>310</v>
      </c>
      <c r="CL1797" s="1789"/>
      <c r="CR1797" s="345"/>
      <c r="CS1797" s="345"/>
      <c r="CX1797" s="347"/>
      <c r="CY1797" s="347"/>
      <c r="DH1797" s="237"/>
      <c r="DI1797" s="237"/>
      <c r="DN1797" s="347"/>
      <c r="DO1797" s="347"/>
      <c r="DP1797" s="2505"/>
    </row>
    <row r="1798" spans="12:120">
      <c r="L1798" s="347">
        <v>321.07</v>
      </c>
      <c r="M1798" s="347" t="s">
        <v>362</v>
      </c>
      <c r="AB1798" s="347">
        <v>405.04</v>
      </c>
      <c r="AC1798" s="347" t="s">
        <v>310</v>
      </c>
      <c r="AD1798" s="1138"/>
      <c r="AP1798" s="347">
        <v>196</v>
      </c>
      <c r="AQ1798" s="347" t="s">
        <v>352</v>
      </c>
      <c r="BF1798" s="347">
        <v>204.02</v>
      </c>
      <c r="BG1798" s="347" t="s">
        <v>315</v>
      </c>
      <c r="BH1798" s="1790"/>
      <c r="BN1798" s="237">
        <v>313.08</v>
      </c>
      <c r="BO1798" s="237" t="s">
        <v>343</v>
      </c>
      <c r="BT1798" s="347">
        <v>201</v>
      </c>
      <c r="BU1798" s="347" t="s">
        <v>352</v>
      </c>
      <c r="CD1798" s="237">
        <v>104.04</v>
      </c>
      <c r="CE1798" s="237" t="s">
        <v>344</v>
      </c>
      <c r="CJ1798" s="347">
        <v>204.19</v>
      </c>
      <c r="CK1798" s="347" t="s">
        <v>310</v>
      </c>
      <c r="CL1798" s="1789"/>
      <c r="CR1798" s="345"/>
      <c r="CS1798" s="345"/>
      <c r="CX1798" s="347"/>
      <c r="CY1798" s="347"/>
      <c r="DH1798" s="237"/>
      <c r="DI1798" s="237"/>
      <c r="DN1798" s="347"/>
      <c r="DO1798" s="347"/>
      <c r="DP1798" s="2505"/>
    </row>
    <row r="1799" spans="12:120">
      <c r="L1799" s="347">
        <v>321.08</v>
      </c>
      <c r="M1799" s="347" t="s">
        <v>362</v>
      </c>
      <c r="AB1799" s="347">
        <v>406.01</v>
      </c>
      <c r="AC1799" s="347" t="s">
        <v>310</v>
      </c>
      <c r="AD1799" s="1138"/>
      <c r="AP1799" s="347">
        <v>197</v>
      </c>
      <c r="AQ1799" s="347" t="s">
        <v>352</v>
      </c>
      <c r="BF1799" s="347">
        <v>204.04</v>
      </c>
      <c r="BG1799" s="347" t="s">
        <v>310</v>
      </c>
      <c r="BH1799" s="1790"/>
      <c r="BN1799" s="237">
        <v>313.08999999999997</v>
      </c>
      <c r="BO1799" s="237" t="s">
        <v>343</v>
      </c>
      <c r="BT1799" s="347">
        <v>203</v>
      </c>
      <c r="BU1799" s="347" t="s">
        <v>352</v>
      </c>
      <c r="CD1799" s="345">
        <v>104.05</v>
      </c>
      <c r="CE1799" s="345" t="s">
        <v>310</v>
      </c>
      <c r="CJ1799" s="347">
        <v>204.2</v>
      </c>
      <c r="CK1799" s="347" t="s">
        <v>310</v>
      </c>
      <c r="CL1799" s="1789"/>
      <c r="CR1799" s="345"/>
      <c r="CS1799" s="345"/>
      <c r="CX1799" s="347"/>
      <c r="CY1799" s="347"/>
      <c r="DH1799" s="237"/>
      <c r="DI1799" s="237"/>
      <c r="DN1799" s="347"/>
      <c r="DO1799" s="347"/>
      <c r="DP1799" s="2505"/>
    </row>
    <row r="1800" spans="12:120">
      <c r="L1800" s="347">
        <v>321.08999999999997</v>
      </c>
      <c r="M1800" s="347" t="s">
        <v>362</v>
      </c>
      <c r="AB1800" s="347">
        <v>406.02</v>
      </c>
      <c r="AC1800" s="347" t="s">
        <v>310</v>
      </c>
      <c r="AD1800" s="1138"/>
      <c r="AP1800" s="347">
        <v>198.01</v>
      </c>
      <c r="AQ1800" s="347" t="s">
        <v>352</v>
      </c>
      <c r="BF1800" s="347">
        <v>204.06</v>
      </c>
      <c r="BG1800" s="347" t="s">
        <v>310</v>
      </c>
      <c r="BH1800" s="1790"/>
      <c r="BN1800" s="237">
        <v>313.12</v>
      </c>
      <c r="BO1800" s="237" t="s">
        <v>343</v>
      </c>
      <c r="BT1800" s="347">
        <v>4901</v>
      </c>
      <c r="BU1800" s="347" t="s">
        <v>352</v>
      </c>
      <c r="CD1800" s="345">
        <v>104.05</v>
      </c>
      <c r="CE1800" s="345" t="s">
        <v>315</v>
      </c>
      <c r="CJ1800" s="347">
        <v>204.21</v>
      </c>
      <c r="CK1800" s="347" t="s">
        <v>310</v>
      </c>
      <c r="CL1800" s="1789"/>
      <c r="CR1800" s="345"/>
      <c r="CS1800" s="345"/>
      <c r="CX1800" s="347"/>
      <c r="CY1800" s="347"/>
      <c r="DH1800" s="237"/>
      <c r="DI1800" s="237"/>
      <c r="DN1800" s="347"/>
      <c r="DO1800" s="347"/>
      <c r="DP1800" s="2505"/>
    </row>
    <row r="1801" spans="12:120">
      <c r="L1801" s="347">
        <v>321.10000000000002</v>
      </c>
      <c r="M1801" s="347" t="s">
        <v>362</v>
      </c>
      <c r="AB1801" s="347">
        <v>407.01</v>
      </c>
      <c r="AC1801" s="347" t="s">
        <v>310</v>
      </c>
      <c r="AD1801" s="1138"/>
      <c r="AP1801" s="347">
        <v>198.02</v>
      </c>
      <c r="AQ1801" s="347" t="s">
        <v>352</v>
      </c>
      <c r="BF1801" s="347">
        <v>204.18</v>
      </c>
      <c r="BG1801" s="347" t="s">
        <v>310</v>
      </c>
      <c r="BH1801" s="1790"/>
      <c r="BN1801" s="237">
        <v>313.13</v>
      </c>
      <c r="BO1801" s="237" t="s">
        <v>343</v>
      </c>
      <c r="BT1801" s="347">
        <v>9805</v>
      </c>
      <c r="BU1801" s="347" t="s">
        <v>352</v>
      </c>
      <c r="CD1801" s="345">
        <v>104.06</v>
      </c>
      <c r="CE1801" s="345" t="s">
        <v>310</v>
      </c>
      <c r="CJ1801" s="347">
        <v>205</v>
      </c>
      <c r="CK1801" s="347" t="s">
        <v>328</v>
      </c>
      <c r="CL1801" s="1789"/>
      <c r="CR1801" s="345"/>
      <c r="CS1801" s="345"/>
      <c r="CX1801" s="347"/>
      <c r="CY1801" s="347"/>
      <c r="DH1801" s="237"/>
      <c r="DI1801" s="237"/>
      <c r="DN1801" s="347"/>
      <c r="DO1801" s="347"/>
      <c r="DP1801" s="2505"/>
    </row>
    <row r="1802" spans="12:120">
      <c r="L1802" s="347">
        <v>321.11</v>
      </c>
      <c r="M1802" s="347" t="s">
        <v>362</v>
      </c>
      <c r="AB1802" s="347">
        <v>407.02</v>
      </c>
      <c r="AC1802" s="347" t="s">
        <v>310</v>
      </c>
      <c r="AD1802" s="1138"/>
      <c r="AP1802" s="347">
        <v>199.02</v>
      </c>
      <c r="AQ1802" s="347" t="s">
        <v>352</v>
      </c>
      <c r="BF1802" s="347">
        <v>204.19</v>
      </c>
      <c r="BG1802" s="347" t="s">
        <v>310</v>
      </c>
      <c r="BH1802" s="1790"/>
      <c r="BN1802" s="237">
        <v>313.14</v>
      </c>
      <c r="BO1802" s="237" t="s">
        <v>343</v>
      </c>
      <c r="BT1802" s="347">
        <v>9705</v>
      </c>
      <c r="BU1802" s="347" t="s">
        <v>354</v>
      </c>
      <c r="CD1802" s="345">
        <v>104.07</v>
      </c>
      <c r="CE1802" s="345" t="s">
        <v>310</v>
      </c>
      <c r="CJ1802" s="347">
        <v>205</v>
      </c>
      <c r="CK1802" s="347" t="s">
        <v>370</v>
      </c>
      <c r="CL1802" s="1789"/>
      <c r="CR1802" s="345"/>
      <c r="CS1802" s="345"/>
      <c r="CX1802" s="347"/>
      <c r="CY1802" s="347"/>
      <c r="DH1802" s="237"/>
      <c r="DI1802" s="237"/>
      <c r="DN1802" s="347"/>
      <c r="DO1802" s="347"/>
      <c r="DP1802" s="2505"/>
    </row>
    <row r="1803" spans="12:120">
      <c r="L1803" s="347">
        <v>321.12</v>
      </c>
      <c r="M1803" s="347" t="s">
        <v>362</v>
      </c>
      <c r="AB1803" s="347">
        <v>407.02</v>
      </c>
      <c r="AC1803" s="347" t="s">
        <v>335</v>
      </c>
      <c r="AD1803" s="1138"/>
      <c r="AP1803" s="347">
        <v>200.02</v>
      </c>
      <c r="AQ1803" s="347" t="s">
        <v>352</v>
      </c>
      <c r="BF1803" s="347">
        <v>205</v>
      </c>
      <c r="BG1803" s="347" t="s">
        <v>328</v>
      </c>
      <c r="BH1803" s="1790"/>
      <c r="BN1803" s="237">
        <v>313.14999999999998</v>
      </c>
      <c r="BO1803" s="237" t="s">
        <v>343</v>
      </c>
      <c r="BT1803" s="347">
        <v>9708</v>
      </c>
      <c r="BU1803" s="347" t="s">
        <v>354</v>
      </c>
      <c r="CD1803" s="237">
        <v>104.08</v>
      </c>
      <c r="CE1803" s="237" t="s">
        <v>318</v>
      </c>
      <c r="CJ1803" s="347">
        <v>205.01</v>
      </c>
      <c r="CK1803" s="347" t="s">
        <v>315</v>
      </c>
      <c r="CL1803" s="1789"/>
      <c r="CR1803" s="345"/>
      <c r="CS1803" s="345"/>
      <c r="CX1803" s="347"/>
      <c r="CY1803" s="347"/>
      <c r="DH1803" s="237"/>
      <c r="DI1803" s="237"/>
      <c r="DN1803" s="347"/>
      <c r="DO1803" s="347"/>
      <c r="DP1803" s="2505"/>
    </row>
    <row r="1804" spans="12:120">
      <c r="L1804" s="347">
        <v>321.13</v>
      </c>
      <c r="M1804" s="347" t="s">
        <v>362</v>
      </c>
      <c r="AB1804" s="347">
        <v>408.01</v>
      </c>
      <c r="AC1804" s="347" t="s">
        <v>360</v>
      </c>
      <c r="AD1804" s="1138"/>
      <c r="AP1804" s="347">
        <v>202</v>
      </c>
      <c r="AQ1804" s="347" t="s">
        <v>352</v>
      </c>
      <c r="BF1804" s="347">
        <v>205</v>
      </c>
      <c r="BG1804" s="347" t="s">
        <v>370</v>
      </c>
      <c r="BH1804" s="1790"/>
      <c r="BN1804" s="237">
        <v>313.16000000000003</v>
      </c>
      <c r="BO1804" s="237" t="s">
        <v>343</v>
      </c>
      <c r="BT1804" s="347">
        <v>9709</v>
      </c>
      <c r="BU1804" s="347" t="s">
        <v>354</v>
      </c>
      <c r="CD1804" s="237">
        <v>104.11</v>
      </c>
      <c r="CE1804" s="237" t="s">
        <v>318</v>
      </c>
      <c r="CJ1804" s="347">
        <v>205.02</v>
      </c>
      <c r="CK1804" s="347" t="s">
        <v>315</v>
      </c>
      <c r="CL1804" s="1789"/>
      <c r="CR1804" s="345"/>
      <c r="CS1804" s="345"/>
      <c r="CX1804" s="347"/>
      <c r="CY1804" s="347"/>
      <c r="DH1804" s="237"/>
      <c r="DI1804" s="237"/>
      <c r="DN1804" s="347"/>
      <c r="DO1804" s="347"/>
      <c r="DP1804" s="2505"/>
    </row>
    <row r="1805" spans="12:120">
      <c r="L1805" s="347">
        <v>322</v>
      </c>
      <c r="M1805" s="347" t="s">
        <v>362</v>
      </c>
      <c r="AB1805" s="347">
        <v>408.02</v>
      </c>
      <c r="AC1805" s="347" t="s">
        <v>360</v>
      </c>
      <c r="AD1805" s="1138"/>
      <c r="AP1805" s="347">
        <v>4901</v>
      </c>
      <c r="AQ1805" s="347" t="s">
        <v>352</v>
      </c>
      <c r="BF1805" s="347">
        <v>205.01</v>
      </c>
      <c r="BG1805" s="347" t="s">
        <v>315</v>
      </c>
      <c r="BH1805" s="1790"/>
      <c r="BN1805" s="237">
        <v>313.17</v>
      </c>
      <c r="BO1805" s="237" t="s">
        <v>343</v>
      </c>
      <c r="BT1805" s="347">
        <v>9710.01</v>
      </c>
      <c r="BU1805" s="347" t="s">
        <v>354</v>
      </c>
      <c r="CD1805" s="237">
        <v>104.11</v>
      </c>
      <c r="CE1805" s="237" t="s">
        <v>344</v>
      </c>
      <c r="CJ1805" s="347">
        <v>206</v>
      </c>
      <c r="CK1805" s="347" t="s">
        <v>328</v>
      </c>
      <c r="CL1805" s="1789"/>
      <c r="CR1805" s="345"/>
      <c r="CS1805" s="345"/>
      <c r="CX1805" s="347"/>
      <c r="CY1805" s="347"/>
      <c r="DH1805" s="237"/>
      <c r="DI1805" s="237"/>
      <c r="DN1805" s="347"/>
      <c r="DO1805" s="347"/>
      <c r="DP1805" s="2505"/>
    </row>
    <row r="1806" spans="12:120">
      <c r="L1806" s="347">
        <v>323</v>
      </c>
      <c r="M1806" s="347" t="s">
        <v>362</v>
      </c>
      <c r="AB1806" s="347">
        <v>408.03</v>
      </c>
      <c r="AC1806" s="347" t="s">
        <v>360</v>
      </c>
      <c r="AD1806" s="1138"/>
      <c r="AP1806" s="347">
        <v>9805</v>
      </c>
      <c r="AQ1806" s="347" t="s">
        <v>352</v>
      </c>
      <c r="BF1806" s="347">
        <v>205.02</v>
      </c>
      <c r="BG1806" s="347" t="s">
        <v>315</v>
      </c>
      <c r="BH1806" s="1790"/>
      <c r="BN1806" s="237">
        <v>313.18</v>
      </c>
      <c r="BO1806" s="237" t="s">
        <v>343</v>
      </c>
      <c r="BT1806" s="347">
        <v>9710.02</v>
      </c>
      <c r="BU1806" s="347" t="s">
        <v>354</v>
      </c>
      <c r="CD1806" s="237">
        <v>104.12</v>
      </c>
      <c r="CE1806" s="237" t="s">
        <v>344</v>
      </c>
      <c r="CJ1806" s="347">
        <v>206.01</v>
      </c>
      <c r="CK1806" s="347" t="s">
        <v>357</v>
      </c>
      <c r="CL1806" s="1789"/>
      <c r="CR1806" s="345"/>
      <c r="CS1806" s="345"/>
      <c r="CX1806" s="347"/>
      <c r="CY1806" s="347"/>
      <c r="DH1806" s="237"/>
      <c r="DI1806" s="237"/>
      <c r="DN1806" s="347"/>
      <c r="DO1806" s="347"/>
      <c r="DP1806" s="2505"/>
    </row>
    <row r="1807" spans="12:120">
      <c r="L1807" s="347">
        <v>324.01</v>
      </c>
      <c r="M1807" s="347" t="s">
        <v>362</v>
      </c>
      <c r="AB1807" s="347">
        <v>408.04</v>
      </c>
      <c r="AC1807" s="347" t="s">
        <v>360</v>
      </c>
      <c r="AD1807" s="1138"/>
      <c r="AP1807" s="347">
        <v>9705</v>
      </c>
      <c r="AQ1807" s="347" t="s">
        <v>354</v>
      </c>
      <c r="BF1807" s="347">
        <v>206</v>
      </c>
      <c r="BG1807" s="347" t="s">
        <v>328</v>
      </c>
      <c r="BH1807" s="1790"/>
      <c r="BN1807" s="237">
        <v>313.19</v>
      </c>
      <c r="BO1807" s="237" t="s">
        <v>343</v>
      </c>
      <c r="BT1807" s="347">
        <v>9714.01</v>
      </c>
      <c r="BU1807" s="347" t="s">
        <v>354</v>
      </c>
      <c r="CD1807" s="237">
        <v>104.13</v>
      </c>
      <c r="CE1807" s="237" t="s">
        <v>344</v>
      </c>
      <c r="CJ1807" s="347">
        <v>206.02</v>
      </c>
      <c r="CK1807" s="347" t="s">
        <v>357</v>
      </c>
      <c r="CL1807" s="1789"/>
      <c r="CR1807" s="345"/>
      <c r="CS1807" s="345"/>
      <c r="CX1807" s="347"/>
      <c r="CY1807" s="347"/>
      <c r="DH1807" s="237"/>
      <c r="DI1807" s="237"/>
      <c r="DN1807" s="347"/>
      <c r="DO1807" s="347"/>
      <c r="DP1807" s="2505"/>
    </row>
    <row r="1808" spans="12:120">
      <c r="L1808" s="347">
        <v>325</v>
      </c>
      <c r="M1808" s="347" t="s">
        <v>362</v>
      </c>
      <c r="AB1808" s="347">
        <v>409.01</v>
      </c>
      <c r="AC1808" s="347" t="s">
        <v>360</v>
      </c>
      <c r="AD1808" s="1138"/>
      <c r="AP1808" s="347">
        <v>9708</v>
      </c>
      <c r="AQ1808" s="347" t="s">
        <v>354</v>
      </c>
      <c r="BF1808" s="347">
        <v>206</v>
      </c>
      <c r="BG1808" s="347" t="s">
        <v>344</v>
      </c>
      <c r="BH1808" s="1790"/>
      <c r="BN1808" s="237">
        <v>313.2</v>
      </c>
      <c r="BO1808" s="237" t="s">
        <v>343</v>
      </c>
      <c r="BT1808" s="347">
        <v>9714.02</v>
      </c>
      <c r="BU1808" s="347" t="s">
        <v>354</v>
      </c>
      <c r="CD1808" s="237">
        <v>104.14</v>
      </c>
      <c r="CE1808" s="237" t="s">
        <v>344</v>
      </c>
      <c r="CJ1808" s="347">
        <v>206.02</v>
      </c>
      <c r="CK1808" s="347" t="s">
        <v>369</v>
      </c>
      <c r="CL1808" s="1789"/>
      <c r="CR1808" s="345"/>
      <c r="CS1808" s="345"/>
      <c r="CX1808" s="347"/>
      <c r="CY1808" s="347"/>
      <c r="DH1808" s="237"/>
      <c r="DI1808" s="237"/>
      <c r="DN1808" s="347"/>
      <c r="DO1808" s="347"/>
      <c r="DP1808" s="2505"/>
    </row>
    <row r="1809" spans="12:120">
      <c r="L1809" s="347">
        <v>326.02</v>
      </c>
      <c r="M1809" s="347" t="s">
        <v>362</v>
      </c>
      <c r="AB1809" s="347">
        <v>409.05</v>
      </c>
      <c r="AC1809" s="347" t="s">
        <v>335</v>
      </c>
      <c r="AD1809" s="1138"/>
      <c r="AP1809" s="347">
        <v>9709</v>
      </c>
      <c r="AQ1809" s="347" t="s">
        <v>354</v>
      </c>
      <c r="BF1809" s="347">
        <v>206.01</v>
      </c>
      <c r="BG1809" s="347" t="s">
        <v>315</v>
      </c>
      <c r="BH1809" s="1790"/>
      <c r="BN1809" s="237">
        <v>313.20999999999998</v>
      </c>
      <c r="BO1809" s="237" t="s">
        <v>343</v>
      </c>
      <c r="BT1809" s="347">
        <v>9715.01</v>
      </c>
      <c r="BU1809" s="347" t="s">
        <v>354</v>
      </c>
      <c r="CD1809" s="237">
        <v>104.15</v>
      </c>
      <c r="CE1809" s="237" t="s">
        <v>344</v>
      </c>
      <c r="CJ1809" s="347">
        <v>206.03</v>
      </c>
      <c r="CK1809" s="347" t="s">
        <v>370</v>
      </c>
      <c r="CL1809" s="1789"/>
      <c r="CR1809" s="345"/>
      <c r="CS1809" s="345"/>
      <c r="CX1809" s="347"/>
      <c r="CY1809" s="347"/>
      <c r="DH1809" s="237"/>
      <c r="DI1809" s="237"/>
      <c r="DN1809" s="347"/>
      <c r="DO1809" s="347"/>
      <c r="DP1809" s="2505"/>
    </row>
    <row r="1810" spans="12:120">
      <c r="L1810" s="347">
        <v>328.01</v>
      </c>
      <c r="M1810" s="347" t="s">
        <v>362</v>
      </c>
      <c r="AB1810" s="347">
        <v>409.06</v>
      </c>
      <c r="AC1810" s="347" t="s">
        <v>335</v>
      </c>
      <c r="AD1810" s="1138"/>
      <c r="AP1810" s="347">
        <v>9710.01</v>
      </c>
      <c r="AQ1810" s="347" t="s">
        <v>354</v>
      </c>
      <c r="BF1810" s="347">
        <v>206.02</v>
      </c>
      <c r="BG1810" s="347" t="s">
        <v>357</v>
      </c>
      <c r="BH1810" s="1790"/>
      <c r="BN1810" s="237">
        <v>313.22000000000003</v>
      </c>
      <c r="BO1810" s="237" t="s">
        <v>343</v>
      </c>
      <c r="BT1810" s="347">
        <v>9715.02</v>
      </c>
      <c r="BU1810" s="347" t="s">
        <v>354</v>
      </c>
      <c r="CD1810" s="237">
        <v>104.16</v>
      </c>
      <c r="CE1810" s="237" t="s">
        <v>318</v>
      </c>
      <c r="CJ1810" s="347">
        <v>206.04</v>
      </c>
      <c r="CK1810" s="347" t="s">
        <v>370</v>
      </c>
      <c r="CL1810" s="1789"/>
      <c r="CR1810" s="345"/>
      <c r="CS1810" s="345"/>
      <c r="CX1810" s="347"/>
      <c r="CY1810" s="347"/>
      <c r="DH1810" s="237"/>
      <c r="DI1810" s="237"/>
      <c r="DN1810" s="347"/>
      <c r="DO1810" s="347"/>
      <c r="DP1810" s="2505"/>
    </row>
    <row r="1811" spans="12:120">
      <c r="L1811" s="347">
        <v>328.03</v>
      </c>
      <c r="M1811" s="347" t="s">
        <v>362</v>
      </c>
      <c r="AB1811" s="347">
        <v>409.07</v>
      </c>
      <c r="AC1811" s="347" t="s">
        <v>335</v>
      </c>
      <c r="AD1811" s="1138"/>
      <c r="AP1811" s="347">
        <v>9710.02</v>
      </c>
      <c r="AQ1811" s="347" t="s">
        <v>354</v>
      </c>
      <c r="BF1811" s="347">
        <v>206.02</v>
      </c>
      <c r="BG1811" s="347" t="s">
        <v>369</v>
      </c>
      <c r="BH1811" s="1790"/>
      <c r="BN1811" s="237">
        <v>313.23</v>
      </c>
      <c r="BO1811" s="237" t="s">
        <v>343</v>
      </c>
      <c r="BT1811" s="347">
        <v>9716</v>
      </c>
      <c r="BU1811" s="347" t="s">
        <v>354</v>
      </c>
      <c r="CD1811" s="237">
        <v>104.16</v>
      </c>
      <c r="CE1811" s="237" t="s">
        <v>344</v>
      </c>
      <c r="CJ1811" s="347">
        <v>206.05</v>
      </c>
      <c r="CK1811" s="347" t="s">
        <v>370</v>
      </c>
      <c r="CL1811" s="1789"/>
      <c r="CR1811" s="345"/>
      <c r="CS1811" s="345"/>
      <c r="CX1811" s="347"/>
      <c r="CY1811" s="347"/>
      <c r="DH1811" s="237"/>
      <c r="DI1811" s="237"/>
      <c r="DN1811" s="347"/>
      <c r="DO1811" s="347"/>
      <c r="DP1811" s="2505"/>
    </row>
    <row r="1812" spans="12:120">
      <c r="L1812" s="347">
        <v>329.02</v>
      </c>
      <c r="M1812" s="347" t="s">
        <v>362</v>
      </c>
      <c r="AB1812" s="347">
        <v>409.08</v>
      </c>
      <c r="AC1812" s="347" t="s">
        <v>335</v>
      </c>
      <c r="AD1812" s="1138"/>
      <c r="AP1812" s="347">
        <v>9714.01</v>
      </c>
      <c r="AQ1812" s="347" t="s">
        <v>354</v>
      </c>
      <c r="BF1812" s="347">
        <v>206.03</v>
      </c>
      <c r="BG1812" s="347" t="s">
        <v>370</v>
      </c>
      <c r="BH1812" s="1790"/>
      <c r="BN1812" s="237">
        <v>313.24</v>
      </c>
      <c r="BO1812" s="237" t="s">
        <v>343</v>
      </c>
      <c r="BT1812" s="347">
        <v>9717</v>
      </c>
      <c r="BU1812" s="347" t="s">
        <v>354</v>
      </c>
      <c r="CD1812" s="237">
        <v>104.17</v>
      </c>
      <c r="CE1812" s="237" t="s">
        <v>344</v>
      </c>
      <c r="CJ1812" s="347">
        <v>206.06</v>
      </c>
      <c r="CK1812" s="347" t="s">
        <v>370</v>
      </c>
      <c r="CL1812" s="1789"/>
      <c r="CR1812" s="345"/>
      <c r="CS1812" s="345"/>
      <c r="CX1812" s="347"/>
      <c r="CY1812" s="347"/>
      <c r="DH1812" s="237"/>
      <c r="DI1812" s="237"/>
      <c r="DN1812" s="347"/>
      <c r="DO1812" s="347"/>
      <c r="DP1812" s="2505"/>
    </row>
    <row r="1813" spans="12:120">
      <c r="L1813" s="347">
        <v>330.05</v>
      </c>
      <c r="M1813" s="347" t="s">
        <v>362</v>
      </c>
      <c r="AB1813" s="347">
        <v>409.09</v>
      </c>
      <c r="AC1813" s="347" t="s">
        <v>335</v>
      </c>
      <c r="AD1813" s="1138"/>
      <c r="AP1813" s="347">
        <v>9715.01</v>
      </c>
      <c r="AQ1813" s="347" t="s">
        <v>354</v>
      </c>
      <c r="BF1813" s="347">
        <v>206.04</v>
      </c>
      <c r="BG1813" s="347" t="s">
        <v>370</v>
      </c>
      <c r="BH1813" s="1790"/>
      <c r="BN1813" s="237">
        <v>3.03</v>
      </c>
      <c r="BO1813" s="237" t="s">
        <v>344</v>
      </c>
      <c r="BT1813" s="347">
        <v>9720</v>
      </c>
      <c r="BU1813" s="347" t="s">
        <v>354</v>
      </c>
      <c r="CD1813" s="237">
        <v>104.18</v>
      </c>
      <c r="CE1813" s="237" t="s">
        <v>344</v>
      </c>
      <c r="CJ1813" s="347">
        <v>207</v>
      </c>
      <c r="CK1813" s="347" t="s">
        <v>344</v>
      </c>
      <c r="CL1813" s="1789"/>
      <c r="CR1813" s="345"/>
      <c r="CS1813" s="345"/>
      <c r="CX1813" s="347"/>
      <c r="CY1813" s="347"/>
      <c r="DH1813" s="237"/>
      <c r="DI1813" s="237"/>
      <c r="DN1813" s="347"/>
      <c r="DO1813" s="347"/>
      <c r="DP1813" s="2505"/>
    </row>
    <row r="1814" spans="12:120">
      <c r="L1814" s="347">
        <v>201.05</v>
      </c>
      <c r="M1814" s="347" t="s">
        <v>363</v>
      </c>
      <c r="AB1814" s="347">
        <v>409.1</v>
      </c>
      <c r="AC1814" s="347" t="s">
        <v>335</v>
      </c>
      <c r="AD1814" s="1138"/>
      <c r="AP1814" s="347">
        <v>9715.02</v>
      </c>
      <c r="AQ1814" s="347" t="s">
        <v>354</v>
      </c>
      <c r="BF1814" s="347">
        <v>206.05</v>
      </c>
      <c r="BG1814" s="347" t="s">
        <v>370</v>
      </c>
      <c r="BH1814" s="1790"/>
      <c r="BN1814" s="237">
        <v>3.04</v>
      </c>
      <c r="BO1814" s="237" t="s">
        <v>344</v>
      </c>
      <c r="BT1814" s="347">
        <v>9721</v>
      </c>
      <c r="BU1814" s="347" t="s">
        <v>354</v>
      </c>
      <c r="CD1814" s="237">
        <v>104.19</v>
      </c>
      <c r="CE1814" s="237" t="s">
        <v>318</v>
      </c>
      <c r="CJ1814" s="347">
        <v>207.01</v>
      </c>
      <c r="CK1814" s="347" t="s">
        <v>357</v>
      </c>
      <c r="CL1814" s="1789"/>
      <c r="CR1814" s="345"/>
      <c r="CS1814" s="345"/>
      <c r="CX1814" s="347"/>
      <c r="CY1814" s="347"/>
      <c r="DH1814" s="237"/>
      <c r="DI1814" s="237"/>
      <c r="DN1814" s="347"/>
      <c r="DO1814" s="347"/>
      <c r="DP1814" s="2505"/>
    </row>
    <row r="1815" spans="12:120">
      <c r="L1815" s="347">
        <v>201.06</v>
      </c>
      <c r="M1815" s="347" t="s">
        <v>363</v>
      </c>
      <c r="AB1815" s="347">
        <v>409.11</v>
      </c>
      <c r="AC1815" s="347" t="s">
        <v>335</v>
      </c>
      <c r="AD1815" s="1138"/>
      <c r="AP1815" s="347">
        <v>9716</v>
      </c>
      <c r="AQ1815" s="347" t="s">
        <v>354</v>
      </c>
      <c r="BF1815" s="347">
        <v>207</v>
      </c>
      <c r="BG1815" s="347" t="s">
        <v>344</v>
      </c>
      <c r="BH1815" s="1790"/>
      <c r="BN1815" s="237">
        <v>3.05</v>
      </c>
      <c r="BO1815" s="237" t="s">
        <v>344</v>
      </c>
      <c r="BT1815" s="347">
        <v>9722</v>
      </c>
      <c r="BU1815" s="347" t="s">
        <v>354</v>
      </c>
      <c r="CD1815" s="237">
        <v>104.19</v>
      </c>
      <c r="CE1815" s="237" t="s">
        <v>344</v>
      </c>
      <c r="CJ1815" s="347">
        <v>207.02</v>
      </c>
      <c r="CK1815" s="347" t="s">
        <v>357</v>
      </c>
      <c r="CL1815" s="1789"/>
      <c r="CR1815" s="345"/>
      <c r="CS1815" s="345"/>
      <c r="CX1815" s="347"/>
      <c r="CY1815" s="347"/>
      <c r="DH1815" s="237"/>
      <c r="DI1815" s="237"/>
      <c r="DN1815" s="347"/>
      <c r="DO1815" s="347"/>
      <c r="DP1815" s="2505"/>
    </row>
    <row r="1816" spans="12:120">
      <c r="L1816" s="347">
        <v>201.07</v>
      </c>
      <c r="M1816" s="347" t="s">
        <v>363</v>
      </c>
      <c r="AB1816" s="347">
        <v>410.01</v>
      </c>
      <c r="AC1816" s="347" t="s">
        <v>360</v>
      </c>
      <c r="AD1816" s="1138"/>
      <c r="AP1816" s="347">
        <v>9720</v>
      </c>
      <c r="AQ1816" s="347" t="s">
        <v>354</v>
      </c>
      <c r="BF1816" s="347">
        <v>207.02</v>
      </c>
      <c r="BG1816" s="347" t="s">
        <v>357</v>
      </c>
      <c r="BH1816" s="1790"/>
      <c r="BN1816" s="237">
        <v>3.06</v>
      </c>
      <c r="BO1816" s="237" t="s">
        <v>344</v>
      </c>
      <c r="BT1816" s="347">
        <v>9725</v>
      </c>
      <c r="BU1816" s="347" t="s">
        <v>354</v>
      </c>
      <c r="CD1816" s="237">
        <v>104.2</v>
      </c>
      <c r="CE1816" s="237" t="s">
        <v>318</v>
      </c>
      <c r="CJ1816" s="347">
        <v>207.03</v>
      </c>
      <c r="CK1816" s="347" t="s">
        <v>369</v>
      </c>
      <c r="CL1816" s="1789"/>
      <c r="CR1816" s="345"/>
      <c r="CS1816" s="345"/>
      <c r="CX1816" s="347"/>
      <c r="CY1816" s="347"/>
      <c r="DH1816" s="237"/>
      <c r="DI1816" s="237"/>
      <c r="DN1816" s="347"/>
      <c r="DO1816" s="347"/>
      <c r="DP1816" s="2505"/>
    </row>
    <row r="1817" spans="12:120">
      <c r="L1817" s="347">
        <v>201.08</v>
      </c>
      <c r="M1817" s="347" t="s">
        <v>363</v>
      </c>
      <c r="AB1817" s="347">
        <v>410.02</v>
      </c>
      <c r="AC1817" s="347" t="s">
        <v>360</v>
      </c>
      <c r="AD1817" s="1138"/>
      <c r="AP1817" s="347">
        <v>9721</v>
      </c>
      <c r="AQ1817" s="347" t="s">
        <v>354</v>
      </c>
      <c r="BF1817" s="347">
        <v>207.03</v>
      </c>
      <c r="BG1817" s="347" t="s">
        <v>369</v>
      </c>
      <c r="BH1817" s="1790"/>
      <c r="BN1817" s="237">
        <v>4.01</v>
      </c>
      <c r="BO1817" s="237" t="s">
        <v>344</v>
      </c>
      <c r="BT1817" s="347">
        <v>9728</v>
      </c>
      <c r="BU1817" s="347" t="s">
        <v>354</v>
      </c>
      <c r="CD1817" s="237">
        <v>104.2</v>
      </c>
      <c r="CE1817" s="237" t="s">
        <v>344</v>
      </c>
      <c r="CJ1817" s="347">
        <v>207.04</v>
      </c>
      <c r="CK1817" s="347" t="s">
        <v>369</v>
      </c>
      <c r="CL1817" s="1789"/>
      <c r="CR1817" s="345"/>
      <c r="CS1817" s="345"/>
      <c r="CX1817" s="347"/>
      <c r="CY1817" s="347"/>
      <c r="DH1817" s="237"/>
      <c r="DI1817" s="237"/>
      <c r="DN1817" s="347"/>
      <c r="DO1817" s="347"/>
      <c r="DP1817" s="2505"/>
    </row>
    <row r="1818" spans="12:120">
      <c r="L1818" s="347">
        <v>202.01</v>
      </c>
      <c r="M1818" s="347" t="s">
        <v>363</v>
      </c>
      <c r="AB1818" s="347">
        <v>410.04</v>
      </c>
      <c r="AC1818" s="347" t="s">
        <v>335</v>
      </c>
      <c r="AD1818" s="1138"/>
      <c r="AP1818" s="347">
        <v>9722</v>
      </c>
      <c r="AQ1818" s="347" t="s">
        <v>354</v>
      </c>
      <c r="BF1818" s="347">
        <v>207.04</v>
      </c>
      <c r="BG1818" s="347" t="s">
        <v>369</v>
      </c>
      <c r="BH1818" s="1790"/>
      <c r="BN1818" s="237">
        <v>4.0199999999999996</v>
      </c>
      <c r="BO1818" s="237" t="s">
        <v>344</v>
      </c>
      <c r="BT1818" s="347">
        <v>501.02</v>
      </c>
      <c r="BU1818" s="347" t="s">
        <v>356</v>
      </c>
      <c r="CD1818" s="237">
        <v>104.21</v>
      </c>
      <c r="CE1818" s="237" t="s">
        <v>318</v>
      </c>
      <c r="CJ1818" s="347">
        <v>207.04</v>
      </c>
      <c r="CK1818" s="347" t="s">
        <v>370</v>
      </c>
      <c r="CL1818" s="1789"/>
      <c r="CR1818" s="345"/>
      <c r="CS1818" s="345"/>
      <c r="CX1818" s="347"/>
      <c r="CY1818" s="347"/>
      <c r="DH1818" s="237"/>
      <c r="DI1818" s="237"/>
      <c r="DN1818" s="347"/>
      <c r="DO1818" s="347"/>
      <c r="DP1818" s="2505"/>
    </row>
    <row r="1819" spans="12:120">
      <c r="L1819" s="347">
        <v>202.02</v>
      </c>
      <c r="M1819" s="347" t="s">
        <v>363</v>
      </c>
      <c r="AB1819" s="347">
        <v>410.05</v>
      </c>
      <c r="AC1819" s="347" t="s">
        <v>335</v>
      </c>
      <c r="AD1819" s="1138"/>
      <c r="AP1819" s="347">
        <v>9724</v>
      </c>
      <c r="AQ1819" s="347" t="s">
        <v>354</v>
      </c>
      <c r="BF1819" s="347">
        <v>207.04</v>
      </c>
      <c r="BG1819" s="347" t="s">
        <v>370</v>
      </c>
      <c r="BH1819" s="1790"/>
      <c r="BN1819" s="237">
        <v>5.0199999999999996</v>
      </c>
      <c r="BO1819" s="237" t="s">
        <v>344</v>
      </c>
      <c r="BT1819" s="347">
        <v>501.03</v>
      </c>
      <c r="BU1819" s="347" t="s">
        <v>356</v>
      </c>
      <c r="CD1819" s="237">
        <v>104.21</v>
      </c>
      <c r="CE1819" s="237" t="s">
        <v>344</v>
      </c>
      <c r="CJ1819" s="347">
        <v>207.05</v>
      </c>
      <c r="CK1819" s="347" t="s">
        <v>369</v>
      </c>
      <c r="CL1819" s="1789"/>
      <c r="CR1819" s="345"/>
      <c r="CS1819" s="345"/>
      <c r="CX1819" s="347"/>
      <c r="CY1819" s="347"/>
      <c r="DH1819" s="237"/>
      <c r="DI1819" s="237"/>
      <c r="DN1819" s="347"/>
      <c r="DO1819" s="347"/>
      <c r="DP1819" s="2505"/>
    </row>
    <row r="1820" spans="12:120">
      <c r="L1820" s="347">
        <v>202.06</v>
      </c>
      <c r="M1820" s="347" t="s">
        <v>363</v>
      </c>
      <c r="AB1820" s="347">
        <v>410.06</v>
      </c>
      <c r="AC1820" s="347" t="s">
        <v>335</v>
      </c>
      <c r="AD1820" s="1138"/>
      <c r="AP1820" s="347">
        <v>9725</v>
      </c>
      <c r="AQ1820" s="347" t="s">
        <v>354</v>
      </c>
      <c r="BF1820" s="347">
        <v>207.05</v>
      </c>
      <c r="BG1820" s="347" t="s">
        <v>369</v>
      </c>
      <c r="BH1820" s="1790"/>
      <c r="BN1820" s="237">
        <v>5.03</v>
      </c>
      <c r="BO1820" s="237" t="s">
        <v>344</v>
      </c>
      <c r="BT1820" s="347">
        <v>501.04</v>
      </c>
      <c r="BU1820" s="347" t="s">
        <v>356</v>
      </c>
      <c r="CD1820" s="237">
        <v>104.22</v>
      </c>
      <c r="CE1820" s="237" t="s">
        <v>318</v>
      </c>
      <c r="CJ1820" s="347">
        <v>207.06</v>
      </c>
      <c r="CK1820" s="347" t="s">
        <v>369</v>
      </c>
      <c r="CL1820" s="1789"/>
      <c r="CR1820" s="345"/>
      <c r="CS1820" s="345"/>
      <c r="CX1820" s="347"/>
      <c r="CY1820" s="347"/>
      <c r="DH1820" s="237"/>
      <c r="DI1820" s="237"/>
      <c r="DN1820" s="347"/>
      <c r="DO1820" s="347"/>
      <c r="DP1820" s="2505"/>
    </row>
    <row r="1821" spans="12:120">
      <c r="L1821" s="347">
        <v>202.07</v>
      </c>
      <c r="M1821" s="347" t="s">
        <v>363</v>
      </c>
      <c r="AB1821" s="347">
        <v>411.04</v>
      </c>
      <c r="AC1821" s="347" t="s">
        <v>335</v>
      </c>
      <c r="AD1821" s="1138"/>
      <c r="AP1821" s="347">
        <v>9727</v>
      </c>
      <c r="AQ1821" s="347" t="s">
        <v>354</v>
      </c>
      <c r="BF1821" s="347">
        <v>207.05</v>
      </c>
      <c r="BG1821" s="347" t="s">
        <v>370</v>
      </c>
      <c r="BH1821" s="1790"/>
      <c r="BN1821" s="237">
        <v>5.04</v>
      </c>
      <c r="BO1821" s="237" t="s">
        <v>344</v>
      </c>
      <c r="BT1821" s="347">
        <v>502.01</v>
      </c>
      <c r="BU1821" s="347" t="s">
        <v>356</v>
      </c>
      <c r="CD1821" s="237">
        <v>104.22</v>
      </c>
      <c r="CE1821" s="237" t="s">
        <v>344</v>
      </c>
      <c r="CJ1821" s="347">
        <v>207.06</v>
      </c>
      <c r="CK1821" s="347" t="s">
        <v>370</v>
      </c>
      <c r="CL1821" s="1789"/>
      <c r="CR1821" s="345"/>
      <c r="CS1821" s="345"/>
      <c r="CX1821" s="347"/>
      <c r="CY1821" s="347"/>
      <c r="DH1821" s="237"/>
      <c r="DI1821" s="237"/>
      <c r="DN1821" s="347"/>
      <c r="DO1821" s="347"/>
      <c r="DP1821" s="2505"/>
    </row>
    <row r="1822" spans="12:120">
      <c r="L1822" s="347">
        <v>202.08</v>
      </c>
      <c r="M1822" s="347" t="s">
        <v>363</v>
      </c>
      <c r="AB1822" s="347">
        <v>411.06</v>
      </c>
      <c r="AC1822" s="347" t="s">
        <v>335</v>
      </c>
      <c r="AD1822" s="1138"/>
      <c r="AP1822" s="347">
        <v>9728</v>
      </c>
      <c r="AQ1822" s="347" t="s">
        <v>354</v>
      </c>
      <c r="BF1822" s="347">
        <v>207.06</v>
      </c>
      <c r="BG1822" s="347" t="s">
        <v>369</v>
      </c>
      <c r="BH1822" s="1790"/>
      <c r="BN1822" s="237">
        <v>6</v>
      </c>
      <c r="BO1822" s="237" t="s">
        <v>344</v>
      </c>
      <c r="BT1822" s="347">
        <v>502.03</v>
      </c>
      <c r="BU1822" s="347" t="s">
        <v>356</v>
      </c>
      <c r="CD1822" s="237">
        <v>104.23</v>
      </c>
      <c r="CE1822" s="237" t="s">
        <v>318</v>
      </c>
      <c r="CJ1822" s="347">
        <v>207.07</v>
      </c>
      <c r="CK1822" s="347" t="s">
        <v>369</v>
      </c>
      <c r="CL1822" s="1789"/>
      <c r="CR1822" s="345"/>
      <c r="CS1822" s="345"/>
      <c r="CX1822" s="347"/>
      <c r="CY1822" s="347"/>
      <c r="DH1822" s="237"/>
      <c r="DI1822" s="237"/>
      <c r="DN1822" s="347"/>
      <c r="DO1822" s="347"/>
      <c r="DP1822" s="2505"/>
    </row>
    <row r="1823" spans="12:120">
      <c r="L1823" s="347">
        <v>202.09</v>
      </c>
      <c r="M1823" s="347" t="s">
        <v>363</v>
      </c>
      <c r="AB1823" s="347">
        <v>412.01</v>
      </c>
      <c r="AC1823" s="347" t="s">
        <v>335</v>
      </c>
      <c r="AD1823" s="1138"/>
      <c r="AP1823" s="347">
        <v>501.02</v>
      </c>
      <c r="AQ1823" s="347" t="s">
        <v>356</v>
      </c>
      <c r="BF1823" s="347">
        <v>207.06</v>
      </c>
      <c r="BG1823" s="347" t="s">
        <v>370</v>
      </c>
      <c r="BH1823" s="1790"/>
      <c r="BN1823" s="237">
        <v>7</v>
      </c>
      <c r="BO1823" s="237" t="s">
        <v>344</v>
      </c>
      <c r="BT1823" s="347">
        <v>502.04</v>
      </c>
      <c r="BU1823" s="347" t="s">
        <v>356</v>
      </c>
      <c r="CD1823" s="237">
        <v>104.23</v>
      </c>
      <c r="CE1823" s="237" t="s">
        <v>344</v>
      </c>
      <c r="CJ1823" s="347">
        <v>207.07</v>
      </c>
      <c r="CK1823" s="347" t="s">
        <v>370</v>
      </c>
      <c r="CL1823" s="1789"/>
      <c r="CR1823" s="345"/>
      <c r="CS1823" s="345"/>
      <c r="CX1823" s="347"/>
      <c r="CY1823" s="347"/>
      <c r="DH1823" s="237"/>
      <c r="DI1823" s="237"/>
      <c r="DN1823" s="347"/>
      <c r="DO1823" s="347"/>
      <c r="DP1823" s="2505"/>
    </row>
    <row r="1824" spans="12:120">
      <c r="L1824" s="347">
        <v>203.01</v>
      </c>
      <c r="M1824" s="347" t="s">
        <v>363</v>
      </c>
      <c r="AB1824" s="347">
        <v>412.03</v>
      </c>
      <c r="AC1824" s="347" t="s">
        <v>335</v>
      </c>
      <c r="AD1824" s="1138"/>
      <c r="AP1824" s="347">
        <v>501.03</v>
      </c>
      <c r="AQ1824" s="347" t="s">
        <v>356</v>
      </c>
      <c r="BF1824" s="347">
        <v>207.07</v>
      </c>
      <c r="BG1824" s="347" t="s">
        <v>369</v>
      </c>
      <c r="BH1824" s="1790"/>
      <c r="BN1824" s="237">
        <v>8</v>
      </c>
      <c r="BO1824" s="237" t="s">
        <v>344</v>
      </c>
      <c r="BT1824" s="347">
        <v>502.05</v>
      </c>
      <c r="BU1824" s="347" t="s">
        <v>356</v>
      </c>
      <c r="CD1824" s="237">
        <v>104.24</v>
      </c>
      <c r="CE1824" s="237" t="s">
        <v>318</v>
      </c>
      <c r="CJ1824" s="347">
        <v>207.08</v>
      </c>
      <c r="CK1824" s="347" t="s">
        <v>370</v>
      </c>
      <c r="CL1824" s="1789"/>
      <c r="CR1824" s="345"/>
      <c r="CS1824" s="345"/>
      <c r="CX1824" s="347"/>
      <c r="CY1824" s="347"/>
      <c r="DH1824" s="237"/>
      <c r="DI1824" s="237"/>
      <c r="DN1824" s="347"/>
      <c r="DO1824" s="347"/>
      <c r="DP1824" s="2505"/>
    </row>
    <row r="1825" spans="12:120">
      <c r="L1825" s="347">
        <v>203.02</v>
      </c>
      <c r="M1825" s="347" t="s">
        <v>363</v>
      </c>
      <c r="AB1825" s="347">
        <v>413.03</v>
      </c>
      <c r="AC1825" s="347" t="s">
        <v>335</v>
      </c>
      <c r="AD1825" s="1138"/>
      <c r="AP1825" s="347">
        <v>501.04</v>
      </c>
      <c r="AQ1825" s="347" t="s">
        <v>356</v>
      </c>
      <c r="BF1825" s="347">
        <v>207.07</v>
      </c>
      <c r="BG1825" s="347" t="s">
        <v>370</v>
      </c>
      <c r="BH1825" s="1790"/>
      <c r="BN1825" s="237">
        <v>9</v>
      </c>
      <c r="BO1825" s="237" t="s">
        <v>344</v>
      </c>
      <c r="BT1825" s="347">
        <v>503.04</v>
      </c>
      <c r="BU1825" s="347" t="s">
        <v>356</v>
      </c>
      <c r="CD1825" s="237">
        <v>104.25</v>
      </c>
      <c r="CE1825" s="237" t="s">
        <v>318</v>
      </c>
      <c r="CJ1825" s="347">
        <v>207.1</v>
      </c>
      <c r="CK1825" s="347" t="s">
        <v>370</v>
      </c>
      <c r="CL1825" s="1789"/>
      <c r="CR1825" s="345"/>
      <c r="CS1825" s="345"/>
      <c r="CX1825" s="347"/>
      <c r="CY1825" s="347"/>
      <c r="DH1825" s="237"/>
      <c r="DI1825" s="237"/>
      <c r="DN1825" s="347"/>
      <c r="DO1825" s="347"/>
      <c r="DP1825" s="2505"/>
    </row>
    <row r="1826" spans="12:120">
      <c r="L1826" s="347">
        <v>204</v>
      </c>
      <c r="M1826" s="347" t="s">
        <v>363</v>
      </c>
      <c r="AB1826" s="347">
        <v>413.05</v>
      </c>
      <c r="AC1826" s="347" t="s">
        <v>335</v>
      </c>
      <c r="AD1826" s="1138"/>
      <c r="AP1826" s="347">
        <v>502.01</v>
      </c>
      <c r="AQ1826" s="347" t="s">
        <v>356</v>
      </c>
      <c r="BF1826" s="347">
        <v>207.08</v>
      </c>
      <c r="BG1826" s="347" t="s">
        <v>370</v>
      </c>
      <c r="BH1826" s="1790"/>
      <c r="BN1826" s="237">
        <v>10.01</v>
      </c>
      <c r="BO1826" s="237" t="s">
        <v>344</v>
      </c>
      <c r="BT1826" s="347">
        <v>503.06</v>
      </c>
      <c r="BU1826" s="347" t="s">
        <v>356</v>
      </c>
      <c r="CD1826" s="237">
        <v>104.26</v>
      </c>
      <c r="CE1826" s="237" t="s">
        <v>318</v>
      </c>
      <c r="CJ1826" s="347">
        <v>207.12</v>
      </c>
      <c r="CK1826" s="347" t="s">
        <v>370</v>
      </c>
      <c r="CL1826" s="1789"/>
      <c r="CR1826" s="345"/>
      <c r="CS1826" s="345"/>
      <c r="CX1826" s="347"/>
      <c r="CY1826" s="347"/>
      <c r="DH1826" s="237"/>
      <c r="DI1826" s="237"/>
      <c r="DN1826" s="347"/>
      <c r="DO1826" s="347"/>
      <c r="DP1826" s="2505"/>
    </row>
    <row r="1827" spans="12:120">
      <c r="L1827" s="347">
        <v>219</v>
      </c>
      <c r="M1827" s="347" t="s">
        <v>363</v>
      </c>
      <c r="AB1827" s="347">
        <v>414.02</v>
      </c>
      <c r="AC1827" s="347" t="s">
        <v>335</v>
      </c>
      <c r="AD1827" s="1138"/>
      <c r="AP1827" s="347">
        <v>502.03</v>
      </c>
      <c r="AQ1827" s="347" t="s">
        <v>356</v>
      </c>
      <c r="BF1827" s="347">
        <v>207.1</v>
      </c>
      <c r="BG1827" s="347" t="s">
        <v>370</v>
      </c>
      <c r="BH1827" s="1790"/>
      <c r="BN1827" s="237">
        <v>10.02</v>
      </c>
      <c r="BO1827" s="237" t="s">
        <v>344</v>
      </c>
      <c r="BT1827" s="347">
        <v>503.07</v>
      </c>
      <c r="BU1827" s="347" t="s">
        <v>356</v>
      </c>
      <c r="CD1827" s="237">
        <v>104.27</v>
      </c>
      <c r="CE1827" s="237" t="s">
        <v>318</v>
      </c>
      <c r="CJ1827" s="347">
        <v>207.13</v>
      </c>
      <c r="CK1827" s="347" t="s">
        <v>370</v>
      </c>
      <c r="CL1827" s="1789"/>
      <c r="CR1827" s="345"/>
      <c r="CS1827" s="345"/>
      <c r="CX1827" s="347"/>
      <c r="CY1827" s="347"/>
      <c r="DH1827" s="237"/>
      <c r="DI1827" s="237"/>
      <c r="DN1827" s="347"/>
      <c r="DO1827" s="347"/>
      <c r="DP1827" s="2505"/>
    </row>
    <row r="1828" spans="12:120">
      <c r="L1828" s="347">
        <v>221</v>
      </c>
      <c r="M1828" s="347" t="s">
        <v>363</v>
      </c>
      <c r="AB1828" s="347">
        <v>415</v>
      </c>
      <c r="AC1828" s="347" t="s">
        <v>360</v>
      </c>
      <c r="AD1828" s="1138"/>
      <c r="AP1828" s="347">
        <v>502.04</v>
      </c>
      <c r="AQ1828" s="347" t="s">
        <v>356</v>
      </c>
      <c r="BF1828" s="347">
        <v>207.12</v>
      </c>
      <c r="BG1828" s="347" t="s">
        <v>370</v>
      </c>
      <c r="BH1828" s="1790"/>
      <c r="BN1828" s="237">
        <v>11.01</v>
      </c>
      <c r="BO1828" s="237" t="s">
        <v>344</v>
      </c>
      <c r="BT1828" s="347">
        <v>503.08</v>
      </c>
      <c r="BU1828" s="347" t="s">
        <v>356</v>
      </c>
      <c r="CD1828" s="237">
        <v>104.28</v>
      </c>
      <c r="CE1828" s="237" t="s">
        <v>318</v>
      </c>
      <c r="CJ1828" s="347">
        <v>208</v>
      </c>
      <c r="CK1828" s="347" t="s">
        <v>328</v>
      </c>
      <c r="CL1828" s="1789"/>
      <c r="CR1828" s="345"/>
      <c r="CS1828" s="345"/>
      <c r="CX1828" s="347"/>
      <c r="CY1828" s="347"/>
      <c r="DH1828" s="237"/>
      <c r="DI1828" s="237"/>
      <c r="DN1828" s="347"/>
      <c r="DO1828" s="347"/>
      <c r="DP1828" s="2505"/>
    </row>
    <row r="1829" spans="12:120">
      <c r="L1829" s="347">
        <v>222</v>
      </c>
      <c r="M1829" s="347" t="s">
        <v>363</v>
      </c>
      <c r="AB1829" s="347">
        <v>415.01</v>
      </c>
      <c r="AC1829" s="347" t="s">
        <v>335</v>
      </c>
      <c r="AD1829" s="1138"/>
      <c r="AP1829" s="347">
        <v>502.05</v>
      </c>
      <c r="AQ1829" s="347" t="s">
        <v>356</v>
      </c>
      <c r="BF1829" s="347">
        <v>207.13</v>
      </c>
      <c r="BG1829" s="347" t="s">
        <v>370</v>
      </c>
      <c r="BH1829" s="1790"/>
      <c r="BN1829" s="237">
        <v>11.03</v>
      </c>
      <c r="BO1829" s="237" t="s">
        <v>344</v>
      </c>
      <c r="BT1829" s="347">
        <v>503.09</v>
      </c>
      <c r="BU1829" s="347" t="s">
        <v>356</v>
      </c>
      <c r="CD1829" s="237">
        <v>104.29</v>
      </c>
      <c r="CE1829" s="237" t="s">
        <v>318</v>
      </c>
      <c r="CJ1829" s="347">
        <v>208</v>
      </c>
      <c r="CK1829" s="347" t="s">
        <v>357</v>
      </c>
      <c r="CL1829" s="1789"/>
      <c r="CR1829" s="345"/>
      <c r="CS1829" s="345"/>
      <c r="CX1829" s="347"/>
      <c r="CY1829" s="347"/>
      <c r="DH1829" s="237"/>
      <c r="DI1829" s="237"/>
      <c r="DN1829" s="347"/>
      <c r="DO1829" s="347"/>
      <c r="DP1829" s="2505"/>
    </row>
    <row r="1830" spans="12:120">
      <c r="L1830" s="347">
        <v>223.02</v>
      </c>
      <c r="M1830" s="347" t="s">
        <v>363</v>
      </c>
      <c r="AB1830" s="347">
        <v>415.02</v>
      </c>
      <c r="AC1830" s="347" t="s">
        <v>335</v>
      </c>
      <c r="AD1830" s="1138"/>
      <c r="AP1830" s="347">
        <v>503.06</v>
      </c>
      <c r="AQ1830" s="347" t="s">
        <v>356</v>
      </c>
      <c r="BF1830" s="347">
        <v>208</v>
      </c>
      <c r="BG1830" s="347" t="s">
        <v>328</v>
      </c>
      <c r="BH1830" s="1790"/>
      <c r="BN1830" s="237">
        <v>11.04</v>
      </c>
      <c r="BO1830" s="237" t="s">
        <v>344</v>
      </c>
      <c r="BT1830" s="347">
        <v>503.1</v>
      </c>
      <c r="BU1830" s="347" t="s">
        <v>356</v>
      </c>
      <c r="CD1830" s="237">
        <v>104.3</v>
      </c>
      <c r="CE1830" s="237" t="s">
        <v>318</v>
      </c>
      <c r="CJ1830" s="347">
        <v>208.01</v>
      </c>
      <c r="CK1830" s="347" t="s">
        <v>370</v>
      </c>
      <c r="CL1830" s="1789"/>
      <c r="CR1830" s="345"/>
      <c r="CS1830" s="345"/>
      <c r="CX1830" s="347"/>
      <c r="CY1830" s="347"/>
      <c r="DH1830" s="237"/>
      <c r="DI1830" s="237"/>
      <c r="DN1830" s="347"/>
      <c r="DO1830" s="347"/>
      <c r="DP1830" s="2505"/>
    </row>
    <row r="1831" spans="12:120">
      <c r="L1831" s="347">
        <v>224.01</v>
      </c>
      <c r="M1831" s="347" t="s">
        <v>363</v>
      </c>
      <c r="AB1831" s="347">
        <v>416</v>
      </c>
      <c r="AC1831" s="347" t="s">
        <v>335</v>
      </c>
      <c r="AD1831" s="1138"/>
      <c r="AP1831" s="347">
        <v>503.07</v>
      </c>
      <c r="AQ1831" s="347" t="s">
        <v>356</v>
      </c>
      <c r="BF1831" s="347">
        <v>208</v>
      </c>
      <c r="BG1831" s="347" t="s">
        <v>357</v>
      </c>
      <c r="BH1831" s="1790"/>
      <c r="BN1831" s="237">
        <v>12.03</v>
      </c>
      <c r="BO1831" s="237" t="s">
        <v>344</v>
      </c>
      <c r="BT1831" s="347">
        <v>504.02</v>
      </c>
      <c r="BU1831" s="347" t="s">
        <v>356</v>
      </c>
      <c r="CD1831" s="237">
        <v>104.31</v>
      </c>
      <c r="CE1831" s="237" t="s">
        <v>318</v>
      </c>
      <c r="CJ1831" s="347">
        <v>208.02</v>
      </c>
      <c r="CK1831" s="347" t="s">
        <v>370</v>
      </c>
      <c r="CL1831" s="1789"/>
      <c r="CR1831" s="345"/>
      <c r="CS1831" s="345"/>
      <c r="CX1831" s="347"/>
      <c r="CY1831" s="347"/>
      <c r="DH1831" s="237"/>
      <c r="DI1831" s="237"/>
      <c r="DN1831" s="347"/>
      <c r="DO1831" s="347"/>
      <c r="DP1831" s="2505"/>
    </row>
    <row r="1832" spans="12:120">
      <c r="L1832" s="347">
        <v>224.02</v>
      </c>
      <c r="M1832" s="347" t="s">
        <v>363</v>
      </c>
      <c r="AB1832" s="347">
        <v>418.01</v>
      </c>
      <c r="AC1832" s="347" t="s">
        <v>310</v>
      </c>
      <c r="AD1832" s="1138"/>
      <c r="AP1832" s="347">
        <v>503.08</v>
      </c>
      <c r="AQ1832" s="347" t="s">
        <v>356</v>
      </c>
      <c r="BF1832" s="347">
        <v>208.01</v>
      </c>
      <c r="BG1832" s="347" t="s">
        <v>370</v>
      </c>
      <c r="BH1832" s="1790"/>
      <c r="BN1832" s="237">
        <v>12.04</v>
      </c>
      <c r="BO1832" s="237" t="s">
        <v>344</v>
      </c>
      <c r="BT1832" s="347">
        <v>505.06</v>
      </c>
      <c r="BU1832" s="347" t="s">
        <v>356</v>
      </c>
      <c r="CD1832" s="237">
        <v>104.32</v>
      </c>
      <c r="CE1832" s="237" t="s">
        <v>318</v>
      </c>
      <c r="CJ1832" s="347">
        <v>208.03</v>
      </c>
      <c r="CK1832" s="347" t="s">
        <v>369</v>
      </c>
      <c r="CL1832" s="1789"/>
      <c r="CR1832" s="345"/>
      <c r="CS1832" s="345"/>
      <c r="CX1832" s="347"/>
      <c r="CY1832" s="347"/>
      <c r="DH1832" s="237"/>
      <c r="DI1832" s="237"/>
      <c r="DN1832" s="347"/>
      <c r="DO1832" s="347"/>
      <c r="DP1832" s="2505"/>
    </row>
    <row r="1833" spans="12:120">
      <c r="L1833" s="347">
        <v>225.01</v>
      </c>
      <c r="M1833" s="347" t="s">
        <v>363</v>
      </c>
      <c r="AB1833" s="347">
        <v>418.02</v>
      </c>
      <c r="AC1833" s="347" t="s">
        <v>310</v>
      </c>
      <c r="AD1833" s="1138"/>
      <c r="AP1833" s="347">
        <v>503.09</v>
      </c>
      <c r="AQ1833" s="347" t="s">
        <v>356</v>
      </c>
      <c r="BF1833" s="347">
        <v>208.02</v>
      </c>
      <c r="BG1833" s="347" t="s">
        <v>370</v>
      </c>
      <c r="BH1833" s="1790"/>
      <c r="BN1833" s="237">
        <v>12.05</v>
      </c>
      <c r="BO1833" s="237" t="s">
        <v>344</v>
      </c>
      <c r="BT1833" s="347">
        <v>201.01</v>
      </c>
      <c r="BU1833" s="347" t="s">
        <v>357</v>
      </c>
      <c r="CD1833" s="237">
        <v>104.33</v>
      </c>
      <c r="CE1833" s="237" t="s">
        <v>318</v>
      </c>
      <c r="CJ1833" s="347">
        <v>208.03</v>
      </c>
      <c r="CK1833" s="347" t="s">
        <v>370</v>
      </c>
      <c r="CL1833" s="1789"/>
      <c r="CR1833" s="345"/>
      <c r="CS1833" s="345"/>
      <c r="CX1833" s="347"/>
      <c r="CY1833" s="347"/>
      <c r="DH1833" s="237"/>
      <c r="DI1833" s="237"/>
      <c r="DN1833" s="347"/>
      <c r="DO1833" s="347"/>
      <c r="DP1833" s="2505"/>
    </row>
    <row r="1834" spans="12:120">
      <c r="L1834" s="347">
        <v>225.03</v>
      </c>
      <c r="M1834" s="347" t="s">
        <v>363</v>
      </c>
      <c r="AB1834" s="347">
        <v>419</v>
      </c>
      <c r="AC1834" s="347" t="s">
        <v>310</v>
      </c>
      <c r="AD1834" s="1138"/>
      <c r="AP1834" s="347">
        <v>503.1</v>
      </c>
      <c r="AQ1834" s="347" t="s">
        <v>356</v>
      </c>
      <c r="BF1834" s="347">
        <v>208.03</v>
      </c>
      <c r="BG1834" s="347" t="s">
        <v>369</v>
      </c>
      <c r="BH1834" s="1790"/>
      <c r="BN1834" s="237">
        <v>12.06</v>
      </c>
      <c r="BO1834" s="237" t="s">
        <v>344</v>
      </c>
      <c r="BT1834" s="347">
        <v>201.02</v>
      </c>
      <c r="BU1834" s="347" t="s">
        <v>357</v>
      </c>
      <c r="CD1834" s="237">
        <v>104.34</v>
      </c>
      <c r="CE1834" s="237" t="s">
        <v>318</v>
      </c>
      <c r="CJ1834" s="347">
        <v>208.04</v>
      </c>
      <c r="CK1834" s="347" t="s">
        <v>370</v>
      </c>
      <c r="CL1834" s="1789"/>
      <c r="CR1834" s="345"/>
      <c r="CS1834" s="345"/>
      <c r="CX1834" s="347"/>
      <c r="CY1834" s="347"/>
      <c r="DH1834" s="237"/>
      <c r="DI1834" s="237"/>
      <c r="DN1834" s="347"/>
      <c r="DO1834" s="347"/>
      <c r="DP1834" s="2505"/>
    </row>
    <row r="1835" spans="12:120">
      <c r="L1835" s="347">
        <v>226.01</v>
      </c>
      <c r="M1835" s="347" t="s">
        <v>363</v>
      </c>
      <c r="AB1835" s="347">
        <v>420</v>
      </c>
      <c r="AC1835" s="347" t="s">
        <v>310</v>
      </c>
      <c r="AD1835" s="1138"/>
      <c r="AP1835" s="347">
        <v>504.02</v>
      </c>
      <c r="AQ1835" s="347" t="s">
        <v>356</v>
      </c>
      <c r="BF1835" s="347">
        <v>208.03</v>
      </c>
      <c r="BG1835" s="347" t="s">
        <v>370</v>
      </c>
      <c r="BH1835" s="1790"/>
      <c r="BN1835" s="237">
        <v>12.07</v>
      </c>
      <c r="BO1835" s="237" t="s">
        <v>344</v>
      </c>
      <c r="BT1835" s="347">
        <v>203.03</v>
      </c>
      <c r="BU1835" s="347" t="s">
        <v>357</v>
      </c>
      <c r="CD1835" s="237">
        <v>104.35</v>
      </c>
      <c r="CE1835" s="237" t="s">
        <v>318</v>
      </c>
      <c r="CJ1835" s="347">
        <v>208.05</v>
      </c>
      <c r="CK1835" s="347" t="s">
        <v>369</v>
      </c>
      <c r="CL1835" s="1789"/>
      <c r="CR1835" s="345"/>
      <c r="CS1835" s="345"/>
      <c r="CX1835" s="347"/>
      <c r="CY1835" s="347"/>
      <c r="DH1835" s="237"/>
      <c r="DI1835" s="237"/>
      <c r="DN1835" s="347"/>
      <c r="DO1835" s="347"/>
      <c r="DP1835" s="2505"/>
    </row>
    <row r="1836" spans="12:120">
      <c r="L1836" s="347">
        <v>226.02</v>
      </c>
      <c r="M1836" s="347" t="s">
        <v>363</v>
      </c>
      <c r="AB1836" s="347">
        <v>421</v>
      </c>
      <c r="AC1836" s="347" t="s">
        <v>310</v>
      </c>
      <c r="AD1836" s="1138"/>
      <c r="AP1836" s="347">
        <v>505.06</v>
      </c>
      <c r="AQ1836" s="347" t="s">
        <v>356</v>
      </c>
      <c r="BF1836" s="347">
        <v>208.04</v>
      </c>
      <c r="BG1836" s="347" t="s">
        <v>370</v>
      </c>
      <c r="BH1836" s="1790"/>
      <c r="BN1836" s="237">
        <v>12.08</v>
      </c>
      <c r="BO1836" s="237" t="s">
        <v>344</v>
      </c>
      <c r="BT1836" s="347">
        <v>203.04</v>
      </c>
      <c r="BU1836" s="347" t="s">
        <v>357</v>
      </c>
      <c r="CD1836" s="237">
        <v>104.36</v>
      </c>
      <c r="CE1836" s="237" t="s">
        <v>318</v>
      </c>
      <c r="CJ1836" s="347">
        <v>208.06</v>
      </c>
      <c r="CK1836" s="347" t="s">
        <v>369</v>
      </c>
      <c r="CL1836" s="1789"/>
      <c r="CR1836" s="345"/>
      <c r="CS1836" s="345"/>
      <c r="CX1836" s="347"/>
      <c r="CY1836" s="347"/>
      <c r="DH1836" s="237"/>
      <c r="DI1836" s="237"/>
      <c r="DN1836" s="347"/>
      <c r="DO1836" s="347"/>
      <c r="DP1836" s="2505"/>
    </row>
    <row r="1837" spans="12:120">
      <c r="L1837" s="347">
        <v>227</v>
      </c>
      <c r="M1837" s="347" t="s">
        <v>363</v>
      </c>
      <c r="AB1837" s="347">
        <v>421</v>
      </c>
      <c r="AC1837" s="347" t="s">
        <v>360</v>
      </c>
      <c r="AD1837" s="1138"/>
      <c r="AP1837" s="347">
        <v>505.09</v>
      </c>
      <c r="AQ1837" s="347" t="s">
        <v>356</v>
      </c>
      <c r="BF1837" s="347">
        <v>208.05</v>
      </c>
      <c r="BG1837" s="347" t="s">
        <v>369</v>
      </c>
      <c r="BH1837" s="1790"/>
      <c r="BN1837" s="237">
        <v>12.09</v>
      </c>
      <c r="BO1837" s="237" t="s">
        <v>344</v>
      </c>
      <c r="BT1837" s="347">
        <v>203.05</v>
      </c>
      <c r="BU1837" s="347" t="s">
        <v>357</v>
      </c>
      <c r="CD1837" s="237">
        <v>104.37</v>
      </c>
      <c r="CE1837" s="237" t="s">
        <v>318</v>
      </c>
      <c r="CJ1837" s="347">
        <v>208.07</v>
      </c>
      <c r="CK1837" s="347" t="s">
        <v>370</v>
      </c>
      <c r="CL1837" s="1789"/>
      <c r="CR1837" s="345"/>
      <c r="CS1837" s="345"/>
      <c r="CX1837" s="347"/>
      <c r="CY1837" s="347"/>
      <c r="DH1837" s="237"/>
      <c r="DI1837" s="237"/>
      <c r="DN1837" s="347"/>
      <c r="DO1837" s="347"/>
      <c r="DP1837" s="2505"/>
    </row>
    <row r="1838" spans="12:120">
      <c r="L1838" s="347">
        <v>228.01</v>
      </c>
      <c r="M1838" s="347" t="s">
        <v>363</v>
      </c>
      <c r="AB1838" s="347">
        <v>422</v>
      </c>
      <c r="AC1838" s="347" t="s">
        <v>310</v>
      </c>
      <c r="AD1838" s="1138"/>
      <c r="AP1838" s="347">
        <v>201.01</v>
      </c>
      <c r="AQ1838" s="347" t="s">
        <v>357</v>
      </c>
      <c r="BF1838" s="347">
        <v>208.07</v>
      </c>
      <c r="BG1838" s="347" t="s">
        <v>370</v>
      </c>
      <c r="BH1838" s="1790"/>
      <c r="BN1838" s="237">
        <v>13</v>
      </c>
      <c r="BO1838" s="237" t="s">
        <v>344</v>
      </c>
      <c r="BT1838" s="347">
        <v>203.06</v>
      </c>
      <c r="BU1838" s="347" t="s">
        <v>357</v>
      </c>
      <c r="CD1838" s="237">
        <v>104.38</v>
      </c>
      <c r="CE1838" s="237" t="s">
        <v>318</v>
      </c>
      <c r="CJ1838" s="347">
        <v>208.08</v>
      </c>
      <c r="CK1838" s="347" t="s">
        <v>369</v>
      </c>
      <c r="CL1838" s="1789"/>
      <c r="CR1838" s="345"/>
      <c r="CS1838" s="345"/>
      <c r="CX1838" s="347"/>
      <c r="CY1838" s="347"/>
      <c r="DH1838" s="237"/>
      <c r="DI1838" s="237"/>
      <c r="DN1838" s="347"/>
      <c r="DO1838" s="347"/>
      <c r="DP1838" s="2505"/>
    </row>
    <row r="1839" spans="12:120">
      <c r="L1839" s="347">
        <v>228.02</v>
      </c>
      <c r="M1839" s="347" t="s">
        <v>363</v>
      </c>
      <c r="AB1839" s="347">
        <v>423.01</v>
      </c>
      <c r="AC1839" s="347" t="s">
        <v>310</v>
      </c>
      <c r="AD1839" s="1138"/>
      <c r="AP1839" s="347">
        <v>203.04</v>
      </c>
      <c r="AQ1839" s="347" t="s">
        <v>357</v>
      </c>
      <c r="BF1839" s="347">
        <v>208.08</v>
      </c>
      <c r="BG1839" s="347" t="s">
        <v>369</v>
      </c>
      <c r="BH1839" s="1790"/>
      <c r="BN1839" s="237">
        <v>14.01</v>
      </c>
      <c r="BO1839" s="237" t="s">
        <v>344</v>
      </c>
      <c r="BT1839" s="347">
        <v>206.01</v>
      </c>
      <c r="BU1839" s="347" t="s">
        <v>357</v>
      </c>
      <c r="CD1839" s="237">
        <v>105</v>
      </c>
      <c r="CE1839" s="237" t="s">
        <v>359</v>
      </c>
      <c r="CJ1839" s="347">
        <v>208.08</v>
      </c>
      <c r="CK1839" s="347" t="s">
        <v>370</v>
      </c>
      <c r="CL1839" s="1789"/>
      <c r="CR1839" s="345"/>
      <c r="CS1839" s="345"/>
      <c r="CX1839" s="347"/>
      <c r="CY1839" s="347"/>
      <c r="DH1839" s="237"/>
      <c r="DI1839" s="237"/>
      <c r="DN1839" s="347"/>
      <c r="DO1839" s="347"/>
      <c r="DP1839" s="2505"/>
    </row>
    <row r="1840" spans="12:120">
      <c r="L1840" s="347">
        <v>229.01</v>
      </c>
      <c r="M1840" s="347" t="s">
        <v>363</v>
      </c>
      <c r="AB1840" s="347">
        <v>424</v>
      </c>
      <c r="AC1840" s="347" t="s">
        <v>310</v>
      </c>
      <c r="AD1840" s="1138"/>
      <c r="AP1840" s="347">
        <v>203.05</v>
      </c>
      <c r="AQ1840" s="347" t="s">
        <v>357</v>
      </c>
      <c r="BF1840" s="347">
        <v>208.08</v>
      </c>
      <c r="BG1840" s="347" t="s">
        <v>370</v>
      </c>
      <c r="BH1840" s="1790"/>
      <c r="BN1840" s="237">
        <v>14.02</v>
      </c>
      <c r="BO1840" s="237" t="s">
        <v>344</v>
      </c>
      <c r="BT1840" s="347">
        <v>206.02</v>
      </c>
      <c r="BU1840" s="347" t="s">
        <v>357</v>
      </c>
      <c r="CD1840" s="237">
        <v>105.01</v>
      </c>
      <c r="CE1840" s="237" t="s">
        <v>323</v>
      </c>
      <c r="CJ1840" s="347">
        <v>208.09</v>
      </c>
      <c r="CK1840" s="347" t="s">
        <v>370</v>
      </c>
      <c r="CL1840" s="1789"/>
      <c r="CR1840" s="345"/>
      <c r="CS1840" s="345"/>
      <c r="CX1840" s="347"/>
      <c r="CY1840" s="347"/>
      <c r="DH1840" s="237"/>
      <c r="DI1840" s="237"/>
      <c r="DN1840" s="347"/>
      <c r="DO1840" s="347"/>
      <c r="DP1840" s="2505"/>
    </row>
    <row r="1841" spans="12:120">
      <c r="L1841" s="347">
        <v>232</v>
      </c>
      <c r="M1841" s="347" t="s">
        <v>363</v>
      </c>
      <c r="AB1841" s="347">
        <v>424</v>
      </c>
      <c r="AC1841" s="347" t="s">
        <v>360</v>
      </c>
      <c r="AD1841" s="1138"/>
      <c r="AP1841" s="347">
        <v>203.06</v>
      </c>
      <c r="AQ1841" s="347" t="s">
        <v>357</v>
      </c>
      <c r="BF1841" s="347">
        <v>208.09</v>
      </c>
      <c r="BG1841" s="347" t="s">
        <v>370</v>
      </c>
      <c r="BH1841" s="1790"/>
      <c r="BN1841" s="237">
        <v>15.01</v>
      </c>
      <c r="BO1841" s="237" t="s">
        <v>344</v>
      </c>
      <c r="BT1841" s="347">
        <v>207.01</v>
      </c>
      <c r="BU1841" s="347" t="s">
        <v>357</v>
      </c>
      <c r="CD1841" s="237">
        <v>105.01</v>
      </c>
      <c r="CE1841" s="237" t="s">
        <v>337</v>
      </c>
      <c r="CJ1841" s="347">
        <v>208.1</v>
      </c>
      <c r="CK1841" s="347" t="s">
        <v>369</v>
      </c>
      <c r="CL1841" s="1789"/>
      <c r="CR1841" s="345"/>
      <c r="CS1841" s="345"/>
      <c r="CX1841" s="347"/>
      <c r="CY1841" s="347"/>
      <c r="DH1841" s="237"/>
      <c r="DI1841" s="237"/>
      <c r="DN1841" s="347"/>
      <c r="DO1841" s="347"/>
      <c r="DP1841" s="2505"/>
    </row>
    <row r="1842" spans="12:120">
      <c r="L1842" s="347">
        <v>233</v>
      </c>
      <c r="M1842" s="347" t="s">
        <v>363</v>
      </c>
      <c r="AB1842" s="347">
        <v>425</v>
      </c>
      <c r="AC1842" s="347" t="s">
        <v>310</v>
      </c>
      <c r="AD1842" s="1138"/>
      <c r="AP1842" s="347">
        <v>206.02</v>
      </c>
      <c r="AQ1842" s="347" t="s">
        <v>357</v>
      </c>
      <c r="BF1842" s="347">
        <v>208.1</v>
      </c>
      <c r="BG1842" s="347" t="s">
        <v>369</v>
      </c>
      <c r="BH1842" s="1790"/>
      <c r="BN1842" s="237">
        <v>15.02</v>
      </c>
      <c r="BO1842" s="237" t="s">
        <v>344</v>
      </c>
      <c r="BT1842" s="347">
        <v>207.02</v>
      </c>
      <c r="BU1842" s="347" t="s">
        <v>357</v>
      </c>
      <c r="CD1842" s="237">
        <v>105.01</v>
      </c>
      <c r="CE1842" s="237" t="s">
        <v>344</v>
      </c>
      <c r="CJ1842" s="347">
        <v>208.1</v>
      </c>
      <c r="CK1842" s="347" t="s">
        <v>370</v>
      </c>
      <c r="CL1842" s="1789"/>
      <c r="CR1842" s="345"/>
      <c r="CS1842" s="345"/>
      <c r="CX1842" s="347"/>
      <c r="CY1842" s="347"/>
      <c r="DH1842" s="237"/>
      <c r="DI1842" s="237"/>
      <c r="DN1842" s="347"/>
      <c r="DO1842" s="347"/>
      <c r="DP1842" s="2505"/>
    </row>
    <row r="1843" spans="12:120">
      <c r="L1843" s="347">
        <v>235</v>
      </c>
      <c r="M1843" s="347" t="s">
        <v>363</v>
      </c>
      <c r="AB1843" s="347">
        <v>426</v>
      </c>
      <c r="AC1843" s="347" t="s">
        <v>310</v>
      </c>
      <c r="AD1843" s="1138"/>
      <c r="AP1843" s="347">
        <v>207.02</v>
      </c>
      <c r="AQ1843" s="347" t="s">
        <v>357</v>
      </c>
      <c r="BF1843" s="347">
        <v>208.1</v>
      </c>
      <c r="BG1843" s="347" t="s">
        <v>370</v>
      </c>
      <c r="BH1843" s="1790"/>
      <c r="BN1843" s="237">
        <v>16.010000000000002</v>
      </c>
      <c r="BO1843" s="237" t="s">
        <v>344</v>
      </c>
      <c r="BT1843" s="347">
        <v>208</v>
      </c>
      <c r="BU1843" s="347" t="s">
        <v>357</v>
      </c>
      <c r="CD1843" s="237">
        <v>105.01</v>
      </c>
      <c r="CE1843" s="237" t="s">
        <v>352</v>
      </c>
      <c r="CJ1843" s="347">
        <v>208.11</v>
      </c>
      <c r="CK1843" s="347" t="s">
        <v>369</v>
      </c>
      <c r="CL1843" s="1789"/>
      <c r="CR1843" s="345"/>
      <c r="CS1843" s="345"/>
      <c r="CX1843" s="347"/>
      <c r="CY1843" s="347"/>
      <c r="DH1843" s="237"/>
      <c r="DI1843" s="237"/>
      <c r="DN1843" s="347"/>
      <c r="DO1843" s="347"/>
      <c r="DP1843" s="2505"/>
    </row>
    <row r="1844" spans="12:120">
      <c r="L1844" s="347">
        <v>236</v>
      </c>
      <c r="M1844" s="347" t="s">
        <v>363</v>
      </c>
      <c r="AB1844" s="347">
        <v>426.01</v>
      </c>
      <c r="AC1844" s="347" t="s">
        <v>360</v>
      </c>
      <c r="AD1844" s="1138"/>
      <c r="AP1844" s="347">
        <v>208</v>
      </c>
      <c r="AQ1844" s="347" t="s">
        <v>357</v>
      </c>
      <c r="BF1844" s="347">
        <v>208.11</v>
      </c>
      <c r="BG1844" s="347" t="s">
        <v>369</v>
      </c>
      <c r="BH1844" s="1790"/>
      <c r="BN1844" s="237">
        <v>16.02</v>
      </c>
      <c r="BO1844" s="237" t="s">
        <v>344</v>
      </c>
      <c r="BT1844" s="347">
        <v>209</v>
      </c>
      <c r="BU1844" s="347" t="s">
        <v>357</v>
      </c>
      <c r="CD1844" s="237">
        <v>105.01</v>
      </c>
      <c r="CE1844" s="237" t="s">
        <v>365</v>
      </c>
      <c r="CJ1844" s="347">
        <v>208.11</v>
      </c>
      <c r="CK1844" s="347" t="s">
        <v>370</v>
      </c>
      <c r="CL1844" s="1789"/>
      <c r="CR1844" s="345"/>
      <c r="CS1844" s="345"/>
      <c r="CX1844" s="347"/>
      <c r="CY1844" s="347"/>
      <c r="DH1844" s="237"/>
      <c r="DI1844" s="237"/>
      <c r="DN1844" s="347"/>
      <c r="DO1844" s="347"/>
      <c r="DP1844" s="2505"/>
    </row>
    <row r="1845" spans="12:120">
      <c r="L1845" s="347">
        <v>237</v>
      </c>
      <c r="M1845" s="347" t="s">
        <v>363</v>
      </c>
      <c r="AB1845" s="347">
        <v>426.02</v>
      </c>
      <c r="AC1845" s="347" t="s">
        <v>360</v>
      </c>
      <c r="AD1845" s="1138"/>
      <c r="AP1845" s="347">
        <v>209</v>
      </c>
      <c r="AQ1845" s="347" t="s">
        <v>357</v>
      </c>
      <c r="BF1845" s="347">
        <v>208.11</v>
      </c>
      <c r="BG1845" s="347" t="s">
        <v>370</v>
      </c>
      <c r="BH1845" s="1790"/>
      <c r="BN1845" s="237">
        <v>17.010000000000002</v>
      </c>
      <c r="BO1845" s="237" t="s">
        <v>344</v>
      </c>
      <c r="BT1845" s="347">
        <v>210.01</v>
      </c>
      <c r="BU1845" s="347" t="s">
        <v>357</v>
      </c>
      <c r="CD1845" s="345">
        <v>105.02</v>
      </c>
      <c r="CE1845" s="345" t="s">
        <v>310</v>
      </c>
      <c r="CJ1845" s="347">
        <v>209</v>
      </c>
      <c r="CK1845" s="347" t="s">
        <v>315</v>
      </c>
      <c r="CL1845" s="1789"/>
      <c r="CR1845" s="345"/>
      <c r="CS1845" s="345"/>
      <c r="CX1845" s="347"/>
      <c r="CY1845" s="347"/>
      <c r="DH1845" s="237"/>
      <c r="DI1845" s="237"/>
      <c r="DN1845" s="347"/>
      <c r="DO1845" s="347"/>
      <c r="DP1845" s="2505"/>
    </row>
    <row r="1846" spans="12:120">
      <c r="L1846" s="347">
        <v>238</v>
      </c>
      <c r="M1846" s="347" t="s">
        <v>363</v>
      </c>
      <c r="AB1846" s="347">
        <v>428</v>
      </c>
      <c r="AC1846" s="347" t="s">
        <v>360</v>
      </c>
      <c r="AD1846" s="1138"/>
      <c r="AP1846" s="347">
        <v>210.01</v>
      </c>
      <c r="AQ1846" s="347" t="s">
        <v>357</v>
      </c>
      <c r="BF1846" s="347">
        <v>209</v>
      </c>
      <c r="BG1846" s="347" t="s">
        <v>315</v>
      </c>
      <c r="BH1846" s="1790"/>
      <c r="BN1846" s="237">
        <v>17.05</v>
      </c>
      <c r="BO1846" s="237" t="s">
        <v>344</v>
      </c>
      <c r="BT1846" s="347">
        <v>210.02</v>
      </c>
      <c r="BU1846" s="347" t="s">
        <v>357</v>
      </c>
      <c r="CD1846" s="237">
        <v>105.02</v>
      </c>
      <c r="CE1846" s="237" t="s">
        <v>323</v>
      </c>
      <c r="CJ1846" s="347">
        <v>209</v>
      </c>
      <c r="CK1846" s="347" t="s">
        <v>357</v>
      </c>
      <c r="CL1846" s="1789"/>
      <c r="CR1846" s="345"/>
      <c r="CS1846" s="345"/>
      <c r="CX1846" s="347"/>
      <c r="CY1846" s="347"/>
      <c r="DH1846" s="237"/>
      <c r="DI1846" s="237"/>
      <c r="DN1846" s="347"/>
      <c r="DO1846" s="347"/>
      <c r="DP1846" s="2505"/>
    </row>
    <row r="1847" spans="12:120">
      <c r="L1847" s="347">
        <v>239</v>
      </c>
      <c r="M1847" s="347" t="s">
        <v>363</v>
      </c>
      <c r="AB1847" s="347">
        <v>429</v>
      </c>
      <c r="AC1847" s="347" t="s">
        <v>360</v>
      </c>
      <c r="AD1847" s="1138"/>
      <c r="AP1847" s="347">
        <v>210.02</v>
      </c>
      <c r="AQ1847" s="347" t="s">
        <v>357</v>
      </c>
      <c r="BF1847" s="347">
        <v>209</v>
      </c>
      <c r="BG1847" s="347" t="s">
        <v>357</v>
      </c>
      <c r="BH1847" s="1790"/>
      <c r="BN1847" s="237">
        <v>17.059999999999999</v>
      </c>
      <c r="BO1847" s="237" t="s">
        <v>344</v>
      </c>
      <c r="BT1847" s="347">
        <v>211.02</v>
      </c>
      <c r="BU1847" s="347" t="s">
        <v>357</v>
      </c>
      <c r="CD1847" s="237">
        <v>105.02</v>
      </c>
      <c r="CE1847" s="237" t="s">
        <v>337</v>
      </c>
      <c r="CJ1847" s="347">
        <v>209.04</v>
      </c>
      <c r="CK1847" s="347" t="s">
        <v>370</v>
      </c>
      <c r="CL1847" s="1789"/>
      <c r="CR1847" s="345"/>
      <c r="CS1847" s="345"/>
      <c r="CX1847" s="347"/>
      <c r="CY1847" s="347"/>
      <c r="DH1847" s="237"/>
      <c r="DI1847" s="237"/>
      <c r="DN1847" s="347"/>
      <c r="DO1847" s="347"/>
      <c r="DP1847" s="2505"/>
    </row>
    <row r="1848" spans="12:120">
      <c r="L1848" s="347">
        <v>240.01</v>
      </c>
      <c r="M1848" s="347" t="s">
        <v>363</v>
      </c>
      <c r="AB1848" s="347">
        <v>430.01</v>
      </c>
      <c r="AC1848" s="347" t="s">
        <v>310</v>
      </c>
      <c r="AD1848" s="1138"/>
      <c r="AP1848" s="347">
        <v>211.02</v>
      </c>
      <c r="AQ1848" s="347" t="s">
        <v>357</v>
      </c>
      <c r="BF1848" s="347">
        <v>209.04</v>
      </c>
      <c r="BG1848" s="347" t="s">
        <v>370</v>
      </c>
      <c r="BH1848" s="1790"/>
      <c r="BN1848" s="237">
        <v>17.079999999999998</v>
      </c>
      <c r="BO1848" s="237" t="s">
        <v>344</v>
      </c>
      <c r="BT1848" s="347">
        <v>212</v>
      </c>
      <c r="BU1848" s="347" t="s">
        <v>357</v>
      </c>
      <c r="CD1848" s="237">
        <v>105.02</v>
      </c>
      <c r="CE1848" s="237" t="s">
        <v>352</v>
      </c>
      <c r="CJ1848" s="347">
        <v>209.05</v>
      </c>
      <c r="CK1848" s="347" t="s">
        <v>369</v>
      </c>
      <c r="CL1848" s="1789"/>
      <c r="CR1848" s="345"/>
      <c r="CS1848" s="345"/>
      <c r="CX1848" s="347"/>
      <c r="CY1848" s="347"/>
      <c r="DH1848" s="237"/>
      <c r="DI1848" s="237"/>
      <c r="DN1848" s="347"/>
      <c r="DO1848" s="347"/>
      <c r="DP1848" s="2505"/>
    </row>
    <row r="1849" spans="12:120">
      <c r="L1849" s="347">
        <v>240.02</v>
      </c>
      <c r="M1849" s="347" t="s">
        <v>363</v>
      </c>
      <c r="AB1849" s="347">
        <v>431</v>
      </c>
      <c r="AC1849" s="347" t="s">
        <v>310</v>
      </c>
      <c r="AD1849" s="1138"/>
      <c r="AP1849" s="347">
        <v>212</v>
      </c>
      <c r="AQ1849" s="347" t="s">
        <v>357</v>
      </c>
      <c r="BF1849" s="347">
        <v>209.05</v>
      </c>
      <c r="BG1849" s="347" t="s">
        <v>370</v>
      </c>
      <c r="BH1849" s="1790"/>
      <c r="BN1849" s="237">
        <v>17.09</v>
      </c>
      <c r="BO1849" s="237" t="s">
        <v>344</v>
      </c>
      <c r="BT1849" s="347">
        <v>214</v>
      </c>
      <c r="BU1849" s="347" t="s">
        <v>357</v>
      </c>
      <c r="CD1849" s="237">
        <v>105.02</v>
      </c>
      <c r="CE1849" s="237" t="s">
        <v>365</v>
      </c>
      <c r="CJ1849" s="347">
        <v>209.05</v>
      </c>
      <c r="CK1849" s="347" t="s">
        <v>370</v>
      </c>
      <c r="CL1849" s="1789"/>
      <c r="CR1849" s="345"/>
      <c r="CS1849" s="345"/>
      <c r="CX1849" s="347"/>
      <c r="CY1849" s="347"/>
      <c r="DH1849" s="237"/>
      <c r="DI1849" s="237"/>
      <c r="DN1849" s="347"/>
      <c r="DO1849" s="347"/>
      <c r="DP1849" s="2505"/>
    </row>
    <row r="1850" spans="12:120">
      <c r="L1850" s="347">
        <v>240.04</v>
      </c>
      <c r="M1850" s="347" t="s">
        <v>363</v>
      </c>
      <c r="AB1850" s="347">
        <v>431</v>
      </c>
      <c r="AC1850" s="347" t="s">
        <v>360</v>
      </c>
      <c r="AD1850" s="1138"/>
      <c r="AP1850" s="347">
        <v>215.01</v>
      </c>
      <c r="AQ1850" s="347" t="s">
        <v>357</v>
      </c>
      <c r="BF1850" s="347">
        <v>209.06</v>
      </c>
      <c r="BG1850" s="347" t="s">
        <v>370</v>
      </c>
      <c r="BH1850" s="1790"/>
      <c r="BN1850" s="237">
        <v>17.100000000000001</v>
      </c>
      <c r="BO1850" s="237" t="s">
        <v>344</v>
      </c>
      <c r="BT1850" s="347">
        <v>215.01</v>
      </c>
      <c r="BU1850" s="347" t="s">
        <v>357</v>
      </c>
      <c r="CD1850" s="345">
        <v>105.03</v>
      </c>
      <c r="CE1850" s="345" t="s">
        <v>310</v>
      </c>
      <c r="CJ1850" s="347">
        <v>209.07</v>
      </c>
      <c r="CK1850" s="347" t="s">
        <v>370</v>
      </c>
      <c r="CL1850" s="1789"/>
      <c r="CR1850" s="345"/>
      <c r="CS1850" s="345"/>
      <c r="CX1850" s="347"/>
      <c r="CY1850" s="347"/>
      <c r="DH1850" s="237"/>
      <c r="DI1850" s="237"/>
      <c r="DN1850" s="347"/>
      <c r="DO1850" s="347"/>
      <c r="DP1850" s="2505"/>
    </row>
    <row r="1851" spans="12:120">
      <c r="L1851" s="347">
        <v>240.05</v>
      </c>
      <c r="M1851" s="347" t="s">
        <v>363</v>
      </c>
      <c r="AB1851" s="347">
        <v>432.02</v>
      </c>
      <c r="AC1851" s="347" t="s">
        <v>360</v>
      </c>
      <c r="AD1851" s="1138"/>
      <c r="AP1851" s="347">
        <v>216</v>
      </c>
      <c r="AQ1851" s="347" t="s">
        <v>357</v>
      </c>
      <c r="BF1851" s="347">
        <v>209.07</v>
      </c>
      <c r="BG1851" s="347" t="s">
        <v>370</v>
      </c>
      <c r="BH1851" s="1790"/>
      <c r="BN1851" s="237">
        <v>17.11</v>
      </c>
      <c r="BO1851" s="237" t="s">
        <v>344</v>
      </c>
      <c r="BT1851" s="347">
        <v>215.02</v>
      </c>
      <c r="BU1851" s="347" t="s">
        <v>357</v>
      </c>
      <c r="CD1851" s="345">
        <v>105.03</v>
      </c>
      <c r="CE1851" s="345" t="s">
        <v>315</v>
      </c>
      <c r="CJ1851" s="347">
        <v>209.08</v>
      </c>
      <c r="CK1851" s="347" t="s">
        <v>370</v>
      </c>
      <c r="CL1851" s="1789"/>
      <c r="CR1851" s="345"/>
      <c r="CS1851" s="345"/>
      <c r="CX1851" s="347"/>
      <c r="CY1851" s="347"/>
      <c r="DH1851" s="237"/>
      <c r="DI1851" s="237"/>
      <c r="DN1851" s="347"/>
      <c r="DO1851" s="347"/>
      <c r="DP1851" s="2505"/>
    </row>
    <row r="1852" spans="12:120">
      <c r="L1852" s="347">
        <v>241</v>
      </c>
      <c r="M1852" s="347" t="s">
        <v>363</v>
      </c>
      <c r="AB1852" s="347">
        <v>432.04</v>
      </c>
      <c r="AC1852" s="347" t="s">
        <v>360</v>
      </c>
      <c r="AD1852" s="1138"/>
      <c r="AP1852" s="347">
        <v>217</v>
      </c>
      <c r="AQ1852" s="347" t="s">
        <v>357</v>
      </c>
      <c r="BF1852" s="347">
        <v>210</v>
      </c>
      <c r="BG1852" s="347" t="s">
        <v>369</v>
      </c>
      <c r="BH1852" s="1790"/>
      <c r="BN1852" s="237">
        <v>18.010000000000002</v>
      </c>
      <c r="BO1852" s="237" t="s">
        <v>344</v>
      </c>
      <c r="BT1852" s="347">
        <v>216</v>
      </c>
      <c r="BU1852" s="347" t="s">
        <v>357</v>
      </c>
      <c r="CD1852" s="237">
        <v>105.03</v>
      </c>
      <c r="CE1852" s="237" t="s">
        <v>323</v>
      </c>
      <c r="CJ1852" s="347">
        <v>210</v>
      </c>
      <c r="CK1852" s="347" t="s">
        <v>369</v>
      </c>
      <c r="CL1852" s="1789"/>
      <c r="CR1852" s="345"/>
      <c r="CS1852" s="345"/>
      <c r="CX1852" s="347"/>
      <c r="CY1852" s="347"/>
      <c r="DH1852" s="237"/>
      <c r="DI1852" s="237"/>
      <c r="DN1852" s="347"/>
      <c r="DO1852" s="347"/>
      <c r="DP1852" s="2505"/>
    </row>
    <row r="1853" spans="12:120">
      <c r="L1853" s="347">
        <v>243.01</v>
      </c>
      <c r="M1853" s="347" t="s">
        <v>363</v>
      </c>
      <c r="AB1853" s="347">
        <v>433.01</v>
      </c>
      <c r="AC1853" s="347" t="s">
        <v>310</v>
      </c>
      <c r="AD1853" s="1138"/>
      <c r="AP1853" s="347">
        <v>218.01</v>
      </c>
      <c r="AQ1853" s="347" t="s">
        <v>357</v>
      </c>
      <c r="BF1853" s="347">
        <v>210.01</v>
      </c>
      <c r="BG1853" s="347" t="s">
        <v>315</v>
      </c>
      <c r="BH1853" s="1790"/>
      <c r="BN1853" s="237">
        <v>18.02</v>
      </c>
      <c r="BO1853" s="237" t="s">
        <v>344</v>
      </c>
      <c r="BT1853" s="347">
        <v>217</v>
      </c>
      <c r="BU1853" s="347" t="s">
        <v>357</v>
      </c>
      <c r="CD1853" s="237">
        <v>105.03</v>
      </c>
      <c r="CE1853" s="237" t="s">
        <v>344</v>
      </c>
      <c r="CJ1853" s="347">
        <v>210.01</v>
      </c>
      <c r="CK1853" s="347" t="s">
        <v>357</v>
      </c>
      <c r="CL1853" s="1789"/>
      <c r="CR1853" s="345"/>
      <c r="CS1853" s="345"/>
      <c r="CX1853" s="347"/>
      <c r="CY1853" s="347"/>
      <c r="DH1853" s="237"/>
      <c r="DI1853" s="237"/>
      <c r="DN1853" s="347"/>
      <c r="DO1853" s="347"/>
      <c r="DP1853" s="2505"/>
    </row>
    <row r="1854" spans="12:120">
      <c r="L1854" s="347">
        <v>243.02</v>
      </c>
      <c r="M1854" s="347" t="s">
        <v>363</v>
      </c>
      <c r="AB1854" s="347">
        <v>433.01</v>
      </c>
      <c r="AC1854" s="347" t="s">
        <v>360</v>
      </c>
      <c r="AD1854" s="1138"/>
      <c r="AP1854" s="347">
        <v>219.02</v>
      </c>
      <c r="AQ1854" s="347" t="s">
        <v>357</v>
      </c>
      <c r="BF1854" s="347">
        <v>210.01</v>
      </c>
      <c r="BG1854" s="347" t="s">
        <v>357</v>
      </c>
      <c r="BH1854" s="1790"/>
      <c r="BN1854" s="237">
        <v>19.03</v>
      </c>
      <c r="BO1854" s="237" t="s">
        <v>344</v>
      </c>
      <c r="BT1854" s="347">
        <v>218.01</v>
      </c>
      <c r="BU1854" s="347" t="s">
        <v>357</v>
      </c>
      <c r="CD1854" s="237">
        <v>105.03</v>
      </c>
      <c r="CE1854" s="237" t="s">
        <v>367</v>
      </c>
      <c r="CJ1854" s="347">
        <v>210.02</v>
      </c>
      <c r="CK1854" s="347" t="s">
        <v>315</v>
      </c>
      <c r="CL1854" s="1789"/>
      <c r="CR1854" s="345"/>
      <c r="CS1854" s="345"/>
      <c r="CX1854" s="347"/>
      <c r="CY1854" s="347"/>
      <c r="DH1854" s="237"/>
      <c r="DI1854" s="237"/>
      <c r="DN1854" s="347"/>
      <c r="DO1854" s="347"/>
      <c r="DP1854" s="2505"/>
    </row>
    <row r="1855" spans="12:120">
      <c r="L1855" s="347">
        <v>244.06</v>
      </c>
      <c r="M1855" s="347" t="s">
        <v>363</v>
      </c>
      <c r="AB1855" s="347">
        <v>433.02</v>
      </c>
      <c r="AC1855" s="347" t="s">
        <v>360</v>
      </c>
      <c r="AD1855" s="1138"/>
      <c r="AP1855" s="347">
        <v>224</v>
      </c>
      <c r="AQ1855" s="347" t="s">
        <v>357</v>
      </c>
      <c r="BF1855" s="347">
        <v>210.02</v>
      </c>
      <c r="BG1855" s="347" t="s">
        <v>357</v>
      </c>
      <c r="BH1855" s="1790"/>
      <c r="BN1855" s="237">
        <v>19.079999999999998</v>
      </c>
      <c r="BO1855" s="237" t="s">
        <v>344</v>
      </c>
      <c r="BT1855" s="347">
        <v>219.02</v>
      </c>
      <c r="BU1855" s="347" t="s">
        <v>357</v>
      </c>
      <c r="CD1855" s="345">
        <v>105.04</v>
      </c>
      <c r="CE1855" s="345" t="s">
        <v>310</v>
      </c>
      <c r="CJ1855" s="347">
        <v>210.02</v>
      </c>
      <c r="CK1855" s="347" t="s">
        <v>357</v>
      </c>
      <c r="CL1855" s="1789"/>
      <c r="CR1855" s="345"/>
      <c r="CS1855" s="345"/>
      <c r="CX1855" s="347"/>
      <c r="CY1855" s="347"/>
      <c r="DH1855" s="237"/>
      <c r="DI1855" s="237"/>
      <c r="DN1855" s="347"/>
      <c r="DO1855" s="347"/>
      <c r="DP1855" s="2505"/>
    </row>
    <row r="1856" spans="12:120">
      <c r="L1856" s="347">
        <v>244.09</v>
      </c>
      <c r="M1856" s="347" t="s">
        <v>363</v>
      </c>
      <c r="AB1856" s="347">
        <v>434</v>
      </c>
      <c r="AC1856" s="347" t="s">
        <v>360</v>
      </c>
      <c r="AD1856" s="1138"/>
      <c r="AP1856" s="347">
        <v>233.03</v>
      </c>
      <c r="AQ1856" s="347" t="s">
        <v>357</v>
      </c>
      <c r="BF1856" s="347">
        <v>211</v>
      </c>
      <c r="BG1856" s="347" t="s">
        <v>369</v>
      </c>
      <c r="BH1856" s="1790"/>
      <c r="BN1856" s="237">
        <v>19.100000000000001</v>
      </c>
      <c r="BO1856" s="237" t="s">
        <v>344</v>
      </c>
      <c r="BT1856" s="347">
        <v>224</v>
      </c>
      <c r="BU1856" s="347" t="s">
        <v>357</v>
      </c>
      <c r="CD1856" s="345">
        <v>105.04</v>
      </c>
      <c r="CE1856" s="345" t="s">
        <v>315</v>
      </c>
      <c r="CJ1856" s="347">
        <v>211</v>
      </c>
      <c r="CK1856" s="347" t="s">
        <v>369</v>
      </c>
      <c r="CL1856" s="1789"/>
      <c r="CR1856" s="345"/>
      <c r="CS1856" s="345"/>
      <c r="CX1856" s="347"/>
      <c r="CY1856" s="347"/>
      <c r="DH1856" s="237"/>
      <c r="DI1856" s="237"/>
      <c r="DN1856" s="347"/>
      <c r="DO1856" s="347"/>
      <c r="DP1856" s="2505"/>
    </row>
    <row r="1857" spans="12:120">
      <c r="L1857" s="347">
        <v>244.11</v>
      </c>
      <c r="M1857" s="347" t="s">
        <v>363</v>
      </c>
      <c r="AB1857" s="347">
        <v>436</v>
      </c>
      <c r="AC1857" s="347" t="s">
        <v>360</v>
      </c>
      <c r="AD1857" s="1138"/>
      <c r="AP1857" s="347">
        <v>233.04</v>
      </c>
      <c r="AQ1857" s="347" t="s">
        <v>357</v>
      </c>
      <c r="BF1857" s="347">
        <v>211.02</v>
      </c>
      <c r="BG1857" s="347" t="s">
        <v>357</v>
      </c>
      <c r="BH1857" s="1790"/>
      <c r="BN1857" s="237">
        <v>19.11</v>
      </c>
      <c r="BO1857" s="237" t="s">
        <v>344</v>
      </c>
      <c r="BT1857" s="347">
        <v>225</v>
      </c>
      <c r="BU1857" s="347" t="s">
        <v>357</v>
      </c>
      <c r="CD1857" s="237">
        <v>105.04</v>
      </c>
      <c r="CE1857" s="237" t="s">
        <v>344</v>
      </c>
      <c r="CJ1857" s="347">
        <v>211.02</v>
      </c>
      <c r="CK1857" s="347" t="s">
        <v>357</v>
      </c>
      <c r="CL1857" s="1789"/>
      <c r="CR1857" s="345"/>
      <c r="CS1857" s="345"/>
      <c r="CX1857" s="347"/>
      <c r="CY1857" s="347"/>
      <c r="DH1857" s="237"/>
      <c r="DI1857" s="237"/>
      <c r="DN1857" s="347"/>
      <c r="DO1857" s="347"/>
      <c r="DP1857" s="2505"/>
    </row>
    <row r="1858" spans="12:120">
      <c r="L1858" s="347">
        <v>244.12</v>
      </c>
      <c r="M1858" s="347" t="s">
        <v>363</v>
      </c>
      <c r="AB1858" s="347">
        <v>437</v>
      </c>
      <c r="AC1858" s="347" t="s">
        <v>360</v>
      </c>
      <c r="AD1858" s="1138"/>
      <c r="AP1858" s="347">
        <v>233.05</v>
      </c>
      <c r="AQ1858" s="347" t="s">
        <v>357</v>
      </c>
      <c r="BF1858" s="347">
        <v>212</v>
      </c>
      <c r="BG1858" s="347" t="s">
        <v>357</v>
      </c>
      <c r="BH1858" s="1790"/>
      <c r="BN1858" s="237">
        <v>19.12</v>
      </c>
      <c r="BO1858" s="237" t="s">
        <v>344</v>
      </c>
      <c r="BT1858" s="347">
        <v>232</v>
      </c>
      <c r="BU1858" s="347" t="s">
        <v>357</v>
      </c>
      <c r="CD1858" s="237">
        <v>105.04</v>
      </c>
      <c r="CE1858" s="237" t="s">
        <v>367</v>
      </c>
      <c r="CJ1858" s="347">
        <v>212</v>
      </c>
      <c r="CK1858" s="347" t="s">
        <v>357</v>
      </c>
      <c r="CL1858" s="1789"/>
      <c r="CR1858" s="345"/>
      <c r="CS1858" s="345"/>
      <c r="CX1858" s="347"/>
      <c r="CY1858" s="347"/>
      <c r="DH1858" s="237"/>
      <c r="DI1858" s="237"/>
      <c r="DN1858" s="347"/>
      <c r="DO1858" s="347"/>
      <c r="DP1858" s="2505"/>
    </row>
    <row r="1859" spans="12:120">
      <c r="L1859" s="347">
        <v>245.05</v>
      </c>
      <c r="M1859" s="347" t="s">
        <v>363</v>
      </c>
      <c r="AB1859" s="347">
        <v>438</v>
      </c>
      <c r="AC1859" s="347" t="s">
        <v>360</v>
      </c>
      <c r="AD1859" s="1138"/>
      <c r="AP1859" s="347">
        <v>233.06</v>
      </c>
      <c r="AQ1859" s="347" t="s">
        <v>357</v>
      </c>
      <c r="BF1859" s="347">
        <v>212.01</v>
      </c>
      <c r="BG1859" s="347" t="s">
        <v>369</v>
      </c>
      <c r="BH1859" s="1790"/>
      <c r="BN1859" s="237">
        <v>19.13</v>
      </c>
      <c r="BO1859" s="237" t="s">
        <v>344</v>
      </c>
      <c r="BT1859" s="347">
        <v>233.03</v>
      </c>
      <c r="BU1859" s="347" t="s">
        <v>357</v>
      </c>
      <c r="CD1859" s="345">
        <v>105.05</v>
      </c>
      <c r="CE1859" s="345" t="s">
        <v>315</v>
      </c>
      <c r="CJ1859" s="347">
        <v>212.01</v>
      </c>
      <c r="CK1859" s="347" t="s">
        <v>369</v>
      </c>
      <c r="CL1859" s="1789"/>
      <c r="CR1859" s="345"/>
      <c r="CS1859" s="345"/>
      <c r="CX1859" s="347"/>
      <c r="CY1859" s="347"/>
      <c r="DH1859" s="237"/>
      <c r="DI1859" s="237"/>
      <c r="DN1859" s="347"/>
      <c r="DO1859" s="347"/>
      <c r="DP1859" s="2505"/>
    </row>
    <row r="1860" spans="12:120">
      <c r="L1860" s="347">
        <v>245.07</v>
      </c>
      <c r="M1860" s="347" t="s">
        <v>363</v>
      </c>
      <c r="AB1860" s="347">
        <v>501.01</v>
      </c>
      <c r="AC1860" s="347" t="s">
        <v>356</v>
      </c>
      <c r="AD1860" s="1138"/>
      <c r="AP1860" s="347">
        <v>233.08</v>
      </c>
      <c r="AQ1860" s="347" t="s">
        <v>357</v>
      </c>
      <c r="BF1860" s="347">
        <v>212.03</v>
      </c>
      <c r="BG1860" s="347" t="s">
        <v>369</v>
      </c>
      <c r="BH1860" s="1790"/>
      <c r="BN1860" s="237">
        <v>19.149999999999999</v>
      </c>
      <c r="BO1860" s="237" t="s">
        <v>344</v>
      </c>
      <c r="BT1860" s="347">
        <v>233.04</v>
      </c>
      <c r="BU1860" s="347" t="s">
        <v>357</v>
      </c>
      <c r="CD1860" s="237">
        <v>105.05</v>
      </c>
      <c r="CE1860" s="237" t="s">
        <v>367</v>
      </c>
      <c r="CJ1860" s="347">
        <v>212.03</v>
      </c>
      <c r="CK1860" s="347" t="s">
        <v>369</v>
      </c>
      <c r="CL1860" s="1789"/>
      <c r="CR1860" s="345"/>
      <c r="CS1860" s="345"/>
      <c r="CX1860" s="347"/>
      <c r="CY1860" s="347"/>
      <c r="DH1860" s="237"/>
      <c r="DI1860" s="237"/>
      <c r="DN1860" s="347"/>
      <c r="DO1860" s="347"/>
      <c r="DP1860" s="2505"/>
    </row>
    <row r="1861" spans="12:120">
      <c r="L1861" s="347">
        <v>245.08</v>
      </c>
      <c r="M1861" s="347" t="s">
        <v>363</v>
      </c>
      <c r="AB1861" s="347">
        <v>501.03</v>
      </c>
      <c r="AC1861" s="347" t="s">
        <v>344</v>
      </c>
      <c r="AD1861" s="1138"/>
      <c r="AP1861" s="347">
        <v>9101.01</v>
      </c>
      <c r="AQ1861" s="347" t="s">
        <v>358</v>
      </c>
      <c r="BF1861" s="347">
        <v>212.05</v>
      </c>
      <c r="BG1861" s="347" t="s">
        <v>369</v>
      </c>
      <c r="BH1861" s="1790"/>
      <c r="BN1861" s="237">
        <v>19.16</v>
      </c>
      <c r="BO1861" s="237" t="s">
        <v>344</v>
      </c>
      <c r="BT1861" s="347">
        <v>233.05</v>
      </c>
      <c r="BU1861" s="347" t="s">
        <v>357</v>
      </c>
      <c r="CD1861" s="345">
        <v>105.06</v>
      </c>
      <c r="CE1861" s="345" t="s">
        <v>315</v>
      </c>
      <c r="CJ1861" s="347">
        <v>212.05</v>
      </c>
      <c r="CK1861" s="347" t="s">
        <v>369</v>
      </c>
      <c r="CL1861" s="1789"/>
      <c r="CR1861" s="345"/>
      <c r="CS1861" s="345"/>
      <c r="CX1861" s="347"/>
      <c r="CY1861" s="347"/>
      <c r="DH1861" s="237"/>
      <c r="DI1861" s="237"/>
      <c r="DN1861" s="347"/>
      <c r="DO1861" s="347"/>
      <c r="DP1861" s="2505"/>
    </row>
    <row r="1862" spans="12:120">
      <c r="L1862" s="347">
        <v>245.09</v>
      </c>
      <c r="M1862" s="347" t="s">
        <v>363</v>
      </c>
      <c r="AB1862" s="347">
        <v>501.05</v>
      </c>
      <c r="AC1862" s="347" t="s">
        <v>344</v>
      </c>
      <c r="AD1862" s="1138"/>
      <c r="AP1862" s="347">
        <v>9101.02</v>
      </c>
      <c r="AQ1862" s="347" t="s">
        <v>358</v>
      </c>
      <c r="BF1862" s="347">
        <v>212.06</v>
      </c>
      <c r="BG1862" s="347" t="s">
        <v>369</v>
      </c>
      <c r="BH1862" s="1790"/>
      <c r="BN1862" s="237">
        <v>19.170000000000002</v>
      </c>
      <c r="BO1862" s="237" t="s">
        <v>344</v>
      </c>
      <c r="BT1862" s="347">
        <v>233.06</v>
      </c>
      <c r="BU1862" s="347" t="s">
        <v>357</v>
      </c>
      <c r="CD1862" s="237">
        <v>105.06</v>
      </c>
      <c r="CE1862" s="237" t="s">
        <v>367</v>
      </c>
      <c r="CJ1862" s="347">
        <v>212.06</v>
      </c>
      <c r="CK1862" s="347" t="s">
        <v>369</v>
      </c>
      <c r="CL1862" s="1789"/>
      <c r="CR1862" s="345"/>
      <c r="CS1862" s="345"/>
      <c r="CX1862" s="347"/>
      <c r="CY1862" s="347"/>
      <c r="DH1862" s="237"/>
      <c r="DI1862" s="237"/>
      <c r="DN1862" s="347"/>
      <c r="DO1862" s="347"/>
      <c r="DP1862" s="2505"/>
    </row>
    <row r="1863" spans="12:120">
      <c r="L1863" s="347">
        <v>245.11</v>
      </c>
      <c r="M1863" s="347" t="s">
        <v>363</v>
      </c>
      <c r="AB1863" s="347">
        <v>501.06</v>
      </c>
      <c r="AC1863" s="347" t="s">
        <v>344</v>
      </c>
      <c r="AD1863" s="1138"/>
      <c r="AP1863" s="347">
        <v>9102.01</v>
      </c>
      <c r="AQ1863" s="347" t="s">
        <v>358</v>
      </c>
      <c r="BF1863" s="347">
        <v>212.07</v>
      </c>
      <c r="BG1863" s="347" t="s">
        <v>370</v>
      </c>
      <c r="BH1863" s="1790"/>
      <c r="BN1863" s="237">
        <v>19.18</v>
      </c>
      <c r="BO1863" s="237" t="s">
        <v>344</v>
      </c>
      <c r="BT1863" s="347">
        <v>233.08</v>
      </c>
      <c r="BU1863" s="347" t="s">
        <v>357</v>
      </c>
      <c r="CD1863" s="237">
        <v>105.08</v>
      </c>
      <c r="CE1863" s="237" t="s">
        <v>318</v>
      </c>
      <c r="CJ1863" s="347">
        <v>212.07</v>
      </c>
      <c r="CK1863" s="347" t="s">
        <v>370</v>
      </c>
      <c r="CL1863" s="1789"/>
      <c r="CR1863" s="345"/>
      <c r="CS1863" s="345"/>
      <c r="CX1863" s="347"/>
      <c r="CY1863" s="347"/>
      <c r="DH1863" s="237"/>
      <c r="DI1863" s="237"/>
      <c r="DN1863" s="347"/>
      <c r="DO1863" s="347"/>
      <c r="DP1863" s="2505"/>
    </row>
    <row r="1864" spans="12:120">
      <c r="L1864" s="347">
        <v>248.01</v>
      </c>
      <c r="M1864" s="347" t="s">
        <v>363</v>
      </c>
      <c r="AB1864" s="347">
        <v>502</v>
      </c>
      <c r="AC1864" s="347" t="s">
        <v>339</v>
      </c>
      <c r="AD1864" s="1138"/>
      <c r="AP1864" s="347">
        <v>9104.01</v>
      </c>
      <c r="AQ1864" s="347" t="s">
        <v>358</v>
      </c>
      <c r="BF1864" s="347">
        <v>212.11</v>
      </c>
      <c r="BG1864" s="347" t="s">
        <v>370</v>
      </c>
      <c r="BH1864" s="1790"/>
      <c r="BN1864" s="237">
        <v>19.190000000000001</v>
      </c>
      <c r="BO1864" s="237" t="s">
        <v>344</v>
      </c>
      <c r="BT1864" s="347">
        <v>9101.01</v>
      </c>
      <c r="BU1864" s="347" t="s">
        <v>358</v>
      </c>
      <c r="CD1864" s="237">
        <v>105.11</v>
      </c>
      <c r="CE1864" s="237" t="s">
        <v>318</v>
      </c>
      <c r="CJ1864" s="347">
        <v>212.11</v>
      </c>
      <c r="CK1864" s="347" t="s">
        <v>370</v>
      </c>
      <c r="CL1864" s="1789"/>
      <c r="CR1864" s="345"/>
      <c r="CS1864" s="345"/>
      <c r="CX1864" s="347"/>
      <c r="CY1864" s="347"/>
      <c r="DH1864" s="237"/>
      <c r="DI1864" s="237"/>
      <c r="DN1864" s="347"/>
      <c r="DO1864" s="347"/>
      <c r="DP1864" s="2505"/>
    </row>
    <row r="1865" spans="12:120">
      <c r="L1865" s="347">
        <v>248.05</v>
      </c>
      <c r="M1865" s="347" t="s">
        <v>363</v>
      </c>
      <c r="AB1865" s="347">
        <v>502.01</v>
      </c>
      <c r="AC1865" s="347" t="s">
        <v>356</v>
      </c>
      <c r="AD1865" s="1138"/>
      <c r="AP1865" s="347">
        <v>9105</v>
      </c>
      <c r="AQ1865" s="347" t="s">
        <v>358</v>
      </c>
      <c r="BF1865" s="347">
        <v>213.06</v>
      </c>
      <c r="BG1865" s="347" t="s">
        <v>369</v>
      </c>
      <c r="BH1865" s="1790"/>
      <c r="BN1865" s="237">
        <v>19.2</v>
      </c>
      <c r="BO1865" s="237" t="s">
        <v>344</v>
      </c>
      <c r="BT1865" s="347">
        <v>9101.02</v>
      </c>
      <c r="BU1865" s="347" t="s">
        <v>358</v>
      </c>
      <c r="CD1865" s="237">
        <v>105.12</v>
      </c>
      <c r="CE1865" s="237" t="s">
        <v>318</v>
      </c>
      <c r="CJ1865" s="347">
        <v>213.06</v>
      </c>
      <c r="CK1865" s="347" t="s">
        <v>369</v>
      </c>
      <c r="CL1865" s="1789"/>
      <c r="CR1865" s="345"/>
      <c r="CS1865" s="345"/>
      <c r="CX1865" s="347"/>
      <c r="CY1865" s="347"/>
      <c r="DH1865" s="237"/>
      <c r="DI1865" s="237"/>
      <c r="DN1865" s="347"/>
      <c r="DO1865" s="347"/>
      <c r="DP1865" s="2505"/>
    </row>
    <row r="1866" spans="12:120">
      <c r="L1866" s="347">
        <v>249.04</v>
      </c>
      <c r="M1866" s="347" t="s">
        <v>363</v>
      </c>
      <c r="AB1866" s="347">
        <v>502.02</v>
      </c>
      <c r="AC1866" s="347" t="s">
        <v>356</v>
      </c>
      <c r="AD1866" s="1138"/>
      <c r="AP1866" s="347">
        <v>9106.01</v>
      </c>
      <c r="AQ1866" s="347" t="s">
        <v>358</v>
      </c>
      <c r="BF1866" s="347">
        <v>213.07</v>
      </c>
      <c r="BG1866" s="347" t="s">
        <v>369</v>
      </c>
      <c r="BH1866" s="1790"/>
      <c r="BN1866" s="237">
        <v>19.21</v>
      </c>
      <c r="BO1866" s="237" t="s">
        <v>344</v>
      </c>
      <c r="BT1866" s="347">
        <v>9102.02</v>
      </c>
      <c r="BU1866" s="347" t="s">
        <v>358</v>
      </c>
      <c r="CD1866" s="237">
        <v>105.13</v>
      </c>
      <c r="CE1866" s="237" t="s">
        <v>318</v>
      </c>
      <c r="CJ1866" s="347">
        <v>213.07</v>
      </c>
      <c r="CK1866" s="347" t="s">
        <v>369</v>
      </c>
      <c r="CL1866" s="1789"/>
      <c r="CR1866" s="345"/>
      <c r="CS1866" s="345"/>
      <c r="CX1866" s="347"/>
      <c r="CY1866" s="347"/>
      <c r="DH1866" s="237"/>
      <c r="DI1866" s="237"/>
      <c r="DN1866" s="347"/>
      <c r="DO1866" s="347"/>
      <c r="DP1866" s="2505"/>
    </row>
    <row r="1867" spans="12:120">
      <c r="L1867" s="347">
        <v>249.05</v>
      </c>
      <c r="M1867" s="347" t="s">
        <v>363</v>
      </c>
      <c r="AB1867" s="347">
        <v>502.03</v>
      </c>
      <c r="AC1867" s="347" t="s">
        <v>344</v>
      </c>
      <c r="AD1867" s="1138"/>
      <c r="AP1867" s="347">
        <v>9106.02</v>
      </c>
      <c r="AQ1867" s="347" t="s">
        <v>358</v>
      </c>
      <c r="BF1867" s="347">
        <v>213.11</v>
      </c>
      <c r="BG1867" s="347" t="s">
        <v>369</v>
      </c>
      <c r="BH1867" s="1790"/>
      <c r="BN1867" s="237">
        <v>19.22</v>
      </c>
      <c r="BO1867" s="237" t="s">
        <v>344</v>
      </c>
      <c r="BT1867" s="347">
        <v>9104.01</v>
      </c>
      <c r="BU1867" s="347" t="s">
        <v>358</v>
      </c>
      <c r="CD1867" s="237">
        <v>105.14</v>
      </c>
      <c r="CE1867" s="237" t="s">
        <v>318</v>
      </c>
      <c r="CJ1867" s="347">
        <v>213.11</v>
      </c>
      <c r="CK1867" s="347" t="s">
        <v>369</v>
      </c>
      <c r="CL1867" s="1789"/>
      <c r="CR1867" s="345"/>
      <c r="CS1867" s="345"/>
      <c r="CX1867" s="347"/>
      <c r="CY1867" s="347"/>
      <c r="DH1867" s="237"/>
      <c r="DI1867" s="237"/>
      <c r="DN1867" s="347"/>
      <c r="DO1867" s="347"/>
      <c r="DP1867" s="2505"/>
    </row>
    <row r="1868" spans="12:120">
      <c r="L1868" s="347">
        <v>250.1</v>
      </c>
      <c r="M1868" s="347" t="s">
        <v>363</v>
      </c>
      <c r="AB1868" s="347">
        <v>502.03</v>
      </c>
      <c r="AC1868" s="347" t="s">
        <v>356</v>
      </c>
      <c r="AD1868" s="1138"/>
      <c r="AP1868" s="347">
        <v>102.01</v>
      </c>
      <c r="AQ1868" s="347" t="s">
        <v>359</v>
      </c>
      <c r="BF1868" s="347">
        <v>213.12</v>
      </c>
      <c r="BG1868" s="347" t="s">
        <v>369</v>
      </c>
      <c r="BH1868" s="1790"/>
      <c r="BN1868" s="237">
        <v>19.23</v>
      </c>
      <c r="BO1868" s="237" t="s">
        <v>344</v>
      </c>
      <c r="BT1868" s="347">
        <v>9105</v>
      </c>
      <c r="BU1868" s="347" t="s">
        <v>358</v>
      </c>
      <c r="CD1868" s="237">
        <v>105.15</v>
      </c>
      <c r="CE1868" s="237" t="s">
        <v>318</v>
      </c>
      <c r="CJ1868" s="347">
        <v>213.12</v>
      </c>
      <c r="CK1868" s="347" t="s">
        <v>369</v>
      </c>
      <c r="CL1868" s="1789"/>
      <c r="CR1868" s="345"/>
      <c r="CS1868" s="345"/>
      <c r="CX1868" s="347"/>
      <c r="CY1868" s="347"/>
      <c r="DH1868" s="237"/>
      <c r="DI1868" s="237"/>
      <c r="DN1868" s="347"/>
      <c r="DO1868" s="347"/>
      <c r="DP1868" s="2505"/>
    </row>
    <row r="1869" spans="12:120">
      <c r="L1869" s="347">
        <v>250.11</v>
      </c>
      <c r="M1869" s="347" t="s">
        <v>363</v>
      </c>
      <c r="AB1869" s="347">
        <v>502.04</v>
      </c>
      <c r="AC1869" s="347" t="s">
        <v>310</v>
      </c>
      <c r="AD1869" s="1138"/>
      <c r="AP1869" s="347">
        <v>102.02</v>
      </c>
      <c r="AQ1869" s="347" t="s">
        <v>359</v>
      </c>
      <c r="BF1869" s="347">
        <v>213.13</v>
      </c>
      <c r="BG1869" s="347" t="s">
        <v>369</v>
      </c>
      <c r="BH1869" s="1790"/>
      <c r="BN1869" s="237">
        <v>101.04</v>
      </c>
      <c r="BO1869" s="237" t="s">
        <v>344</v>
      </c>
      <c r="BT1869" s="347">
        <v>9106.01</v>
      </c>
      <c r="BU1869" s="347" t="s">
        <v>358</v>
      </c>
      <c r="CD1869" s="237">
        <v>105.16</v>
      </c>
      <c r="CE1869" s="237" t="s">
        <v>318</v>
      </c>
      <c r="CJ1869" s="347">
        <v>213.13</v>
      </c>
      <c r="CK1869" s="347" t="s">
        <v>369</v>
      </c>
      <c r="CL1869" s="1789"/>
      <c r="CR1869" s="345"/>
      <c r="CS1869" s="345"/>
      <c r="CX1869" s="347"/>
      <c r="CY1869" s="347"/>
      <c r="DH1869" s="237"/>
      <c r="DI1869" s="237"/>
      <c r="DN1869" s="347"/>
      <c r="DO1869" s="347"/>
      <c r="DP1869" s="2505"/>
    </row>
    <row r="1870" spans="12:120">
      <c r="L1870" s="347">
        <v>250.12</v>
      </c>
      <c r="M1870" s="347" t="s">
        <v>363</v>
      </c>
      <c r="AB1870" s="347">
        <v>502.04</v>
      </c>
      <c r="AC1870" s="347" t="s">
        <v>344</v>
      </c>
      <c r="AD1870" s="1138"/>
      <c r="AP1870" s="347">
        <v>103</v>
      </c>
      <c r="AQ1870" s="347" t="s">
        <v>359</v>
      </c>
      <c r="BF1870" s="347">
        <v>213.14</v>
      </c>
      <c r="BG1870" s="347" t="s">
        <v>369</v>
      </c>
      <c r="BH1870" s="1790"/>
      <c r="BN1870" s="237">
        <v>101.06</v>
      </c>
      <c r="BO1870" s="237" t="s">
        <v>344</v>
      </c>
      <c r="BT1870" s="347">
        <v>9106.02</v>
      </c>
      <c r="BU1870" s="347" t="s">
        <v>358</v>
      </c>
      <c r="CD1870" s="237">
        <v>105.17</v>
      </c>
      <c r="CE1870" s="237" t="s">
        <v>318</v>
      </c>
      <c r="CJ1870" s="347">
        <v>213.14</v>
      </c>
      <c r="CK1870" s="347" t="s">
        <v>369</v>
      </c>
      <c r="CL1870" s="1789"/>
      <c r="CR1870" s="345"/>
      <c r="CS1870" s="345"/>
      <c r="CX1870" s="347"/>
      <c r="CY1870" s="347"/>
      <c r="DH1870" s="237"/>
      <c r="DI1870" s="237"/>
      <c r="DN1870" s="347"/>
      <c r="DO1870" s="347"/>
      <c r="DP1870" s="2505"/>
    </row>
    <row r="1871" spans="12:120">
      <c r="L1871" s="347">
        <v>250.13</v>
      </c>
      <c r="M1871" s="347" t="s">
        <v>363</v>
      </c>
      <c r="AB1871" s="347">
        <v>502.05</v>
      </c>
      <c r="AC1871" s="347" t="s">
        <v>310</v>
      </c>
      <c r="AD1871" s="1138"/>
      <c r="AP1871" s="347">
        <v>108.02</v>
      </c>
      <c r="AQ1871" s="347" t="s">
        <v>359</v>
      </c>
      <c r="BF1871" s="347">
        <v>213.16</v>
      </c>
      <c r="BG1871" s="347" t="s">
        <v>369</v>
      </c>
      <c r="BH1871" s="1790"/>
      <c r="BN1871" s="237">
        <v>101.07</v>
      </c>
      <c r="BO1871" s="237" t="s">
        <v>344</v>
      </c>
      <c r="BT1871" s="347">
        <v>102.01</v>
      </c>
      <c r="BU1871" s="347" t="s">
        <v>359</v>
      </c>
      <c r="CD1871" s="237">
        <v>105.18</v>
      </c>
      <c r="CE1871" s="237" t="s">
        <v>318</v>
      </c>
      <c r="CJ1871" s="347">
        <v>213.16</v>
      </c>
      <c r="CK1871" s="347" t="s">
        <v>369</v>
      </c>
      <c r="CL1871" s="1789"/>
      <c r="CR1871" s="345"/>
      <c r="CS1871" s="345"/>
      <c r="CX1871" s="347"/>
      <c r="CY1871" s="347"/>
      <c r="DH1871" s="237"/>
      <c r="DI1871" s="237"/>
      <c r="DN1871" s="347"/>
      <c r="DO1871" s="347"/>
      <c r="DP1871" s="2505"/>
    </row>
    <row r="1872" spans="12:120">
      <c r="L1872" s="347">
        <v>250.14</v>
      </c>
      <c r="M1872" s="347" t="s">
        <v>363</v>
      </c>
      <c r="AB1872" s="347">
        <v>502.06</v>
      </c>
      <c r="AC1872" s="347" t="s">
        <v>310</v>
      </c>
      <c r="AD1872" s="1138"/>
      <c r="AP1872" s="347">
        <v>110</v>
      </c>
      <c r="AQ1872" s="347" t="s">
        <v>359</v>
      </c>
      <c r="BF1872" s="347">
        <v>213.17</v>
      </c>
      <c r="BG1872" s="347" t="s">
        <v>369</v>
      </c>
      <c r="BH1872" s="1790"/>
      <c r="BN1872" s="237">
        <v>101.08</v>
      </c>
      <c r="BO1872" s="237" t="s">
        <v>344</v>
      </c>
      <c r="BT1872" s="347">
        <v>102.02</v>
      </c>
      <c r="BU1872" s="347" t="s">
        <v>359</v>
      </c>
      <c r="CD1872" s="237">
        <v>105.19</v>
      </c>
      <c r="CE1872" s="237" t="s">
        <v>318</v>
      </c>
      <c r="CJ1872" s="347">
        <v>213.17</v>
      </c>
      <c r="CK1872" s="347" t="s">
        <v>369</v>
      </c>
      <c r="CL1872" s="1789"/>
      <c r="CR1872" s="345"/>
      <c r="CS1872" s="345"/>
      <c r="CX1872" s="347"/>
      <c r="CY1872" s="347"/>
      <c r="DH1872" s="237"/>
      <c r="DI1872" s="237"/>
      <c r="DN1872" s="347"/>
      <c r="DO1872" s="347"/>
      <c r="DP1872" s="2505"/>
    </row>
    <row r="1873" spans="12:120">
      <c r="L1873" s="347">
        <v>250.16</v>
      </c>
      <c r="M1873" s="347" t="s">
        <v>363</v>
      </c>
      <c r="AB1873" s="347">
        <v>502.06</v>
      </c>
      <c r="AC1873" s="347" t="s">
        <v>344</v>
      </c>
      <c r="AD1873" s="1138"/>
      <c r="AP1873" s="347">
        <v>111</v>
      </c>
      <c r="AQ1873" s="347" t="s">
        <v>359</v>
      </c>
      <c r="BF1873" s="347">
        <v>213.18</v>
      </c>
      <c r="BG1873" s="347" t="s">
        <v>369</v>
      </c>
      <c r="BH1873" s="1790"/>
      <c r="BN1873" s="237">
        <v>101.09</v>
      </c>
      <c r="BO1873" s="237" t="s">
        <v>344</v>
      </c>
      <c r="BT1873" s="347">
        <v>103</v>
      </c>
      <c r="BU1873" s="347" t="s">
        <v>359</v>
      </c>
      <c r="CD1873" s="237">
        <v>105.2</v>
      </c>
      <c r="CE1873" s="237" t="s">
        <v>318</v>
      </c>
      <c r="CJ1873" s="347">
        <v>213.18</v>
      </c>
      <c r="CK1873" s="347" t="s">
        <v>369</v>
      </c>
      <c r="CL1873" s="1789"/>
      <c r="CR1873" s="345"/>
      <c r="CS1873" s="345"/>
      <c r="CX1873" s="347"/>
      <c r="CY1873" s="347"/>
      <c r="DH1873" s="237"/>
      <c r="DI1873" s="237"/>
      <c r="DN1873" s="347"/>
      <c r="DO1873" s="347"/>
      <c r="DP1873" s="2505"/>
    </row>
    <row r="1874" spans="12:120">
      <c r="L1874" s="347">
        <v>251.07</v>
      </c>
      <c r="M1874" s="347" t="s">
        <v>363</v>
      </c>
      <c r="AB1874" s="347">
        <v>502.07</v>
      </c>
      <c r="AC1874" s="347" t="s">
        <v>344</v>
      </c>
      <c r="AD1874" s="1138"/>
      <c r="AP1874" s="347">
        <v>112</v>
      </c>
      <c r="AQ1874" s="347" t="s">
        <v>359</v>
      </c>
      <c r="BF1874" s="347">
        <v>213.19</v>
      </c>
      <c r="BG1874" s="347" t="s">
        <v>369</v>
      </c>
      <c r="BH1874" s="1790"/>
      <c r="BN1874" s="237">
        <v>101.1</v>
      </c>
      <c r="BO1874" s="237" t="s">
        <v>344</v>
      </c>
      <c r="BT1874" s="347">
        <v>108.02</v>
      </c>
      <c r="BU1874" s="347" t="s">
        <v>359</v>
      </c>
      <c r="CD1874" s="237">
        <v>106</v>
      </c>
      <c r="CE1874" s="237" t="s">
        <v>337</v>
      </c>
      <c r="CJ1874" s="347">
        <v>213.19</v>
      </c>
      <c r="CK1874" s="347" t="s">
        <v>369</v>
      </c>
      <c r="CL1874" s="1789"/>
      <c r="CR1874" s="345"/>
      <c r="CS1874" s="345"/>
      <c r="CX1874" s="347"/>
      <c r="CY1874" s="347"/>
      <c r="DH1874" s="237"/>
      <c r="DI1874" s="237"/>
      <c r="DN1874" s="347"/>
      <c r="DO1874" s="347"/>
      <c r="DP1874" s="2505"/>
    </row>
    <row r="1875" spans="12:120">
      <c r="L1875" s="347">
        <v>251.08</v>
      </c>
      <c r="M1875" s="347" t="s">
        <v>363</v>
      </c>
      <c r="AB1875" s="347">
        <v>502.08</v>
      </c>
      <c r="AC1875" s="347" t="s">
        <v>344</v>
      </c>
      <c r="AD1875" s="1138"/>
      <c r="AP1875" s="347">
        <v>113</v>
      </c>
      <c r="AQ1875" s="347" t="s">
        <v>359</v>
      </c>
      <c r="BF1875" s="347">
        <v>213.2</v>
      </c>
      <c r="BG1875" s="347" t="s">
        <v>369</v>
      </c>
      <c r="BH1875" s="1790"/>
      <c r="BN1875" s="237">
        <v>101.11</v>
      </c>
      <c r="BO1875" s="237" t="s">
        <v>344</v>
      </c>
      <c r="BT1875" s="347">
        <v>110</v>
      </c>
      <c r="BU1875" s="347" t="s">
        <v>359</v>
      </c>
      <c r="CD1875" s="345">
        <v>106.01</v>
      </c>
      <c r="CE1875" s="345" t="s">
        <v>310</v>
      </c>
      <c r="CJ1875" s="347">
        <v>213.2</v>
      </c>
      <c r="CK1875" s="347" t="s">
        <v>369</v>
      </c>
      <c r="CL1875" s="1789"/>
      <c r="CR1875" s="345"/>
      <c r="CS1875" s="345"/>
      <c r="CX1875" s="347"/>
      <c r="CY1875" s="347"/>
      <c r="DH1875" s="237"/>
      <c r="DI1875" s="237"/>
      <c r="DN1875" s="347"/>
      <c r="DO1875" s="347"/>
      <c r="DP1875" s="2505"/>
    </row>
    <row r="1876" spans="12:120">
      <c r="L1876" s="347">
        <v>251.1</v>
      </c>
      <c r="M1876" s="347" t="s">
        <v>363</v>
      </c>
      <c r="AB1876" s="347">
        <v>502.09</v>
      </c>
      <c r="AC1876" s="347" t="s">
        <v>344</v>
      </c>
      <c r="AD1876" s="1138"/>
      <c r="AP1876" s="347">
        <v>126</v>
      </c>
      <c r="AQ1876" s="347" t="s">
        <v>359</v>
      </c>
      <c r="BF1876" s="347">
        <v>213.21</v>
      </c>
      <c r="BG1876" s="347" t="s">
        <v>369</v>
      </c>
      <c r="BH1876" s="1790"/>
      <c r="BN1876" s="237">
        <v>101.12</v>
      </c>
      <c r="BO1876" s="237" t="s">
        <v>344</v>
      </c>
      <c r="BT1876" s="347">
        <v>111</v>
      </c>
      <c r="BU1876" s="347" t="s">
        <v>359</v>
      </c>
      <c r="CD1876" s="237">
        <v>106.01</v>
      </c>
      <c r="CE1876" s="237" t="s">
        <v>318</v>
      </c>
      <c r="CJ1876" s="347">
        <v>213.21</v>
      </c>
      <c r="CK1876" s="347" t="s">
        <v>369</v>
      </c>
      <c r="CL1876" s="1789"/>
      <c r="CR1876" s="345"/>
      <c r="CS1876" s="345"/>
      <c r="CX1876" s="347"/>
      <c r="CY1876" s="347"/>
      <c r="DH1876" s="237"/>
      <c r="DI1876" s="237"/>
      <c r="DN1876" s="347"/>
      <c r="DO1876" s="347"/>
      <c r="DP1876" s="2505"/>
    </row>
    <row r="1877" spans="12:120">
      <c r="L1877" s="347">
        <v>251.12</v>
      </c>
      <c r="M1877" s="347" t="s">
        <v>363</v>
      </c>
      <c r="AB1877" s="347">
        <v>503.01</v>
      </c>
      <c r="AC1877" s="347" t="s">
        <v>339</v>
      </c>
      <c r="AD1877" s="1138"/>
      <c r="AP1877" s="347">
        <v>127.01</v>
      </c>
      <c r="AQ1877" s="347" t="s">
        <v>359</v>
      </c>
      <c r="BF1877" s="347">
        <v>214.03</v>
      </c>
      <c r="BG1877" s="347" t="s">
        <v>369</v>
      </c>
      <c r="BH1877" s="1790"/>
      <c r="BN1877" s="237">
        <v>101.13</v>
      </c>
      <c r="BO1877" s="237" t="s">
        <v>344</v>
      </c>
      <c r="BT1877" s="347">
        <v>112</v>
      </c>
      <c r="BU1877" s="347" t="s">
        <v>359</v>
      </c>
      <c r="CD1877" s="237">
        <v>106.01</v>
      </c>
      <c r="CE1877" s="237" t="s">
        <v>323</v>
      </c>
      <c r="CJ1877" s="347">
        <v>214</v>
      </c>
      <c r="CK1877" s="347" t="s">
        <v>357</v>
      </c>
      <c r="CL1877" s="1789"/>
      <c r="CR1877" s="345"/>
      <c r="CS1877" s="345"/>
      <c r="CX1877" s="347"/>
      <c r="CY1877" s="347"/>
      <c r="DH1877" s="237"/>
      <c r="DI1877" s="237"/>
      <c r="DN1877" s="347"/>
      <c r="DO1877" s="347"/>
      <c r="DP1877" s="2505"/>
    </row>
    <row r="1878" spans="12:120">
      <c r="L1878" s="347">
        <v>251.13</v>
      </c>
      <c r="M1878" s="347" t="s">
        <v>363</v>
      </c>
      <c r="AB1878" s="347">
        <v>503.03</v>
      </c>
      <c r="AC1878" s="347" t="s">
        <v>356</v>
      </c>
      <c r="AD1878" s="1138"/>
      <c r="AP1878" s="347">
        <v>128</v>
      </c>
      <c r="AQ1878" s="347" t="s">
        <v>359</v>
      </c>
      <c r="BF1878" s="347">
        <v>214.03</v>
      </c>
      <c r="BG1878" s="347" t="s">
        <v>370</v>
      </c>
      <c r="BH1878" s="1790"/>
      <c r="BN1878" s="237">
        <v>102.03</v>
      </c>
      <c r="BO1878" s="237" t="s">
        <v>344</v>
      </c>
      <c r="BT1878" s="347">
        <v>113</v>
      </c>
      <c r="BU1878" s="347" t="s">
        <v>359</v>
      </c>
      <c r="CD1878" s="237">
        <v>106.01</v>
      </c>
      <c r="CE1878" s="237" t="s">
        <v>344</v>
      </c>
      <c r="CJ1878" s="347">
        <v>214.03</v>
      </c>
      <c r="CK1878" s="347" t="s">
        <v>369</v>
      </c>
      <c r="CL1878" s="1789"/>
      <c r="CR1878" s="345"/>
      <c r="CS1878" s="345"/>
      <c r="CX1878" s="347"/>
      <c r="CY1878" s="347"/>
      <c r="DH1878" s="237"/>
      <c r="DI1878" s="237"/>
      <c r="DN1878" s="347"/>
      <c r="DO1878" s="347"/>
      <c r="DP1878" s="2505"/>
    </row>
    <row r="1879" spans="12:120">
      <c r="L1879" s="347">
        <v>251.16</v>
      </c>
      <c r="M1879" s="347" t="s">
        <v>363</v>
      </c>
      <c r="AB1879" s="347">
        <v>503.05</v>
      </c>
      <c r="AC1879" s="347" t="s">
        <v>344</v>
      </c>
      <c r="AD1879" s="1138"/>
      <c r="AP1879" s="347">
        <v>129</v>
      </c>
      <c r="AQ1879" s="347" t="s">
        <v>359</v>
      </c>
      <c r="BF1879" s="347">
        <v>214.04</v>
      </c>
      <c r="BG1879" s="347" t="s">
        <v>370</v>
      </c>
      <c r="BH1879" s="1790"/>
      <c r="BN1879" s="237">
        <v>102.05</v>
      </c>
      <c r="BO1879" s="237" t="s">
        <v>344</v>
      </c>
      <c r="BT1879" s="347">
        <v>125</v>
      </c>
      <c r="BU1879" s="347" t="s">
        <v>359</v>
      </c>
      <c r="CD1879" s="237">
        <v>106.01</v>
      </c>
      <c r="CE1879" s="237" t="s">
        <v>365</v>
      </c>
      <c r="CJ1879" s="347">
        <v>214.04</v>
      </c>
      <c r="CK1879" s="347" t="s">
        <v>369</v>
      </c>
      <c r="CL1879" s="1789"/>
      <c r="CR1879" s="345"/>
      <c r="CS1879" s="345"/>
      <c r="CX1879" s="347"/>
      <c r="CY1879" s="347"/>
      <c r="DH1879" s="237"/>
      <c r="DI1879" s="237"/>
      <c r="DN1879" s="347"/>
      <c r="DO1879" s="347"/>
      <c r="DP1879" s="2505"/>
    </row>
    <row r="1880" spans="12:120">
      <c r="L1880" s="347">
        <v>251.19</v>
      </c>
      <c r="M1880" s="347" t="s">
        <v>363</v>
      </c>
      <c r="AB1880" s="347">
        <v>503.06</v>
      </c>
      <c r="AC1880" s="347" t="s">
        <v>344</v>
      </c>
      <c r="AD1880" s="1138"/>
      <c r="AP1880" s="347">
        <v>136.05000000000001</v>
      </c>
      <c r="AQ1880" s="347" t="s">
        <v>359</v>
      </c>
      <c r="BF1880" s="347">
        <v>214.08</v>
      </c>
      <c r="BG1880" s="347" t="s">
        <v>370</v>
      </c>
      <c r="BH1880" s="1790"/>
      <c r="BN1880" s="237">
        <v>102.06</v>
      </c>
      <c r="BO1880" s="237" t="s">
        <v>344</v>
      </c>
      <c r="BT1880" s="347">
        <v>126</v>
      </c>
      <c r="BU1880" s="347" t="s">
        <v>359</v>
      </c>
      <c r="CD1880" s="237">
        <v>106.01</v>
      </c>
      <c r="CE1880" s="237" t="s">
        <v>367</v>
      </c>
      <c r="CJ1880" s="347">
        <v>214.04</v>
      </c>
      <c r="CK1880" s="347" t="s">
        <v>370</v>
      </c>
      <c r="CL1880" s="1789"/>
      <c r="CR1880" s="345"/>
      <c r="CS1880" s="345"/>
      <c r="CX1880" s="347"/>
      <c r="CY1880" s="347"/>
      <c r="DH1880" s="237"/>
      <c r="DI1880" s="237"/>
      <c r="DN1880" s="347"/>
      <c r="DO1880" s="347"/>
      <c r="DP1880" s="2505"/>
    </row>
    <row r="1881" spans="12:120">
      <c r="L1881" s="347">
        <v>251.2</v>
      </c>
      <c r="M1881" s="347" t="s">
        <v>363</v>
      </c>
      <c r="AB1881" s="347">
        <v>503.07</v>
      </c>
      <c r="AC1881" s="347" t="s">
        <v>344</v>
      </c>
      <c r="AD1881" s="1138"/>
      <c r="AP1881" s="347">
        <v>138.01</v>
      </c>
      <c r="AQ1881" s="347" t="s">
        <v>359</v>
      </c>
      <c r="BF1881" s="347">
        <v>214.09</v>
      </c>
      <c r="BG1881" s="347" t="s">
        <v>370</v>
      </c>
      <c r="BH1881" s="1790"/>
      <c r="BN1881" s="237">
        <v>102.07</v>
      </c>
      <c r="BO1881" s="237" t="s">
        <v>344</v>
      </c>
      <c r="BT1881" s="347">
        <v>127.01</v>
      </c>
      <c r="BU1881" s="347" t="s">
        <v>359</v>
      </c>
      <c r="CD1881" s="237">
        <v>106.02</v>
      </c>
      <c r="CE1881" s="237" t="s">
        <v>318</v>
      </c>
      <c r="CJ1881" s="347">
        <v>214.08</v>
      </c>
      <c r="CK1881" s="347" t="s">
        <v>370</v>
      </c>
      <c r="CL1881" s="1789"/>
      <c r="CR1881" s="345"/>
      <c r="CS1881" s="345"/>
      <c r="CX1881" s="347"/>
      <c r="CY1881" s="347"/>
      <c r="DH1881" s="237"/>
      <c r="DI1881" s="237"/>
      <c r="DN1881" s="347"/>
      <c r="DO1881" s="347"/>
      <c r="DP1881" s="2505"/>
    </row>
    <row r="1882" spans="12:120">
      <c r="L1882" s="347">
        <v>251.21</v>
      </c>
      <c r="M1882" s="347" t="s">
        <v>363</v>
      </c>
      <c r="AB1882" s="347">
        <v>503.08</v>
      </c>
      <c r="AC1882" s="347" t="s">
        <v>344</v>
      </c>
      <c r="AD1882" s="1138"/>
      <c r="AP1882" s="347">
        <v>138.02000000000001</v>
      </c>
      <c r="AQ1882" s="347" t="s">
        <v>359</v>
      </c>
      <c r="BF1882" s="347">
        <v>215.01</v>
      </c>
      <c r="BG1882" s="347" t="s">
        <v>357</v>
      </c>
      <c r="BH1882" s="1790"/>
      <c r="BN1882" s="237">
        <v>102.08</v>
      </c>
      <c r="BO1882" s="237" t="s">
        <v>344</v>
      </c>
      <c r="BT1882" s="347">
        <v>128</v>
      </c>
      <c r="BU1882" s="347" t="s">
        <v>359</v>
      </c>
      <c r="CD1882" s="237">
        <v>106.02</v>
      </c>
      <c r="CE1882" s="237" t="s">
        <v>323</v>
      </c>
      <c r="CJ1882" s="347">
        <v>214.09</v>
      </c>
      <c r="CK1882" s="347" t="s">
        <v>370</v>
      </c>
      <c r="CL1882" s="1789"/>
      <c r="CR1882" s="345"/>
      <c r="CS1882" s="345"/>
      <c r="CX1882" s="347"/>
      <c r="CY1882" s="347"/>
      <c r="DH1882" s="237"/>
      <c r="DI1882" s="237"/>
      <c r="DN1882" s="347"/>
      <c r="DO1882" s="347"/>
      <c r="DP1882" s="2505"/>
    </row>
    <row r="1883" spans="12:120">
      <c r="L1883" s="347">
        <v>251.22</v>
      </c>
      <c r="M1883" s="347" t="s">
        <v>363</v>
      </c>
      <c r="AB1883" s="347">
        <v>503.1</v>
      </c>
      <c r="AC1883" s="347" t="s">
        <v>344</v>
      </c>
      <c r="AD1883" s="1138"/>
      <c r="AP1883" s="347">
        <v>138.03</v>
      </c>
      <c r="AQ1883" s="347" t="s">
        <v>359</v>
      </c>
      <c r="BF1883" s="347">
        <v>215.01</v>
      </c>
      <c r="BG1883" s="347" t="s">
        <v>363</v>
      </c>
      <c r="BH1883" s="1790"/>
      <c r="BN1883" s="237">
        <v>102.09</v>
      </c>
      <c r="BO1883" s="237" t="s">
        <v>344</v>
      </c>
      <c r="BT1883" s="347">
        <v>129</v>
      </c>
      <c r="BU1883" s="347" t="s">
        <v>359</v>
      </c>
      <c r="CD1883" s="237">
        <v>106.02</v>
      </c>
      <c r="CE1883" s="237" t="s">
        <v>344</v>
      </c>
      <c r="CJ1883" s="347">
        <v>215.01</v>
      </c>
      <c r="CK1883" s="347" t="s">
        <v>357</v>
      </c>
      <c r="CL1883" s="1789"/>
      <c r="CR1883" s="345"/>
      <c r="CS1883" s="345"/>
      <c r="CX1883" s="347"/>
      <c r="CY1883" s="347"/>
      <c r="DH1883" s="237"/>
      <c r="DI1883" s="237"/>
      <c r="DN1883" s="347"/>
      <c r="DO1883" s="347"/>
      <c r="DP1883" s="2505"/>
    </row>
    <row r="1884" spans="12:120">
      <c r="L1884" s="347">
        <v>251.23</v>
      </c>
      <c r="M1884" s="347" t="s">
        <v>363</v>
      </c>
      <c r="AB1884" s="347">
        <v>503.11</v>
      </c>
      <c r="AC1884" s="347" t="s">
        <v>344</v>
      </c>
      <c r="AD1884" s="1138"/>
      <c r="AP1884" s="347">
        <v>139</v>
      </c>
      <c r="AQ1884" s="347" t="s">
        <v>359</v>
      </c>
      <c r="BF1884" s="347">
        <v>215.02</v>
      </c>
      <c r="BG1884" s="347" t="s">
        <v>363</v>
      </c>
      <c r="BH1884" s="1790"/>
      <c r="BN1884" s="237">
        <v>102.1</v>
      </c>
      <c r="BO1884" s="237" t="s">
        <v>344</v>
      </c>
      <c r="BT1884" s="347">
        <v>136.05000000000001</v>
      </c>
      <c r="BU1884" s="347" t="s">
        <v>359</v>
      </c>
      <c r="CD1884" s="237">
        <v>106.02</v>
      </c>
      <c r="CE1884" s="237" t="s">
        <v>367</v>
      </c>
      <c r="CJ1884" s="347">
        <v>215.01</v>
      </c>
      <c r="CK1884" s="347" t="s">
        <v>363</v>
      </c>
      <c r="CL1884" s="1789"/>
      <c r="CR1884" s="345"/>
      <c r="CS1884" s="345"/>
      <c r="CX1884" s="347"/>
      <c r="CY1884" s="347"/>
      <c r="DH1884" s="237"/>
      <c r="DI1884" s="237"/>
      <c r="DN1884" s="347"/>
      <c r="DO1884" s="347"/>
      <c r="DP1884" s="2505"/>
    </row>
    <row r="1885" spans="12:120">
      <c r="L1885" s="347">
        <v>252.03</v>
      </c>
      <c r="M1885" s="347" t="s">
        <v>363</v>
      </c>
      <c r="AB1885" s="347">
        <v>503.13</v>
      </c>
      <c r="AC1885" s="347" t="s">
        <v>344</v>
      </c>
      <c r="AD1885" s="1138"/>
      <c r="AP1885" s="347">
        <v>140</v>
      </c>
      <c r="AQ1885" s="347" t="s">
        <v>359</v>
      </c>
      <c r="BF1885" s="347">
        <v>215.05</v>
      </c>
      <c r="BG1885" s="347" t="s">
        <v>369</v>
      </c>
      <c r="BH1885" s="1790"/>
      <c r="BN1885" s="237">
        <v>103.02</v>
      </c>
      <c r="BO1885" s="237" t="s">
        <v>344</v>
      </c>
      <c r="BT1885" s="347">
        <v>137.01</v>
      </c>
      <c r="BU1885" s="347" t="s">
        <v>359</v>
      </c>
      <c r="CD1885" s="345">
        <v>106.03</v>
      </c>
      <c r="CE1885" s="345" t="s">
        <v>310</v>
      </c>
      <c r="CJ1885" s="347">
        <v>215.02</v>
      </c>
      <c r="CK1885" s="347" t="s">
        <v>357</v>
      </c>
      <c r="CL1885" s="1789"/>
      <c r="CR1885" s="345"/>
      <c r="CS1885" s="345"/>
      <c r="CX1885" s="347"/>
      <c r="CY1885" s="347"/>
      <c r="DH1885" s="237"/>
      <c r="DI1885" s="237"/>
      <c r="DN1885" s="347"/>
      <c r="DO1885" s="347"/>
      <c r="DP1885" s="2505"/>
    </row>
    <row r="1886" spans="12:120">
      <c r="L1886" s="347">
        <v>252.05</v>
      </c>
      <c r="M1886" s="347" t="s">
        <v>363</v>
      </c>
      <c r="AB1886" s="347">
        <v>503.14</v>
      </c>
      <c r="AC1886" s="347" t="s">
        <v>344</v>
      </c>
      <c r="AD1886" s="1138"/>
      <c r="AP1886" s="347">
        <v>141</v>
      </c>
      <c r="AQ1886" s="347" t="s">
        <v>359</v>
      </c>
      <c r="BF1886" s="347">
        <v>216</v>
      </c>
      <c r="BG1886" s="347" t="s">
        <v>357</v>
      </c>
      <c r="BH1886" s="1790"/>
      <c r="BN1886" s="237">
        <v>103.03</v>
      </c>
      <c r="BO1886" s="237" t="s">
        <v>344</v>
      </c>
      <c r="BT1886" s="347">
        <v>138.01</v>
      </c>
      <c r="BU1886" s="347" t="s">
        <v>359</v>
      </c>
      <c r="CD1886" s="237">
        <v>106.03</v>
      </c>
      <c r="CE1886" s="237" t="s">
        <v>365</v>
      </c>
      <c r="CJ1886" s="347">
        <v>215.02</v>
      </c>
      <c r="CK1886" s="347" t="s">
        <v>363</v>
      </c>
      <c r="CL1886" s="1789"/>
      <c r="CR1886" s="345"/>
      <c r="CS1886" s="345"/>
      <c r="CX1886" s="347"/>
      <c r="CY1886" s="347"/>
      <c r="DH1886" s="237"/>
      <c r="DI1886" s="237"/>
      <c r="DN1886" s="347"/>
      <c r="DO1886" s="347"/>
      <c r="DP1886" s="2505"/>
    </row>
    <row r="1887" spans="12:120">
      <c r="L1887" s="347">
        <v>252.09</v>
      </c>
      <c r="M1887" s="347" t="s">
        <v>363</v>
      </c>
      <c r="AB1887" s="347">
        <v>504</v>
      </c>
      <c r="AC1887" s="347" t="s">
        <v>344</v>
      </c>
      <c r="AD1887" s="1138"/>
      <c r="AP1887" s="347">
        <v>142.01</v>
      </c>
      <c r="AQ1887" s="347" t="s">
        <v>359</v>
      </c>
      <c r="BF1887" s="347">
        <v>216.04</v>
      </c>
      <c r="BG1887" s="347" t="s">
        <v>369</v>
      </c>
      <c r="BH1887" s="1790"/>
      <c r="BN1887" s="237">
        <v>103.05</v>
      </c>
      <c r="BO1887" s="237" t="s">
        <v>344</v>
      </c>
      <c r="BT1887" s="347">
        <v>138.02000000000001</v>
      </c>
      <c r="BU1887" s="347" t="s">
        <v>359</v>
      </c>
      <c r="CD1887" s="345">
        <v>106.04</v>
      </c>
      <c r="CE1887" s="345" t="s">
        <v>310</v>
      </c>
      <c r="CJ1887" s="347">
        <v>215.04</v>
      </c>
      <c r="CK1887" s="347" t="s">
        <v>369</v>
      </c>
      <c r="CL1887" s="1789"/>
      <c r="CR1887" s="345"/>
      <c r="CS1887" s="345"/>
      <c r="CX1887" s="347"/>
      <c r="CY1887" s="347"/>
      <c r="DH1887" s="237"/>
      <c r="DI1887" s="237"/>
      <c r="DN1887" s="347"/>
      <c r="DO1887" s="347"/>
      <c r="DP1887" s="2505"/>
    </row>
    <row r="1888" spans="12:120">
      <c r="L1888" s="347">
        <v>253.06</v>
      </c>
      <c r="M1888" s="347" t="s">
        <v>363</v>
      </c>
      <c r="AB1888" s="347">
        <v>504.01</v>
      </c>
      <c r="AC1888" s="347" t="s">
        <v>310</v>
      </c>
      <c r="AD1888" s="1138"/>
      <c r="AP1888" s="347">
        <v>145.04</v>
      </c>
      <c r="AQ1888" s="347" t="s">
        <v>359</v>
      </c>
      <c r="BF1888" s="347">
        <v>216.06</v>
      </c>
      <c r="BG1888" s="347" t="s">
        <v>369</v>
      </c>
      <c r="BH1888" s="1790"/>
      <c r="BN1888" s="237">
        <v>103.06</v>
      </c>
      <c r="BO1888" s="237" t="s">
        <v>344</v>
      </c>
      <c r="BT1888" s="347">
        <v>138.03</v>
      </c>
      <c r="BU1888" s="347" t="s">
        <v>359</v>
      </c>
      <c r="CD1888" s="237">
        <v>106.04</v>
      </c>
      <c r="CE1888" s="237" t="s">
        <v>318</v>
      </c>
      <c r="CJ1888" s="347">
        <v>215.05</v>
      </c>
      <c r="CK1888" s="347" t="s">
        <v>369</v>
      </c>
      <c r="CL1888" s="1789"/>
      <c r="CR1888" s="345"/>
      <c r="CS1888" s="345"/>
      <c r="CX1888" s="347"/>
      <c r="CY1888" s="347"/>
      <c r="DH1888" s="237"/>
      <c r="DI1888" s="237"/>
      <c r="DN1888" s="347"/>
      <c r="DO1888" s="347"/>
      <c r="DP1888" s="2505"/>
    </row>
    <row r="1889" spans="12:120">
      <c r="L1889" s="347">
        <v>254.01</v>
      </c>
      <c r="M1889" s="347" t="s">
        <v>363</v>
      </c>
      <c r="AB1889" s="347">
        <v>504.02</v>
      </c>
      <c r="AC1889" s="347" t="s">
        <v>339</v>
      </c>
      <c r="AD1889" s="1138"/>
      <c r="AP1889" s="347">
        <v>146.06</v>
      </c>
      <c r="AQ1889" s="347" t="s">
        <v>359</v>
      </c>
      <c r="BF1889" s="347">
        <v>216.09</v>
      </c>
      <c r="BG1889" s="347" t="s">
        <v>369</v>
      </c>
      <c r="BH1889" s="1790"/>
      <c r="BN1889" s="237">
        <v>103.07</v>
      </c>
      <c r="BO1889" s="237" t="s">
        <v>344</v>
      </c>
      <c r="BT1889" s="347">
        <v>139</v>
      </c>
      <c r="BU1889" s="347" t="s">
        <v>359</v>
      </c>
      <c r="CD1889" s="237">
        <v>106.04</v>
      </c>
      <c r="CE1889" s="237" t="s">
        <v>352</v>
      </c>
      <c r="CJ1889" s="347">
        <v>215.06</v>
      </c>
      <c r="CK1889" s="347" t="s">
        <v>369</v>
      </c>
      <c r="CL1889" s="1789"/>
      <c r="CR1889" s="345"/>
      <c r="CS1889" s="345"/>
      <c r="CX1889" s="347"/>
      <c r="CY1889" s="347"/>
      <c r="DH1889" s="237"/>
      <c r="DI1889" s="237"/>
      <c r="DN1889" s="347"/>
      <c r="DO1889" s="347"/>
      <c r="DP1889" s="2505"/>
    </row>
    <row r="1890" spans="12:120">
      <c r="L1890" s="347">
        <v>254.05</v>
      </c>
      <c r="M1890" s="347" t="s">
        <v>363</v>
      </c>
      <c r="AB1890" s="347">
        <v>505</v>
      </c>
      <c r="AC1890" s="347" t="s">
        <v>344</v>
      </c>
      <c r="AD1890" s="1138"/>
      <c r="AP1890" s="347">
        <v>146.07</v>
      </c>
      <c r="AQ1890" s="347" t="s">
        <v>359</v>
      </c>
      <c r="BF1890" s="347">
        <v>216.11</v>
      </c>
      <c r="BG1890" s="347" t="s">
        <v>369</v>
      </c>
      <c r="BH1890" s="1790"/>
      <c r="BN1890" s="237">
        <v>103.08</v>
      </c>
      <c r="BO1890" s="237" t="s">
        <v>344</v>
      </c>
      <c r="BT1890" s="347">
        <v>140</v>
      </c>
      <c r="BU1890" s="347" t="s">
        <v>359</v>
      </c>
      <c r="CD1890" s="237">
        <v>106.04</v>
      </c>
      <c r="CE1890" s="237" t="s">
        <v>365</v>
      </c>
      <c r="CJ1890" s="347">
        <v>216</v>
      </c>
      <c r="CK1890" s="347" t="s">
        <v>357</v>
      </c>
      <c r="CL1890" s="1789"/>
      <c r="CR1890" s="345"/>
      <c r="CS1890" s="345"/>
      <c r="CX1890" s="347"/>
      <c r="CY1890" s="347"/>
      <c r="DH1890" s="237"/>
      <c r="DI1890" s="237"/>
      <c r="DN1890" s="347"/>
      <c r="DO1890" s="347"/>
      <c r="DP1890" s="2505"/>
    </row>
    <row r="1891" spans="12:120">
      <c r="L1891" s="347">
        <v>254.07</v>
      </c>
      <c r="M1891" s="347" t="s">
        <v>363</v>
      </c>
      <c r="AB1891" s="347">
        <v>505.01</v>
      </c>
      <c r="AC1891" s="347" t="s">
        <v>339</v>
      </c>
      <c r="AD1891" s="1138"/>
      <c r="AP1891" s="347">
        <v>147.05000000000001</v>
      </c>
      <c r="AQ1891" s="347" t="s">
        <v>359</v>
      </c>
      <c r="BF1891" s="347">
        <v>216.12</v>
      </c>
      <c r="BG1891" s="347" t="s">
        <v>369</v>
      </c>
      <c r="BH1891" s="1790"/>
      <c r="BN1891" s="237">
        <v>103.09</v>
      </c>
      <c r="BO1891" s="237" t="s">
        <v>344</v>
      </c>
      <c r="BT1891" s="347">
        <v>141</v>
      </c>
      <c r="BU1891" s="347" t="s">
        <v>359</v>
      </c>
      <c r="CD1891" s="345">
        <v>106.05</v>
      </c>
      <c r="CE1891" s="345" t="s">
        <v>310</v>
      </c>
      <c r="CJ1891" s="347">
        <v>216.04</v>
      </c>
      <c r="CK1891" s="347" t="s">
        <v>369</v>
      </c>
      <c r="CL1891" s="1789"/>
      <c r="CR1891" s="345"/>
      <c r="CS1891" s="345"/>
      <c r="CX1891" s="347"/>
      <c r="CY1891" s="347"/>
      <c r="DH1891" s="237"/>
      <c r="DI1891" s="237"/>
      <c r="DN1891" s="347"/>
      <c r="DO1891" s="347"/>
      <c r="DP1891" s="2505"/>
    </row>
    <row r="1892" spans="12:120">
      <c r="L1892" s="347">
        <v>254.11</v>
      </c>
      <c r="M1892" s="347" t="s">
        <v>363</v>
      </c>
      <c r="AB1892" s="347">
        <v>505.02</v>
      </c>
      <c r="AC1892" s="347" t="s">
        <v>356</v>
      </c>
      <c r="AD1892" s="1138"/>
      <c r="AP1892" s="347">
        <v>147.06</v>
      </c>
      <c r="AQ1892" s="347" t="s">
        <v>359</v>
      </c>
      <c r="BF1892" s="347">
        <v>216.14</v>
      </c>
      <c r="BG1892" s="347" t="s">
        <v>369</v>
      </c>
      <c r="BH1892" s="1790"/>
      <c r="BN1892" s="237">
        <v>104.04</v>
      </c>
      <c r="BO1892" s="237" t="s">
        <v>344</v>
      </c>
      <c r="BT1892" s="347">
        <v>143.01</v>
      </c>
      <c r="BU1892" s="347" t="s">
        <v>359</v>
      </c>
      <c r="CD1892" s="237">
        <v>106.05</v>
      </c>
      <c r="CE1892" s="237" t="s">
        <v>318</v>
      </c>
      <c r="CJ1892" s="347">
        <v>216.09</v>
      </c>
      <c r="CK1892" s="347" t="s">
        <v>369</v>
      </c>
      <c r="CL1892" s="1789"/>
      <c r="CR1892" s="345"/>
      <c r="CS1892" s="345"/>
      <c r="CX1892" s="347"/>
      <c r="CY1892" s="347"/>
      <c r="DH1892" s="237"/>
      <c r="DI1892" s="237"/>
      <c r="DN1892" s="347"/>
      <c r="DO1892" s="347"/>
      <c r="DP1892" s="2505"/>
    </row>
    <row r="1893" spans="12:120">
      <c r="L1893" s="347">
        <v>254.12</v>
      </c>
      <c r="M1893" s="347" t="s">
        <v>363</v>
      </c>
      <c r="AB1893" s="347">
        <v>505.03</v>
      </c>
      <c r="AC1893" s="347" t="s">
        <v>339</v>
      </c>
      <c r="AD1893" s="1138"/>
      <c r="AP1893" s="347">
        <v>148.04</v>
      </c>
      <c r="AQ1893" s="347" t="s">
        <v>359</v>
      </c>
      <c r="BF1893" s="347">
        <v>216.17</v>
      </c>
      <c r="BG1893" s="347" t="s">
        <v>369</v>
      </c>
      <c r="BH1893" s="1790"/>
      <c r="BN1893" s="237">
        <v>104.11</v>
      </c>
      <c r="BO1893" s="237" t="s">
        <v>344</v>
      </c>
      <c r="BT1893" s="347">
        <v>144</v>
      </c>
      <c r="BU1893" s="347" t="s">
        <v>359</v>
      </c>
      <c r="CD1893" s="345">
        <v>106.06</v>
      </c>
      <c r="CE1893" s="345" t="s">
        <v>310</v>
      </c>
      <c r="CJ1893" s="347">
        <v>216.11</v>
      </c>
      <c r="CK1893" s="347" t="s">
        <v>369</v>
      </c>
      <c r="CL1893" s="1789"/>
      <c r="CR1893" s="345"/>
      <c r="CS1893" s="345"/>
      <c r="CX1893" s="347"/>
      <c r="CY1893" s="347"/>
      <c r="DH1893" s="237"/>
      <c r="DI1893" s="237"/>
      <c r="DN1893" s="347"/>
      <c r="DO1893" s="347"/>
      <c r="DP1893" s="2505"/>
    </row>
    <row r="1894" spans="12:120">
      <c r="L1894" s="347">
        <v>255.01</v>
      </c>
      <c r="M1894" s="347" t="s">
        <v>363</v>
      </c>
      <c r="AB1894" s="347">
        <v>505.04</v>
      </c>
      <c r="AC1894" s="347" t="s">
        <v>339</v>
      </c>
      <c r="AD1894" s="1138"/>
      <c r="AP1894" s="347">
        <v>148.06</v>
      </c>
      <c r="AQ1894" s="347" t="s">
        <v>359</v>
      </c>
      <c r="BF1894" s="347">
        <v>217</v>
      </c>
      <c r="BG1894" s="347" t="s">
        <v>357</v>
      </c>
      <c r="BH1894" s="1790"/>
      <c r="BN1894" s="237">
        <v>104.12</v>
      </c>
      <c r="BO1894" s="237" t="s">
        <v>344</v>
      </c>
      <c r="BT1894" s="347">
        <v>145.04</v>
      </c>
      <c r="BU1894" s="347" t="s">
        <v>359</v>
      </c>
      <c r="CD1894" s="237">
        <v>106.06</v>
      </c>
      <c r="CE1894" s="237" t="s">
        <v>318</v>
      </c>
      <c r="CJ1894" s="347">
        <v>216.12</v>
      </c>
      <c r="CK1894" s="347" t="s">
        <v>369</v>
      </c>
      <c r="CL1894" s="1789"/>
      <c r="CR1894" s="345"/>
      <c r="CS1894" s="345"/>
      <c r="CX1894" s="347"/>
      <c r="CY1894" s="347"/>
      <c r="DH1894" s="237"/>
      <c r="DI1894" s="237"/>
      <c r="DN1894" s="347"/>
      <c r="DO1894" s="347"/>
      <c r="DP1894" s="2505"/>
    </row>
    <row r="1895" spans="12:120">
      <c r="L1895" s="347">
        <v>255.06</v>
      </c>
      <c r="M1895" s="347" t="s">
        <v>363</v>
      </c>
      <c r="AB1895" s="347">
        <v>505.04</v>
      </c>
      <c r="AC1895" s="347" t="s">
        <v>356</v>
      </c>
      <c r="AD1895" s="1138"/>
      <c r="AP1895" s="347">
        <v>148.07</v>
      </c>
      <c r="AQ1895" s="347" t="s">
        <v>359</v>
      </c>
      <c r="BF1895" s="347">
        <v>217.04</v>
      </c>
      <c r="BG1895" s="347" t="s">
        <v>369</v>
      </c>
      <c r="BH1895" s="1790"/>
      <c r="BN1895" s="237">
        <v>104.13</v>
      </c>
      <c r="BO1895" s="237" t="s">
        <v>344</v>
      </c>
      <c r="BT1895" s="347">
        <v>146.06</v>
      </c>
      <c r="BU1895" s="347" t="s">
        <v>359</v>
      </c>
      <c r="CD1895" s="237">
        <v>106.08</v>
      </c>
      <c r="CE1895" s="237" t="s">
        <v>352</v>
      </c>
      <c r="CJ1895" s="347">
        <v>216.13</v>
      </c>
      <c r="CK1895" s="347" t="s">
        <v>369</v>
      </c>
      <c r="CL1895" s="1789"/>
      <c r="CR1895" s="345"/>
      <c r="CS1895" s="345"/>
      <c r="CX1895" s="347"/>
      <c r="CY1895" s="347"/>
      <c r="DH1895" s="237"/>
      <c r="DI1895" s="237"/>
      <c r="DN1895" s="347"/>
      <c r="DO1895" s="347"/>
      <c r="DP1895" s="2505"/>
    </row>
    <row r="1896" spans="12:120">
      <c r="L1896" s="347">
        <v>257</v>
      </c>
      <c r="M1896" s="347" t="s">
        <v>363</v>
      </c>
      <c r="AB1896" s="347">
        <v>505.05</v>
      </c>
      <c r="AC1896" s="347" t="s">
        <v>339</v>
      </c>
      <c r="AD1896" s="1138"/>
      <c r="AP1896" s="347">
        <v>148.09</v>
      </c>
      <c r="AQ1896" s="347" t="s">
        <v>359</v>
      </c>
      <c r="BF1896" s="347">
        <v>217.06</v>
      </c>
      <c r="BG1896" s="347" t="s">
        <v>369</v>
      </c>
      <c r="BH1896" s="1790"/>
      <c r="BN1896" s="237">
        <v>104.14</v>
      </c>
      <c r="BO1896" s="237" t="s">
        <v>344</v>
      </c>
      <c r="BT1896" s="347">
        <v>147.06</v>
      </c>
      <c r="BU1896" s="347" t="s">
        <v>359</v>
      </c>
      <c r="CD1896" s="345">
        <v>106.09</v>
      </c>
      <c r="CE1896" s="345" t="s">
        <v>310</v>
      </c>
      <c r="CJ1896" s="347">
        <v>216.14</v>
      </c>
      <c r="CK1896" s="347" t="s">
        <v>369</v>
      </c>
      <c r="CL1896" s="1789"/>
      <c r="CR1896" s="345"/>
      <c r="CS1896" s="345"/>
      <c r="CX1896" s="347"/>
      <c r="CY1896" s="347"/>
      <c r="DH1896" s="237"/>
      <c r="DI1896" s="237"/>
      <c r="DN1896" s="347"/>
      <c r="DO1896" s="347"/>
      <c r="DP1896" s="2505"/>
    </row>
    <row r="1897" spans="12:120">
      <c r="L1897" s="347">
        <v>260.01</v>
      </c>
      <c r="M1897" s="347" t="s">
        <v>363</v>
      </c>
      <c r="AB1897" s="347">
        <v>506.01</v>
      </c>
      <c r="AC1897" s="347" t="s">
        <v>310</v>
      </c>
      <c r="AD1897" s="1138"/>
      <c r="AP1897" s="347">
        <v>148.1</v>
      </c>
      <c r="AQ1897" s="347" t="s">
        <v>359</v>
      </c>
      <c r="BF1897" s="347">
        <v>217.07</v>
      </c>
      <c r="BG1897" s="347" t="s">
        <v>369</v>
      </c>
      <c r="BH1897" s="1790"/>
      <c r="BN1897" s="237">
        <v>104.15</v>
      </c>
      <c r="BO1897" s="237" t="s">
        <v>344</v>
      </c>
      <c r="BT1897" s="347">
        <v>148.06</v>
      </c>
      <c r="BU1897" s="347" t="s">
        <v>359</v>
      </c>
      <c r="CD1897" s="237">
        <v>106.09</v>
      </c>
      <c r="CE1897" s="237" t="s">
        <v>352</v>
      </c>
      <c r="CJ1897" s="347">
        <v>216.17</v>
      </c>
      <c r="CK1897" s="347" t="s">
        <v>369</v>
      </c>
      <c r="CL1897" s="1789"/>
      <c r="CR1897" s="345"/>
      <c r="CS1897" s="345"/>
      <c r="CX1897" s="347"/>
      <c r="CY1897" s="347"/>
      <c r="DH1897" s="237"/>
      <c r="DI1897" s="237"/>
      <c r="DN1897" s="347"/>
      <c r="DO1897" s="347"/>
      <c r="DP1897" s="2505"/>
    </row>
    <row r="1898" spans="12:120">
      <c r="L1898" s="347">
        <v>260.02</v>
      </c>
      <c r="M1898" s="347" t="s">
        <v>363</v>
      </c>
      <c r="AB1898" s="347">
        <v>506.01</v>
      </c>
      <c r="AC1898" s="347" t="s">
        <v>344</v>
      </c>
      <c r="AD1898" s="1138"/>
      <c r="AP1898" s="347">
        <v>148.11000000000001</v>
      </c>
      <c r="AQ1898" s="347" t="s">
        <v>359</v>
      </c>
      <c r="BF1898" s="347">
        <v>217.08</v>
      </c>
      <c r="BG1898" s="347" t="s">
        <v>369</v>
      </c>
      <c r="BH1898" s="1790"/>
      <c r="BN1898" s="237">
        <v>104.16</v>
      </c>
      <c r="BO1898" s="237" t="s">
        <v>344</v>
      </c>
      <c r="BT1898" s="347">
        <v>148.07</v>
      </c>
      <c r="BU1898" s="347" t="s">
        <v>359</v>
      </c>
      <c r="CD1898" s="345">
        <v>106.1</v>
      </c>
      <c r="CE1898" s="345" t="s">
        <v>310</v>
      </c>
      <c r="CJ1898" s="347">
        <v>217</v>
      </c>
      <c r="CK1898" s="347" t="s">
        <v>357</v>
      </c>
      <c r="CL1898" s="1789"/>
      <c r="CR1898" s="345"/>
      <c r="CS1898" s="345"/>
      <c r="CX1898" s="347"/>
      <c r="CY1898" s="347"/>
      <c r="DH1898" s="237"/>
      <c r="DI1898" s="237"/>
      <c r="DN1898" s="347"/>
      <c r="DO1898" s="347"/>
      <c r="DP1898" s="2505"/>
    </row>
    <row r="1899" spans="12:120">
      <c r="L1899" s="347">
        <v>266.01</v>
      </c>
      <c r="M1899" s="347" t="s">
        <v>363</v>
      </c>
      <c r="AB1899" s="347">
        <v>506.02</v>
      </c>
      <c r="AC1899" s="347" t="s">
        <v>310</v>
      </c>
      <c r="AD1899" s="1138"/>
      <c r="AP1899" s="347">
        <v>148.12</v>
      </c>
      <c r="AQ1899" s="347" t="s">
        <v>359</v>
      </c>
      <c r="BF1899" s="347">
        <v>218</v>
      </c>
      <c r="BG1899" s="347" t="s">
        <v>363</v>
      </c>
      <c r="BH1899" s="1790"/>
      <c r="BN1899" s="237">
        <v>104.17</v>
      </c>
      <c r="BO1899" s="237" t="s">
        <v>344</v>
      </c>
      <c r="BT1899" s="347">
        <v>148.09</v>
      </c>
      <c r="BU1899" s="347" t="s">
        <v>359</v>
      </c>
      <c r="CD1899" s="237">
        <v>106.1</v>
      </c>
      <c r="CE1899" s="237" t="s">
        <v>352</v>
      </c>
      <c r="CJ1899" s="347">
        <v>217.04</v>
      </c>
      <c r="CK1899" s="347" t="s">
        <v>369</v>
      </c>
      <c r="CL1899" s="1789"/>
      <c r="CR1899" s="345"/>
      <c r="CS1899" s="345"/>
      <c r="CX1899" s="347"/>
      <c r="CY1899" s="347"/>
      <c r="DH1899" s="237"/>
      <c r="DI1899" s="237"/>
      <c r="DN1899" s="347"/>
      <c r="DO1899" s="347"/>
      <c r="DP1899" s="2505"/>
    </row>
    <row r="1900" spans="12:120">
      <c r="L1900" s="347">
        <v>267.02</v>
      </c>
      <c r="M1900" s="347" t="s">
        <v>363</v>
      </c>
      <c r="AB1900" s="347">
        <v>506.02</v>
      </c>
      <c r="AC1900" s="347" t="s">
        <v>339</v>
      </c>
      <c r="AD1900" s="1138"/>
      <c r="AP1900" s="347">
        <v>148.13</v>
      </c>
      <c r="AQ1900" s="347" t="s">
        <v>359</v>
      </c>
      <c r="BF1900" s="347">
        <v>218.01</v>
      </c>
      <c r="BG1900" s="347" t="s">
        <v>357</v>
      </c>
      <c r="BH1900" s="1790"/>
      <c r="BN1900" s="237">
        <v>104.18</v>
      </c>
      <c r="BO1900" s="237" t="s">
        <v>344</v>
      </c>
      <c r="BT1900" s="347">
        <v>148.1</v>
      </c>
      <c r="BU1900" s="347" t="s">
        <v>359</v>
      </c>
      <c r="CD1900" s="345">
        <v>106.11</v>
      </c>
      <c r="CE1900" s="345" t="s">
        <v>310</v>
      </c>
      <c r="CJ1900" s="347">
        <v>217.07</v>
      </c>
      <c r="CK1900" s="347" t="s">
        <v>369</v>
      </c>
      <c r="CL1900" s="1789"/>
      <c r="CR1900" s="345"/>
      <c r="CS1900" s="345"/>
      <c r="CX1900" s="347"/>
      <c r="CY1900" s="347"/>
      <c r="DH1900" s="237"/>
      <c r="DI1900" s="237"/>
      <c r="DN1900" s="347"/>
      <c r="DO1900" s="347"/>
      <c r="DP1900" s="2505"/>
    </row>
    <row r="1901" spans="12:120">
      <c r="L1901" s="347">
        <v>268.04000000000002</v>
      </c>
      <c r="M1901" s="347" t="s">
        <v>363</v>
      </c>
      <c r="AB1901" s="347">
        <v>506.02</v>
      </c>
      <c r="AC1901" s="347" t="s">
        <v>344</v>
      </c>
      <c r="AD1901" s="1138"/>
      <c r="AP1901" s="347">
        <v>148.13999999999999</v>
      </c>
      <c r="AQ1901" s="347" t="s">
        <v>359</v>
      </c>
      <c r="BF1901" s="347">
        <v>218.03</v>
      </c>
      <c r="BG1901" s="347" t="s">
        <v>369</v>
      </c>
      <c r="BH1901" s="1790"/>
      <c r="BN1901" s="237">
        <v>104.19</v>
      </c>
      <c r="BO1901" s="237" t="s">
        <v>344</v>
      </c>
      <c r="BT1901" s="347">
        <v>148.11000000000001</v>
      </c>
      <c r="BU1901" s="347" t="s">
        <v>359</v>
      </c>
      <c r="CD1901" s="345">
        <v>106.12</v>
      </c>
      <c r="CE1901" s="345" t="s">
        <v>310</v>
      </c>
      <c r="CJ1901" s="347">
        <v>217.08</v>
      </c>
      <c r="CK1901" s="347" t="s">
        <v>369</v>
      </c>
      <c r="CL1901" s="1789"/>
      <c r="CR1901" s="345"/>
      <c r="CS1901" s="345"/>
      <c r="CX1901" s="347"/>
      <c r="CY1901" s="347"/>
      <c r="DH1901" s="237"/>
      <c r="DI1901" s="237"/>
      <c r="DN1901" s="347"/>
      <c r="DO1901" s="347"/>
      <c r="DP1901" s="2505"/>
    </row>
    <row r="1902" spans="12:120">
      <c r="L1902" s="347">
        <v>268.08999999999997</v>
      </c>
      <c r="M1902" s="347" t="s">
        <v>363</v>
      </c>
      <c r="AB1902" s="347">
        <v>506.04</v>
      </c>
      <c r="AC1902" s="347" t="s">
        <v>339</v>
      </c>
      <c r="AD1902" s="1138"/>
      <c r="AP1902" s="347">
        <v>148.15</v>
      </c>
      <c r="AQ1902" s="347" t="s">
        <v>359</v>
      </c>
      <c r="BF1902" s="347">
        <v>218.05</v>
      </c>
      <c r="BG1902" s="347" t="s">
        <v>369</v>
      </c>
      <c r="BH1902" s="1790"/>
      <c r="BN1902" s="237">
        <v>104.2</v>
      </c>
      <c r="BO1902" s="237" t="s">
        <v>344</v>
      </c>
      <c r="BT1902" s="347">
        <v>148.12</v>
      </c>
      <c r="BU1902" s="347" t="s">
        <v>359</v>
      </c>
      <c r="CD1902" s="345">
        <v>106.13</v>
      </c>
      <c r="CE1902" s="345" t="s">
        <v>310</v>
      </c>
      <c r="CJ1902" s="347">
        <v>218</v>
      </c>
      <c r="CK1902" s="347" t="s">
        <v>363</v>
      </c>
      <c r="CL1902" s="1789"/>
      <c r="CR1902" s="345"/>
      <c r="CS1902" s="345"/>
      <c r="CX1902" s="347"/>
      <c r="CY1902" s="347"/>
      <c r="DH1902" s="237"/>
      <c r="DI1902" s="237"/>
      <c r="DN1902" s="347"/>
      <c r="DO1902" s="347"/>
      <c r="DP1902" s="2505"/>
    </row>
    <row r="1903" spans="12:120">
      <c r="L1903" s="347">
        <v>268.11</v>
      </c>
      <c r="M1903" s="347" t="s">
        <v>363</v>
      </c>
      <c r="AB1903" s="347">
        <v>506.05</v>
      </c>
      <c r="AC1903" s="347" t="s">
        <v>339</v>
      </c>
      <c r="AD1903" s="1138"/>
      <c r="AP1903" s="347">
        <v>150.02000000000001</v>
      </c>
      <c r="AQ1903" s="347" t="s">
        <v>359</v>
      </c>
      <c r="BF1903" s="347">
        <v>218.06</v>
      </c>
      <c r="BG1903" s="347" t="s">
        <v>369</v>
      </c>
      <c r="BH1903" s="1790"/>
      <c r="BN1903" s="237">
        <v>104.21</v>
      </c>
      <c r="BO1903" s="237" t="s">
        <v>344</v>
      </c>
      <c r="BT1903" s="347">
        <v>148.13</v>
      </c>
      <c r="BU1903" s="347" t="s">
        <v>359</v>
      </c>
      <c r="CD1903" s="237">
        <v>106.13</v>
      </c>
      <c r="CE1903" s="237" t="s">
        <v>352</v>
      </c>
      <c r="CJ1903" s="347">
        <v>218.01</v>
      </c>
      <c r="CK1903" s="347" t="s">
        <v>357</v>
      </c>
      <c r="CL1903" s="1789"/>
      <c r="CR1903" s="345"/>
      <c r="CS1903" s="345"/>
      <c r="CX1903" s="347"/>
      <c r="CY1903" s="347"/>
      <c r="DH1903" s="237"/>
      <c r="DI1903" s="237"/>
      <c r="DN1903" s="347"/>
      <c r="DO1903" s="347"/>
      <c r="DP1903" s="2505"/>
    </row>
    <row r="1904" spans="12:120">
      <c r="L1904" s="347">
        <v>268.12</v>
      </c>
      <c r="M1904" s="347" t="s">
        <v>363</v>
      </c>
      <c r="AB1904" s="347">
        <v>507.02</v>
      </c>
      <c r="AC1904" s="347" t="s">
        <v>339</v>
      </c>
      <c r="AD1904" s="1138"/>
      <c r="AP1904" s="347">
        <v>150.05000000000001</v>
      </c>
      <c r="AQ1904" s="347" t="s">
        <v>359</v>
      </c>
      <c r="BF1904" s="347">
        <v>219</v>
      </c>
      <c r="BG1904" s="347" t="s">
        <v>363</v>
      </c>
      <c r="BH1904" s="1790"/>
      <c r="BN1904" s="237">
        <v>104.22</v>
      </c>
      <c r="BO1904" s="237" t="s">
        <v>344</v>
      </c>
      <c r="BT1904" s="347">
        <v>148.13999999999999</v>
      </c>
      <c r="BU1904" s="347" t="s">
        <v>359</v>
      </c>
      <c r="CD1904" s="345">
        <v>106.14</v>
      </c>
      <c r="CE1904" s="345" t="s">
        <v>310</v>
      </c>
      <c r="CJ1904" s="347">
        <v>218.05</v>
      </c>
      <c r="CK1904" s="347" t="s">
        <v>369</v>
      </c>
      <c r="CL1904" s="1789"/>
      <c r="CR1904" s="345"/>
      <c r="CS1904" s="345"/>
      <c r="CX1904" s="347"/>
      <c r="CY1904" s="347"/>
      <c r="DH1904" s="237"/>
      <c r="DI1904" s="237"/>
      <c r="DN1904" s="347"/>
      <c r="DO1904" s="347"/>
      <c r="DP1904" s="2505"/>
    </row>
    <row r="1905" spans="12:120">
      <c r="L1905" s="347">
        <v>268.13</v>
      </c>
      <c r="M1905" s="347" t="s">
        <v>363</v>
      </c>
      <c r="AB1905" s="347">
        <v>507.03</v>
      </c>
      <c r="AC1905" s="347" t="s">
        <v>339</v>
      </c>
      <c r="AD1905" s="1138"/>
      <c r="AP1905" s="347">
        <v>150.06</v>
      </c>
      <c r="AQ1905" s="347" t="s">
        <v>359</v>
      </c>
      <c r="BF1905" s="347">
        <v>219.01</v>
      </c>
      <c r="BG1905" s="347" t="s">
        <v>369</v>
      </c>
      <c r="BH1905" s="1790"/>
      <c r="BN1905" s="237">
        <v>104.23</v>
      </c>
      <c r="BO1905" s="237" t="s">
        <v>344</v>
      </c>
      <c r="BT1905" s="347">
        <v>148.15</v>
      </c>
      <c r="BU1905" s="347" t="s">
        <v>359</v>
      </c>
      <c r="CD1905" s="345">
        <v>106.15</v>
      </c>
      <c r="CE1905" s="345" t="s">
        <v>310</v>
      </c>
      <c r="CJ1905" s="347">
        <v>218.06</v>
      </c>
      <c r="CK1905" s="347" t="s">
        <v>369</v>
      </c>
      <c r="CL1905" s="1789"/>
      <c r="CR1905" s="345"/>
      <c r="CS1905" s="345"/>
      <c r="CX1905" s="347"/>
      <c r="CY1905" s="347"/>
      <c r="DH1905" s="237"/>
      <c r="DI1905" s="237"/>
      <c r="DN1905" s="347"/>
      <c r="DO1905" s="347"/>
      <c r="DP1905" s="2505"/>
    </row>
    <row r="1906" spans="12:120">
      <c r="L1906" s="347">
        <v>268.14999999999998</v>
      </c>
      <c r="M1906" s="347" t="s">
        <v>363</v>
      </c>
      <c r="AB1906" s="347">
        <v>507.05</v>
      </c>
      <c r="AC1906" s="347" t="s">
        <v>339</v>
      </c>
      <c r="AD1906" s="1138"/>
      <c r="AP1906" s="347">
        <v>151.03</v>
      </c>
      <c r="AQ1906" s="347" t="s">
        <v>359</v>
      </c>
      <c r="BF1906" s="347">
        <v>219.02</v>
      </c>
      <c r="BG1906" s="347" t="s">
        <v>357</v>
      </c>
      <c r="BH1906" s="1790"/>
      <c r="BN1906" s="237">
        <v>105.01</v>
      </c>
      <c r="BO1906" s="237" t="s">
        <v>344</v>
      </c>
      <c r="BT1906" s="347">
        <v>149.06</v>
      </c>
      <c r="BU1906" s="347" t="s">
        <v>359</v>
      </c>
      <c r="CD1906" s="237">
        <v>106.18</v>
      </c>
      <c r="CE1906" s="237" t="s">
        <v>352</v>
      </c>
      <c r="CJ1906" s="347">
        <v>219</v>
      </c>
      <c r="CK1906" s="347" t="s">
        <v>363</v>
      </c>
      <c r="CL1906" s="1789"/>
      <c r="CR1906" s="345"/>
      <c r="CS1906" s="345"/>
      <c r="CX1906" s="347"/>
      <c r="CY1906" s="347"/>
      <c r="DH1906" s="237"/>
      <c r="DI1906" s="237"/>
      <c r="DN1906" s="347"/>
      <c r="DO1906" s="347"/>
      <c r="DP1906" s="2505"/>
    </row>
    <row r="1907" spans="12:120">
      <c r="L1907" s="347">
        <v>268.16000000000003</v>
      </c>
      <c r="M1907" s="347" t="s">
        <v>363</v>
      </c>
      <c r="AB1907" s="347">
        <v>508.02</v>
      </c>
      <c r="AC1907" s="347" t="s">
        <v>339</v>
      </c>
      <c r="AD1907" s="1138"/>
      <c r="AP1907" s="347">
        <v>152.03</v>
      </c>
      <c r="AQ1907" s="347" t="s">
        <v>359</v>
      </c>
      <c r="BF1907" s="347">
        <v>220.02</v>
      </c>
      <c r="BG1907" s="347" t="s">
        <v>369</v>
      </c>
      <c r="BH1907" s="1790"/>
      <c r="BN1907" s="237">
        <v>105.03</v>
      </c>
      <c r="BO1907" s="237" t="s">
        <v>344</v>
      </c>
      <c r="BT1907" s="347">
        <v>150.03</v>
      </c>
      <c r="BU1907" s="347" t="s">
        <v>359</v>
      </c>
      <c r="CD1907" s="237">
        <v>106.19</v>
      </c>
      <c r="CE1907" s="237" t="s">
        <v>352</v>
      </c>
      <c r="CJ1907" s="347">
        <v>219.02</v>
      </c>
      <c r="CK1907" s="347" t="s">
        <v>357</v>
      </c>
      <c r="CL1907" s="1789"/>
      <c r="CR1907" s="345"/>
      <c r="CS1907" s="345"/>
      <c r="CX1907" s="347"/>
      <c r="CY1907" s="347"/>
      <c r="DH1907" s="237"/>
      <c r="DI1907" s="237"/>
      <c r="DN1907" s="347"/>
      <c r="DO1907" s="347"/>
      <c r="DP1907" s="2505"/>
    </row>
    <row r="1908" spans="12:120">
      <c r="L1908" s="347">
        <v>268.17</v>
      </c>
      <c r="M1908" s="347" t="s">
        <v>363</v>
      </c>
      <c r="AB1908" s="347">
        <v>508.04</v>
      </c>
      <c r="AC1908" s="347" t="s">
        <v>339</v>
      </c>
      <c r="AD1908" s="1138"/>
      <c r="AP1908" s="347">
        <v>152.04</v>
      </c>
      <c r="AQ1908" s="347" t="s">
        <v>359</v>
      </c>
      <c r="BF1908" s="347">
        <v>220.04</v>
      </c>
      <c r="BG1908" s="347" t="s">
        <v>369</v>
      </c>
      <c r="BH1908" s="1790"/>
      <c r="BN1908" s="237">
        <v>105.04</v>
      </c>
      <c r="BO1908" s="237" t="s">
        <v>344</v>
      </c>
      <c r="BT1908" s="347">
        <v>150.05000000000001</v>
      </c>
      <c r="BU1908" s="347" t="s">
        <v>359</v>
      </c>
      <c r="CD1908" s="237">
        <v>106.2</v>
      </c>
      <c r="CE1908" s="237" t="s">
        <v>352</v>
      </c>
      <c r="CJ1908" s="347">
        <v>219.02</v>
      </c>
      <c r="CK1908" s="347" t="s">
        <v>369</v>
      </c>
      <c r="CL1908" s="1789"/>
      <c r="CR1908" s="345"/>
      <c r="CS1908" s="345"/>
      <c r="CX1908" s="347"/>
      <c r="CY1908" s="347"/>
      <c r="DH1908" s="237"/>
      <c r="DI1908" s="237"/>
      <c r="DN1908" s="347"/>
      <c r="DO1908" s="347"/>
      <c r="DP1908" s="2505"/>
    </row>
    <row r="1909" spans="12:120">
      <c r="L1909" s="347">
        <v>268.20999999999998</v>
      </c>
      <c r="M1909" s="347" t="s">
        <v>363</v>
      </c>
      <c r="AB1909" s="347">
        <v>508.08</v>
      </c>
      <c r="AC1909" s="347" t="s">
        <v>339</v>
      </c>
      <c r="AD1909" s="1138"/>
      <c r="AP1909" s="347">
        <v>153</v>
      </c>
      <c r="AQ1909" s="347" t="s">
        <v>359</v>
      </c>
      <c r="BF1909" s="347">
        <v>220.07</v>
      </c>
      <c r="BG1909" s="347" t="s">
        <v>369</v>
      </c>
      <c r="BH1909" s="1790"/>
      <c r="BN1909" s="237">
        <v>106.01</v>
      </c>
      <c r="BO1909" s="237" t="s">
        <v>344</v>
      </c>
      <c r="BT1909" s="347">
        <v>150.06</v>
      </c>
      <c r="BU1909" s="347" t="s">
        <v>359</v>
      </c>
      <c r="CD1909" s="237">
        <v>106.21</v>
      </c>
      <c r="CE1909" s="237" t="s">
        <v>352</v>
      </c>
      <c r="CJ1909" s="347">
        <v>220.02</v>
      </c>
      <c r="CK1909" s="347" t="s">
        <v>369</v>
      </c>
      <c r="CL1909" s="1789"/>
      <c r="CR1909" s="345"/>
      <c r="CS1909" s="345"/>
      <c r="CX1909" s="347"/>
      <c r="CY1909" s="347"/>
      <c r="DH1909" s="237"/>
      <c r="DI1909" s="237"/>
      <c r="DN1909" s="347"/>
      <c r="DO1909" s="347"/>
      <c r="DP1909" s="2505"/>
    </row>
    <row r="1910" spans="12:120">
      <c r="L1910" s="347">
        <v>269.07</v>
      </c>
      <c r="M1910" s="347" t="s">
        <v>363</v>
      </c>
      <c r="AB1910" s="347">
        <v>509</v>
      </c>
      <c r="AC1910" s="347" t="s">
        <v>310</v>
      </c>
      <c r="AD1910" s="1138"/>
      <c r="AP1910" s="347">
        <v>155.01</v>
      </c>
      <c r="AQ1910" s="347" t="s">
        <v>359</v>
      </c>
      <c r="BF1910" s="347">
        <v>221.02</v>
      </c>
      <c r="BG1910" s="347" t="s">
        <v>363</v>
      </c>
      <c r="BH1910" s="1790"/>
      <c r="BN1910" s="237">
        <v>106.02</v>
      </c>
      <c r="BO1910" s="237" t="s">
        <v>344</v>
      </c>
      <c r="BT1910" s="347">
        <v>151.03</v>
      </c>
      <c r="BU1910" s="347" t="s">
        <v>359</v>
      </c>
      <c r="CD1910" s="237">
        <v>106.22</v>
      </c>
      <c r="CE1910" s="237" t="s">
        <v>352</v>
      </c>
      <c r="CJ1910" s="347">
        <v>220.04</v>
      </c>
      <c r="CK1910" s="347" t="s">
        <v>369</v>
      </c>
      <c r="CL1910" s="1789"/>
      <c r="CR1910" s="345"/>
      <c r="CS1910" s="345"/>
      <c r="CX1910" s="347"/>
      <c r="CY1910" s="347"/>
      <c r="DH1910" s="237"/>
      <c r="DI1910" s="237"/>
      <c r="DN1910" s="347"/>
      <c r="DO1910" s="347"/>
      <c r="DP1910" s="2505"/>
    </row>
    <row r="1911" spans="12:120">
      <c r="L1911" s="347">
        <v>269.08</v>
      </c>
      <c r="M1911" s="347" t="s">
        <v>363</v>
      </c>
      <c r="AB1911" s="347">
        <v>509.02</v>
      </c>
      <c r="AC1911" s="347" t="s">
        <v>339</v>
      </c>
      <c r="AD1911" s="1138"/>
      <c r="AP1911" s="347">
        <v>156.01</v>
      </c>
      <c r="AQ1911" s="347" t="s">
        <v>359</v>
      </c>
      <c r="BF1911" s="347">
        <v>221.04</v>
      </c>
      <c r="BG1911" s="347" t="s">
        <v>369</v>
      </c>
      <c r="BH1911" s="1790"/>
      <c r="BN1911" s="237">
        <v>107.01</v>
      </c>
      <c r="BO1911" s="237" t="s">
        <v>344</v>
      </c>
      <c r="BT1911" s="347">
        <v>152.03</v>
      </c>
      <c r="BU1911" s="347" t="s">
        <v>359</v>
      </c>
      <c r="CD1911" s="237">
        <v>106.23</v>
      </c>
      <c r="CE1911" s="237" t="s">
        <v>352</v>
      </c>
      <c r="CJ1911" s="347">
        <v>220.07</v>
      </c>
      <c r="CK1911" s="347" t="s">
        <v>369</v>
      </c>
      <c r="CL1911" s="1789"/>
      <c r="CR1911" s="345"/>
      <c r="CS1911" s="345"/>
      <c r="CX1911" s="347"/>
      <c r="CY1911" s="347"/>
      <c r="DH1911" s="237"/>
      <c r="DI1911" s="237"/>
      <c r="DN1911" s="347"/>
      <c r="DO1911" s="347"/>
      <c r="DP1911" s="2505"/>
    </row>
    <row r="1912" spans="12:120">
      <c r="L1912" s="347">
        <v>269.10000000000002</v>
      </c>
      <c r="M1912" s="347" t="s">
        <v>363</v>
      </c>
      <c r="AB1912" s="347">
        <v>510.01</v>
      </c>
      <c r="AC1912" s="347" t="s">
        <v>310</v>
      </c>
      <c r="AD1912" s="1138"/>
      <c r="AP1912" s="347">
        <v>156.02000000000001</v>
      </c>
      <c r="AQ1912" s="347" t="s">
        <v>359</v>
      </c>
      <c r="BF1912" s="347">
        <v>221.05</v>
      </c>
      <c r="BG1912" s="347" t="s">
        <v>369</v>
      </c>
      <c r="BH1912" s="1790"/>
      <c r="BN1912" s="237">
        <v>107.02</v>
      </c>
      <c r="BO1912" s="237" t="s">
        <v>344</v>
      </c>
      <c r="BT1912" s="347">
        <v>152.04</v>
      </c>
      <c r="BU1912" s="347" t="s">
        <v>359</v>
      </c>
      <c r="CD1912" s="237">
        <v>106.24</v>
      </c>
      <c r="CE1912" s="237" t="s">
        <v>352</v>
      </c>
      <c r="CJ1912" s="347">
        <v>221.01</v>
      </c>
      <c r="CK1912" s="347" t="s">
        <v>363</v>
      </c>
      <c r="CL1912" s="1789"/>
      <c r="CR1912" s="345"/>
      <c r="CS1912" s="345"/>
      <c r="CX1912" s="347"/>
      <c r="CY1912" s="347"/>
      <c r="DH1912" s="237"/>
      <c r="DI1912" s="237"/>
      <c r="DN1912" s="347"/>
      <c r="DO1912" s="347"/>
      <c r="DP1912" s="2505"/>
    </row>
    <row r="1913" spans="12:120">
      <c r="L1913" s="347">
        <v>269.11</v>
      </c>
      <c r="M1913" s="347" t="s">
        <v>363</v>
      </c>
      <c r="AB1913" s="347">
        <v>510.02</v>
      </c>
      <c r="AC1913" s="347" t="s">
        <v>310</v>
      </c>
      <c r="AD1913" s="1138"/>
      <c r="AP1913" s="347">
        <v>157.01</v>
      </c>
      <c r="AQ1913" s="347" t="s">
        <v>359</v>
      </c>
      <c r="BF1913" s="347">
        <v>221.06</v>
      </c>
      <c r="BG1913" s="347" t="s">
        <v>369</v>
      </c>
      <c r="BH1913" s="1790"/>
      <c r="BN1913" s="237">
        <v>108.01</v>
      </c>
      <c r="BO1913" s="237" t="s">
        <v>344</v>
      </c>
      <c r="BT1913" s="347">
        <v>153</v>
      </c>
      <c r="BU1913" s="347" t="s">
        <v>359</v>
      </c>
      <c r="CD1913" s="237">
        <v>106.25</v>
      </c>
      <c r="CE1913" s="237" t="s">
        <v>352</v>
      </c>
      <c r="CJ1913" s="347">
        <v>221.02</v>
      </c>
      <c r="CK1913" s="347" t="s">
        <v>363</v>
      </c>
      <c r="CL1913" s="1789"/>
      <c r="CR1913" s="345"/>
      <c r="CS1913" s="345"/>
      <c r="CX1913" s="347"/>
      <c r="CY1913" s="347"/>
      <c r="DH1913" s="237"/>
      <c r="DI1913" s="237"/>
      <c r="DN1913" s="347"/>
      <c r="DO1913" s="347"/>
      <c r="DP1913" s="2505"/>
    </row>
    <row r="1914" spans="12:120">
      <c r="L1914" s="347">
        <v>270</v>
      </c>
      <c r="M1914" s="347" t="s">
        <v>363</v>
      </c>
      <c r="AB1914" s="347">
        <v>601.02</v>
      </c>
      <c r="AC1914" s="347" t="s">
        <v>344</v>
      </c>
      <c r="AD1914" s="1138"/>
      <c r="AP1914" s="347">
        <v>157.02000000000001</v>
      </c>
      <c r="AQ1914" s="347" t="s">
        <v>359</v>
      </c>
      <c r="BF1914" s="347">
        <v>222</v>
      </c>
      <c r="BG1914" s="347" t="s">
        <v>363</v>
      </c>
      <c r="BH1914" s="1790"/>
      <c r="BN1914" s="237">
        <v>108.02</v>
      </c>
      <c r="BO1914" s="237" t="s">
        <v>344</v>
      </c>
      <c r="BT1914" s="347">
        <v>155.01</v>
      </c>
      <c r="BU1914" s="347" t="s">
        <v>359</v>
      </c>
      <c r="CD1914" s="237">
        <v>106.26</v>
      </c>
      <c r="CE1914" s="237" t="s">
        <v>352</v>
      </c>
      <c r="CJ1914" s="347">
        <v>221.06</v>
      </c>
      <c r="CK1914" s="347" t="s">
        <v>369</v>
      </c>
      <c r="CL1914" s="1789"/>
      <c r="CR1914" s="345"/>
      <c r="CS1914" s="345"/>
      <c r="CX1914" s="347"/>
      <c r="CY1914" s="347"/>
      <c r="DH1914" s="237"/>
      <c r="DI1914" s="237"/>
      <c r="DN1914" s="347"/>
      <c r="DO1914" s="347"/>
      <c r="DP1914" s="2505"/>
    </row>
    <row r="1915" spans="12:120">
      <c r="L1915" s="347">
        <v>271.05</v>
      </c>
      <c r="M1915" s="347" t="s">
        <v>363</v>
      </c>
      <c r="AB1915" s="347">
        <v>601.03</v>
      </c>
      <c r="AC1915" s="347" t="s">
        <v>326</v>
      </c>
      <c r="AD1915" s="1138"/>
      <c r="AP1915" s="347">
        <v>158.01</v>
      </c>
      <c r="AQ1915" s="347" t="s">
        <v>359</v>
      </c>
      <c r="BF1915" s="347">
        <v>222.01</v>
      </c>
      <c r="BG1915" s="347" t="s">
        <v>369</v>
      </c>
      <c r="BH1915" s="1790"/>
      <c r="BN1915" s="237">
        <v>108.03</v>
      </c>
      <c r="BO1915" s="237" t="s">
        <v>344</v>
      </c>
      <c r="BT1915" s="347">
        <v>156.01</v>
      </c>
      <c r="BU1915" s="347" t="s">
        <v>359</v>
      </c>
      <c r="CD1915" s="237">
        <v>107</v>
      </c>
      <c r="CE1915" s="237" t="s">
        <v>323</v>
      </c>
      <c r="CJ1915" s="347">
        <v>222</v>
      </c>
      <c r="CK1915" s="347" t="s">
        <v>363</v>
      </c>
      <c r="CL1915" s="1789"/>
      <c r="CR1915" s="345"/>
      <c r="CS1915" s="345"/>
      <c r="CX1915" s="347"/>
      <c r="CY1915" s="347"/>
      <c r="DH1915" s="237"/>
      <c r="DI1915" s="237"/>
      <c r="DN1915" s="347"/>
      <c r="DO1915" s="347"/>
      <c r="DP1915" s="2505"/>
    </row>
    <row r="1916" spans="12:120">
      <c r="L1916" s="347">
        <v>271.06</v>
      </c>
      <c r="M1916" s="347" t="s">
        <v>363</v>
      </c>
      <c r="AB1916" s="347">
        <v>601.04999999999995</v>
      </c>
      <c r="AC1916" s="347" t="s">
        <v>326</v>
      </c>
      <c r="AD1916" s="1138"/>
      <c r="AP1916" s="347">
        <v>158.02000000000001</v>
      </c>
      <c r="AQ1916" s="347" t="s">
        <v>359</v>
      </c>
      <c r="BF1916" s="347">
        <v>222.05</v>
      </c>
      <c r="BG1916" s="347" t="s">
        <v>369</v>
      </c>
      <c r="BH1916" s="1790"/>
      <c r="BN1916" s="237">
        <v>201.02</v>
      </c>
      <c r="BO1916" s="237" t="s">
        <v>344</v>
      </c>
      <c r="BT1916" s="347">
        <v>156.02000000000001</v>
      </c>
      <c r="BU1916" s="347" t="s">
        <v>359</v>
      </c>
      <c r="CD1916" s="345">
        <v>107.01</v>
      </c>
      <c r="CE1916" s="345" t="s">
        <v>310</v>
      </c>
      <c r="CJ1916" s="347">
        <v>222.01</v>
      </c>
      <c r="CK1916" s="347" t="s">
        <v>369</v>
      </c>
      <c r="CL1916" s="1789"/>
      <c r="CR1916" s="345"/>
      <c r="CS1916" s="345"/>
      <c r="CX1916" s="347"/>
      <c r="CY1916" s="347"/>
      <c r="DH1916" s="237"/>
      <c r="DI1916" s="237"/>
      <c r="DN1916" s="347"/>
      <c r="DO1916" s="347"/>
      <c r="DP1916" s="2505"/>
    </row>
    <row r="1917" spans="12:120">
      <c r="L1917" s="347">
        <v>272.02</v>
      </c>
      <c r="M1917" s="347" t="s">
        <v>363</v>
      </c>
      <c r="AB1917" s="347">
        <v>601.05999999999995</v>
      </c>
      <c r="AC1917" s="347" t="s">
        <v>326</v>
      </c>
      <c r="AD1917" s="1138"/>
      <c r="AP1917" s="347">
        <v>159.01</v>
      </c>
      <c r="AQ1917" s="347" t="s">
        <v>359</v>
      </c>
      <c r="BF1917" s="347">
        <v>222.06</v>
      </c>
      <c r="BG1917" s="347" t="s">
        <v>369</v>
      </c>
      <c r="BH1917" s="1790"/>
      <c r="BN1917" s="237">
        <v>201.03</v>
      </c>
      <c r="BO1917" s="237" t="s">
        <v>344</v>
      </c>
      <c r="BT1917" s="347">
        <v>157.01</v>
      </c>
      <c r="BU1917" s="347" t="s">
        <v>359</v>
      </c>
      <c r="CD1917" s="237">
        <v>107.01</v>
      </c>
      <c r="CE1917" s="237" t="s">
        <v>318</v>
      </c>
      <c r="CJ1917" s="347">
        <v>222.05</v>
      </c>
      <c r="CK1917" s="347" t="s">
        <v>369</v>
      </c>
      <c r="CL1917" s="1789"/>
      <c r="CR1917" s="345"/>
      <c r="CS1917" s="345"/>
      <c r="CX1917" s="347"/>
      <c r="CY1917" s="347"/>
      <c r="DH1917" s="237"/>
      <c r="DI1917" s="237"/>
      <c r="DN1917" s="347"/>
      <c r="DO1917" s="347"/>
      <c r="DP1917" s="2505"/>
    </row>
    <row r="1918" spans="12:120">
      <c r="L1918" s="347">
        <v>272.04000000000002</v>
      </c>
      <c r="M1918" s="347" t="s">
        <v>363</v>
      </c>
      <c r="AB1918" s="347">
        <v>601.11</v>
      </c>
      <c r="AC1918" s="347" t="s">
        <v>310</v>
      </c>
      <c r="AD1918" s="1138"/>
      <c r="AP1918" s="347">
        <v>160.01</v>
      </c>
      <c r="AQ1918" s="347" t="s">
        <v>359</v>
      </c>
      <c r="BF1918" s="347">
        <v>222.07</v>
      </c>
      <c r="BG1918" s="347" t="s">
        <v>369</v>
      </c>
      <c r="BH1918" s="1790"/>
      <c r="BN1918" s="237">
        <v>201.04</v>
      </c>
      <c r="BO1918" s="237" t="s">
        <v>344</v>
      </c>
      <c r="BT1918" s="347">
        <v>157.02000000000001</v>
      </c>
      <c r="BU1918" s="347" t="s">
        <v>359</v>
      </c>
      <c r="CD1918" s="237">
        <v>107.01</v>
      </c>
      <c r="CE1918" s="237" t="s">
        <v>337</v>
      </c>
      <c r="CJ1918" s="347">
        <v>222.06</v>
      </c>
      <c r="CK1918" s="347" t="s">
        <v>369</v>
      </c>
      <c r="CL1918" s="1789"/>
      <c r="CR1918" s="345"/>
      <c r="CS1918" s="345"/>
      <c r="CX1918" s="347"/>
      <c r="CY1918" s="347"/>
      <c r="DH1918" s="237"/>
      <c r="DI1918" s="237"/>
      <c r="DN1918" s="347"/>
      <c r="DO1918" s="347"/>
      <c r="DP1918" s="2505"/>
    </row>
    <row r="1919" spans="12:120">
      <c r="L1919" s="347">
        <v>272.05</v>
      </c>
      <c r="M1919" s="347" t="s">
        <v>363</v>
      </c>
      <c r="AB1919" s="347">
        <v>601.14</v>
      </c>
      <c r="AC1919" s="347" t="s">
        <v>310</v>
      </c>
      <c r="AD1919" s="1138"/>
      <c r="AP1919" s="347">
        <v>160.02000000000001</v>
      </c>
      <c r="AQ1919" s="347" t="s">
        <v>359</v>
      </c>
      <c r="BF1919" s="347">
        <v>223.01</v>
      </c>
      <c r="BG1919" s="347" t="s">
        <v>363</v>
      </c>
      <c r="BH1919" s="1790"/>
      <c r="BN1919" s="237">
        <v>202.01</v>
      </c>
      <c r="BO1919" s="237" t="s">
        <v>344</v>
      </c>
      <c r="BT1919" s="347">
        <v>158.01</v>
      </c>
      <c r="BU1919" s="347" t="s">
        <v>359</v>
      </c>
      <c r="CD1919" s="237">
        <v>107.01</v>
      </c>
      <c r="CE1919" s="237" t="s">
        <v>344</v>
      </c>
      <c r="CJ1919" s="347">
        <v>222.07</v>
      </c>
      <c r="CK1919" s="347" t="s">
        <v>369</v>
      </c>
      <c r="CL1919" s="1789"/>
      <c r="CR1919" s="345"/>
      <c r="CS1919" s="345"/>
      <c r="CX1919" s="347"/>
      <c r="CY1919" s="347"/>
      <c r="DH1919" s="237"/>
      <c r="DI1919" s="237"/>
      <c r="DN1919" s="347"/>
      <c r="DO1919" s="347"/>
      <c r="DP1919" s="2505"/>
    </row>
    <row r="1920" spans="12:120">
      <c r="L1920" s="347">
        <v>272.06</v>
      </c>
      <c r="M1920" s="347" t="s">
        <v>363</v>
      </c>
      <c r="AB1920" s="347">
        <v>601.15</v>
      </c>
      <c r="AC1920" s="347" t="s">
        <v>310</v>
      </c>
      <c r="AD1920" s="1138"/>
      <c r="AP1920" s="347">
        <v>161</v>
      </c>
      <c r="AQ1920" s="347" t="s">
        <v>359</v>
      </c>
      <c r="BF1920" s="347">
        <v>223.02</v>
      </c>
      <c r="BG1920" s="347" t="s">
        <v>363</v>
      </c>
      <c r="BH1920" s="1790"/>
      <c r="BN1920" s="237">
        <v>202.02</v>
      </c>
      <c r="BO1920" s="237" t="s">
        <v>344</v>
      </c>
      <c r="BT1920" s="347">
        <v>158.02000000000001</v>
      </c>
      <c r="BU1920" s="347" t="s">
        <v>359</v>
      </c>
      <c r="CD1920" s="237">
        <v>107.01</v>
      </c>
      <c r="CE1920" s="237" t="s">
        <v>365</v>
      </c>
      <c r="CJ1920" s="347">
        <v>223.01</v>
      </c>
      <c r="CK1920" s="347" t="s">
        <v>363</v>
      </c>
      <c r="CL1920" s="1789"/>
      <c r="CR1920" s="345"/>
      <c r="CS1920" s="345"/>
      <c r="CX1920" s="347"/>
      <c r="CY1920" s="347"/>
      <c r="DH1920" s="237"/>
      <c r="DI1920" s="237"/>
      <c r="DN1920" s="347"/>
      <c r="DO1920" s="347"/>
      <c r="DP1920" s="2505"/>
    </row>
    <row r="1921" spans="12:120">
      <c r="L1921" s="347">
        <v>272.07</v>
      </c>
      <c r="M1921" s="347" t="s">
        <v>363</v>
      </c>
      <c r="AB1921" s="347">
        <v>601.16</v>
      </c>
      <c r="AC1921" s="347" t="s">
        <v>310</v>
      </c>
      <c r="AD1921" s="1138"/>
      <c r="AP1921" s="347">
        <v>162</v>
      </c>
      <c r="AQ1921" s="347" t="s">
        <v>359</v>
      </c>
      <c r="BF1921" s="347">
        <v>224</v>
      </c>
      <c r="BG1921" s="347" t="s">
        <v>357</v>
      </c>
      <c r="BH1921" s="1790"/>
      <c r="BN1921" s="237">
        <v>203.01</v>
      </c>
      <c r="BO1921" s="237" t="s">
        <v>344</v>
      </c>
      <c r="BT1921" s="347">
        <v>160.01</v>
      </c>
      <c r="BU1921" s="347" t="s">
        <v>359</v>
      </c>
      <c r="CD1921" s="345">
        <v>107.02</v>
      </c>
      <c r="CE1921" s="345" t="s">
        <v>310</v>
      </c>
      <c r="CJ1921" s="347">
        <v>223.02</v>
      </c>
      <c r="CK1921" s="347" t="s">
        <v>363</v>
      </c>
      <c r="CL1921" s="1789"/>
      <c r="CR1921" s="345"/>
      <c r="CS1921" s="345"/>
      <c r="CX1921" s="347"/>
      <c r="CY1921" s="347"/>
      <c r="DH1921" s="237"/>
      <c r="DI1921" s="237"/>
      <c r="DN1921" s="347"/>
      <c r="DO1921" s="347"/>
      <c r="DP1921" s="2505"/>
    </row>
    <row r="1922" spans="12:120">
      <c r="L1922" s="347">
        <v>272.08</v>
      </c>
      <c r="M1922" s="347" t="s">
        <v>363</v>
      </c>
      <c r="AB1922" s="347">
        <v>601.19000000000005</v>
      </c>
      <c r="AC1922" s="347" t="s">
        <v>310</v>
      </c>
      <c r="AD1922" s="1138"/>
      <c r="AP1922" s="347">
        <v>163.01</v>
      </c>
      <c r="AQ1922" s="347" t="s">
        <v>359</v>
      </c>
      <c r="BF1922" s="347">
        <v>224.01</v>
      </c>
      <c r="BG1922" s="347" t="s">
        <v>363</v>
      </c>
      <c r="BH1922" s="1790"/>
      <c r="BN1922" s="237">
        <v>203.02</v>
      </c>
      <c r="BO1922" s="237" t="s">
        <v>344</v>
      </c>
      <c r="BT1922" s="347">
        <v>160.02000000000001</v>
      </c>
      <c r="BU1922" s="347" t="s">
        <v>359</v>
      </c>
      <c r="CD1922" s="237">
        <v>107.02</v>
      </c>
      <c r="CE1922" s="237" t="s">
        <v>318</v>
      </c>
      <c r="CJ1922" s="347">
        <v>224</v>
      </c>
      <c r="CK1922" s="347" t="s">
        <v>357</v>
      </c>
      <c r="CL1922" s="1789"/>
      <c r="CR1922" s="345"/>
      <c r="CS1922" s="345"/>
      <c r="CX1922" s="347"/>
      <c r="CY1922" s="347"/>
      <c r="DH1922" s="237"/>
      <c r="DI1922" s="237"/>
      <c r="DN1922" s="347"/>
      <c r="DO1922" s="347"/>
      <c r="DP1922" s="2505"/>
    </row>
    <row r="1923" spans="12:120">
      <c r="L1923" s="347">
        <v>272.08999999999997</v>
      </c>
      <c r="M1923" s="347" t="s">
        <v>363</v>
      </c>
      <c r="AB1923" s="347">
        <v>601.20000000000005</v>
      </c>
      <c r="AC1923" s="347" t="s">
        <v>310</v>
      </c>
      <c r="AD1923" s="1138"/>
      <c r="AP1923" s="347">
        <v>164.08</v>
      </c>
      <c r="AQ1923" s="347" t="s">
        <v>359</v>
      </c>
      <c r="BF1923" s="347">
        <v>224.02</v>
      </c>
      <c r="BG1923" s="347" t="s">
        <v>363</v>
      </c>
      <c r="BH1923" s="1790"/>
      <c r="BN1923" s="237">
        <v>204</v>
      </c>
      <c r="BO1923" s="237" t="s">
        <v>344</v>
      </c>
      <c r="BT1923" s="347">
        <v>161</v>
      </c>
      <c r="BU1923" s="347" t="s">
        <v>359</v>
      </c>
      <c r="CD1923" s="237">
        <v>107.02</v>
      </c>
      <c r="CE1923" s="237" t="s">
        <v>337</v>
      </c>
      <c r="CJ1923" s="347">
        <v>224.01</v>
      </c>
      <c r="CK1923" s="347" t="s">
        <v>363</v>
      </c>
      <c r="CL1923" s="1789"/>
      <c r="CR1923" s="345"/>
      <c r="CS1923" s="345"/>
      <c r="CX1923" s="347"/>
      <c r="CY1923" s="347"/>
      <c r="DH1923" s="237"/>
      <c r="DI1923" s="237"/>
      <c r="DN1923" s="347"/>
      <c r="DO1923" s="347"/>
      <c r="DP1923" s="2505"/>
    </row>
    <row r="1924" spans="12:120">
      <c r="L1924" s="347">
        <v>272.10000000000002</v>
      </c>
      <c r="M1924" s="347" t="s">
        <v>363</v>
      </c>
      <c r="AB1924" s="347">
        <v>601.21</v>
      </c>
      <c r="AC1924" s="347" t="s">
        <v>310</v>
      </c>
      <c r="AD1924" s="1138"/>
      <c r="AP1924" s="347">
        <v>164.09</v>
      </c>
      <c r="AQ1924" s="347" t="s">
        <v>359</v>
      </c>
      <c r="BF1924" s="347">
        <v>225.01</v>
      </c>
      <c r="BG1924" s="347" t="s">
        <v>363</v>
      </c>
      <c r="BH1924" s="1790"/>
      <c r="BN1924" s="237">
        <v>205.01</v>
      </c>
      <c r="BO1924" s="237" t="s">
        <v>344</v>
      </c>
      <c r="BT1924" s="347">
        <v>162</v>
      </c>
      <c r="BU1924" s="347" t="s">
        <v>359</v>
      </c>
      <c r="CD1924" s="237">
        <v>107.02</v>
      </c>
      <c r="CE1924" s="237" t="s">
        <v>344</v>
      </c>
      <c r="CJ1924" s="347">
        <v>224.02</v>
      </c>
      <c r="CK1924" s="347" t="s">
        <v>363</v>
      </c>
      <c r="CL1924" s="1789"/>
      <c r="CR1924" s="345"/>
      <c r="CS1924" s="345"/>
      <c r="CX1924" s="347"/>
      <c r="CY1924" s="347"/>
      <c r="DH1924" s="237"/>
      <c r="DI1924" s="237"/>
      <c r="DN1924" s="347"/>
      <c r="DO1924" s="347"/>
      <c r="DP1924" s="2505"/>
    </row>
    <row r="1925" spans="12:120">
      <c r="L1925" s="347">
        <v>273.08999999999997</v>
      </c>
      <c r="M1925" s="347" t="s">
        <v>363</v>
      </c>
      <c r="AB1925" s="347">
        <v>601.22</v>
      </c>
      <c r="AC1925" s="347" t="s">
        <v>310</v>
      </c>
      <c r="AD1925" s="1138"/>
      <c r="AP1925" s="347">
        <v>164.12</v>
      </c>
      <c r="AQ1925" s="347" t="s">
        <v>359</v>
      </c>
      <c r="BF1925" s="347">
        <v>225.03</v>
      </c>
      <c r="BG1925" s="347" t="s">
        <v>363</v>
      </c>
      <c r="BH1925" s="1790"/>
      <c r="BN1925" s="237">
        <v>205.02</v>
      </c>
      <c r="BO1925" s="237" t="s">
        <v>344</v>
      </c>
      <c r="BT1925" s="347">
        <v>163.01</v>
      </c>
      <c r="BU1925" s="347" t="s">
        <v>359</v>
      </c>
      <c r="CD1925" s="237">
        <v>107.02</v>
      </c>
      <c r="CE1925" s="237" t="s">
        <v>365</v>
      </c>
      <c r="CJ1925" s="347">
        <v>225</v>
      </c>
      <c r="CK1925" s="347" t="s">
        <v>357</v>
      </c>
      <c r="CL1925" s="1789"/>
      <c r="CR1925" s="345"/>
      <c r="CS1925" s="345"/>
      <c r="CX1925" s="347"/>
      <c r="CY1925" s="347"/>
      <c r="DH1925" s="237"/>
      <c r="DI1925" s="237"/>
      <c r="DN1925" s="347"/>
      <c r="DO1925" s="347"/>
      <c r="DP1925" s="2505"/>
    </row>
    <row r="1926" spans="12:120">
      <c r="L1926" s="347">
        <v>273.10000000000002</v>
      </c>
      <c r="M1926" s="347" t="s">
        <v>363</v>
      </c>
      <c r="AB1926" s="347">
        <v>601.25</v>
      </c>
      <c r="AC1926" s="347" t="s">
        <v>310</v>
      </c>
      <c r="AD1926" s="1138"/>
      <c r="AP1926" s="347">
        <v>164.14</v>
      </c>
      <c r="AQ1926" s="347" t="s">
        <v>359</v>
      </c>
      <c r="BF1926" s="347">
        <v>226.01</v>
      </c>
      <c r="BG1926" s="347" t="s">
        <v>363</v>
      </c>
      <c r="BH1926" s="1790"/>
      <c r="BN1926" s="237">
        <v>206</v>
      </c>
      <c r="BO1926" s="237" t="s">
        <v>344</v>
      </c>
      <c r="BT1926" s="347">
        <v>164.08</v>
      </c>
      <c r="BU1926" s="347" t="s">
        <v>359</v>
      </c>
      <c r="CD1926" s="237">
        <v>107.04</v>
      </c>
      <c r="CE1926" s="237" t="s">
        <v>367</v>
      </c>
      <c r="CJ1926" s="347">
        <v>225.01</v>
      </c>
      <c r="CK1926" s="347" t="s">
        <v>363</v>
      </c>
      <c r="CL1926" s="1789"/>
      <c r="CR1926" s="345"/>
      <c r="CS1926" s="345"/>
      <c r="CX1926" s="347"/>
      <c r="CY1926" s="347"/>
      <c r="DH1926" s="237"/>
      <c r="DI1926" s="237"/>
      <c r="DN1926" s="347"/>
      <c r="DO1926" s="347"/>
      <c r="DP1926" s="2505"/>
    </row>
    <row r="1927" spans="12:120">
      <c r="L1927" s="347">
        <v>273.14</v>
      </c>
      <c r="M1927" s="347" t="s">
        <v>363</v>
      </c>
      <c r="AB1927" s="347">
        <v>601.26</v>
      </c>
      <c r="AC1927" s="347" t="s">
        <v>310</v>
      </c>
      <c r="AD1927" s="1138"/>
      <c r="AP1927" s="347">
        <v>165.03</v>
      </c>
      <c r="AQ1927" s="347" t="s">
        <v>359</v>
      </c>
      <c r="BF1927" s="347">
        <v>226.02</v>
      </c>
      <c r="BG1927" s="347" t="s">
        <v>363</v>
      </c>
      <c r="BH1927" s="1790"/>
      <c r="BN1927" s="237">
        <v>207</v>
      </c>
      <c r="BO1927" s="237" t="s">
        <v>344</v>
      </c>
      <c r="BT1927" s="347">
        <v>164.09</v>
      </c>
      <c r="BU1927" s="347" t="s">
        <v>359</v>
      </c>
      <c r="CD1927" s="237">
        <v>107.05</v>
      </c>
      <c r="CE1927" s="237" t="s">
        <v>352</v>
      </c>
      <c r="CJ1927" s="347">
        <v>225.02</v>
      </c>
      <c r="CK1927" s="347" t="s">
        <v>363</v>
      </c>
      <c r="CL1927" s="1789"/>
      <c r="CR1927" s="345"/>
      <c r="CS1927" s="345"/>
      <c r="CX1927" s="347"/>
      <c r="CY1927" s="347"/>
      <c r="DH1927" s="237"/>
      <c r="DI1927" s="237"/>
      <c r="DN1927" s="347"/>
      <c r="DO1927" s="347"/>
      <c r="DP1927" s="2505"/>
    </row>
    <row r="1928" spans="12:120">
      <c r="L1928" s="347">
        <v>273.14999999999998</v>
      </c>
      <c r="M1928" s="347" t="s">
        <v>363</v>
      </c>
      <c r="AB1928" s="347">
        <v>602</v>
      </c>
      <c r="AC1928" s="347" t="s">
        <v>309</v>
      </c>
      <c r="AD1928" s="1138"/>
      <c r="AP1928" s="347">
        <v>165.04</v>
      </c>
      <c r="AQ1928" s="347" t="s">
        <v>359</v>
      </c>
      <c r="BF1928" s="347">
        <v>227</v>
      </c>
      <c r="BG1928" s="347" t="s">
        <v>363</v>
      </c>
      <c r="BH1928" s="1790"/>
      <c r="BN1928" s="237">
        <v>208.01</v>
      </c>
      <c r="BO1928" s="237" t="s">
        <v>344</v>
      </c>
      <c r="BT1928" s="347">
        <v>164.12</v>
      </c>
      <c r="BU1928" s="347" t="s">
        <v>359</v>
      </c>
      <c r="CD1928" s="237">
        <v>107.05</v>
      </c>
      <c r="CE1928" s="237" t="s">
        <v>367</v>
      </c>
      <c r="CJ1928" s="347">
        <v>225.03</v>
      </c>
      <c r="CK1928" s="347" t="s">
        <v>363</v>
      </c>
      <c r="CL1928" s="1789"/>
      <c r="CR1928" s="345"/>
      <c r="CS1928" s="345"/>
      <c r="CX1928" s="347"/>
      <c r="CY1928" s="347"/>
      <c r="DH1928" s="237"/>
      <c r="DI1928" s="237"/>
      <c r="DN1928" s="347"/>
      <c r="DO1928" s="347"/>
      <c r="DP1928" s="2505"/>
    </row>
    <row r="1929" spans="12:120">
      <c r="L1929" s="347">
        <v>273.16000000000003</v>
      </c>
      <c r="M1929" s="347" t="s">
        <v>363</v>
      </c>
      <c r="AB1929" s="347">
        <v>602.01</v>
      </c>
      <c r="AC1929" s="347" t="s">
        <v>344</v>
      </c>
      <c r="AD1929" s="1138"/>
      <c r="AP1929" s="347">
        <v>165.05</v>
      </c>
      <c r="AQ1929" s="347" t="s">
        <v>359</v>
      </c>
      <c r="BF1929" s="347">
        <v>228.02</v>
      </c>
      <c r="BG1929" s="347" t="s">
        <v>363</v>
      </c>
      <c r="BH1929" s="1790"/>
      <c r="BN1929" s="237">
        <v>208.02</v>
      </c>
      <c r="BO1929" s="237" t="s">
        <v>344</v>
      </c>
      <c r="BT1929" s="347">
        <v>165.04</v>
      </c>
      <c r="BU1929" s="347" t="s">
        <v>359</v>
      </c>
      <c r="CD1929" s="237">
        <v>107.06</v>
      </c>
      <c r="CE1929" s="237" t="s">
        <v>352</v>
      </c>
      <c r="CJ1929" s="347">
        <v>226.01</v>
      </c>
      <c r="CK1929" s="347" t="s">
        <v>363</v>
      </c>
      <c r="CL1929" s="1789"/>
      <c r="CR1929" s="345"/>
      <c r="CS1929" s="345"/>
      <c r="CX1929" s="347"/>
      <c r="CY1929" s="347"/>
      <c r="DH1929" s="237"/>
      <c r="DI1929" s="237"/>
      <c r="DN1929" s="347"/>
      <c r="DO1929" s="347"/>
      <c r="DP1929" s="2505"/>
    </row>
    <row r="1930" spans="12:120">
      <c r="L1930" s="347">
        <v>273.17</v>
      </c>
      <c r="M1930" s="347" t="s">
        <v>363</v>
      </c>
      <c r="AB1930" s="347">
        <v>602.02</v>
      </c>
      <c r="AC1930" s="347" t="s">
        <v>344</v>
      </c>
      <c r="AD1930" s="1138"/>
      <c r="AP1930" s="347">
        <v>165.09</v>
      </c>
      <c r="AQ1930" s="347" t="s">
        <v>359</v>
      </c>
      <c r="BF1930" s="347">
        <v>229.01</v>
      </c>
      <c r="BG1930" s="347" t="s">
        <v>363</v>
      </c>
      <c r="BH1930" s="1790"/>
      <c r="BN1930" s="237">
        <v>301</v>
      </c>
      <c r="BO1930" s="237" t="s">
        <v>344</v>
      </c>
      <c r="BT1930" s="347">
        <v>165.05</v>
      </c>
      <c r="BU1930" s="347" t="s">
        <v>359</v>
      </c>
      <c r="CD1930" s="237">
        <v>107.07</v>
      </c>
      <c r="CE1930" s="237" t="s">
        <v>352</v>
      </c>
      <c r="CJ1930" s="347">
        <v>226.02</v>
      </c>
      <c r="CK1930" s="347" t="s">
        <v>363</v>
      </c>
      <c r="CL1930" s="1789"/>
      <c r="CR1930" s="345"/>
      <c r="CS1930" s="345"/>
      <c r="CX1930" s="347"/>
      <c r="CY1930" s="347"/>
      <c r="DH1930" s="237"/>
      <c r="DI1930" s="237"/>
      <c r="DN1930" s="347"/>
      <c r="DO1930" s="347"/>
      <c r="DP1930" s="2505"/>
    </row>
    <row r="1931" spans="12:120">
      <c r="L1931" s="347">
        <v>273.18</v>
      </c>
      <c r="M1931" s="347" t="s">
        <v>363</v>
      </c>
      <c r="AB1931" s="347">
        <v>602.03</v>
      </c>
      <c r="AC1931" s="347" t="s">
        <v>344</v>
      </c>
      <c r="AD1931" s="1138"/>
      <c r="AP1931" s="347">
        <v>165.11</v>
      </c>
      <c r="AQ1931" s="347" t="s">
        <v>359</v>
      </c>
      <c r="BF1931" s="347">
        <v>232</v>
      </c>
      <c r="BG1931" s="347" t="s">
        <v>363</v>
      </c>
      <c r="BH1931" s="1790"/>
      <c r="BN1931" s="237">
        <v>302.01</v>
      </c>
      <c r="BO1931" s="237" t="s">
        <v>344</v>
      </c>
      <c r="BT1931" s="347">
        <v>165.11</v>
      </c>
      <c r="BU1931" s="347" t="s">
        <v>359</v>
      </c>
      <c r="CD1931" s="237">
        <v>107.07</v>
      </c>
      <c r="CE1931" s="237" t="s">
        <v>367</v>
      </c>
      <c r="CJ1931" s="347">
        <v>227</v>
      </c>
      <c r="CK1931" s="347" t="s">
        <v>363</v>
      </c>
      <c r="CL1931" s="1789"/>
      <c r="CR1931" s="345"/>
      <c r="CS1931" s="345"/>
      <c r="CX1931" s="347"/>
      <c r="CY1931" s="347"/>
      <c r="DH1931" s="237"/>
      <c r="DI1931" s="237"/>
      <c r="DN1931" s="347"/>
      <c r="DO1931" s="347"/>
      <c r="DP1931" s="2505"/>
    </row>
    <row r="1932" spans="12:120">
      <c r="L1932" s="347">
        <v>273.19</v>
      </c>
      <c r="M1932" s="347" t="s">
        <v>363</v>
      </c>
      <c r="AB1932" s="347">
        <v>602.04</v>
      </c>
      <c r="AC1932" s="347" t="s">
        <v>326</v>
      </c>
      <c r="AD1932" s="1138"/>
      <c r="AP1932" s="347">
        <v>165.14</v>
      </c>
      <c r="AQ1932" s="347" t="s">
        <v>359</v>
      </c>
      <c r="BF1932" s="347">
        <v>233</v>
      </c>
      <c r="BG1932" s="347" t="s">
        <v>363</v>
      </c>
      <c r="BH1932" s="1790"/>
      <c r="BN1932" s="237">
        <v>302.02</v>
      </c>
      <c r="BO1932" s="237" t="s">
        <v>344</v>
      </c>
      <c r="BT1932" s="347">
        <v>165.14</v>
      </c>
      <c r="BU1932" s="347" t="s">
        <v>359</v>
      </c>
      <c r="CD1932" s="237">
        <v>107.08</v>
      </c>
      <c r="CE1932" s="237" t="s">
        <v>352</v>
      </c>
      <c r="CJ1932" s="347">
        <v>228.02</v>
      </c>
      <c r="CK1932" s="347" t="s">
        <v>363</v>
      </c>
      <c r="CL1932" s="1789"/>
      <c r="CR1932" s="345"/>
      <c r="CS1932" s="345"/>
      <c r="CX1932" s="347"/>
      <c r="CY1932" s="347"/>
      <c r="DH1932" s="237"/>
      <c r="DI1932" s="237"/>
      <c r="DN1932" s="347"/>
      <c r="DO1932" s="347"/>
      <c r="DP1932" s="2505"/>
    </row>
    <row r="1933" spans="12:120">
      <c r="L1933" s="347">
        <v>273.2</v>
      </c>
      <c r="M1933" s="347" t="s">
        <v>363</v>
      </c>
      <c r="AB1933" s="347">
        <v>602.04999999999995</v>
      </c>
      <c r="AC1933" s="347" t="s">
        <v>326</v>
      </c>
      <c r="AD1933" s="1138"/>
      <c r="AP1933" s="347">
        <v>166.03</v>
      </c>
      <c r="AQ1933" s="347" t="s">
        <v>359</v>
      </c>
      <c r="BF1933" s="347">
        <v>233.03</v>
      </c>
      <c r="BG1933" s="347" t="s">
        <v>357</v>
      </c>
      <c r="BH1933" s="1790"/>
      <c r="BN1933" s="237">
        <v>302.05</v>
      </c>
      <c r="BO1933" s="237" t="s">
        <v>344</v>
      </c>
      <c r="BT1933" s="347">
        <v>165.15</v>
      </c>
      <c r="BU1933" s="347" t="s">
        <v>359</v>
      </c>
      <c r="CD1933" s="237">
        <v>107.08</v>
      </c>
      <c r="CE1933" s="237" t="s">
        <v>367</v>
      </c>
      <c r="CJ1933" s="347">
        <v>229.01</v>
      </c>
      <c r="CK1933" s="347" t="s">
        <v>363</v>
      </c>
      <c r="CL1933" s="1789"/>
      <c r="CR1933" s="345"/>
      <c r="CS1933" s="345"/>
      <c r="CX1933" s="347"/>
      <c r="CY1933" s="347"/>
      <c r="DH1933" s="237"/>
      <c r="DI1933" s="237"/>
      <c r="DN1933" s="347"/>
      <c r="DO1933" s="347"/>
      <c r="DP1933" s="2505"/>
    </row>
    <row r="1934" spans="12:120">
      <c r="L1934" s="347">
        <v>273.20999999999998</v>
      </c>
      <c r="M1934" s="347" t="s">
        <v>363</v>
      </c>
      <c r="AB1934" s="347">
        <v>602.07000000000005</v>
      </c>
      <c r="AC1934" s="347" t="s">
        <v>326</v>
      </c>
      <c r="AD1934" s="1138"/>
      <c r="AP1934" s="347">
        <v>166.06</v>
      </c>
      <c r="AQ1934" s="347" t="s">
        <v>359</v>
      </c>
      <c r="BF1934" s="347">
        <v>233.04</v>
      </c>
      <c r="BG1934" s="347" t="s">
        <v>357</v>
      </c>
      <c r="BH1934" s="1790"/>
      <c r="BN1934" s="237">
        <v>303</v>
      </c>
      <c r="BO1934" s="237" t="s">
        <v>344</v>
      </c>
      <c r="BT1934" s="347">
        <v>166.03</v>
      </c>
      <c r="BU1934" s="347" t="s">
        <v>359</v>
      </c>
      <c r="CD1934" s="237">
        <v>107.09</v>
      </c>
      <c r="CE1934" s="237" t="s">
        <v>352</v>
      </c>
      <c r="CJ1934" s="347">
        <v>232</v>
      </c>
      <c r="CK1934" s="347" t="s">
        <v>357</v>
      </c>
      <c r="CL1934" s="1789"/>
      <c r="CR1934" s="345"/>
      <c r="CS1934" s="345"/>
      <c r="CX1934" s="347"/>
      <c r="CY1934" s="347"/>
      <c r="DH1934" s="237"/>
      <c r="DI1934" s="237"/>
      <c r="DN1934" s="347"/>
      <c r="DO1934" s="347"/>
      <c r="DP1934" s="2505"/>
    </row>
    <row r="1935" spans="12:120">
      <c r="L1935" s="347">
        <v>273.22000000000003</v>
      </c>
      <c r="M1935" s="347" t="s">
        <v>363</v>
      </c>
      <c r="AB1935" s="347">
        <v>602.08000000000004</v>
      </c>
      <c r="AC1935" s="347" t="s">
        <v>326</v>
      </c>
      <c r="AD1935" s="1138"/>
      <c r="AP1935" s="347">
        <v>166.07</v>
      </c>
      <c r="AQ1935" s="347" t="s">
        <v>359</v>
      </c>
      <c r="BF1935" s="347">
        <v>233.05</v>
      </c>
      <c r="BG1935" s="347" t="s">
        <v>357</v>
      </c>
      <c r="BH1935" s="1790"/>
      <c r="BN1935" s="237">
        <v>401.08</v>
      </c>
      <c r="BO1935" s="237" t="s">
        <v>344</v>
      </c>
      <c r="BT1935" s="347">
        <v>166.06</v>
      </c>
      <c r="BU1935" s="347" t="s">
        <v>359</v>
      </c>
      <c r="CD1935" s="237">
        <v>107.09</v>
      </c>
      <c r="CE1935" s="237" t="s">
        <v>367</v>
      </c>
      <c r="CJ1935" s="347">
        <v>232</v>
      </c>
      <c r="CK1935" s="347" t="s">
        <v>363</v>
      </c>
      <c r="CL1935" s="1789"/>
      <c r="CR1935" s="345"/>
      <c r="CS1935" s="345"/>
      <c r="CX1935" s="347"/>
      <c r="CY1935" s="347"/>
      <c r="DH1935" s="237"/>
      <c r="DI1935" s="237"/>
      <c r="DN1935" s="347"/>
      <c r="DO1935" s="347"/>
      <c r="DP1935" s="2505"/>
    </row>
    <row r="1936" spans="12:120">
      <c r="L1936" s="347">
        <v>273.23</v>
      </c>
      <c r="M1936" s="347" t="s">
        <v>363</v>
      </c>
      <c r="AB1936" s="347">
        <v>602.1</v>
      </c>
      <c r="AC1936" s="347" t="s">
        <v>310</v>
      </c>
      <c r="AD1936" s="1138"/>
      <c r="AP1936" s="347">
        <v>167.09</v>
      </c>
      <c r="AQ1936" s="347" t="s">
        <v>359</v>
      </c>
      <c r="BF1936" s="347">
        <v>233.06</v>
      </c>
      <c r="BG1936" s="347" t="s">
        <v>357</v>
      </c>
      <c r="BH1936" s="1790"/>
      <c r="BN1936" s="237">
        <v>401.09</v>
      </c>
      <c r="BO1936" s="237" t="s">
        <v>344</v>
      </c>
      <c r="BT1936" s="347">
        <v>166.07</v>
      </c>
      <c r="BU1936" s="347" t="s">
        <v>359</v>
      </c>
      <c r="CD1936" s="237">
        <v>107.1</v>
      </c>
      <c r="CE1936" s="237" t="s">
        <v>352</v>
      </c>
      <c r="CJ1936" s="347">
        <v>233</v>
      </c>
      <c r="CK1936" s="347" t="s">
        <v>363</v>
      </c>
      <c r="CL1936" s="1789"/>
      <c r="CR1936" s="345"/>
      <c r="CS1936" s="345"/>
      <c r="CX1936" s="347"/>
      <c r="CY1936" s="347"/>
      <c r="DH1936" s="237"/>
      <c r="DI1936" s="237"/>
      <c r="DN1936" s="347"/>
      <c r="DO1936" s="347"/>
      <c r="DP1936" s="2505"/>
    </row>
    <row r="1937" spans="12:120">
      <c r="L1937" s="347">
        <v>273.24</v>
      </c>
      <c r="M1937" s="347" t="s">
        <v>363</v>
      </c>
      <c r="AB1937" s="347">
        <v>602.1</v>
      </c>
      <c r="AC1937" s="347" t="s">
        <v>326</v>
      </c>
      <c r="AD1937" s="1138"/>
      <c r="AP1937" s="347">
        <v>167.1</v>
      </c>
      <c r="AQ1937" s="347" t="s">
        <v>359</v>
      </c>
      <c r="BF1937" s="347">
        <v>233.08</v>
      </c>
      <c r="BG1937" s="347" t="s">
        <v>357</v>
      </c>
      <c r="BH1937" s="1790"/>
      <c r="BN1937" s="237">
        <v>401.1</v>
      </c>
      <c r="BO1937" s="237" t="s">
        <v>344</v>
      </c>
      <c r="BT1937" s="347">
        <v>167.09</v>
      </c>
      <c r="BU1937" s="347" t="s">
        <v>359</v>
      </c>
      <c r="CD1937" s="237">
        <v>107.1</v>
      </c>
      <c r="CE1937" s="237" t="s">
        <v>367</v>
      </c>
      <c r="CJ1937" s="347">
        <v>233.03</v>
      </c>
      <c r="CK1937" s="347" t="s">
        <v>357</v>
      </c>
      <c r="CL1937" s="1789"/>
      <c r="CR1937" s="345"/>
      <c r="CS1937" s="345"/>
      <c r="CX1937" s="347"/>
      <c r="CY1937" s="347"/>
      <c r="DH1937" s="237"/>
      <c r="DI1937" s="237"/>
      <c r="DN1937" s="347"/>
      <c r="DO1937" s="347"/>
      <c r="DP1937" s="2505"/>
    </row>
    <row r="1938" spans="12:120">
      <c r="L1938" s="347">
        <v>273.25</v>
      </c>
      <c r="M1938" s="347" t="s">
        <v>363</v>
      </c>
      <c r="AB1938" s="347">
        <v>602.12</v>
      </c>
      <c r="AC1938" s="347" t="s">
        <v>310</v>
      </c>
      <c r="AD1938" s="1138"/>
      <c r="AP1938" s="347">
        <v>167.16</v>
      </c>
      <c r="AQ1938" s="347" t="s">
        <v>359</v>
      </c>
      <c r="BF1938" s="347">
        <v>234</v>
      </c>
      <c r="BG1938" s="347" t="s">
        <v>363</v>
      </c>
      <c r="BH1938" s="1790"/>
      <c r="BN1938" s="237">
        <v>401.11</v>
      </c>
      <c r="BO1938" s="237" t="s">
        <v>344</v>
      </c>
      <c r="BT1938" s="347">
        <v>167.1</v>
      </c>
      <c r="BU1938" s="347" t="s">
        <v>359</v>
      </c>
      <c r="CD1938" s="237">
        <v>107.11</v>
      </c>
      <c r="CE1938" s="237" t="s">
        <v>367</v>
      </c>
      <c r="CJ1938" s="347">
        <v>233.04</v>
      </c>
      <c r="CK1938" s="347" t="s">
        <v>357</v>
      </c>
      <c r="CL1938" s="1789"/>
      <c r="CR1938" s="345"/>
      <c r="CS1938" s="345"/>
      <c r="CX1938" s="347"/>
      <c r="CY1938" s="347"/>
      <c r="DH1938" s="237"/>
      <c r="DI1938" s="237"/>
      <c r="DN1938" s="347"/>
      <c r="DO1938" s="347"/>
      <c r="DP1938" s="2505"/>
    </row>
    <row r="1939" spans="12:120">
      <c r="L1939" s="347">
        <v>273.26</v>
      </c>
      <c r="M1939" s="347" t="s">
        <v>363</v>
      </c>
      <c r="AB1939" s="347">
        <v>602.14</v>
      </c>
      <c r="AC1939" s="347" t="s">
        <v>326</v>
      </c>
      <c r="AD1939" s="1138"/>
      <c r="AP1939" s="347">
        <v>167.23</v>
      </c>
      <c r="AQ1939" s="347" t="s">
        <v>359</v>
      </c>
      <c r="BF1939" s="347">
        <v>235.01</v>
      </c>
      <c r="BG1939" s="347" t="s">
        <v>363</v>
      </c>
      <c r="BH1939" s="1790"/>
      <c r="BN1939" s="237">
        <v>401.13</v>
      </c>
      <c r="BO1939" s="237" t="s">
        <v>344</v>
      </c>
      <c r="BT1939" s="347">
        <v>167.16</v>
      </c>
      <c r="BU1939" s="347" t="s">
        <v>359</v>
      </c>
      <c r="CD1939" s="237">
        <v>107.12</v>
      </c>
      <c r="CE1939" s="237" t="s">
        <v>367</v>
      </c>
      <c r="CJ1939" s="347">
        <v>233.05</v>
      </c>
      <c r="CK1939" s="347" t="s">
        <v>357</v>
      </c>
      <c r="CL1939" s="1789"/>
      <c r="CR1939" s="345"/>
      <c r="CS1939" s="345"/>
      <c r="CX1939" s="347"/>
      <c r="CY1939" s="347"/>
      <c r="DH1939" s="237"/>
      <c r="DI1939" s="237"/>
      <c r="DN1939" s="347"/>
      <c r="DO1939" s="347"/>
      <c r="DP1939" s="2505"/>
    </row>
    <row r="1940" spans="12:120">
      <c r="L1940" s="347">
        <v>273.27</v>
      </c>
      <c r="M1940" s="347" t="s">
        <v>363</v>
      </c>
      <c r="AB1940" s="347">
        <v>603</v>
      </c>
      <c r="AC1940" s="347" t="s">
        <v>344</v>
      </c>
      <c r="AD1940" s="1138"/>
      <c r="AP1940" s="347">
        <v>167.28</v>
      </c>
      <c r="AQ1940" s="347" t="s">
        <v>359</v>
      </c>
      <c r="BF1940" s="347">
        <v>235.02</v>
      </c>
      <c r="BG1940" s="347" t="s">
        <v>363</v>
      </c>
      <c r="BH1940" s="1790"/>
      <c r="BN1940" s="237">
        <v>401.17</v>
      </c>
      <c r="BO1940" s="237" t="s">
        <v>344</v>
      </c>
      <c r="BT1940" s="347">
        <v>167.17</v>
      </c>
      <c r="BU1940" s="347" t="s">
        <v>359</v>
      </c>
      <c r="CD1940" s="345">
        <v>108</v>
      </c>
      <c r="CE1940" s="345" t="s">
        <v>310</v>
      </c>
      <c r="CJ1940" s="347">
        <v>233.06</v>
      </c>
      <c r="CK1940" s="347" t="s">
        <v>357</v>
      </c>
      <c r="CL1940" s="1789"/>
      <c r="CR1940" s="345"/>
      <c r="CS1940" s="345"/>
      <c r="CX1940" s="347"/>
      <c r="CY1940" s="347"/>
      <c r="DH1940" s="237"/>
      <c r="DI1940" s="237"/>
      <c r="DN1940" s="347"/>
      <c r="DO1940" s="347"/>
      <c r="DP1940" s="2505"/>
    </row>
    <row r="1941" spans="12:120">
      <c r="L1941" s="347">
        <v>274.02999999999997</v>
      </c>
      <c r="M1941" s="347" t="s">
        <v>363</v>
      </c>
      <c r="AB1941" s="347">
        <v>603.01</v>
      </c>
      <c r="AC1941" s="347" t="s">
        <v>326</v>
      </c>
      <c r="AD1941" s="1138"/>
      <c r="AP1941" s="347">
        <v>167.31</v>
      </c>
      <c r="AQ1941" s="347" t="s">
        <v>359</v>
      </c>
      <c r="BF1941" s="347">
        <v>236.01</v>
      </c>
      <c r="BG1941" s="347" t="s">
        <v>363</v>
      </c>
      <c r="BH1941" s="1790"/>
      <c r="BN1941" s="237">
        <v>401.18</v>
      </c>
      <c r="BO1941" s="237" t="s">
        <v>344</v>
      </c>
      <c r="BT1941" s="347">
        <v>167.24</v>
      </c>
      <c r="BU1941" s="347" t="s">
        <v>359</v>
      </c>
      <c r="CD1941" s="237">
        <v>108</v>
      </c>
      <c r="CE1941" s="237" t="s">
        <v>323</v>
      </c>
      <c r="CJ1941" s="347">
        <v>233.08</v>
      </c>
      <c r="CK1941" s="347" t="s">
        <v>357</v>
      </c>
      <c r="CL1941" s="1789"/>
      <c r="CR1941" s="345"/>
      <c r="CS1941" s="345"/>
      <c r="CX1941" s="347"/>
      <c r="CY1941" s="347"/>
      <c r="DH1941" s="237"/>
      <c r="DI1941" s="237"/>
      <c r="DN1941" s="347"/>
      <c r="DO1941" s="347"/>
      <c r="DP1941" s="2505"/>
    </row>
    <row r="1942" spans="12:120">
      <c r="L1942" s="347">
        <v>275.01</v>
      </c>
      <c r="M1942" s="347" t="s">
        <v>363</v>
      </c>
      <c r="AB1942" s="347">
        <v>603.02</v>
      </c>
      <c r="AC1942" s="347" t="s">
        <v>326</v>
      </c>
      <c r="AD1942" s="1138"/>
      <c r="AP1942" s="347">
        <v>167.35</v>
      </c>
      <c r="AQ1942" s="347" t="s">
        <v>359</v>
      </c>
      <c r="BF1942" s="347">
        <v>236.02</v>
      </c>
      <c r="BG1942" s="347" t="s">
        <v>363</v>
      </c>
      <c r="BH1942" s="1790"/>
      <c r="BN1942" s="237">
        <v>401.2</v>
      </c>
      <c r="BO1942" s="237" t="s">
        <v>344</v>
      </c>
      <c r="BT1942" s="347">
        <v>167.28</v>
      </c>
      <c r="BU1942" s="347" t="s">
        <v>359</v>
      </c>
      <c r="CD1942" s="237">
        <v>108</v>
      </c>
      <c r="CE1942" s="237" t="s">
        <v>365</v>
      </c>
      <c r="CJ1942" s="347">
        <v>234</v>
      </c>
      <c r="CK1942" s="347" t="s">
        <v>363</v>
      </c>
      <c r="CL1942" s="1789"/>
      <c r="CR1942" s="345"/>
      <c r="CS1942" s="345"/>
      <c r="CX1942" s="347"/>
      <c r="CY1942" s="347"/>
      <c r="DH1942" s="237"/>
      <c r="DI1942" s="237"/>
      <c r="DN1942" s="347"/>
      <c r="DO1942" s="347"/>
      <c r="DP1942" s="2505"/>
    </row>
    <row r="1943" spans="12:120">
      <c r="L1943" s="347">
        <v>276.02999999999997</v>
      </c>
      <c r="M1943" s="347" t="s">
        <v>363</v>
      </c>
      <c r="AB1943" s="347">
        <v>603.03</v>
      </c>
      <c r="AC1943" s="347" t="s">
        <v>326</v>
      </c>
      <c r="AD1943" s="1138"/>
      <c r="AP1943" s="347">
        <v>167.36</v>
      </c>
      <c r="AQ1943" s="347" t="s">
        <v>359</v>
      </c>
      <c r="BF1943" s="347">
        <v>237</v>
      </c>
      <c r="BG1943" s="347" t="s">
        <v>363</v>
      </c>
      <c r="BH1943" s="1790"/>
      <c r="BN1943" s="237">
        <v>401.21</v>
      </c>
      <c r="BO1943" s="237" t="s">
        <v>344</v>
      </c>
      <c r="BT1943" s="347">
        <v>167.31</v>
      </c>
      <c r="BU1943" s="347" t="s">
        <v>359</v>
      </c>
      <c r="CD1943" s="237">
        <v>108.01</v>
      </c>
      <c r="CE1943" s="237" t="s">
        <v>318</v>
      </c>
      <c r="CJ1943" s="347">
        <v>235.01</v>
      </c>
      <c r="CK1943" s="347" t="s">
        <v>363</v>
      </c>
      <c r="CL1943" s="1789"/>
      <c r="CR1943" s="345"/>
      <c r="CS1943" s="345"/>
      <c r="CX1943" s="347"/>
      <c r="CY1943" s="347"/>
      <c r="DH1943" s="237"/>
      <c r="DI1943" s="237"/>
      <c r="DN1943" s="347"/>
      <c r="DO1943" s="347"/>
      <c r="DP1943" s="2505"/>
    </row>
    <row r="1944" spans="12:120">
      <c r="L1944" s="347">
        <v>276.04000000000002</v>
      </c>
      <c r="M1944" s="347" t="s">
        <v>363</v>
      </c>
      <c r="AB1944" s="347">
        <v>603.04</v>
      </c>
      <c r="AC1944" s="347" t="s">
        <v>326</v>
      </c>
      <c r="AD1944" s="1138"/>
      <c r="AP1944" s="347">
        <v>167.37</v>
      </c>
      <c r="AQ1944" s="347" t="s">
        <v>359</v>
      </c>
      <c r="BF1944" s="347">
        <v>238</v>
      </c>
      <c r="BG1944" s="347" t="s">
        <v>363</v>
      </c>
      <c r="BH1944" s="1790"/>
      <c r="BN1944" s="237">
        <v>401.22</v>
      </c>
      <c r="BO1944" s="237" t="s">
        <v>344</v>
      </c>
      <c r="BT1944" s="347">
        <v>167.35</v>
      </c>
      <c r="BU1944" s="347" t="s">
        <v>359</v>
      </c>
      <c r="CD1944" s="237">
        <v>108.01</v>
      </c>
      <c r="CE1944" s="237" t="s">
        <v>344</v>
      </c>
      <c r="CJ1944" s="347">
        <v>235.02</v>
      </c>
      <c r="CK1944" s="347" t="s">
        <v>363</v>
      </c>
      <c r="CL1944" s="1789"/>
      <c r="CR1944" s="345"/>
      <c r="CS1944" s="345"/>
      <c r="CX1944" s="347"/>
      <c r="CY1944" s="347"/>
      <c r="DH1944" s="237"/>
      <c r="DI1944" s="237"/>
      <c r="DN1944" s="347"/>
      <c r="DO1944" s="347"/>
      <c r="DP1944" s="2505"/>
    </row>
    <row r="1945" spans="12:120">
      <c r="L1945" s="347">
        <v>276.05</v>
      </c>
      <c r="M1945" s="347" t="s">
        <v>363</v>
      </c>
      <c r="AB1945" s="347">
        <v>603.05999999999995</v>
      </c>
      <c r="AC1945" s="347" t="s">
        <v>310</v>
      </c>
      <c r="AD1945" s="1138"/>
      <c r="AP1945" s="347">
        <v>167.4</v>
      </c>
      <c r="AQ1945" s="347" t="s">
        <v>359</v>
      </c>
      <c r="BF1945" s="347">
        <v>239</v>
      </c>
      <c r="BG1945" s="347" t="s">
        <v>363</v>
      </c>
      <c r="BH1945" s="1790"/>
      <c r="BN1945" s="237">
        <v>401.23</v>
      </c>
      <c r="BO1945" s="237" t="s">
        <v>344</v>
      </c>
      <c r="BT1945" s="347">
        <v>167.36</v>
      </c>
      <c r="BU1945" s="347" t="s">
        <v>359</v>
      </c>
      <c r="CD1945" s="237">
        <v>108.02</v>
      </c>
      <c r="CE1945" s="237" t="s">
        <v>344</v>
      </c>
      <c r="CJ1945" s="347">
        <v>236.01</v>
      </c>
      <c r="CK1945" s="347" t="s">
        <v>363</v>
      </c>
      <c r="CL1945" s="1789"/>
      <c r="CR1945" s="345"/>
      <c r="CS1945" s="345"/>
      <c r="CX1945" s="347"/>
      <c r="CY1945" s="347"/>
      <c r="DH1945" s="237"/>
      <c r="DI1945" s="237"/>
      <c r="DN1945" s="347"/>
      <c r="DO1945" s="347"/>
      <c r="DP1945" s="2505"/>
    </row>
    <row r="1946" spans="12:120">
      <c r="L1946" s="347">
        <v>276.06</v>
      </c>
      <c r="M1946" s="347" t="s">
        <v>363</v>
      </c>
      <c r="AB1946" s="347">
        <v>605.01</v>
      </c>
      <c r="AC1946" s="347" t="s">
        <v>310</v>
      </c>
      <c r="AD1946" s="1138"/>
      <c r="AP1946" s="347">
        <v>167.41</v>
      </c>
      <c r="AQ1946" s="347" t="s">
        <v>359</v>
      </c>
      <c r="BF1946" s="347">
        <v>240.01</v>
      </c>
      <c r="BG1946" s="347" t="s">
        <v>363</v>
      </c>
      <c r="BH1946" s="1790"/>
      <c r="BN1946" s="237">
        <v>401.24</v>
      </c>
      <c r="BO1946" s="237" t="s">
        <v>344</v>
      </c>
      <c r="BT1946" s="347">
        <v>167.37</v>
      </c>
      <c r="BU1946" s="347" t="s">
        <v>359</v>
      </c>
      <c r="CD1946" s="237">
        <v>108.02</v>
      </c>
      <c r="CE1946" s="237" t="s">
        <v>359</v>
      </c>
      <c r="CJ1946" s="347">
        <v>236.02</v>
      </c>
      <c r="CK1946" s="347" t="s">
        <v>363</v>
      </c>
      <c r="CL1946" s="1789"/>
      <c r="CR1946" s="345"/>
      <c r="CS1946" s="345"/>
      <c r="CX1946" s="347"/>
      <c r="CY1946" s="347"/>
      <c r="DH1946" s="237"/>
      <c r="DI1946" s="237"/>
      <c r="DN1946" s="347"/>
      <c r="DO1946" s="347"/>
      <c r="DP1946" s="2505"/>
    </row>
    <row r="1947" spans="12:120">
      <c r="L1947" s="347">
        <v>277.01</v>
      </c>
      <c r="M1947" s="347" t="s">
        <v>363</v>
      </c>
      <c r="AB1947" s="347">
        <v>605.03</v>
      </c>
      <c r="AC1947" s="347" t="s">
        <v>310</v>
      </c>
      <c r="AD1947" s="1138"/>
      <c r="AP1947" s="347">
        <v>167.42</v>
      </c>
      <c r="AQ1947" s="347" t="s">
        <v>359</v>
      </c>
      <c r="BF1947" s="347">
        <v>240.02</v>
      </c>
      <c r="BG1947" s="347" t="s">
        <v>363</v>
      </c>
      <c r="BH1947" s="1790"/>
      <c r="BN1947" s="237">
        <v>401.25</v>
      </c>
      <c r="BO1947" s="237" t="s">
        <v>344</v>
      </c>
      <c r="BT1947" s="347">
        <v>167.4</v>
      </c>
      <c r="BU1947" s="347" t="s">
        <v>359</v>
      </c>
      <c r="CD1947" s="237">
        <v>108.02</v>
      </c>
      <c r="CE1947" s="237" t="s">
        <v>367</v>
      </c>
      <c r="CJ1947" s="347">
        <v>237</v>
      </c>
      <c r="CK1947" s="347" t="s">
        <v>363</v>
      </c>
      <c r="CL1947" s="1789"/>
      <c r="CR1947" s="345"/>
      <c r="CS1947" s="345"/>
      <c r="CX1947" s="347"/>
      <c r="CY1947" s="347"/>
      <c r="DH1947" s="237"/>
      <c r="DI1947" s="237"/>
      <c r="DN1947" s="347"/>
      <c r="DO1947" s="347"/>
      <c r="DP1947" s="2505"/>
    </row>
    <row r="1948" spans="12:120">
      <c r="L1948" s="347">
        <v>277.02999999999997</v>
      </c>
      <c r="M1948" s="347" t="s">
        <v>363</v>
      </c>
      <c r="AB1948" s="347">
        <v>605.04</v>
      </c>
      <c r="AC1948" s="347" t="s">
        <v>310</v>
      </c>
      <c r="AD1948" s="1138"/>
      <c r="AP1948" s="347">
        <v>167.45</v>
      </c>
      <c r="AQ1948" s="347" t="s">
        <v>359</v>
      </c>
      <c r="BF1948" s="347">
        <v>240.04</v>
      </c>
      <c r="BG1948" s="347" t="s">
        <v>363</v>
      </c>
      <c r="BH1948" s="1790"/>
      <c r="BN1948" s="237">
        <v>401.26</v>
      </c>
      <c r="BO1948" s="237" t="s">
        <v>344</v>
      </c>
      <c r="BT1948" s="347">
        <v>167.43</v>
      </c>
      <c r="BU1948" s="347" t="s">
        <v>359</v>
      </c>
      <c r="CD1948" s="237">
        <v>108.03</v>
      </c>
      <c r="CE1948" s="237" t="s">
        <v>344</v>
      </c>
      <c r="CJ1948" s="347">
        <v>238</v>
      </c>
      <c r="CK1948" s="347" t="s">
        <v>363</v>
      </c>
      <c r="CL1948" s="1789"/>
      <c r="CR1948" s="345"/>
      <c r="CS1948" s="345"/>
      <c r="CX1948" s="347"/>
      <c r="CY1948" s="347"/>
      <c r="DH1948" s="237"/>
      <c r="DI1948" s="237"/>
      <c r="DN1948" s="347"/>
      <c r="DO1948" s="347"/>
      <c r="DP1948" s="2505"/>
    </row>
    <row r="1949" spans="12:120">
      <c r="L1949" s="347">
        <v>277.04000000000002</v>
      </c>
      <c r="M1949" s="347" t="s">
        <v>363</v>
      </c>
      <c r="AB1949" s="347">
        <v>606.03</v>
      </c>
      <c r="AC1949" s="347" t="s">
        <v>310</v>
      </c>
      <c r="AD1949" s="1138"/>
      <c r="AP1949" s="347">
        <v>167.46</v>
      </c>
      <c r="AQ1949" s="347" t="s">
        <v>359</v>
      </c>
      <c r="BF1949" s="347">
        <v>240.05</v>
      </c>
      <c r="BG1949" s="347" t="s">
        <v>363</v>
      </c>
      <c r="BH1949" s="1790"/>
      <c r="BN1949" s="237">
        <v>401.27</v>
      </c>
      <c r="BO1949" s="237" t="s">
        <v>344</v>
      </c>
      <c r="BT1949" s="347">
        <v>167.44</v>
      </c>
      <c r="BU1949" s="347" t="s">
        <v>359</v>
      </c>
      <c r="CD1949" s="237">
        <v>108.03</v>
      </c>
      <c r="CE1949" s="237" t="s">
        <v>352</v>
      </c>
      <c r="CJ1949" s="347">
        <v>239</v>
      </c>
      <c r="CK1949" s="347" t="s">
        <v>363</v>
      </c>
      <c r="CL1949" s="1789"/>
      <c r="CR1949" s="345"/>
      <c r="CS1949" s="345"/>
      <c r="CX1949" s="347"/>
      <c r="CY1949" s="347"/>
      <c r="DH1949" s="237"/>
      <c r="DI1949" s="237"/>
      <c r="DN1949" s="347"/>
      <c r="DO1949" s="347"/>
      <c r="DP1949" s="2505"/>
    </row>
    <row r="1950" spans="12:120">
      <c r="L1950" s="347">
        <v>278.01</v>
      </c>
      <c r="M1950" s="347" t="s">
        <v>363</v>
      </c>
      <c r="AB1950" s="347">
        <v>606.04999999999995</v>
      </c>
      <c r="AC1950" s="347" t="s">
        <v>310</v>
      </c>
      <c r="AD1950" s="1138"/>
      <c r="AP1950" s="347">
        <v>167.47</v>
      </c>
      <c r="AQ1950" s="347" t="s">
        <v>359</v>
      </c>
      <c r="BF1950" s="347">
        <v>241</v>
      </c>
      <c r="BG1950" s="347" t="s">
        <v>363</v>
      </c>
      <c r="BH1950" s="1790"/>
      <c r="BN1950" s="237">
        <v>401.28</v>
      </c>
      <c r="BO1950" s="237" t="s">
        <v>344</v>
      </c>
      <c r="BT1950" s="347">
        <v>167.45</v>
      </c>
      <c r="BU1950" s="347" t="s">
        <v>359</v>
      </c>
      <c r="CD1950" s="237">
        <v>108.04</v>
      </c>
      <c r="CE1950" s="237" t="s">
        <v>318</v>
      </c>
      <c r="CJ1950" s="347">
        <v>240.01</v>
      </c>
      <c r="CK1950" s="347" t="s">
        <v>363</v>
      </c>
      <c r="CL1950" s="1789"/>
      <c r="CR1950" s="345"/>
      <c r="CS1950" s="345"/>
      <c r="CX1950" s="347"/>
      <c r="CY1950" s="347"/>
      <c r="DH1950" s="237"/>
      <c r="DI1950" s="237"/>
      <c r="DN1950" s="347"/>
      <c r="DO1950" s="347"/>
      <c r="DP1950" s="2505"/>
    </row>
    <row r="1951" spans="12:120">
      <c r="L1951" s="347">
        <v>278.02</v>
      </c>
      <c r="M1951" s="347" t="s">
        <v>363</v>
      </c>
      <c r="AB1951" s="347">
        <v>606.07000000000005</v>
      </c>
      <c r="AC1951" s="347" t="s">
        <v>310</v>
      </c>
      <c r="AD1951" s="1138"/>
      <c r="AP1951" s="347">
        <v>167.48</v>
      </c>
      <c r="AQ1951" s="347" t="s">
        <v>359</v>
      </c>
      <c r="BF1951" s="347">
        <v>242.01</v>
      </c>
      <c r="BG1951" s="347" t="s">
        <v>363</v>
      </c>
      <c r="BH1951" s="1790"/>
      <c r="BN1951" s="237">
        <v>401.29</v>
      </c>
      <c r="BO1951" s="237" t="s">
        <v>344</v>
      </c>
      <c r="BT1951" s="347">
        <v>167.46</v>
      </c>
      <c r="BU1951" s="347" t="s">
        <v>359</v>
      </c>
      <c r="CD1951" s="237">
        <v>108.04</v>
      </c>
      <c r="CE1951" s="237" t="s">
        <v>352</v>
      </c>
      <c r="CJ1951" s="347">
        <v>240.02</v>
      </c>
      <c r="CK1951" s="347" t="s">
        <v>363</v>
      </c>
      <c r="CL1951" s="1789"/>
      <c r="CR1951" s="345"/>
      <c r="CS1951" s="345"/>
      <c r="CX1951" s="347"/>
      <c r="CY1951" s="347"/>
      <c r="DH1951" s="237"/>
      <c r="DI1951" s="237"/>
      <c r="DN1951" s="347"/>
      <c r="DO1951" s="347"/>
      <c r="DP1951" s="2505"/>
    </row>
    <row r="1952" spans="12:120">
      <c r="L1952" s="347">
        <v>279.01</v>
      </c>
      <c r="M1952" s="347" t="s">
        <v>363</v>
      </c>
      <c r="AB1952" s="347">
        <v>606.08000000000004</v>
      </c>
      <c r="AC1952" s="347" t="s">
        <v>310</v>
      </c>
      <c r="AD1952" s="1138"/>
      <c r="AP1952" s="347">
        <v>167.49</v>
      </c>
      <c r="AQ1952" s="347" t="s">
        <v>359</v>
      </c>
      <c r="BF1952" s="347">
        <v>242.02</v>
      </c>
      <c r="BG1952" s="347" t="s">
        <v>363</v>
      </c>
      <c r="BH1952" s="1790"/>
      <c r="BN1952" s="237">
        <v>401.3</v>
      </c>
      <c r="BO1952" s="237" t="s">
        <v>344</v>
      </c>
      <c r="BT1952" s="347">
        <v>167.47</v>
      </c>
      <c r="BU1952" s="347" t="s">
        <v>359</v>
      </c>
      <c r="CD1952" s="237">
        <v>108.05</v>
      </c>
      <c r="CE1952" s="237" t="s">
        <v>318</v>
      </c>
      <c r="CJ1952" s="347">
        <v>240.04</v>
      </c>
      <c r="CK1952" s="347" t="s">
        <v>363</v>
      </c>
      <c r="CL1952" s="1789"/>
      <c r="CR1952" s="345"/>
      <c r="CS1952" s="345"/>
      <c r="CX1952" s="347"/>
      <c r="CY1952" s="347"/>
      <c r="DH1952" s="237"/>
      <c r="DI1952" s="237"/>
      <c r="DN1952" s="347"/>
      <c r="DO1952" s="347"/>
      <c r="DP1952" s="2505"/>
    </row>
    <row r="1953" spans="12:120">
      <c r="L1953" s="347">
        <v>279.02999999999997</v>
      </c>
      <c r="M1953" s="347" t="s">
        <v>363</v>
      </c>
      <c r="AB1953" s="347">
        <v>606.09</v>
      </c>
      <c r="AC1953" s="347" t="s">
        <v>310</v>
      </c>
      <c r="AD1953" s="1138"/>
      <c r="AP1953" s="347">
        <v>167.5</v>
      </c>
      <c r="AQ1953" s="347" t="s">
        <v>359</v>
      </c>
      <c r="BF1953" s="347">
        <v>243.01</v>
      </c>
      <c r="BG1953" s="347" t="s">
        <v>363</v>
      </c>
      <c r="BH1953" s="1790"/>
      <c r="BN1953" s="237">
        <v>401.31</v>
      </c>
      <c r="BO1953" s="237" t="s">
        <v>344</v>
      </c>
      <c r="BT1953" s="347">
        <v>167.48</v>
      </c>
      <c r="BU1953" s="347" t="s">
        <v>359</v>
      </c>
      <c r="CD1953" s="237">
        <v>108.05</v>
      </c>
      <c r="CE1953" s="237" t="s">
        <v>337</v>
      </c>
      <c r="CJ1953" s="347">
        <v>240.05</v>
      </c>
      <c r="CK1953" s="347" t="s">
        <v>363</v>
      </c>
      <c r="CL1953" s="1789"/>
      <c r="CR1953" s="345"/>
      <c r="CS1953" s="345"/>
      <c r="CX1953" s="347"/>
      <c r="CY1953" s="347"/>
      <c r="DH1953" s="237"/>
      <c r="DI1953" s="237"/>
      <c r="DN1953" s="347"/>
      <c r="DO1953" s="347"/>
      <c r="DP1953" s="2505"/>
    </row>
    <row r="1954" spans="12:120">
      <c r="L1954" s="347">
        <v>279.04000000000002</v>
      </c>
      <c r="M1954" s="347" t="s">
        <v>363</v>
      </c>
      <c r="AB1954" s="347">
        <v>607</v>
      </c>
      <c r="AC1954" s="347" t="s">
        <v>310</v>
      </c>
      <c r="AD1954" s="1138"/>
      <c r="AP1954" s="347">
        <v>167.51</v>
      </c>
      <c r="AQ1954" s="347" t="s">
        <v>359</v>
      </c>
      <c r="BF1954" s="347">
        <v>244.06</v>
      </c>
      <c r="BG1954" s="347" t="s">
        <v>363</v>
      </c>
      <c r="BH1954" s="1790"/>
      <c r="BN1954" s="237">
        <v>401.32</v>
      </c>
      <c r="BO1954" s="237" t="s">
        <v>344</v>
      </c>
      <c r="BT1954" s="347">
        <v>167.49</v>
      </c>
      <c r="BU1954" s="347" t="s">
        <v>359</v>
      </c>
      <c r="CD1954" s="237">
        <v>108.05</v>
      </c>
      <c r="CE1954" s="237" t="s">
        <v>352</v>
      </c>
      <c r="CJ1954" s="347">
        <v>241</v>
      </c>
      <c r="CK1954" s="347" t="s">
        <v>363</v>
      </c>
      <c r="CL1954" s="1789"/>
      <c r="CR1954" s="345"/>
      <c r="CS1954" s="345"/>
      <c r="CX1954" s="347"/>
      <c r="CY1954" s="347"/>
      <c r="DH1954" s="237"/>
      <c r="DI1954" s="237"/>
      <c r="DN1954" s="347"/>
      <c r="DO1954" s="347"/>
      <c r="DP1954" s="2505"/>
    </row>
    <row r="1955" spans="12:120">
      <c r="L1955" s="347">
        <v>280.02</v>
      </c>
      <c r="M1955" s="347" t="s">
        <v>363</v>
      </c>
      <c r="AB1955" s="347">
        <v>609</v>
      </c>
      <c r="AC1955" s="347" t="s">
        <v>310</v>
      </c>
      <c r="AD1955" s="1138"/>
      <c r="AP1955" s="347">
        <v>167.52</v>
      </c>
      <c r="AQ1955" s="347" t="s">
        <v>359</v>
      </c>
      <c r="BF1955" s="347">
        <v>244.08</v>
      </c>
      <c r="BG1955" s="347" t="s">
        <v>363</v>
      </c>
      <c r="BH1955" s="1790"/>
      <c r="BN1955" s="237">
        <v>401.33</v>
      </c>
      <c r="BO1955" s="237" t="s">
        <v>344</v>
      </c>
      <c r="BT1955" s="347">
        <v>167.5</v>
      </c>
      <c r="BU1955" s="347" t="s">
        <v>359</v>
      </c>
      <c r="CD1955" s="237">
        <v>108.06</v>
      </c>
      <c r="CE1955" s="237" t="s">
        <v>318</v>
      </c>
      <c r="CJ1955" s="347">
        <v>242.01</v>
      </c>
      <c r="CK1955" s="347" t="s">
        <v>363</v>
      </c>
      <c r="CL1955" s="1789"/>
      <c r="CR1955" s="345"/>
      <c r="CS1955" s="345"/>
      <c r="CX1955" s="347"/>
      <c r="CY1955" s="347"/>
      <c r="DH1955" s="237"/>
      <c r="DI1955" s="237"/>
      <c r="DN1955" s="347"/>
      <c r="DO1955" s="347"/>
      <c r="DP1955" s="2505"/>
    </row>
    <row r="1956" spans="12:120">
      <c r="L1956" s="347">
        <v>280.02999999999997</v>
      </c>
      <c r="M1956" s="347" t="s">
        <v>363</v>
      </c>
      <c r="AB1956" s="347">
        <v>610.01</v>
      </c>
      <c r="AC1956" s="347" t="s">
        <v>310</v>
      </c>
      <c r="AD1956" s="1138"/>
      <c r="AP1956" s="347">
        <v>167.53</v>
      </c>
      <c r="AQ1956" s="347" t="s">
        <v>359</v>
      </c>
      <c r="BF1956" s="347">
        <v>244.09</v>
      </c>
      <c r="BG1956" s="347" t="s">
        <v>363</v>
      </c>
      <c r="BH1956" s="1790"/>
      <c r="BN1956" s="237">
        <v>401.34</v>
      </c>
      <c r="BO1956" s="237" t="s">
        <v>344</v>
      </c>
      <c r="BT1956" s="347">
        <v>167.51</v>
      </c>
      <c r="BU1956" s="347" t="s">
        <v>359</v>
      </c>
      <c r="CD1956" s="237">
        <v>108.06</v>
      </c>
      <c r="CE1956" s="237" t="s">
        <v>352</v>
      </c>
      <c r="CJ1956" s="347">
        <v>242.02</v>
      </c>
      <c r="CK1956" s="347" t="s">
        <v>363</v>
      </c>
      <c r="CL1956" s="1789"/>
      <c r="CR1956" s="345"/>
      <c r="CS1956" s="345"/>
      <c r="CX1956" s="347"/>
      <c r="CY1956" s="347"/>
      <c r="DH1956" s="237"/>
      <c r="DI1956" s="237"/>
      <c r="DN1956" s="347"/>
      <c r="DO1956" s="347"/>
      <c r="DP1956" s="2505"/>
    </row>
    <row r="1957" spans="12:120">
      <c r="L1957" s="347">
        <v>280.04000000000002</v>
      </c>
      <c r="M1957" s="347" t="s">
        <v>363</v>
      </c>
      <c r="AB1957" s="347">
        <v>610.02</v>
      </c>
      <c r="AC1957" s="347" t="s">
        <v>310</v>
      </c>
      <c r="AD1957" s="1138"/>
      <c r="AP1957" s="347">
        <v>167.55</v>
      </c>
      <c r="AQ1957" s="347" t="s">
        <v>359</v>
      </c>
      <c r="BF1957" s="347">
        <v>244.11</v>
      </c>
      <c r="BG1957" s="347" t="s">
        <v>363</v>
      </c>
      <c r="BH1957" s="1790"/>
      <c r="BN1957" s="237">
        <v>401.35</v>
      </c>
      <c r="BO1957" s="237" t="s">
        <v>344</v>
      </c>
      <c r="BT1957" s="347">
        <v>167.52</v>
      </c>
      <c r="BU1957" s="347" t="s">
        <v>359</v>
      </c>
      <c r="CD1957" s="237">
        <v>108.07</v>
      </c>
      <c r="CE1957" s="237" t="s">
        <v>318</v>
      </c>
      <c r="CJ1957" s="347">
        <v>244.06</v>
      </c>
      <c r="CK1957" s="347" t="s">
        <v>363</v>
      </c>
      <c r="CL1957" s="1789"/>
      <c r="CR1957" s="345"/>
      <c r="CS1957" s="345"/>
      <c r="CX1957" s="347"/>
      <c r="CY1957" s="347"/>
      <c r="DH1957" s="237"/>
      <c r="DI1957" s="237"/>
      <c r="DN1957" s="347"/>
      <c r="DO1957" s="347"/>
      <c r="DP1957" s="2505"/>
    </row>
    <row r="1958" spans="12:120">
      <c r="L1958" s="347">
        <v>281.02</v>
      </c>
      <c r="M1958" s="347" t="s">
        <v>363</v>
      </c>
      <c r="AB1958" s="347">
        <v>611</v>
      </c>
      <c r="AC1958" s="347" t="s">
        <v>309</v>
      </c>
      <c r="AD1958" s="1138"/>
      <c r="AP1958" s="347">
        <v>167.56</v>
      </c>
      <c r="AQ1958" s="347" t="s">
        <v>359</v>
      </c>
      <c r="BF1958" s="347">
        <v>244.12</v>
      </c>
      <c r="BG1958" s="347" t="s">
        <v>363</v>
      </c>
      <c r="BH1958" s="1790"/>
      <c r="BN1958" s="237">
        <v>401.36</v>
      </c>
      <c r="BO1958" s="237" t="s">
        <v>344</v>
      </c>
      <c r="BT1958" s="347">
        <v>167.53</v>
      </c>
      <c r="BU1958" s="347" t="s">
        <v>359</v>
      </c>
      <c r="CD1958" s="237">
        <v>108.08</v>
      </c>
      <c r="CE1958" s="237" t="s">
        <v>318</v>
      </c>
      <c r="CJ1958" s="347">
        <v>244.09</v>
      </c>
      <c r="CK1958" s="347" t="s">
        <v>363</v>
      </c>
      <c r="CL1958" s="1789"/>
      <c r="CR1958" s="345"/>
      <c r="CS1958" s="345"/>
      <c r="CX1958" s="347"/>
      <c r="CY1958" s="347"/>
      <c r="DH1958" s="237"/>
      <c r="DI1958" s="237"/>
      <c r="DN1958" s="347"/>
      <c r="DO1958" s="347"/>
      <c r="DP1958" s="2505"/>
    </row>
    <row r="1959" spans="12:120">
      <c r="L1959" s="347">
        <v>282</v>
      </c>
      <c r="M1959" s="347" t="s">
        <v>363</v>
      </c>
      <c r="AB1959" s="347">
        <v>612.01</v>
      </c>
      <c r="AC1959" s="347" t="s">
        <v>309</v>
      </c>
      <c r="AD1959" s="1138"/>
      <c r="AP1959" s="347">
        <v>168.02</v>
      </c>
      <c r="AQ1959" s="347" t="s">
        <v>359</v>
      </c>
      <c r="BF1959" s="347">
        <v>244.13</v>
      </c>
      <c r="BG1959" s="347" t="s">
        <v>363</v>
      </c>
      <c r="BH1959" s="1790"/>
      <c r="BN1959" s="237">
        <v>401.37</v>
      </c>
      <c r="BO1959" s="237" t="s">
        <v>344</v>
      </c>
      <c r="BT1959" s="347">
        <v>167.55</v>
      </c>
      <c r="BU1959" s="347" t="s">
        <v>359</v>
      </c>
      <c r="CD1959" s="237">
        <v>108.08</v>
      </c>
      <c r="CE1959" s="237" t="s">
        <v>337</v>
      </c>
      <c r="CJ1959" s="347">
        <v>244.11</v>
      </c>
      <c r="CK1959" s="347" t="s">
        <v>363</v>
      </c>
      <c r="CL1959" s="1789"/>
      <c r="CR1959" s="345"/>
      <c r="CS1959" s="345"/>
      <c r="CX1959" s="347"/>
      <c r="CY1959" s="347"/>
      <c r="DH1959" s="237"/>
      <c r="DI1959" s="237"/>
      <c r="DN1959" s="347"/>
      <c r="DO1959" s="347"/>
      <c r="DP1959" s="2505"/>
    </row>
    <row r="1960" spans="12:120">
      <c r="L1960" s="347">
        <v>284.01</v>
      </c>
      <c r="M1960" s="347" t="s">
        <v>363</v>
      </c>
      <c r="AB1960" s="347">
        <v>612.02</v>
      </c>
      <c r="AC1960" s="347" t="s">
        <v>309</v>
      </c>
      <c r="AD1960" s="1138"/>
      <c r="AP1960" s="347">
        <v>168.04</v>
      </c>
      <c r="AQ1960" s="347" t="s">
        <v>359</v>
      </c>
      <c r="BF1960" s="347">
        <v>245.05</v>
      </c>
      <c r="BG1960" s="347" t="s">
        <v>363</v>
      </c>
      <c r="BH1960" s="1790"/>
      <c r="BN1960" s="237">
        <v>401.38</v>
      </c>
      <c r="BO1960" s="237" t="s">
        <v>344</v>
      </c>
      <c r="BT1960" s="347">
        <v>167.56</v>
      </c>
      <c r="BU1960" s="347" t="s">
        <v>359</v>
      </c>
      <c r="CD1960" s="237">
        <v>108.08</v>
      </c>
      <c r="CE1960" s="237" t="s">
        <v>367</v>
      </c>
      <c r="CJ1960" s="347">
        <v>244.12</v>
      </c>
      <c r="CK1960" s="347" t="s">
        <v>363</v>
      </c>
      <c r="CL1960" s="1789"/>
      <c r="CR1960" s="345"/>
      <c r="CS1960" s="345"/>
      <c r="CX1960" s="347"/>
      <c r="CY1960" s="347"/>
      <c r="DH1960" s="237"/>
      <c r="DI1960" s="237"/>
      <c r="DN1960" s="347"/>
      <c r="DO1960" s="347"/>
      <c r="DP1960" s="2505"/>
    </row>
    <row r="1961" spans="12:120">
      <c r="L1961" s="347">
        <v>104.02</v>
      </c>
      <c r="M1961" s="347" t="s">
        <v>365</v>
      </c>
      <c r="AB1961" s="347">
        <v>621.03</v>
      </c>
      <c r="AC1961" s="347" t="s">
        <v>309</v>
      </c>
      <c r="AD1961" s="1138"/>
      <c r="AP1961" s="347">
        <v>168.08</v>
      </c>
      <c r="AQ1961" s="347" t="s">
        <v>359</v>
      </c>
      <c r="BF1961" s="347">
        <v>245.07</v>
      </c>
      <c r="BG1961" s="347" t="s">
        <v>363</v>
      </c>
      <c r="BH1961" s="1790"/>
      <c r="BN1961" s="237">
        <v>401.39</v>
      </c>
      <c r="BO1961" s="237" t="s">
        <v>344</v>
      </c>
      <c r="BT1961" s="347">
        <v>168.02</v>
      </c>
      <c r="BU1961" s="347" t="s">
        <v>359</v>
      </c>
      <c r="CD1961" s="237">
        <v>108.09</v>
      </c>
      <c r="CE1961" s="237" t="s">
        <v>337</v>
      </c>
      <c r="CJ1961" s="347">
        <v>244.13</v>
      </c>
      <c r="CK1961" s="347" t="s">
        <v>363</v>
      </c>
      <c r="CL1961" s="1789"/>
      <c r="CR1961" s="345"/>
      <c r="CS1961" s="345"/>
      <c r="CX1961" s="347"/>
      <c r="CY1961" s="347"/>
      <c r="DH1961" s="237"/>
      <c r="DI1961" s="237"/>
      <c r="DN1961" s="347"/>
      <c r="DO1961" s="347"/>
      <c r="DP1961" s="2505"/>
    </row>
    <row r="1962" spans="12:120">
      <c r="L1962" s="347">
        <v>105.01</v>
      </c>
      <c r="M1962" s="347" t="s">
        <v>365</v>
      </c>
      <c r="AB1962" s="347">
        <v>621.08000000000004</v>
      </c>
      <c r="AC1962" s="347" t="s">
        <v>309</v>
      </c>
      <c r="AD1962" s="1138"/>
      <c r="AP1962" s="347">
        <v>168.09</v>
      </c>
      <c r="AQ1962" s="347" t="s">
        <v>359</v>
      </c>
      <c r="BF1962" s="347">
        <v>245.09</v>
      </c>
      <c r="BG1962" s="347" t="s">
        <v>363</v>
      </c>
      <c r="BH1962" s="1790"/>
      <c r="BN1962" s="237">
        <v>402.05</v>
      </c>
      <c r="BO1962" s="237" t="s">
        <v>344</v>
      </c>
      <c r="BT1962" s="347">
        <v>168.04</v>
      </c>
      <c r="BU1962" s="347" t="s">
        <v>359</v>
      </c>
      <c r="CD1962" s="237">
        <v>108.09</v>
      </c>
      <c r="CE1962" s="237" t="s">
        <v>367</v>
      </c>
      <c r="CJ1962" s="347">
        <v>245.05</v>
      </c>
      <c r="CK1962" s="347" t="s">
        <v>363</v>
      </c>
      <c r="CL1962" s="1789"/>
      <c r="CR1962" s="345"/>
      <c r="CS1962" s="345"/>
      <c r="CX1962" s="347"/>
      <c r="CY1962" s="347"/>
      <c r="DH1962" s="237"/>
      <c r="DI1962" s="237"/>
      <c r="DN1962" s="347"/>
      <c r="DO1962" s="347"/>
      <c r="DP1962" s="2505"/>
    </row>
    <row r="1963" spans="12:120">
      <c r="L1963" s="347">
        <v>105.02</v>
      </c>
      <c r="M1963" s="347" t="s">
        <v>365</v>
      </c>
      <c r="AB1963" s="347">
        <v>621.09</v>
      </c>
      <c r="AC1963" s="347" t="s">
        <v>309</v>
      </c>
      <c r="AD1963" s="1138"/>
      <c r="AP1963" s="347">
        <v>168.1</v>
      </c>
      <c r="AQ1963" s="347" t="s">
        <v>359</v>
      </c>
      <c r="BF1963" s="347">
        <v>245.14</v>
      </c>
      <c r="BG1963" s="347" t="s">
        <v>363</v>
      </c>
      <c r="BH1963" s="1790"/>
      <c r="BN1963" s="237">
        <v>402.06</v>
      </c>
      <c r="BO1963" s="237" t="s">
        <v>344</v>
      </c>
      <c r="BT1963" s="347">
        <v>168.08</v>
      </c>
      <c r="BU1963" s="347" t="s">
        <v>359</v>
      </c>
      <c r="CD1963" s="237">
        <v>108.1</v>
      </c>
      <c r="CE1963" s="237" t="s">
        <v>337</v>
      </c>
      <c r="CJ1963" s="347">
        <v>245.07</v>
      </c>
      <c r="CK1963" s="347" t="s">
        <v>363</v>
      </c>
      <c r="CL1963" s="1789"/>
      <c r="CR1963" s="345"/>
      <c r="CS1963" s="345"/>
      <c r="CX1963" s="347"/>
      <c r="CY1963" s="347"/>
      <c r="DH1963" s="237"/>
      <c r="DI1963" s="237"/>
      <c r="DN1963" s="347"/>
      <c r="DO1963" s="347"/>
      <c r="DP1963" s="2505"/>
    </row>
    <row r="1964" spans="12:120">
      <c r="L1964" s="347">
        <v>106.01</v>
      </c>
      <c r="M1964" s="347" t="s">
        <v>365</v>
      </c>
      <c r="AB1964" s="347">
        <v>628</v>
      </c>
      <c r="AC1964" s="347" t="s">
        <v>309</v>
      </c>
      <c r="AD1964" s="1138"/>
      <c r="AP1964" s="347">
        <v>168.11</v>
      </c>
      <c r="AQ1964" s="347" t="s">
        <v>359</v>
      </c>
      <c r="BF1964" s="347">
        <v>245.17</v>
      </c>
      <c r="BG1964" s="347" t="s">
        <v>363</v>
      </c>
      <c r="BH1964" s="1790"/>
      <c r="BN1964" s="237">
        <v>402.07</v>
      </c>
      <c r="BO1964" s="237" t="s">
        <v>344</v>
      </c>
      <c r="BT1964" s="347">
        <v>168.1</v>
      </c>
      <c r="BU1964" s="347" t="s">
        <v>359</v>
      </c>
      <c r="CD1964" s="237">
        <v>108.11</v>
      </c>
      <c r="CE1964" s="237" t="s">
        <v>337</v>
      </c>
      <c r="CJ1964" s="347">
        <v>245.09</v>
      </c>
      <c r="CK1964" s="347" t="s">
        <v>363</v>
      </c>
      <c r="CL1964" s="1789"/>
      <c r="CR1964" s="345"/>
      <c r="CS1964" s="345"/>
      <c r="CX1964" s="347"/>
      <c r="CY1964" s="347"/>
      <c r="DH1964" s="237"/>
      <c r="DI1964" s="237"/>
      <c r="DN1964" s="347"/>
      <c r="DO1964" s="347"/>
      <c r="DP1964" s="2505"/>
    </row>
    <row r="1965" spans="12:120">
      <c r="L1965" s="347">
        <v>106.03</v>
      </c>
      <c r="M1965" s="347" t="s">
        <v>365</v>
      </c>
      <c r="AB1965" s="347">
        <v>630</v>
      </c>
      <c r="AC1965" s="347" t="s">
        <v>309</v>
      </c>
      <c r="AD1965" s="1138"/>
      <c r="AP1965" s="347">
        <v>169.08</v>
      </c>
      <c r="AQ1965" s="347" t="s">
        <v>359</v>
      </c>
      <c r="BF1965" s="347">
        <v>245.19</v>
      </c>
      <c r="BG1965" s="347" t="s">
        <v>363</v>
      </c>
      <c r="BH1965" s="1790"/>
      <c r="BN1965" s="237">
        <v>402.08</v>
      </c>
      <c r="BO1965" s="237" t="s">
        <v>344</v>
      </c>
      <c r="BT1965" s="347">
        <v>168.11</v>
      </c>
      <c r="BU1965" s="347" t="s">
        <v>359</v>
      </c>
      <c r="CD1965" s="237">
        <v>108.12</v>
      </c>
      <c r="CE1965" s="237" t="s">
        <v>367</v>
      </c>
      <c r="CJ1965" s="347">
        <v>245.17</v>
      </c>
      <c r="CK1965" s="347" t="s">
        <v>363</v>
      </c>
      <c r="CL1965" s="1789"/>
      <c r="CR1965" s="345"/>
      <c r="CS1965" s="345"/>
      <c r="CX1965" s="347"/>
      <c r="CY1965" s="347"/>
      <c r="DH1965" s="237"/>
      <c r="DI1965" s="237"/>
      <c r="DN1965" s="347"/>
      <c r="DO1965" s="347"/>
      <c r="DP1965" s="2505"/>
    </row>
    <row r="1966" spans="12:120">
      <c r="L1966" s="347">
        <v>106.04</v>
      </c>
      <c r="M1966" s="347" t="s">
        <v>365</v>
      </c>
      <c r="AB1966" s="347">
        <v>631.02</v>
      </c>
      <c r="AC1966" s="347" t="s">
        <v>309</v>
      </c>
      <c r="AD1966" s="1138"/>
      <c r="AP1966" s="347">
        <v>170.04</v>
      </c>
      <c r="AQ1966" s="347" t="s">
        <v>359</v>
      </c>
      <c r="BF1966" s="347">
        <v>248.05</v>
      </c>
      <c r="BG1966" s="347" t="s">
        <v>363</v>
      </c>
      <c r="BH1966" s="1790"/>
      <c r="BN1966" s="237">
        <v>402.09</v>
      </c>
      <c r="BO1966" s="237" t="s">
        <v>344</v>
      </c>
      <c r="BT1966" s="347">
        <v>168.13</v>
      </c>
      <c r="BU1966" s="347" t="s">
        <v>359</v>
      </c>
      <c r="CD1966" s="237">
        <v>108.13</v>
      </c>
      <c r="CE1966" s="237" t="s">
        <v>367</v>
      </c>
      <c r="CJ1966" s="347">
        <v>245.19</v>
      </c>
      <c r="CK1966" s="347" t="s">
        <v>363</v>
      </c>
      <c r="CL1966" s="1789"/>
      <c r="CR1966" s="345"/>
      <c r="CS1966" s="345"/>
      <c r="CX1966" s="347"/>
      <c r="CY1966" s="347"/>
      <c r="DH1966" s="237"/>
      <c r="DI1966" s="237"/>
      <c r="DN1966" s="347"/>
      <c r="DO1966" s="347"/>
      <c r="DP1966" s="2505"/>
    </row>
    <row r="1967" spans="12:120">
      <c r="L1967" s="347">
        <v>107.01</v>
      </c>
      <c r="M1967" s="347" t="s">
        <v>365</v>
      </c>
      <c r="AB1967" s="347">
        <v>631.04</v>
      </c>
      <c r="AC1967" s="347" t="s">
        <v>309</v>
      </c>
      <c r="AD1967" s="1138"/>
      <c r="AP1967" s="347">
        <v>170.06</v>
      </c>
      <c r="AQ1967" s="347" t="s">
        <v>359</v>
      </c>
      <c r="BF1967" s="347">
        <v>249.04</v>
      </c>
      <c r="BG1967" s="347" t="s">
        <v>363</v>
      </c>
      <c r="BH1967" s="1790"/>
      <c r="BN1967" s="237">
        <v>402.1</v>
      </c>
      <c r="BO1967" s="237" t="s">
        <v>344</v>
      </c>
      <c r="BT1967" s="347">
        <v>169.09</v>
      </c>
      <c r="BU1967" s="347" t="s">
        <v>359</v>
      </c>
      <c r="CD1967" s="237">
        <v>108.14</v>
      </c>
      <c r="CE1967" s="237" t="s">
        <v>337</v>
      </c>
      <c r="CJ1967" s="347">
        <v>249.05</v>
      </c>
      <c r="CK1967" s="347" t="s">
        <v>363</v>
      </c>
      <c r="CL1967" s="1789"/>
      <c r="CR1967" s="345"/>
      <c r="CS1967" s="345"/>
      <c r="CX1967" s="347"/>
      <c r="CY1967" s="347"/>
      <c r="DH1967" s="237"/>
      <c r="DI1967" s="237"/>
      <c r="DN1967" s="347"/>
      <c r="DO1967" s="347"/>
      <c r="DP1967" s="2505"/>
    </row>
    <row r="1968" spans="12:120">
      <c r="L1968" s="347">
        <v>107.02</v>
      </c>
      <c r="M1968" s="347" t="s">
        <v>365</v>
      </c>
      <c r="AB1968" s="347">
        <v>631.04999999999995</v>
      </c>
      <c r="AC1968" s="347" t="s">
        <v>309</v>
      </c>
      <c r="AD1968" s="1138"/>
      <c r="AP1968" s="347">
        <v>170.12</v>
      </c>
      <c r="AQ1968" s="347" t="s">
        <v>359</v>
      </c>
      <c r="BF1968" s="347">
        <v>249.08</v>
      </c>
      <c r="BG1968" s="347" t="s">
        <v>363</v>
      </c>
      <c r="BH1968" s="1790"/>
      <c r="BN1968" s="237">
        <v>402.11</v>
      </c>
      <c r="BO1968" s="237" t="s">
        <v>344</v>
      </c>
      <c r="BT1968" s="347">
        <v>170.04</v>
      </c>
      <c r="BU1968" s="347" t="s">
        <v>359</v>
      </c>
      <c r="CD1968" s="237">
        <v>108.14</v>
      </c>
      <c r="CE1968" s="237" t="s">
        <v>367</v>
      </c>
      <c r="CJ1968" s="347">
        <v>249.08</v>
      </c>
      <c r="CK1968" s="347" t="s">
        <v>363</v>
      </c>
      <c r="CL1968" s="1789"/>
      <c r="CR1968" s="345"/>
      <c r="CS1968" s="345"/>
      <c r="CX1968" s="347"/>
      <c r="CY1968" s="347"/>
      <c r="DH1968" s="237"/>
      <c r="DI1968" s="237"/>
      <c r="DN1968" s="347"/>
      <c r="DO1968" s="347"/>
      <c r="DP1968" s="2505"/>
    </row>
    <row r="1969" spans="12:120">
      <c r="L1969" s="347">
        <v>115.02</v>
      </c>
      <c r="M1969" s="347" t="s">
        <v>365</v>
      </c>
      <c r="AB1969" s="347">
        <v>631.05999999999995</v>
      </c>
      <c r="AC1969" s="347" t="s">
        <v>309</v>
      </c>
      <c r="AD1969" s="1138"/>
      <c r="AP1969" s="347">
        <v>170.15</v>
      </c>
      <c r="AQ1969" s="347" t="s">
        <v>359</v>
      </c>
      <c r="BF1969" s="347">
        <v>250.07</v>
      </c>
      <c r="BG1969" s="347" t="s">
        <v>363</v>
      </c>
      <c r="BH1969" s="1790"/>
      <c r="BN1969" s="237">
        <v>402.12</v>
      </c>
      <c r="BO1969" s="237" t="s">
        <v>344</v>
      </c>
      <c r="BT1969" s="347">
        <v>170.06</v>
      </c>
      <c r="BU1969" s="347" t="s">
        <v>359</v>
      </c>
      <c r="CD1969" s="237">
        <v>108.15</v>
      </c>
      <c r="CE1969" s="237" t="s">
        <v>337</v>
      </c>
      <c r="CJ1969" s="347">
        <v>250.07</v>
      </c>
      <c r="CK1969" s="347" t="s">
        <v>363</v>
      </c>
      <c r="CL1969" s="1789"/>
      <c r="CR1969" s="345"/>
      <c r="CS1969" s="345"/>
      <c r="CX1969" s="347"/>
      <c r="CY1969" s="347"/>
      <c r="DH1969" s="237"/>
      <c r="DI1969" s="237"/>
      <c r="DN1969" s="347"/>
      <c r="DO1969" s="347"/>
      <c r="DP1969" s="2505"/>
    </row>
    <row r="1970" spans="12:120">
      <c r="L1970" s="347">
        <v>118.21</v>
      </c>
      <c r="M1970" s="347" t="s">
        <v>365</v>
      </c>
      <c r="AB1970" s="347">
        <v>631.07000000000005</v>
      </c>
      <c r="AC1970" s="347" t="s">
        <v>309</v>
      </c>
      <c r="AD1970" s="1138"/>
      <c r="AP1970" s="347">
        <v>170.18</v>
      </c>
      <c r="AQ1970" s="347" t="s">
        <v>359</v>
      </c>
      <c r="BF1970" s="347">
        <v>250.11</v>
      </c>
      <c r="BG1970" s="347" t="s">
        <v>363</v>
      </c>
      <c r="BH1970" s="1790"/>
      <c r="BN1970" s="237">
        <v>403.01</v>
      </c>
      <c r="BO1970" s="237" t="s">
        <v>344</v>
      </c>
      <c r="BT1970" s="347">
        <v>170.12</v>
      </c>
      <c r="BU1970" s="347" t="s">
        <v>359</v>
      </c>
      <c r="CD1970" s="237">
        <v>108.16</v>
      </c>
      <c r="CE1970" s="237" t="s">
        <v>337</v>
      </c>
      <c r="CJ1970" s="347">
        <v>250.11</v>
      </c>
      <c r="CK1970" s="347" t="s">
        <v>363</v>
      </c>
      <c r="CL1970" s="1789"/>
      <c r="CR1970" s="345"/>
      <c r="CS1970" s="345"/>
      <c r="CX1970" s="347"/>
      <c r="CY1970" s="347"/>
      <c r="DH1970" s="237"/>
      <c r="DI1970" s="237"/>
      <c r="DN1970" s="347"/>
      <c r="DO1970" s="347"/>
      <c r="DP1970" s="2505"/>
    </row>
    <row r="1971" spans="12:120">
      <c r="L1971" s="347">
        <v>118.22</v>
      </c>
      <c r="M1971" s="347" t="s">
        <v>365</v>
      </c>
      <c r="AB1971" s="347">
        <v>641.02</v>
      </c>
      <c r="AC1971" s="347" t="s">
        <v>309</v>
      </c>
      <c r="AD1971" s="1138"/>
      <c r="AP1971" s="347">
        <v>170.2</v>
      </c>
      <c r="AQ1971" s="347" t="s">
        <v>359</v>
      </c>
      <c r="BF1971" s="347">
        <v>250.12</v>
      </c>
      <c r="BG1971" s="347" t="s">
        <v>363</v>
      </c>
      <c r="BH1971" s="1790"/>
      <c r="BN1971" s="237">
        <v>403.02</v>
      </c>
      <c r="BO1971" s="237" t="s">
        <v>344</v>
      </c>
      <c r="BT1971" s="347">
        <v>170.15</v>
      </c>
      <c r="BU1971" s="347" t="s">
        <v>359</v>
      </c>
      <c r="CD1971" s="237">
        <v>108.17</v>
      </c>
      <c r="CE1971" s="237" t="s">
        <v>337</v>
      </c>
      <c r="CJ1971" s="347">
        <v>250.12</v>
      </c>
      <c r="CK1971" s="347" t="s">
        <v>363</v>
      </c>
      <c r="CL1971" s="1789"/>
      <c r="CR1971" s="345"/>
      <c r="CS1971" s="345"/>
      <c r="CX1971" s="347"/>
      <c r="CY1971" s="347"/>
      <c r="DH1971" s="237"/>
      <c r="DI1971" s="237"/>
      <c r="DN1971" s="347"/>
      <c r="DO1971" s="347"/>
      <c r="DP1971" s="2505"/>
    </row>
    <row r="1972" spans="12:120">
      <c r="L1972" s="347">
        <v>118.32</v>
      </c>
      <c r="M1972" s="347" t="s">
        <v>365</v>
      </c>
      <c r="AB1972" s="347">
        <v>641.23</v>
      </c>
      <c r="AC1972" s="347" t="s">
        <v>309</v>
      </c>
      <c r="AD1972" s="1138"/>
      <c r="AP1972" s="347">
        <v>170.22</v>
      </c>
      <c r="AQ1972" s="347" t="s">
        <v>359</v>
      </c>
      <c r="BF1972" s="347">
        <v>250.13</v>
      </c>
      <c r="BG1972" s="347" t="s">
        <v>363</v>
      </c>
      <c r="BH1972" s="1790"/>
      <c r="BN1972" s="237">
        <v>403.03</v>
      </c>
      <c r="BO1972" s="237" t="s">
        <v>344</v>
      </c>
      <c r="BT1972" s="347">
        <v>170.2</v>
      </c>
      <c r="BU1972" s="347" t="s">
        <v>359</v>
      </c>
      <c r="CD1972" s="237">
        <v>108.19</v>
      </c>
      <c r="CE1972" s="237" t="s">
        <v>337</v>
      </c>
      <c r="CJ1972" s="347">
        <v>250.13</v>
      </c>
      <c r="CK1972" s="347" t="s">
        <v>363</v>
      </c>
      <c r="CL1972" s="1789"/>
      <c r="CR1972" s="345"/>
      <c r="CS1972" s="345"/>
      <c r="CX1972" s="347"/>
      <c r="CY1972" s="347"/>
      <c r="DH1972" s="237"/>
      <c r="DI1972" s="237"/>
      <c r="DN1972" s="347"/>
      <c r="DO1972" s="347"/>
      <c r="DP1972" s="2505"/>
    </row>
    <row r="1973" spans="12:120">
      <c r="L1973" s="347">
        <v>118.33</v>
      </c>
      <c r="M1973" s="347" t="s">
        <v>365</v>
      </c>
      <c r="AB1973" s="347">
        <v>641.25</v>
      </c>
      <c r="AC1973" s="347" t="s">
        <v>309</v>
      </c>
      <c r="AD1973" s="1138"/>
      <c r="AP1973" s="347">
        <v>170.24</v>
      </c>
      <c r="AQ1973" s="347" t="s">
        <v>359</v>
      </c>
      <c r="BF1973" s="347">
        <v>250.14</v>
      </c>
      <c r="BG1973" s="347" t="s">
        <v>363</v>
      </c>
      <c r="BH1973" s="1790"/>
      <c r="BN1973" s="237">
        <v>403.04</v>
      </c>
      <c r="BO1973" s="237" t="s">
        <v>344</v>
      </c>
      <c r="BT1973" s="347">
        <v>170.21</v>
      </c>
      <c r="BU1973" s="347" t="s">
        <v>359</v>
      </c>
      <c r="CD1973" s="237">
        <v>108.2</v>
      </c>
      <c r="CE1973" s="237" t="s">
        <v>337</v>
      </c>
      <c r="CJ1973" s="347">
        <v>250.14</v>
      </c>
      <c r="CK1973" s="347" t="s">
        <v>363</v>
      </c>
      <c r="CL1973" s="1789"/>
      <c r="CR1973" s="345"/>
      <c r="CS1973" s="345"/>
      <c r="CX1973" s="347"/>
      <c r="CY1973" s="347"/>
      <c r="DH1973" s="237"/>
      <c r="DI1973" s="237"/>
      <c r="DN1973" s="347"/>
      <c r="DO1973" s="347"/>
      <c r="DP1973" s="2505"/>
    </row>
    <row r="1974" spans="12:120">
      <c r="L1974" s="347">
        <v>118.34</v>
      </c>
      <c r="M1974" s="347" t="s">
        <v>365</v>
      </c>
      <c r="AB1974" s="347">
        <v>641.26</v>
      </c>
      <c r="AC1974" s="347" t="s">
        <v>309</v>
      </c>
      <c r="AD1974" s="1138"/>
      <c r="AP1974" s="347">
        <v>170.25</v>
      </c>
      <c r="AQ1974" s="347" t="s">
        <v>359</v>
      </c>
      <c r="BF1974" s="347">
        <v>250.16</v>
      </c>
      <c r="BG1974" s="347" t="s">
        <v>363</v>
      </c>
      <c r="BH1974" s="1790"/>
      <c r="BN1974" s="237">
        <v>403.05</v>
      </c>
      <c r="BO1974" s="237" t="s">
        <v>344</v>
      </c>
      <c r="BT1974" s="347">
        <v>170.22</v>
      </c>
      <c r="BU1974" s="347" t="s">
        <v>359</v>
      </c>
      <c r="CD1974" s="237">
        <v>108.2</v>
      </c>
      <c r="CE1974" s="237" t="s">
        <v>367</v>
      </c>
      <c r="CJ1974" s="347">
        <v>250.16</v>
      </c>
      <c r="CK1974" s="347" t="s">
        <v>363</v>
      </c>
      <c r="CL1974" s="1789"/>
      <c r="CR1974" s="345"/>
      <c r="CS1974" s="345"/>
      <c r="CX1974" s="347"/>
      <c r="CY1974" s="347"/>
      <c r="DH1974" s="237"/>
      <c r="DI1974" s="237"/>
      <c r="DN1974" s="347"/>
      <c r="DO1974" s="347"/>
      <c r="DP1974" s="2505"/>
    </row>
    <row r="1975" spans="12:120">
      <c r="L1975" s="347">
        <v>118.35</v>
      </c>
      <c r="M1975" s="347" t="s">
        <v>365</v>
      </c>
      <c r="AB1975" s="347">
        <v>641.27</v>
      </c>
      <c r="AC1975" s="347" t="s">
        <v>309</v>
      </c>
      <c r="AD1975" s="1138"/>
      <c r="AP1975" s="347">
        <v>170.26</v>
      </c>
      <c r="AQ1975" s="347" t="s">
        <v>359</v>
      </c>
      <c r="BF1975" s="347">
        <v>250.2</v>
      </c>
      <c r="BG1975" s="347" t="s">
        <v>363</v>
      </c>
      <c r="BH1975" s="1790"/>
      <c r="BN1975" s="237">
        <v>403.08</v>
      </c>
      <c r="BO1975" s="237" t="s">
        <v>344</v>
      </c>
      <c r="BT1975" s="347">
        <v>170.24</v>
      </c>
      <c r="BU1975" s="347" t="s">
        <v>359</v>
      </c>
      <c r="CD1975" s="237">
        <v>108.21</v>
      </c>
      <c r="CE1975" s="237" t="s">
        <v>337</v>
      </c>
      <c r="CJ1975" s="347">
        <v>250.2</v>
      </c>
      <c r="CK1975" s="347" t="s">
        <v>363</v>
      </c>
      <c r="CL1975" s="1789"/>
      <c r="CR1975" s="345"/>
      <c r="CS1975" s="345"/>
      <c r="CX1975" s="347"/>
      <c r="CY1975" s="347"/>
      <c r="DH1975" s="237"/>
      <c r="DI1975" s="237"/>
      <c r="DN1975" s="347"/>
      <c r="DO1975" s="347"/>
      <c r="DP1975" s="2505"/>
    </row>
    <row r="1976" spans="12:120">
      <c r="L1976" s="347">
        <v>118.36</v>
      </c>
      <c r="M1976" s="347" t="s">
        <v>365</v>
      </c>
      <c r="AB1976" s="347">
        <v>641.28</v>
      </c>
      <c r="AC1976" s="347" t="s">
        <v>309</v>
      </c>
      <c r="AD1976" s="1138"/>
      <c r="AP1976" s="347">
        <v>171.08</v>
      </c>
      <c r="AQ1976" s="347" t="s">
        <v>359</v>
      </c>
      <c r="BF1976" s="347">
        <v>250.21</v>
      </c>
      <c r="BG1976" s="347" t="s">
        <v>363</v>
      </c>
      <c r="BH1976" s="1790"/>
      <c r="BN1976" s="237">
        <v>403.1</v>
      </c>
      <c r="BO1976" s="237" t="s">
        <v>344</v>
      </c>
      <c r="BT1976" s="347">
        <v>170.25</v>
      </c>
      <c r="BU1976" s="347" t="s">
        <v>359</v>
      </c>
      <c r="CD1976" s="237">
        <v>108.21</v>
      </c>
      <c r="CE1976" s="237" t="s">
        <v>367</v>
      </c>
      <c r="CJ1976" s="347">
        <v>250.21</v>
      </c>
      <c r="CK1976" s="347" t="s">
        <v>363</v>
      </c>
      <c r="CL1976" s="1789"/>
      <c r="CR1976" s="345"/>
      <c r="CS1976" s="345"/>
      <c r="CX1976" s="347"/>
      <c r="CY1976" s="347"/>
      <c r="DH1976" s="237"/>
      <c r="DI1976" s="237"/>
      <c r="DN1976" s="347"/>
      <c r="DO1976" s="347"/>
      <c r="DP1976" s="2505"/>
    </row>
    <row r="1977" spans="12:120">
      <c r="L1977" s="347">
        <v>119.02</v>
      </c>
      <c r="M1977" s="347" t="s">
        <v>365</v>
      </c>
      <c r="AB1977" s="347">
        <v>644</v>
      </c>
      <c r="AC1977" s="347" t="s">
        <v>309</v>
      </c>
      <c r="AD1977" s="1138"/>
      <c r="AP1977" s="347">
        <v>171.09</v>
      </c>
      <c r="AQ1977" s="347" t="s">
        <v>359</v>
      </c>
      <c r="BF1977" s="347">
        <v>251.06</v>
      </c>
      <c r="BG1977" s="347" t="s">
        <v>363</v>
      </c>
      <c r="BH1977" s="1790"/>
      <c r="BN1977" s="237">
        <v>403.11</v>
      </c>
      <c r="BO1977" s="237" t="s">
        <v>344</v>
      </c>
      <c r="BT1977" s="347">
        <v>170.26</v>
      </c>
      <c r="BU1977" s="347" t="s">
        <v>359</v>
      </c>
      <c r="CD1977" s="237">
        <v>108.22</v>
      </c>
      <c r="CE1977" s="237" t="s">
        <v>337</v>
      </c>
      <c r="CJ1977" s="347">
        <v>251.06</v>
      </c>
      <c r="CK1977" s="347" t="s">
        <v>363</v>
      </c>
      <c r="CL1977" s="1789"/>
      <c r="CR1977" s="345"/>
      <c r="CS1977" s="345"/>
      <c r="CX1977" s="347"/>
      <c r="CY1977" s="347"/>
      <c r="DH1977" s="237"/>
      <c r="DI1977" s="237"/>
      <c r="DN1977" s="347"/>
      <c r="DO1977" s="347"/>
      <c r="DP1977" s="2505"/>
    </row>
    <row r="1978" spans="12:120">
      <c r="L1978" s="347">
        <v>119.08</v>
      </c>
      <c r="M1978" s="347" t="s">
        <v>365</v>
      </c>
      <c r="AB1978" s="347">
        <v>646.01</v>
      </c>
      <c r="AC1978" s="347" t="s">
        <v>309</v>
      </c>
      <c r="AD1978" s="1138"/>
      <c r="AP1978" s="347">
        <v>171.1</v>
      </c>
      <c r="AQ1978" s="347" t="s">
        <v>359</v>
      </c>
      <c r="BF1978" s="347">
        <v>251.07</v>
      </c>
      <c r="BG1978" s="347" t="s">
        <v>363</v>
      </c>
      <c r="BH1978" s="1790"/>
      <c r="BN1978" s="237">
        <v>403.12</v>
      </c>
      <c r="BO1978" s="237" t="s">
        <v>344</v>
      </c>
      <c r="BT1978" s="347">
        <v>171.08</v>
      </c>
      <c r="BU1978" s="347" t="s">
        <v>359</v>
      </c>
      <c r="CD1978" s="237">
        <v>108.22</v>
      </c>
      <c r="CE1978" s="237" t="s">
        <v>367</v>
      </c>
      <c r="CJ1978" s="347">
        <v>251.07</v>
      </c>
      <c r="CK1978" s="347" t="s">
        <v>363</v>
      </c>
      <c r="CL1978" s="1789"/>
      <c r="CR1978" s="345"/>
      <c r="CS1978" s="345"/>
      <c r="CX1978" s="347"/>
      <c r="CY1978" s="347"/>
      <c r="DH1978" s="237"/>
      <c r="DI1978" s="237"/>
      <c r="DN1978" s="347"/>
      <c r="DO1978" s="347"/>
      <c r="DP1978" s="2505"/>
    </row>
    <row r="1979" spans="12:120">
      <c r="L1979" s="347">
        <v>119.09</v>
      </c>
      <c r="M1979" s="347" t="s">
        <v>365</v>
      </c>
      <c r="AB1979" s="347">
        <v>648</v>
      </c>
      <c r="AC1979" s="347" t="s">
        <v>309</v>
      </c>
      <c r="AD1979" s="1138"/>
      <c r="AP1979" s="347">
        <v>171.11</v>
      </c>
      <c r="AQ1979" s="347" t="s">
        <v>359</v>
      </c>
      <c r="BF1979" s="347">
        <v>251.08</v>
      </c>
      <c r="BG1979" s="347" t="s">
        <v>363</v>
      </c>
      <c r="BH1979" s="1790"/>
      <c r="BN1979" s="237">
        <v>403.13</v>
      </c>
      <c r="BO1979" s="237" t="s">
        <v>344</v>
      </c>
      <c r="BT1979" s="347">
        <v>171.09</v>
      </c>
      <c r="BU1979" s="347" t="s">
        <v>359</v>
      </c>
      <c r="CD1979" s="237">
        <v>108.23</v>
      </c>
      <c r="CE1979" s="237" t="s">
        <v>337</v>
      </c>
      <c r="CJ1979" s="347">
        <v>251.08</v>
      </c>
      <c r="CK1979" s="347" t="s">
        <v>363</v>
      </c>
      <c r="CL1979" s="1789"/>
      <c r="CR1979" s="345"/>
      <c r="CS1979" s="345"/>
      <c r="CX1979" s="347"/>
      <c r="CY1979" s="347"/>
      <c r="DH1979" s="237"/>
      <c r="DI1979" s="237"/>
      <c r="DN1979" s="347"/>
      <c r="DO1979" s="347"/>
      <c r="DP1979" s="2505"/>
    </row>
    <row r="1980" spans="12:120">
      <c r="L1980" s="347">
        <v>119.1</v>
      </c>
      <c r="M1980" s="347" t="s">
        <v>365</v>
      </c>
      <c r="AB1980" s="347">
        <v>649.01</v>
      </c>
      <c r="AC1980" s="347" t="s">
        <v>309</v>
      </c>
      <c r="AD1980" s="1138"/>
      <c r="AP1980" s="347">
        <v>171.12</v>
      </c>
      <c r="AQ1980" s="347" t="s">
        <v>359</v>
      </c>
      <c r="BF1980" s="347">
        <v>251.1</v>
      </c>
      <c r="BG1980" s="347" t="s">
        <v>363</v>
      </c>
      <c r="BH1980" s="1790"/>
      <c r="BN1980" s="237">
        <v>403.14</v>
      </c>
      <c r="BO1980" s="237" t="s">
        <v>344</v>
      </c>
      <c r="BT1980" s="347">
        <v>171.1</v>
      </c>
      <c r="BU1980" s="347" t="s">
        <v>359</v>
      </c>
      <c r="CD1980" s="237">
        <v>108.23</v>
      </c>
      <c r="CE1980" s="237" t="s">
        <v>367</v>
      </c>
      <c r="CJ1980" s="347">
        <v>251.09</v>
      </c>
      <c r="CK1980" s="347" t="s">
        <v>363</v>
      </c>
      <c r="CL1980" s="1789"/>
      <c r="CR1980" s="345"/>
      <c r="CS1980" s="345"/>
      <c r="CX1980" s="347"/>
      <c r="CY1980" s="347"/>
      <c r="DH1980" s="237"/>
      <c r="DI1980" s="237"/>
      <c r="DN1980" s="347"/>
      <c r="DO1980" s="347"/>
      <c r="DP1980" s="2505"/>
    </row>
    <row r="1981" spans="12:120">
      <c r="L1981" s="347">
        <v>119.11</v>
      </c>
      <c r="M1981" s="347" t="s">
        <v>365</v>
      </c>
      <c r="AB1981" s="347">
        <v>650.01</v>
      </c>
      <c r="AC1981" s="347" t="s">
        <v>309</v>
      </c>
      <c r="AD1981" s="1138"/>
      <c r="AP1981" s="347">
        <v>171.13</v>
      </c>
      <c r="AQ1981" s="347" t="s">
        <v>359</v>
      </c>
      <c r="BF1981" s="347">
        <v>251.12</v>
      </c>
      <c r="BG1981" s="347" t="s">
        <v>363</v>
      </c>
      <c r="BH1981" s="1790"/>
      <c r="BN1981" s="237">
        <v>403.15</v>
      </c>
      <c r="BO1981" s="237" t="s">
        <v>344</v>
      </c>
      <c r="BT1981" s="347">
        <v>171.11</v>
      </c>
      <c r="BU1981" s="347" t="s">
        <v>359</v>
      </c>
      <c r="CD1981" s="237">
        <v>108.24</v>
      </c>
      <c r="CE1981" s="237" t="s">
        <v>337</v>
      </c>
      <c r="CJ1981" s="347">
        <v>251.1</v>
      </c>
      <c r="CK1981" s="347" t="s">
        <v>363</v>
      </c>
      <c r="CL1981" s="1789"/>
      <c r="CR1981" s="345"/>
      <c r="CS1981" s="345"/>
      <c r="CX1981" s="347"/>
      <c r="CY1981" s="347"/>
      <c r="DH1981" s="237"/>
      <c r="DI1981" s="237"/>
      <c r="DN1981" s="347"/>
      <c r="DO1981" s="347"/>
      <c r="DP1981" s="2505"/>
    </row>
    <row r="1982" spans="12:120">
      <c r="L1982" s="347">
        <v>119.12</v>
      </c>
      <c r="M1982" s="347" t="s">
        <v>365</v>
      </c>
      <c r="AB1982" s="347">
        <v>650.21</v>
      </c>
      <c r="AC1982" s="347" t="s">
        <v>309</v>
      </c>
      <c r="AD1982" s="1138"/>
      <c r="AP1982" s="347">
        <v>171.14</v>
      </c>
      <c r="AQ1982" s="347" t="s">
        <v>359</v>
      </c>
      <c r="BF1982" s="347">
        <v>251.13</v>
      </c>
      <c r="BG1982" s="347" t="s">
        <v>363</v>
      </c>
      <c r="BH1982" s="1790"/>
      <c r="BN1982" s="237">
        <v>403.16</v>
      </c>
      <c r="BO1982" s="237" t="s">
        <v>344</v>
      </c>
      <c r="BT1982" s="347">
        <v>171.12</v>
      </c>
      <c r="BU1982" s="347" t="s">
        <v>359</v>
      </c>
      <c r="CD1982" s="237">
        <v>108.24</v>
      </c>
      <c r="CE1982" s="237" t="s">
        <v>367</v>
      </c>
      <c r="CJ1982" s="347">
        <v>251.12</v>
      </c>
      <c r="CK1982" s="347" t="s">
        <v>363</v>
      </c>
      <c r="CL1982" s="1789"/>
      <c r="CR1982" s="345"/>
      <c r="CS1982" s="345"/>
      <c r="CX1982" s="347"/>
      <c r="CY1982" s="347"/>
      <c r="DH1982" s="237"/>
      <c r="DI1982" s="237"/>
      <c r="DN1982" s="347"/>
      <c r="DO1982" s="347"/>
      <c r="DP1982" s="2505"/>
    </row>
    <row r="1983" spans="12:120">
      <c r="L1983" s="347">
        <v>119.13</v>
      </c>
      <c r="M1983" s="347" t="s">
        <v>365</v>
      </c>
      <c r="AB1983" s="347">
        <v>652.30999999999995</v>
      </c>
      <c r="AC1983" s="347" t="s">
        <v>309</v>
      </c>
      <c r="AD1983" s="1138"/>
      <c r="AP1983" s="347">
        <v>171.15</v>
      </c>
      <c r="AQ1983" s="347" t="s">
        <v>359</v>
      </c>
      <c r="BF1983" s="347">
        <v>251.19</v>
      </c>
      <c r="BG1983" s="347" t="s">
        <v>363</v>
      </c>
      <c r="BH1983" s="1790"/>
      <c r="BN1983" s="237">
        <v>501.03</v>
      </c>
      <c r="BO1983" s="237" t="s">
        <v>344</v>
      </c>
      <c r="BT1983" s="347">
        <v>171.13</v>
      </c>
      <c r="BU1983" s="347" t="s">
        <v>359</v>
      </c>
      <c r="CD1983" s="237">
        <v>108.25</v>
      </c>
      <c r="CE1983" s="237" t="s">
        <v>367</v>
      </c>
      <c r="CJ1983" s="347">
        <v>251.13</v>
      </c>
      <c r="CK1983" s="347" t="s">
        <v>363</v>
      </c>
      <c r="CL1983" s="1789"/>
      <c r="CR1983" s="345"/>
      <c r="CS1983" s="345"/>
      <c r="CX1983" s="347"/>
      <c r="CY1983" s="347"/>
      <c r="DH1983" s="237"/>
      <c r="DI1983" s="237"/>
      <c r="DN1983" s="347"/>
      <c r="DO1983" s="347"/>
      <c r="DP1983" s="2505"/>
    </row>
    <row r="1984" spans="12:120">
      <c r="L1984" s="347">
        <v>120.04</v>
      </c>
      <c r="M1984" s="347" t="s">
        <v>365</v>
      </c>
      <c r="AB1984" s="347">
        <v>661.01</v>
      </c>
      <c r="AC1984" s="347" t="s">
        <v>309</v>
      </c>
      <c r="AD1984" s="1138"/>
      <c r="AP1984" s="347">
        <v>171.16</v>
      </c>
      <c r="AQ1984" s="347" t="s">
        <v>359</v>
      </c>
      <c r="BF1984" s="347">
        <v>251.2</v>
      </c>
      <c r="BG1984" s="347" t="s">
        <v>363</v>
      </c>
      <c r="BH1984" s="1790"/>
      <c r="BN1984" s="237">
        <v>501.04</v>
      </c>
      <c r="BO1984" s="237" t="s">
        <v>344</v>
      </c>
      <c r="BT1984" s="347">
        <v>171.14</v>
      </c>
      <c r="BU1984" s="347" t="s">
        <v>359</v>
      </c>
      <c r="CD1984" s="237">
        <v>108.26</v>
      </c>
      <c r="CE1984" s="237" t="s">
        <v>367</v>
      </c>
      <c r="CJ1984" s="347">
        <v>251.19</v>
      </c>
      <c r="CK1984" s="347" t="s">
        <v>363</v>
      </c>
      <c r="CL1984" s="1789"/>
      <c r="CR1984" s="345"/>
      <c r="CS1984" s="345"/>
      <c r="CX1984" s="347"/>
      <c r="CY1984" s="347"/>
      <c r="DH1984" s="237"/>
      <c r="DI1984" s="237"/>
      <c r="DN1984" s="347"/>
      <c r="DO1984" s="347"/>
      <c r="DP1984" s="2505"/>
    </row>
    <row r="1985" spans="12:120">
      <c r="L1985" s="347">
        <v>121.11</v>
      </c>
      <c r="M1985" s="347" t="s">
        <v>365</v>
      </c>
      <c r="AB1985" s="347">
        <v>661.03</v>
      </c>
      <c r="AC1985" s="347" t="s">
        <v>309</v>
      </c>
      <c r="AD1985" s="1138"/>
      <c r="AP1985" s="347">
        <v>171.17</v>
      </c>
      <c r="AQ1985" s="347" t="s">
        <v>359</v>
      </c>
      <c r="BF1985" s="347">
        <v>251.21</v>
      </c>
      <c r="BG1985" s="347" t="s">
        <v>363</v>
      </c>
      <c r="BH1985" s="1790"/>
      <c r="BN1985" s="237">
        <v>501.05</v>
      </c>
      <c r="BO1985" s="237" t="s">
        <v>344</v>
      </c>
      <c r="BT1985" s="347">
        <v>171.15</v>
      </c>
      <c r="BU1985" s="347" t="s">
        <v>359</v>
      </c>
      <c r="CD1985" s="237">
        <v>108.27</v>
      </c>
      <c r="CE1985" s="237" t="s">
        <v>367</v>
      </c>
      <c r="CJ1985" s="347">
        <v>251.2</v>
      </c>
      <c r="CK1985" s="347" t="s">
        <v>363</v>
      </c>
      <c r="CL1985" s="1789"/>
      <c r="CR1985" s="345"/>
      <c r="CS1985" s="345"/>
      <c r="CX1985" s="347"/>
      <c r="CY1985" s="347"/>
      <c r="DH1985" s="237"/>
      <c r="DI1985" s="237"/>
      <c r="DN1985" s="347"/>
      <c r="DO1985" s="347"/>
      <c r="DP1985" s="2505"/>
    </row>
    <row r="1986" spans="12:120">
      <c r="L1986" s="347">
        <v>121.13</v>
      </c>
      <c r="M1986" s="347" t="s">
        <v>365</v>
      </c>
      <c r="AB1986" s="347">
        <v>661.04</v>
      </c>
      <c r="AC1986" s="347" t="s">
        <v>309</v>
      </c>
      <c r="AD1986" s="1138"/>
      <c r="AP1986" s="347">
        <v>171.18</v>
      </c>
      <c r="AQ1986" s="347" t="s">
        <v>359</v>
      </c>
      <c r="BF1986" s="347">
        <v>251.22</v>
      </c>
      <c r="BG1986" s="347" t="s">
        <v>363</v>
      </c>
      <c r="BH1986" s="1790"/>
      <c r="BN1986" s="237">
        <v>501.06</v>
      </c>
      <c r="BO1986" s="237" t="s">
        <v>344</v>
      </c>
      <c r="BT1986" s="347">
        <v>171.16</v>
      </c>
      <c r="BU1986" s="347" t="s">
        <v>359</v>
      </c>
      <c r="CD1986" s="237">
        <v>108.28</v>
      </c>
      <c r="CE1986" s="237" t="s">
        <v>367</v>
      </c>
      <c r="CJ1986" s="347">
        <v>251.21</v>
      </c>
      <c r="CK1986" s="347" t="s">
        <v>363</v>
      </c>
      <c r="CL1986" s="1789"/>
      <c r="CR1986" s="345"/>
      <c r="CS1986" s="345"/>
      <c r="CX1986" s="347"/>
      <c r="CY1986" s="347"/>
      <c r="DH1986" s="237"/>
      <c r="DI1986" s="237"/>
      <c r="DN1986" s="347"/>
      <c r="DO1986" s="347"/>
      <c r="DP1986" s="2505"/>
    </row>
    <row r="1987" spans="12:120">
      <c r="L1987" s="347">
        <v>121.26</v>
      </c>
      <c r="M1987" s="347" t="s">
        <v>365</v>
      </c>
      <c r="AB1987" s="347">
        <v>662</v>
      </c>
      <c r="AC1987" s="347" t="s">
        <v>309</v>
      </c>
      <c r="AD1987" s="1138"/>
      <c r="AP1987" s="347">
        <v>171.19</v>
      </c>
      <c r="AQ1987" s="347" t="s">
        <v>359</v>
      </c>
      <c r="BF1987" s="347">
        <v>251.23</v>
      </c>
      <c r="BG1987" s="347" t="s">
        <v>363</v>
      </c>
      <c r="BH1987" s="1790"/>
      <c r="BN1987" s="237">
        <v>502.04</v>
      </c>
      <c r="BO1987" s="237" t="s">
        <v>344</v>
      </c>
      <c r="BT1987" s="347">
        <v>171.17</v>
      </c>
      <c r="BU1987" s="347" t="s">
        <v>359</v>
      </c>
      <c r="CD1987" s="237">
        <v>109</v>
      </c>
      <c r="CE1987" s="237" t="s">
        <v>323</v>
      </c>
      <c r="CJ1987" s="347">
        <v>251.22</v>
      </c>
      <c r="CK1987" s="347" t="s">
        <v>363</v>
      </c>
      <c r="CL1987" s="1789"/>
      <c r="CR1987" s="345"/>
      <c r="CS1987" s="345"/>
      <c r="CX1987" s="347"/>
      <c r="CY1987" s="347"/>
      <c r="DH1987" s="237"/>
      <c r="DI1987" s="237"/>
      <c r="DN1987" s="347"/>
      <c r="DO1987" s="347"/>
      <c r="DP1987" s="2505"/>
    </row>
    <row r="1988" spans="12:120">
      <c r="L1988" s="347">
        <v>121.27</v>
      </c>
      <c r="M1988" s="347" t="s">
        <v>365</v>
      </c>
      <c r="AB1988" s="347">
        <v>663.01</v>
      </c>
      <c r="AC1988" s="347" t="s">
        <v>309</v>
      </c>
      <c r="AD1988" s="1138"/>
      <c r="AP1988" s="347">
        <v>171.2</v>
      </c>
      <c r="AQ1988" s="347" t="s">
        <v>359</v>
      </c>
      <c r="BF1988" s="347">
        <v>252.05</v>
      </c>
      <c r="BG1988" s="347" t="s">
        <v>363</v>
      </c>
      <c r="BH1988" s="1790"/>
      <c r="BN1988" s="237">
        <v>502.05</v>
      </c>
      <c r="BO1988" s="237" t="s">
        <v>344</v>
      </c>
      <c r="BT1988" s="347">
        <v>171.18</v>
      </c>
      <c r="BU1988" s="347" t="s">
        <v>359</v>
      </c>
      <c r="CD1988" s="237">
        <v>109</v>
      </c>
      <c r="CE1988" s="237" t="s">
        <v>337</v>
      </c>
      <c r="CJ1988" s="347">
        <v>251.23</v>
      </c>
      <c r="CK1988" s="347" t="s">
        <v>363</v>
      </c>
      <c r="CL1988" s="1789"/>
      <c r="CR1988" s="345"/>
      <c r="CS1988" s="345"/>
      <c r="CX1988" s="347"/>
      <c r="CY1988" s="347"/>
      <c r="DH1988" s="237"/>
      <c r="DI1988" s="237"/>
      <c r="DN1988" s="347"/>
      <c r="DO1988" s="347"/>
      <c r="DP1988" s="2505"/>
    </row>
    <row r="1989" spans="12:120">
      <c r="L1989" s="347">
        <v>121.28</v>
      </c>
      <c r="M1989" s="347" t="s">
        <v>365</v>
      </c>
      <c r="AB1989" s="347">
        <v>663.02</v>
      </c>
      <c r="AC1989" s="347" t="s">
        <v>309</v>
      </c>
      <c r="AD1989" s="1138"/>
      <c r="AP1989" s="347">
        <v>171.22</v>
      </c>
      <c r="AQ1989" s="347" t="s">
        <v>359</v>
      </c>
      <c r="BF1989" s="347">
        <v>252.09</v>
      </c>
      <c r="BG1989" s="347" t="s">
        <v>363</v>
      </c>
      <c r="BH1989" s="1790"/>
      <c r="BN1989" s="237">
        <v>502.06</v>
      </c>
      <c r="BO1989" s="237" t="s">
        <v>344</v>
      </c>
      <c r="BT1989" s="347">
        <v>171.19</v>
      </c>
      <c r="BU1989" s="347" t="s">
        <v>359</v>
      </c>
      <c r="CD1989" s="237">
        <v>109</v>
      </c>
      <c r="CE1989" s="237" t="s">
        <v>352</v>
      </c>
      <c r="CJ1989" s="347">
        <v>252.05</v>
      </c>
      <c r="CK1989" s="347" t="s">
        <v>363</v>
      </c>
      <c r="CL1989" s="1789"/>
      <c r="CR1989" s="345"/>
      <c r="CS1989" s="345"/>
      <c r="CX1989" s="347"/>
      <c r="CY1989" s="347"/>
      <c r="DH1989" s="237"/>
      <c r="DI1989" s="237"/>
      <c r="DN1989" s="347"/>
      <c r="DO1989" s="347"/>
      <c r="DP1989" s="2505"/>
    </row>
    <row r="1990" spans="12:120">
      <c r="L1990" s="347">
        <v>121.29</v>
      </c>
      <c r="M1990" s="347" t="s">
        <v>365</v>
      </c>
      <c r="AB1990" s="347">
        <v>664</v>
      </c>
      <c r="AC1990" s="347" t="s">
        <v>309</v>
      </c>
      <c r="AD1990" s="1138"/>
      <c r="AP1990" s="347">
        <v>171.23</v>
      </c>
      <c r="AQ1990" s="347" t="s">
        <v>359</v>
      </c>
      <c r="BF1990" s="347">
        <v>252.1</v>
      </c>
      <c r="BG1990" s="347" t="s">
        <v>363</v>
      </c>
      <c r="BH1990" s="1790"/>
      <c r="BN1990" s="237">
        <v>502.07</v>
      </c>
      <c r="BO1990" s="237" t="s">
        <v>344</v>
      </c>
      <c r="BT1990" s="347">
        <v>171.2</v>
      </c>
      <c r="BU1990" s="347" t="s">
        <v>359</v>
      </c>
      <c r="CD1990" s="237">
        <v>109</v>
      </c>
      <c r="CE1990" s="237" t="s">
        <v>365</v>
      </c>
      <c r="CJ1990" s="347">
        <v>252.08</v>
      </c>
      <c r="CK1990" s="347" t="s">
        <v>363</v>
      </c>
      <c r="CL1990" s="1789"/>
      <c r="CR1990" s="345"/>
      <c r="CS1990" s="345"/>
      <c r="CX1990" s="347"/>
      <c r="CY1990" s="347"/>
      <c r="DH1990" s="237"/>
      <c r="DI1990" s="237"/>
      <c r="DN1990" s="347"/>
      <c r="DO1990" s="347"/>
      <c r="DP1990" s="2505"/>
    </row>
    <row r="1991" spans="12:120">
      <c r="L1991" s="347">
        <v>122.04</v>
      </c>
      <c r="M1991" s="347" t="s">
        <v>365</v>
      </c>
      <c r="AB1991" s="347">
        <v>665</v>
      </c>
      <c r="AC1991" s="347" t="s">
        <v>309</v>
      </c>
      <c r="AD1991" s="1138"/>
      <c r="AP1991" s="347">
        <v>172</v>
      </c>
      <c r="AQ1991" s="347" t="s">
        <v>359</v>
      </c>
      <c r="BF1991" s="347">
        <v>252.11</v>
      </c>
      <c r="BG1991" s="347" t="s">
        <v>363</v>
      </c>
      <c r="BH1991" s="1790"/>
      <c r="BN1991" s="237">
        <v>502.08</v>
      </c>
      <c r="BO1991" s="237" t="s">
        <v>344</v>
      </c>
      <c r="BT1991" s="347">
        <v>171.22</v>
      </c>
      <c r="BU1991" s="347" t="s">
        <v>359</v>
      </c>
      <c r="CD1991" s="237">
        <v>109</v>
      </c>
      <c r="CE1991" s="237" t="s">
        <v>367</v>
      </c>
      <c r="CJ1991" s="347">
        <v>252.09</v>
      </c>
      <c r="CK1991" s="347" t="s">
        <v>363</v>
      </c>
      <c r="CL1991" s="1789"/>
      <c r="CR1991" s="345"/>
      <c r="CS1991" s="345"/>
      <c r="CX1991" s="347"/>
      <c r="CY1991" s="347"/>
      <c r="DH1991" s="237"/>
      <c r="DI1991" s="237"/>
      <c r="DN1991" s="347"/>
      <c r="DO1991" s="347"/>
      <c r="DP1991" s="2505"/>
    </row>
    <row r="1992" spans="12:120">
      <c r="L1992" s="347">
        <v>122.05</v>
      </c>
      <c r="M1992" s="347" t="s">
        <v>365</v>
      </c>
      <c r="AB1992" s="347">
        <v>666</v>
      </c>
      <c r="AC1992" s="347" t="s">
        <v>309</v>
      </c>
      <c r="AD1992" s="1138"/>
      <c r="AP1992" s="347">
        <v>173.01</v>
      </c>
      <c r="AQ1992" s="347" t="s">
        <v>359</v>
      </c>
      <c r="BF1992" s="347">
        <v>253.07</v>
      </c>
      <c r="BG1992" s="347" t="s">
        <v>363</v>
      </c>
      <c r="BH1992" s="1790"/>
      <c r="BN1992" s="237">
        <v>502.1</v>
      </c>
      <c r="BO1992" s="237" t="s">
        <v>344</v>
      </c>
      <c r="BT1992" s="347">
        <v>171.23</v>
      </c>
      <c r="BU1992" s="347" t="s">
        <v>359</v>
      </c>
      <c r="CD1992" s="345">
        <v>109.01</v>
      </c>
      <c r="CE1992" s="345" t="s">
        <v>310</v>
      </c>
      <c r="CJ1992" s="347">
        <v>252.1</v>
      </c>
      <c r="CK1992" s="347" t="s">
        <v>363</v>
      </c>
      <c r="CL1992" s="1789"/>
      <c r="CR1992" s="345"/>
      <c r="CS1992" s="345"/>
      <c r="CX1992" s="347"/>
      <c r="CY1992" s="347"/>
      <c r="DH1992" s="237"/>
      <c r="DI1992" s="237"/>
      <c r="DN1992" s="347"/>
      <c r="DO1992" s="347"/>
      <c r="DP1992" s="2505"/>
    </row>
    <row r="1993" spans="12:120">
      <c r="L1993" s="347">
        <v>122.06</v>
      </c>
      <c r="M1993" s="347" t="s">
        <v>365</v>
      </c>
      <c r="AB1993" s="347">
        <v>667</v>
      </c>
      <c r="AC1993" s="347" t="s">
        <v>309</v>
      </c>
      <c r="AD1993" s="1138"/>
      <c r="AP1993" s="347">
        <v>175.06</v>
      </c>
      <c r="AQ1993" s="347" t="s">
        <v>359</v>
      </c>
      <c r="BF1993" s="347">
        <v>253.09</v>
      </c>
      <c r="BG1993" s="347" t="s">
        <v>363</v>
      </c>
      <c r="BH1993" s="1790"/>
      <c r="BN1993" s="237">
        <v>502.11</v>
      </c>
      <c r="BO1993" s="237" t="s">
        <v>344</v>
      </c>
      <c r="BT1993" s="347">
        <v>172</v>
      </c>
      <c r="BU1993" s="347" t="s">
        <v>359</v>
      </c>
      <c r="CD1993" s="345">
        <v>109.02</v>
      </c>
      <c r="CE1993" s="345" t="s">
        <v>310</v>
      </c>
      <c r="CJ1993" s="347">
        <v>253.03</v>
      </c>
      <c r="CK1993" s="347" t="s">
        <v>363</v>
      </c>
      <c r="CL1993" s="1789"/>
      <c r="CR1993" s="345"/>
      <c r="CS1993" s="345"/>
      <c r="CX1993" s="347"/>
      <c r="CY1993" s="347"/>
      <c r="DH1993" s="237"/>
      <c r="DI1993" s="237"/>
      <c r="DN1993" s="347"/>
      <c r="DO1993" s="347"/>
      <c r="DP1993" s="2505"/>
    </row>
    <row r="1994" spans="12:120">
      <c r="L1994" s="347">
        <v>123.03</v>
      </c>
      <c r="M1994" s="347" t="s">
        <v>365</v>
      </c>
      <c r="AB1994" s="347">
        <v>668</v>
      </c>
      <c r="AC1994" s="347" t="s">
        <v>309</v>
      </c>
      <c r="AD1994" s="1138"/>
      <c r="AP1994" s="347">
        <v>177.01</v>
      </c>
      <c r="AQ1994" s="347" t="s">
        <v>359</v>
      </c>
      <c r="BF1994" s="347">
        <v>254.01</v>
      </c>
      <c r="BG1994" s="347" t="s">
        <v>363</v>
      </c>
      <c r="BH1994" s="1790"/>
      <c r="BN1994" s="237">
        <v>502.12</v>
      </c>
      <c r="BO1994" s="237" t="s">
        <v>344</v>
      </c>
      <c r="BT1994" s="347">
        <v>173.01</v>
      </c>
      <c r="BU1994" s="347" t="s">
        <v>359</v>
      </c>
      <c r="CD1994" s="237">
        <v>109.02</v>
      </c>
      <c r="CE1994" s="237" t="s">
        <v>318</v>
      </c>
      <c r="CJ1994" s="347">
        <v>253.07</v>
      </c>
      <c r="CK1994" s="347" t="s">
        <v>363</v>
      </c>
      <c r="CL1994" s="1789"/>
      <c r="CR1994" s="345"/>
      <c r="CS1994" s="345"/>
      <c r="CX1994" s="347"/>
      <c r="CY1994" s="347"/>
      <c r="DH1994" s="237"/>
      <c r="DI1994" s="237"/>
      <c r="DN1994" s="347"/>
      <c r="DO1994" s="347"/>
      <c r="DP1994" s="2505"/>
    </row>
    <row r="1995" spans="12:120">
      <c r="L1995" s="347">
        <v>123.04</v>
      </c>
      <c r="M1995" s="347" t="s">
        <v>365</v>
      </c>
      <c r="AB1995" s="347">
        <v>669</v>
      </c>
      <c r="AC1995" s="347" t="s">
        <v>309</v>
      </c>
      <c r="AD1995" s="1138"/>
      <c r="AP1995" s="347">
        <v>177.02</v>
      </c>
      <c r="AQ1995" s="347" t="s">
        <v>359</v>
      </c>
      <c r="BF1995" s="347">
        <v>254.07</v>
      </c>
      <c r="BG1995" s="347" t="s">
        <v>363</v>
      </c>
      <c r="BH1995" s="1790"/>
      <c r="BN1995" s="237">
        <v>502.13</v>
      </c>
      <c r="BO1995" s="237" t="s">
        <v>344</v>
      </c>
      <c r="BT1995" s="347">
        <v>175.04</v>
      </c>
      <c r="BU1995" s="347" t="s">
        <v>359</v>
      </c>
      <c r="CD1995" s="237">
        <v>109.04</v>
      </c>
      <c r="CE1995" s="237" t="s">
        <v>318</v>
      </c>
      <c r="CJ1995" s="347">
        <v>254.01</v>
      </c>
      <c r="CK1995" s="347" t="s">
        <v>363</v>
      </c>
      <c r="CL1995" s="1789"/>
      <c r="CR1995" s="345"/>
      <c r="CS1995" s="345"/>
      <c r="CX1995" s="347"/>
      <c r="CY1995" s="347"/>
      <c r="DH1995" s="237"/>
      <c r="DI1995" s="237"/>
      <c r="DN1995" s="347"/>
      <c r="DO1995" s="347"/>
      <c r="DP1995" s="2505"/>
    </row>
    <row r="1996" spans="12:120">
      <c r="L1996" s="347">
        <v>123.06</v>
      </c>
      <c r="M1996" s="347" t="s">
        <v>365</v>
      </c>
      <c r="AB1996" s="347">
        <v>671</v>
      </c>
      <c r="AC1996" s="347" t="s">
        <v>309</v>
      </c>
      <c r="AD1996" s="1138"/>
      <c r="AP1996" s="347">
        <v>178.05</v>
      </c>
      <c r="AQ1996" s="347" t="s">
        <v>359</v>
      </c>
      <c r="BF1996" s="347">
        <v>254.11</v>
      </c>
      <c r="BG1996" s="347" t="s">
        <v>363</v>
      </c>
      <c r="BH1996" s="1790"/>
      <c r="BN1996" s="237">
        <v>503.05</v>
      </c>
      <c r="BO1996" s="237" t="s">
        <v>344</v>
      </c>
      <c r="BT1996" s="347">
        <v>175.05</v>
      </c>
      <c r="BU1996" s="347" t="s">
        <v>359</v>
      </c>
      <c r="CD1996" s="237">
        <v>109.05</v>
      </c>
      <c r="CE1996" s="237" t="s">
        <v>318</v>
      </c>
      <c r="CJ1996" s="347">
        <v>254.07</v>
      </c>
      <c r="CK1996" s="347" t="s">
        <v>363</v>
      </c>
      <c r="CL1996" s="1789"/>
      <c r="CR1996" s="345"/>
      <c r="CS1996" s="345"/>
      <c r="CX1996" s="347"/>
      <c r="CY1996" s="347"/>
      <c r="DH1996" s="237"/>
      <c r="DI1996" s="237"/>
      <c r="DN1996" s="347"/>
      <c r="DO1996" s="347"/>
      <c r="DP1996" s="2505"/>
    </row>
    <row r="1997" spans="12:120">
      <c r="L1997" s="347">
        <v>123.09</v>
      </c>
      <c r="M1997" s="347" t="s">
        <v>365</v>
      </c>
      <c r="AB1997" s="347">
        <v>681.02</v>
      </c>
      <c r="AC1997" s="347" t="s">
        <v>309</v>
      </c>
      <c r="AD1997" s="1138"/>
      <c r="AP1997" s="347">
        <v>178.06</v>
      </c>
      <c r="AQ1997" s="347" t="s">
        <v>359</v>
      </c>
      <c r="BF1997" s="347">
        <v>254.12</v>
      </c>
      <c r="BG1997" s="347" t="s">
        <v>363</v>
      </c>
      <c r="BH1997" s="1790"/>
      <c r="BN1997" s="237">
        <v>503.06</v>
      </c>
      <c r="BO1997" s="237" t="s">
        <v>344</v>
      </c>
      <c r="BT1997" s="347">
        <v>175.06</v>
      </c>
      <c r="BU1997" s="347" t="s">
        <v>359</v>
      </c>
      <c r="CD1997" s="237">
        <v>109.06</v>
      </c>
      <c r="CE1997" s="237" t="s">
        <v>318</v>
      </c>
      <c r="CJ1997" s="347">
        <v>254.11</v>
      </c>
      <c r="CK1997" s="347" t="s">
        <v>363</v>
      </c>
      <c r="CL1997" s="1789"/>
      <c r="CR1997" s="345"/>
      <c r="CS1997" s="345"/>
      <c r="CX1997" s="347"/>
      <c r="CY1997" s="347"/>
      <c r="DH1997" s="237"/>
      <c r="DI1997" s="237"/>
      <c r="DN1997" s="347"/>
      <c r="DO1997" s="347"/>
      <c r="DP1997" s="2505"/>
    </row>
    <row r="1998" spans="12:120">
      <c r="L1998" s="347">
        <v>124.03</v>
      </c>
      <c r="M1998" s="347" t="s">
        <v>365</v>
      </c>
      <c r="AB1998" s="347">
        <v>682</v>
      </c>
      <c r="AC1998" s="347" t="s">
        <v>309</v>
      </c>
      <c r="AD1998" s="1138"/>
      <c r="AP1998" s="347">
        <v>178.07</v>
      </c>
      <c r="AQ1998" s="347" t="s">
        <v>359</v>
      </c>
      <c r="BF1998" s="347">
        <v>254.17</v>
      </c>
      <c r="BG1998" s="347" t="s">
        <v>363</v>
      </c>
      <c r="BH1998" s="1790"/>
      <c r="BN1998" s="237">
        <v>503.11</v>
      </c>
      <c r="BO1998" s="237" t="s">
        <v>344</v>
      </c>
      <c r="BT1998" s="347">
        <v>177.01</v>
      </c>
      <c r="BU1998" s="347" t="s">
        <v>359</v>
      </c>
      <c r="CD1998" s="237">
        <v>109.07</v>
      </c>
      <c r="CE1998" s="237" t="s">
        <v>318</v>
      </c>
      <c r="CJ1998" s="347">
        <v>254.12</v>
      </c>
      <c r="CK1998" s="347" t="s">
        <v>363</v>
      </c>
      <c r="CL1998" s="1789"/>
      <c r="CR1998" s="345"/>
      <c r="CS1998" s="345"/>
      <c r="CX1998" s="347"/>
      <c r="CY1998" s="347"/>
      <c r="DH1998" s="237"/>
      <c r="DI1998" s="237"/>
      <c r="DN1998" s="347"/>
      <c r="DO1998" s="347"/>
      <c r="DP1998" s="2505"/>
    </row>
    <row r="1999" spans="12:120">
      <c r="L1999" s="347">
        <v>124.04</v>
      </c>
      <c r="M1999" s="347" t="s">
        <v>365</v>
      </c>
      <c r="AB1999" s="347">
        <v>683</v>
      </c>
      <c r="AC1999" s="347" t="s">
        <v>309</v>
      </c>
      <c r="AD1999" s="1138"/>
      <c r="AP1999" s="347">
        <v>178.08</v>
      </c>
      <c r="AQ1999" s="347" t="s">
        <v>359</v>
      </c>
      <c r="BF1999" s="347">
        <v>255.01</v>
      </c>
      <c r="BG1999" s="347" t="s">
        <v>363</v>
      </c>
      <c r="BH1999" s="1790"/>
      <c r="BN1999" s="237">
        <v>503.12</v>
      </c>
      <c r="BO1999" s="237" t="s">
        <v>344</v>
      </c>
      <c r="BT1999" s="347">
        <v>177.02</v>
      </c>
      <c r="BU1999" s="347" t="s">
        <v>359</v>
      </c>
      <c r="CD1999" s="345">
        <v>110</v>
      </c>
      <c r="CE1999" s="345" t="s">
        <v>310</v>
      </c>
      <c r="CJ1999" s="347">
        <v>255.01</v>
      </c>
      <c r="CK1999" s="347" t="s">
        <v>363</v>
      </c>
      <c r="CL1999" s="1789"/>
      <c r="CR1999" s="345"/>
      <c r="CS1999" s="345"/>
      <c r="CX1999" s="347"/>
      <c r="CY1999" s="347"/>
      <c r="DH1999" s="237"/>
      <c r="DI1999" s="237"/>
      <c r="DN1999" s="347"/>
      <c r="DO1999" s="347"/>
      <c r="DP1999" s="2505"/>
    </row>
    <row r="2000" spans="12:120">
      <c r="L2000" s="347">
        <v>124.05</v>
      </c>
      <c r="M2000" s="347" t="s">
        <v>365</v>
      </c>
      <c r="AB2000" s="347">
        <v>684</v>
      </c>
      <c r="AC2000" s="347" t="s">
        <v>309</v>
      </c>
      <c r="AD2000" s="1138"/>
      <c r="AP2000" s="347">
        <v>178.09</v>
      </c>
      <c r="AQ2000" s="347" t="s">
        <v>359</v>
      </c>
      <c r="BF2000" s="347">
        <v>255.09</v>
      </c>
      <c r="BG2000" s="347" t="s">
        <v>363</v>
      </c>
      <c r="BH2000" s="1790"/>
      <c r="BN2000" s="237">
        <v>503.15</v>
      </c>
      <c r="BO2000" s="237" t="s">
        <v>344</v>
      </c>
      <c r="BT2000" s="347">
        <v>178.05</v>
      </c>
      <c r="BU2000" s="347" t="s">
        <v>359</v>
      </c>
      <c r="CD2000" s="237">
        <v>110</v>
      </c>
      <c r="CE2000" s="237" t="s">
        <v>323</v>
      </c>
      <c r="CJ2000" s="347">
        <v>255.1</v>
      </c>
      <c r="CK2000" s="347" t="s">
        <v>363</v>
      </c>
      <c r="CL2000" s="1789"/>
      <c r="CR2000" s="345"/>
      <c r="CS2000" s="345"/>
      <c r="CX2000" s="347"/>
      <c r="CY2000" s="347"/>
      <c r="DH2000" s="237"/>
      <c r="DI2000" s="237"/>
      <c r="DN2000" s="347"/>
      <c r="DO2000" s="347"/>
      <c r="DP2000" s="2505"/>
    </row>
    <row r="2001" spans="12:120">
      <c r="L2001" s="347">
        <v>124.06</v>
      </c>
      <c r="M2001" s="347" t="s">
        <v>365</v>
      </c>
      <c r="AB2001" s="347">
        <v>685.01</v>
      </c>
      <c r="AC2001" s="347" t="s">
        <v>309</v>
      </c>
      <c r="AD2001" s="1138"/>
      <c r="AP2001" s="347">
        <v>178.11</v>
      </c>
      <c r="AQ2001" s="347" t="s">
        <v>359</v>
      </c>
      <c r="BF2001" s="347">
        <v>255.1</v>
      </c>
      <c r="BG2001" s="347" t="s">
        <v>363</v>
      </c>
      <c r="BH2001" s="1790"/>
      <c r="BN2001" s="237">
        <v>503.16</v>
      </c>
      <c r="BO2001" s="237" t="s">
        <v>344</v>
      </c>
      <c r="BT2001" s="347">
        <v>178.06</v>
      </c>
      <c r="BU2001" s="347" t="s">
        <v>359</v>
      </c>
      <c r="CD2001" s="237">
        <v>110</v>
      </c>
      <c r="CE2001" s="237" t="s">
        <v>359</v>
      </c>
      <c r="CJ2001" s="347">
        <v>257</v>
      </c>
      <c r="CK2001" s="347" t="s">
        <v>363</v>
      </c>
      <c r="CL2001" s="1789"/>
      <c r="CR2001" s="345"/>
      <c r="CS2001" s="345"/>
      <c r="CX2001" s="347"/>
      <c r="CY2001" s="347"/>
      <c r="DH2001" s="237"/>
      <c r="DI2001" s="237"/>
      <c r="DN2001" s="347"/>
      <c r="DO2001" s="347"/>
      <c r="DP2001" s="2505"/>
    </row>
    <row r="2002" spans="12:120">
      <c r="L2002" s="347">
        <v>124.07</v>
      </c>
      <c r="M2002" s="347" t="s">
        <v>365</v>
      </c>
      <c r="AB2002" s="347">
        <v>685.02</v>
      </c>
      <c r="AC2002" s="347" t="s">
        <v>309</v>
      </c>
      <c r="AD2002" s="1138"/>
      <c r="AP2002" s="347">
        <v>178.12</v>
      </c>
      <c r="AQ2002" s="347" t="s">
        <v>359</v>
      </c>
      <c r="BF2002" s="347">
        <v>257</v>
      </c>
      <c r="BG2002" s="347" t="s">
        <v>363</v>
      </c>
      <c r="BH2002" s="1790"/>
      <c r="BN2002" s="237">
        <v>503.17</v>
      </c>
      <c r="BO2002" s="237" t="s">
        <v>344</v>
      </c>
      <c r="BT2002" s="347">
        <v>178.08</v>
      </c>
      <c r="BU2002" s="347" t="s">
        <v>359</v>
      </c>
      <c r="CD2002" s="237">
        <v>110</v>
      </c>
      <c r="CE2002" s="237" t="s">
        <v>365</v>
      </c>
      <c r="CJ2002" s="347">
        <v>260.01</v>
      </c>
      <c r="CK2002" s="347" t="s">
        <v>363</v>
      </c>
      <c r="CL2002" s="1789"/>
      <c r="CR2002" s="345"/>
      <c r="CS2002" s="345"/>
      <c r="CX2002" s="347"/>
      <c r="CY2002" s="347"/>
      <c r="DH2002" s="237"/>
      <c r="DI2002" s="237"/>
      <c r="DN2002" s="347"/>
      <c r="DO2002" s="347"/>
      <c r="DP2002" s="2505"/>
    </row>
    <row r="2003" spans="12:120">
      <c r="L2003" s="347">
        <v>124.08</v>
      </c>
      <c r="M2003" s="347" t="s">
        <v>365</v>
      </c>
      <c r="AB2003" s="347">
        <v>686.01</v>
      </c>
      <c r="AC2003" s="347" t="s">
        <v>309</v>
      </c>
      <c r="AD2003" s="1138"/>
      <c r="AP2003" s="347">
        <v>178.13</v>
      </c>
      <c r="AQ2003" s="347" t="s">
        <v>359</v>
      </c>
      <c r="BF2003" s="347">
        <v>260.01</v>
      </c>
      <c r="BG2003" s="347" t="s">
        <v>363</v>
      </c>
      <c r="BH2003" s="1790"/>
      <c r="BN2003" s="237">
        <v>503.18</v>
      </c>
      <c r="BO2003" s="237" t="s">
        <v>344</v>
      </c>
      <c r="BT2003" s="347">
        <v>178.09</v>
      </c>
      <c r="BU2003" s="347" t="s">
        <v>359</v>
      </c>
      <c r="CD2003" s="237">
        <v>110.03</v>
      </c>
      <c r="CE2003" s="237" t="s">
        <v>318</v>
      </c>
      <c r="CJ2003" s="347">
        <v>260.02999999999997</v>
      </c>
      <c r="CK2003" s="347" t="s">
        <v>363</v>
      </c>
      <c r="CL2003" s="1789"/>
      <c r="CR2003" s="345"/>
      <c r="CS2003" s="345"/>
      <c r="CX2003" s="347"/>
      <c r="CY2003" s="347"/>
      <c r="DH2003" s="237"/>
      <c r="DI2003" s="237"/>
      <c r="DN2003" s="347"/>
      <c r="DO2003" s="347"/>
      <c r="DP2003" s="2505"/>
    </row>
    <row r="2004" spans="12:120">
      <c r="L2004" s="347">
        <v>124.09</v>
      </c>
      <c r="M2004" s="347" t="s">
        <v>365</v>
      </c>
      <c r="AB2004" s="347">
        <v>686.02</v>
      </c>
      <c r="AC2004" s="347" t="s">
        <v>309</v>
      </c>
      <c r="AD2004" s="1138"/>
      <c r="AP2004" s="347">
        <v>178.14</v>
      </c>
      <c r="AQ2004" s="347" t="s">
        <v>359</v>
      </c>
      <c r="BF2004" s="347">
        <v>260.02999999999997</v>
      </c>
      <c r="BG2004" s="347" t="s">
        <v>363</v>
      </c>
      <c r="BH2004" s="1790"/>
      <c r="BN2004" s="237">
        <v>503.19</v>
      </c>
      <c r="BO2004" s="237" t="s">
        <v>344</v>
      </c>
      <c r="BT2004" s="347">
        <v>178.1</v>
      </c>
      <c r="BU2004" s="347" t="s">
        <v>359</v>
      </c>
      <c r="CD2004" s="237">
        <v>110.03</v>
      </c>
      <c r="CE2004" s="237" t="s">
        <v>337</v>
      </c>
      <c r="CJ2004" s="347">
        <v>260.04000000000002</v>
      </c>
      <c r="CK2004" s="347" t="s">
        <v>363</v>
      </c>
      <c r="CL2004" s="1789"/>
      <c r="CR2004" s="345"/>
      <c r="CS2004" s="345"/>
      <c r="CX2004" s="347"/>
      <c r="CY2004" s="347"/>
      <c r="DH2004" s="237"/>
      <c r="DI2004" s="237"/>
      <c r="DN2004" s="347"/>
      <c r="DO2004" s="347"/>
      <c r="DP2004" s="2505"/>
    </row>
    <row r="2005" spans="12:120">
      <c r="L2005" s="347">
        <v>124.1</v>
      </c>
      <c r="M2005" s="347" t="s">
        <v>365</v>
      </c>
      <c r="AB2005" s="347">
        <v>691</v>
      </c>
      <c r="AC2005" s="347" t="s">
        <v>309</v>
      </c>
      <c r="AD2005" s="1138"/>
      <c r="AP2005" s="347">
        <v>179.01</v>
      </c>
      <c r="AQ2005" s="347" t="s">
        <v>359</v>
      </c>
      <c r="BF2005" s="347">
        <v>264.01</v>
      </c>
      <c r="BG2005" s="347" t="s">
        <v>363</v>
      </c>
      <c r="BH2005" s="1790"/>
      <c r="BN2005" s="237">
        <v>503.2</v>
      </c>
      <c r="BO2005" s="237" t="s">
        <v>344</v>
      </c>
      <c r="BT2005" s="347">
        <v>178.11</v>
      </c>
      <c r="BU2005" s="347" t="s">
        <v>359</v>
      </c>
      <c r="CD2005" s="237">
        <v>110.03</v>
      </c>
      <c r="CE2005" s="237" t="s">
        <v>352</v>
      </c>
      <c r="CJ2005" s="347">
        <v>264.01</v>
      </c>
      <c r="CK2005" s="347" t="s">
        <v>363</v>
      </c>
      <c r="CL2005" s="1789"/>
      <c r="CR2005" s="345"/>
      <c r="CS2005" s="345"/>
      <c r="CX2005" s="347"/>
      <c r="CY2005" s="347"/>
      <c r="DH2005" s="237"/>
      <c r="DI2005" s="237"/>
      <c r="DN2005" s="347"/>
      <c r="DO2005" s="347"/>
      <c r="DP2005" s="2505"/>
    </row>
    <row r="2006" spans="12:120">
      <c r="L2006" s="347">
        <v>124.11</v>
      </c>
      <c r="M2006" s="347" t="s">
        <v>365</v>
      </c>
      <c r="AB2006" s="347">
        <v>692</v>
      </c>
      <c r="AC2006" s="347" t="s">
        <v>309</v>
      </c>
      <c r="AD2006" s="1138"/>
      <c r="AP2006" s="347">
        <v>181</v>
      </c>
      <c r="AQ2006" s="347" t="s">
        <v>359</v>
      </c>
      <c r="BF2006" s="347">
        <v>266.01</v>
      </c>
      <c r="BG2006" s="347" t="s">
        <v>363</v>
      </c>
      <c r="BH2006" s="1790"/>
      <c r="BN2006" s="237">
        <v>503.21</v>
      </c>
      <c r="BO2006" s="237" t="s">
        <v>344</v>
      </c>
      <c r="BT2006" s="347">
        <v>178.12</v>
      </c>
      <c r="BU2006" s="347" t="s">
        <v>359</v>
      </c>
      <c r="CD2006" s="237">
        <v>110.05</v>
      </c>
      <c r="CE2006" s="237" t="s">
        <v>337</v>
      </c>
      <c r="CJ2006" s="347">
        <v>266.01</v>
      </c>
      <c r="CK2006" s="347" t="s">
        <v>363</v>
      </c>
      <c r="CL2006" s="1789"/>
      <c r="CR2006" s="345"/>
      <c r="CS2006" s="345"/>
      <c r="CX2006" s="347"/>
      <c r="CY2006" s="347"/>
      <c r="DH2006" s="237"/>
      <c r="DI2006" s="237"/>
      <c r="DN2006" s="347"/>
      <c r="DO2006" s="347"/>
      <c r="DP2006" s="2505"/>
    </row>
    <row r="2007" spans="12:120">
      <c r="L2007" s="347">
        <v>125.02</v>
      </c>
      <c r="M2007" s="347" t="s">
        <v>365</v>
      </c>
      <c r="AB2007" s="347">
        <v>693</v>
      </c>
      <c r="AC2007" s="347" t="s">
        <v>309</v>
      </c>
      <c r="AD2007" s="1138"/>
      <c r="AP2007" s="347">
        <v>182.01</v>
      </c>
      <c r="AQ2007" s="347" t="s">
        <v>359</v>
      </c>
      <c r="BF2007" s="347">
        <v>267.04000000000002</v>
      </c>
      <c r="BG2007" s="347" t="s">
        <v>363</v>
      </c>
      <c r="BH2007" s="1790"/>
      <c r="BN2007" s="237">
        <v>503.22</v>
      </c>
      <c r="BO2007" s="237" t="s">
        <v>344</v>
      </c>
      <c r="BT2007" s="347">
        <v>178.13</v>
      </c>
      <c r="BU2007" s="347" t="s">
        <v>359</v>
      </c>
      <c r="CD2007" s="237">
        <v>110.06</v>
      </c>
      <c r="CE2007" s="237" t="s">
        <v>337</v>
      </c>
      <c r="CJ2007" s="347">
        <v>266.02</v>
      </c>
      <c r="CK2007" s="347" t="s">
        <v>363</v>
      </c>
      <c r="CL2007" s="1789"/>
      <c r="CR2007" s="345"/>
      <c r="CS2007" s="345"/>
      <c r="CX2007" s="347"/>
      <c r="CY2007" s="347"/>
      <c r="DH2007" s="237"/>
      <c r="DI2007" s="237"/>
      <c r="DN2007" s="347"/>
      <c r="DO2007" s="347"/>
      <c r="DP2007" s="2505"/>
    </row>
    <row r="2008" spans="12:120">
      <c r="L2008" s="347">
        <v>125.03</v>
      </c>
      <c r="M2008" s="347" t="s">
        <v>365</v>
      </c>
      <c r="AB2008" s="347">
        <v>694</v>
      </c>
      <c r="AC2008" s="347" t="s">
        <v>309</v>
      </c>
      <c r="AD2008" s="1138"/>
      <c r="AP2008" s="347">
        <v>182.02</v>
      </c>
      <c r="AQ2008" s="347" t="s">
        <v>359</v>
      </c>
      <c r="BF2008" s="347">
        <v>268.04000000000002</v>
      </c>
      <c r="BG2008" s="347" t="s">
        <v>363</v>
      </c>
      <c r="BH2008" s="1790"/>
      <c r="BN2008" s="237">
        <v>503.23</v>
      </c>
      <c r="BO2008" s="237" t="s">
        <v>344</v>
      </c>
      <c r="BT2008" s="347">
        <v>178.14</v>
      </c>
      <c r="BU2008" s="347" t="s">
        <v>359</v>
      </c>
      <c r="CD2008" s="237">
        <v>110.07</v>
      </c>
      <c r="CE2008" s="237" t="s">
        <v>337</v>
      </c>
      <c r="CJ2008" s="347">
        <v>267.04000000000002</v>
      </c>
      <c r="CK2008" s="347" t="s">
        <v>363</v>
      </c>
      <c r="CL2008" s="1789"/>
      <c r="CR2008" s="345"/>
      <c r="CS2008" s="345"/>
      <c r="CX2008" s="347"/>
      <c r="CY2008" s="347"/>
      <c r="DH2008" s="237"/>
      <c r="DI2008" s="237"/>
      <c r="DN2008" s="347"/>
      <c r="DO2008" s="347"/>
      <c r="DP2008" s="2505"/>
    </row>
    <row r="2009" spans="12:120">
      <c r="L2009" s="347">
        <v>125.04</v>
      </c>
      <c r="M2009" s="347" t="s">
        <v>365</v>
      </c>
      <c r="AB2009" s="347">
        <v>698.01</v>
      </c>
      <c r="AC2009" s="347" t="s">
        <v>309</v>
      </c>
      <c r="AD2009" s="1138"/>
      <c r="AP2009" s="347">
        <v>182.03</v>
      </c>
      <c r="AQ2009" s="347" t="s">
        <v>359</v>
      </c>
      <c r="BF2009" s="347">
        <v>268.08999999999997</v>
      </c>
      <c r="BG2009" s="347" t="s">
        <v>363</v>
      </c>
      <c r="BH2009" s="1790"/>
      <c r="BN2009" s="237">
        <v>503.24</v>
      </c>
      <c r="BO2009" s="237" t="s">
        <v>344</v>
      </c>
      <c r="BT2009" s="347">
        <v>179.01</v>
      </c>
      <c r="BU2009" s="347" t="s">
        <v>359</v>
      </c>
      <c r="CD2009" s="237">
        <v>110.08</v>
      </c>
      <c r="CE2009" s="237" t="s">
        <v>337</v>
      </c>
      <c r="CJ2009" s="347">
        <v>267.05</v>
      </c>
      <c r="CK2009" s="347" t="s">
        <v>363</v>
      </c>
      <c r="CL2009" s="1789"/>
      <c r="CR2009" s="345"/>
      <c r="CS2009" s="345"/>
      <c r="CX2009" s="347"/>
      <c r="CY2009" s="347"/>
      <c r="DH2009" s="237"/>
      <c r="DI2009" s="237"/>
      <c r="DN2009" s="347"/>
      <c r="DO2009" s="347"/>
      <c r="DP2009" s="2505"/>
    </row>
    <row r="2010" spans="12:120">
      <c r="L2010" s="347">
        <v>125.06</v>
      </c>
      <c r="M2010" s="347" t="s">
        <v>365</v>
      </c>
      <c r="AB2010" s="347">
        <v>699.01</v>
      </c>
      <c r="AC2010" s="347" t="s">
        <v>309</v>
      </c>
      <c r="AD2010" s="1138"/>
      <c r="AP2010" s="347">
        <v>182.04</v>
      </c>
      <c r="AQ2010" s="347" t="s">
        <v>359</v>
      </c>
      <c r="BF2010" s="347">
        <v>268.11</v>
      </c>
      <c r="BG2010" s="347" t="s">
        <v>363</v>
      </c>
      <c r="BH2010" s="1790"/>
      <c r="BN2010" s="237">
        <v>503.25</v>
      </c>
      <c r="BO2010" s="237" t="s">
        <v>344</v>
      </c>
      <c r="BT2010" s="347">
        <v>181</v>
      </c>
      <c r="BU2010" s="347" t="s">
        <v>359</v>
      </c>
      <c r="CD2010" s="237">
        <v>110.08</v>
      </c>
      <c r="CE2010" s="237" t="s">
        <v>352</v>
      </c>
      <c r="CJ2010" s="347">
        <v>268.08999999999997</v>
      </c>
      <c r="CK2010" s="347" t="s">
        <v>363</v>
      </c>
      <c r="CL2010" s="1789"/>
      <c r="CR2010" s="345"/>
      <c r="CS2010" s="345"/>
      <c r="CX2010" s="347"/>
      <c r="CY2010" s="347"/>
      <c r="DH2010" s="237"/>
      <c r="DI2010" s="237"/>
      <c r="DN2010" s="347"/>
      <c r="DO2010" s="347"/>
      <c r="DP2010" s="2505"/>
    </row>
    <row r="2011" spans="12:120">
      <c r="L2011" s="347">
        <v>125.07</v>
      </c>
      <c r="M2011" s="347" t="s">
        <v>365</v>
      </c>
      <c r="AB2011" s="347">
        <v>701.01</v>
      </c>
      <c r="AC2011" s="347" t="s">
        <v>344</v>
      </c>
      <c r="AD2011" s="1138"/>
      <c r="AP2011" s="347">
        <v>184</v>
      </c>
      <c r="AQ2011" s="347" t="s">
        <v>359</v>
      </c>
      <c r="BF2011" s="347">
        <v>268.12</v>
      </c>
      <c r="BG2011" s="347" t="s">
        <v>363</v>
      </c>
      <c r="BH2011" s="1790"/>
      <c r="BN2011" s="237">
        <v>504.01</v>
      </c>
      <c r="BO2011" s="237" t="s">
        <v>344</v>
      </c>
      <c r="BT2011" s="347">
        <v>182.01</v>
      </c>
      <c r="BU2011" s="347" t="s">
        <v>359</v>
      </c>
      <c r="CD2011" s="237">
        <v>110.09</v>
      </c>
      <c r="CE2011" s="237" t="s">
        <v>352</v>
      </c>
      <c r="CJ2011" s="347">
        <v>268.11</v>
      </c>
      <c r="CK2011" s="347" t="s">
        <v>363</v>
      </c>
      <c r="CL2011" s="1789"/>
      <c r="CR2011" s="345"/>
      <c r="CS2011" s="345"/>
      <c r="CX2011" s="347"/>
      <c r="CY2011" s="347"/>
      <c r="DH2011" s="237"/>
      <c r="DI2011" s="237"/>
      <c r="DN2011" s="347"/>
      <c r="DO2011" s="347"/>
      <c r="DP2011" s="2505"/>
    </row>
    <row r="2012" spans="12:120">
      <c r="L2012" s="347">
        <v>128.02000000000001</v>
      </c>
      <c r="M2012" s="347" t="s">
        <v>365</v>
      </c>
      <c r="AB2012" s="347">
        <v>701.02</v>
      </c>
      <c r="AC2012" s="347" t="s">
        <v>344</v>
      </c>
      <c r="AD2012" s="1138"/>
      <c r="AP2012" s="347">
        <v>188</v>
      </c>
      <c r="AQ2012" s="347" t="s">
        <v>359</v>
      </c>
      <c r="BF2012" s="347">
        <v>268.14</v>
      </c>
      <c r="BG2012" s="347" t="s">
        <v>363</v>
      </c>
      <c r="BH2012" s="1790"/>
      <c r="BN2012" s="237">
        <v>504.02</v>
      </c>
      <c r="BO2012" s="237" t="s">
        <v>344</v>
      </c>
      <c r="BT2012" s="347">
        <v>182.02</v>
      </c>
      <c r="BU2012" s="347" t="s">
        <v>359</v>
      </c>
      <c r="CD2012" s="237">
        <v>110.1</v>
      </c>
      <c r="CE2012" s="237" t="s">
        <v>337</v>
      </c>
      <c r="CJ2012" s="347">
        <v>268.12</v>
      </c>
      <c r="CK2012" s="347" t="s">
        <v>363</v>
      </c>
      <c r="CL2012" s="1789"/>
      <c r="CR2012" s="345"/>
      <c r="CS2012" s="345"/>
      <c r="CX2012" s="347"/>
      <c r="CY2012" s="347"/>
      <c r="DH2012" s="237"/>
      <c r="DI2012" s="237"/>
      <c r="DN2012" s="347"/>
      <c r="DO2012" s="347"/>
      <c r="DP2012" s="2505"/>
    </row>
    <row r="2013" spans="12:120">
      <c r="L2013" s="347">
        <v>128.03</v>
      </c>
      <c r="M2013" s="347" t="s">
        <v>365</v>
      </c>
      <c r="AB2013" s="347">
        <v>702</v>
      </c>
      <c r="AC2013" s="347" t="s">
        <v>344</v>
      </c>
      <c r="AD2013" s="1138"/>
      <c r="AP2013" s="347">
        <v>189.01</v>
      </c>
      <c r="AQ2013" s="347" t="s">
        <v>359</v>
      </c>
      <c r="BF2013" s="347">
        <v>268.14999999999998</v>
      </c>
      <c r="BG2013" s="347" t="s">
        <v>363</v>
      </c>
      <c r="BH2013" s="1790"/>
      <c r="BN2013" s="237">
        <v>505.01</v>
      </c>
      <c r="BO2013" s="237" t="s">
        <v>344</v>
      </c>
      <c r="BT2013" s="347">
        <v>182.04</v>
      </c>
      <c r="BU2013" s="347" t="s">
        <v>359</v>
      </c>
      <c r="CD2013" s="237">
        <v>110.1</v>
      </c>
      <c r="CE2013" s="237" t="s">
        <v>352</v>
      </c>
      <c r="CJ2013" s="347">
        <v>268.14999999999998</v>
      </c>
      <c r="CK2013" s="347" t="s">
        <v>363</v>
      </c>
      <c r="CL2013" s="1789"/>
      <c r="CR2013" s="345"/>
      <c r="CS2013" s="345"/>
      <c r="CX2013" s="347"/>
      <c r="CY2013" s="347"/>
      <c r="DH2013" s="237"/>
      <c r="DI2013" s="237"/>
      <c r="DN2013" s="347"/>
      <c r="DO2013" s="347"/>
      <c r="DP2013" s="2505"/>
    </row>
    <row r="2014" spans="12:120">
      <c r="L2014" s="347">
        <v>129</v>
      </c>
      <c r="M2014" s="347" t="s">
        <v>365</v>
      </c>
      <c r="AB2014" s="347">
        <v>702.05</v>
      </c>
      <c r="AC2014" s="347" t="s">
        <v>310</v>
      </c>
      <c r="AD2014" s="1138"/>
      <c r="AP2014" s="347">
        <v>189.02</v>
      </c>
      <c r="AQ2014" s="347" t="s">
        <v>359</v>
      </c>
      <c r="BF2014" s="347">
        <v>268.16000000000003</v>
      </c>
      <c r="BG2014" s="347" t="s">
        <v>363</v>
      </c>
      <c r="BH2014" s="1790"/>
      <c r="BN2014" s="237">
        <v>505.02</v>
      </c>
      <c r="BO2014" s="237" t="s">
        <v>344</v>
      </c>
      <c r="BT2014" s="347">
        <v>184</v>
      </c>
      <c r="BU2014" s="347" t="s">
        <v>359</v>
      </c>
      <c r="CD2014" s="237">
        <v>110.11</v>
      </c>
      <c r="CE2014" s="237" t="s">
        <v>352</v>
      </c>
      <c r="CJ2014" s="347">
        <v>268.16000000000003</v>
      </c>
      <c r="CK2014" s="347" t="s">
        <v>363</v>
      </c>
      <c r="CL2014" s="1789"/>
      <c r="CR2014" s="345"/>
      <c r="CS2014" s="345"/>
      <c r="CX2014" s="347"/>
      <c r="CY2014" s="347"/>
      <c r="DH2014" s="237"/>
      <c r="DI2014" s="237"/>
      <c r="DN2014" s="347"/>
      <c r="DO2014" s="347"/>
      <c r="DP2014" s="2505"/>
    </row>
    <row r="2015" spans="12:120">
      <c r="L2015" s="347">
        <v>130.01</v>
      </c>
      <c r="M2015" s="347" t="s">
        <v>365</v>
      </c>
      <c r="AB2015" s="347">
        <v>702.07</v>
      </c>
      <c r="AC2015" s="347" t="s">
        <v>310</v>
      </c>
      <c r="AD2015" s="1138"/>
      <c r="AP2015" s="347">
        <v>190</v>
      </c>
      <c r="AQ2015" s="347" t="s">
        <v>359</v>
      </c>
      <c r="BF2015" s="347">
        <v>268.17</v>
      </c>
      <c r="BG2015" s="347" t="s">
        <v>363</v>
      </c>
      <c r="BH2015" s="1790"/>
      <c r="BN2015" s="237">
        <v>506.01</v>
      </c>
      <c r="BO2015" s="237" t="s">
        <v>344</v>
      </c>
      <c r="BT2015" s="347">
        <v>188</v>
      </c>
      <c r="BU2015" s="347" t="s">
        <v>359</v>
      </c>
      <c r="CD2015" s="237">
        <v>110.12</v>
      </c>
      <c r="CE2015" s="237" t="s">
        <v>352</v>
      </c>
      <c r="CJ2015" s="347">
        <v>268.17</v>
      </c>
      <c r="CK2015" s="347" t="s">
        <v>363</v>
      </c>
      <c r="CL2015" s="1789"/>
      <c r="CR2015" s="345"/>
      <c r="CS2015" s="345"/>
      <c r="CX2015" s="347"/>
      <c r="CY2015" s="347"/>
      <c r="DH2015" s="237"/>
      <c r="DI2015" s="237"/>
      <c r="DN2015" s="347"/>
      <c r="DO2015" s="347"/>
      <c r="DP2015" s="2505"/>
    </row>
    <row r="2016" spans="12:120">
      <c r="L2016" s="347">
        <v>131.01</v>
      </c>
      <c r="M2016" s="347" t="s">
        <v>365</v>
      </c>
      <c r="AB2016" s="347">
        <v>702.08</v>
      </c>
      <c r="AC2016" s="347" t="s">
        <v>310</v>
      </c>
      <c r="AD2016" s="1138"/>
      <c r="AP2016" s="347">
        <v>408.01</v>
      </c>
      <c r="AQ2016" s="347" t="s">
        <v>360</v>
      </c>
      <c r="BF2016" s="347">
        <v>268.20999999999998</v>
      </c>
      <c r="BG2016" s="347" t="s">
        <v>363</v>
      </c>
      <c r="BH2016" s="1790"/>
      <c r="BN2016" s="237">
        <v>506.03</v>
      </c>
      <c r="BO2016" s="237" t="s">
        <v>344</v>
      </c>
      <c r="BT2016" s="347">
        <v>189.02</v>
      </c>
      <c r="BU2016" s="347" t="s">
        <v>359</v>
      </c>
      <c r="CD2016" s="237">
        <v>110.13</v>
      </c>
      <c r="CE2016" s="237" t="s">
        <v>337</v>
      </c>
      <c r="CJ2016" s="347">
        <v>268.20999999999998</v>
      </c>
      <c r="CK2016" s="347" t="s">
        <v>363</v>
      </c>
      <c r="CL2016" s="1789"/>
      <c r="CR2016" s="345"/>
      <c r="CS2016" s="345"/>
      <c r="CX2016" s="347"/>
      <c r="CY2016" s="347"/>
      <c r="DH2016" s="237"/>
      <c r="DI2016" s="237"/>
      <c r="DN2016" s="347"/>
      <c r="DO2016" s="347"/>
      <c r="DP2016" s="2505"/>
    </row>
    <row r="2017" spans="12:120">
      <c r="L2017" s="347">
        <v>135</v>
      </c>
      <c r="M2017" s="347" t="s">
        <v>365</v>
      </c>
      <c r="AB2017" s="347">
        <v>702.09</v>
      </c>
      <c r="AC2017" s="347" t="s">
        <v>310</v>
      </c>
      <c r="AD2017" s="1138"/>
      <c r="AP2017" s="347">
        <v>408.06</v>
      </c>
      <c r="AQ2017" s="347" t="s">
        <v>360</v>
      </c>
      <c r="BF2017" s="347">
        <v>269.08</v>
      </c>
      <c r="BG2017" s="347" t="s">
        <v>363</v>
      </c>
      <c r="BH2017" s="1790"/>
      <c r="BN2017" s="237">
        <v>506.04</v>
      </c>
      <c r="BO2017" s="237" t="s">
        <v>344</v>
      </c>
      <c r="BT2017" s="347">
        <v>190</v>
      </c>
      <c r="BU2017" s="347" t="s">
        <v>359</v>
      </c>
      <c r="CD2017" s="237">
        <v>110.13</v>
      </c>
      <c r="CE2017" s="237" t="s">
        <v>352</v>
      </c>
      <c r="CJ2017" s="347">
        <v>269.08</v>
      </c>
      <c r="CK2017" s="347" t="s">
        <v>363</v>
      </c>
      <c r="CL2017" s="1789"/>
      <c r="CR2017" s="345"/>
      <c r="CS2017" s="345"/>
      <c r="CX2017" s="347"/>
      <c r="CY2017" s="347"/>
      <c r="DH2017" s="237"/>
      <c r="DI2017" s="237"/>
      <c r="DN2017" s="347"/>
      <c r="DO2017" s="347"/>
      <c r="DP2017" s="2505"/>
    </row>
    <row r="2018" spans="12:120">
      <c r="L2018" s="347">
        <v>137.02000000000001</v>
      </c>
      <c r="M2018" s="347" t="s">
        <v>365</v>
      </c>
      <c r="AB2018" s="347">
        <v>702.11</v>
      </c>
      <c r="AC2018" s="347" t="s">
        <v>310</v>
      </c>
      <c r="AD2018" s="1138"/>
      <c r="AP2018" s="347">
        <v>408.07</v>
      </c>
      <c r="AQ2018" s="347" t="s">
        <v>360</v>
      </c>
      <c r="BF2018" s="347">
        <v>269.11</v>
      </c>
      <c r="BG2018" s="347" t="s">
        <v>363</v>
      </c>
      <c r="BH2018" s="1790"/>
      <c r="BN2018" s="237">
        <v>601.01</v>
      </c>
      <c r="BO2018" s="237" t="s">
        <v>344</v>
      </c>
      <c r="BT2018" s="347">
        <v>408.01</v>
      </c>
      <c r="BU2018" s="347" t="s">
        <v>360</v>
      </c>
      <c r="CD2018" s="237">
        <v>110.14</v>
      </c>
      <c r="CE2018" s="237" t="s">
        <v>352</v>
      </c>
      <c r="CJ2018" s="347">
        <v>269.14</v>
      </c>
      <c r="CK2018" s="347" t="s">
        <v>363</v>
      </c>
      <c r="CL2018" s="1789"/>
      <c r="CR2018" s="345"/>
      <c r="CS2018" s="345"/>
      <c r="CX2018" s="347"/>
      <c r="CY2018" s="347"/>
      <c r="DH2018" s="237"/>
      <c r="DI2018" s="237"/>
      <c r="DN2018" s="347"/>
      <c r="DO2018" s="347"/>
      <c r="DP2018" s="2505"/>
    </row>
    <row r="2019" spans="12:120">
      <c r="L2019" s="347">
        <v>139.02000000000001</v>
      </c>
      <c r="M2019" s="347" t="s">
        <v>365</v>
      </c>
      <c r="AB2019" s="347">
        <v>703.04</v>
      </c>
      <c r="AC2019" s="347" t="s">
        <v>310</v>
      </c>
      <c r="AD2019" s="1138"/>
      <c r="AP2019" s="347">
        <v>408.08</v>
      </c>
      <c r="AQ2019" s="347" t="s">
        <v>360</v>
      </c>
      <c r="BF2019" s="347">
        <v>269.14999999999998</v>
      </c>
      <c r="BG2019" s="347" t="s">
        <v>363</v>
      </c>
      <c r="BH2019" s="1790"/>
      <c r="BN2019" s="237">
        <v>601.02</v>
      </c>
      <c r="BO2019" s="237" t="s">
        <v>344</v>
      </c>
      <c r="BT2019" s="347">
        <v>408.05</v>
      </c>
      <c r="BU2019" s="347" t="s">
        <v>360</v>
      </c>
      <c r="CD2019" s="237">
        <v>110.15</v>
      </c>
      <c r="CE2019" s="237" t="s">
        <v>352</v>
      </c>
      <c r="CJ2019" s="347">
        <v>269.14999999999998</v>
      </c>
      <c r="CK2019" s="347" t="s">
        <v>363</v>
      </c>
      <c r="CL2019" s="1789"/>
      <c r="CR2019" s="345"/>
      <c r="CS2019" s="345"/>
      <c r="CX2019" s="347"/>
      <c r="CY2019" s="347"/>
      <c r="DH2019" s="237"/>
      <c r="DI2019" s="237"/>
      <c r="DN2019" s="347"/>
      <c r="DO2019" s="347"/>
      <c r="DP2019" s="2505"/>
    </row>
    <row r="2020" spans="12:120">
      <c r="L2020" s="347">
        <v>140.01</v>
      </c>
      <c r="M2020" s="347" t="s">
        <v>365</v>
      </c>
      <c r="AB2020" s="347">
        <v>703.06</v>
      </c>
      <c r="AC2020" s="347" t="s">
        <v>310</v>
      </c>
      <c r="AD2020" s="1138"/>
      <c r="AP2020" s="347">
        <v>408.09</v>
      </c>
      <c r="AQ2020" s="347" t="s">
        <v>360</v>
      </c>
      <c r="BF2020" s="347">
        <v>269.16000000000003</v>
      </c>
      <c r="BG2020" s="347" t="s">
        <v>363</v>
      </c>
      <c r="BH2020" s="1790"/>
      <c r="BN2020" s="237">
        <v>602.01</v>
      </c>
      <c r="BO2020" s="237" t="s">
        <v>344</v>
      </c>
      <c r="BT2020" s="347">
        <v>408.06</v>
      </c>
      <c r="BU2020" s="347" t="s">
        <v>360</v>
      </c>
      <c r="CD2020" s="237">
        <v>110.16</v>
      </c>
      <c r="CE2020" s="237" t="s">
        <v>337</v>
      </c>
      <c r="CJ2020" s="347">
        <v>269.16000000000003</v>
      </c>
      <c r="CK2020" s="347" t="s">
        <v>363</v>
      </c>
      <c r="CL2020" s="1789"/>
      <c r="CR2020" s="345"/>
      <c r="CS2020" s="345"/>
      <c r="CX2020" s="347"/>
      <c r="CY2020" s="347"/>
      <c r="DH2020" s="237"/>
      <c r="DI2020" s="237"/>
      <c r="DN2020" s="347"/>
      <c r="DO2020" s="347"/>
      <c r="DP2020" s="2505"/>
    </row>
    <row r="2021" spans="12:120">
      <c r="L2021" s="347">
        <v>140.03</v>
      </c>
      <c r="M2021" s="347" t="s">
        <v>365</v>
      </c>
      <c r="AB2021" s="347">
        <v>703.1</v>
      </c>
      <c r="AC2021" s="347" t="s">
        <v>310</v>
      </c>
      <c r="AD2021" s="1138"/>
      <c r="AP2021" s="347">
        <v>408.1</v>
      </c>
      <c r="AQ2021" s="347" t="s">
        <v>360</v>
      </c>
      <c r="BF2021" s="347">
        <v>270</v>
      </c>
      <c r="BG2021" s="347" t="s">
        <v>363</v>
      </c>
      <c r="BH2021" s="1790"/>
      <c r="BN2021" s="237">
        <v>602.02</v>
      </c>
      <c r="BO2021" s="237" t="s">
        <v>344</v>
      </c>
      <c r="BT2021" s="347">
        <v>408.07</v>
      </c>
      <c r="BU2021" s="347" t="s">
        <v>360</v>
      </c>
      <c r="CD2021" s="237">
        <v>110.17</v>
      </c>
      <c r="CE2021" s="237" t="s">
        <v>337</v>
      </c>
      <c r="CJ2021" s="347">
        <v>270</v>
      </c>
      <c r="CK2021" s="347" t="s">
        <v>363</v>
      </c>
      <c r="CL2021" s="1789"/>
      <c r="CR2021" s="345"/>
      <c r="CS2021" s="345"/>
      <c r="CX2021" s="347"/>
      <c r="CY2021" s="347"/>
      <c r="DH2021" s="237"/>
      <c r="DI2021" s="237"/>
      <c r="DN2021" s="347"/>
      <c r="DO2021" s="347"/>
      <c r="DP2021" s="2505"/>
    </row>
    <row r="2022" spans="12:120">
      <c r="L2022" s="347">
        <v>140.05000000000001</v>
      </c>
      <c r="M2022" s="347" t="s">
        <v>365</v>
      </c>
      <c r="AB2022" s="347">
        <v>703.11</v>
      </c>
      <c r="AC2022" s="347" t="s">
        <v>310</v>
      </c>
      <c r="AD2022" s="1138"/>
      <c r="AP2022" s="347">
        <v>408.11</v>
      </c>
      <c r="AQ2022" s="347" t="s">
        <v>360</v>
      </c>
      <c r="BF2022" s="347">
        <v>271.05</v>
      </c>
      <c r="BG2022" s="347" t="s">
        <v>363</v>
      </c>
      <c r="BH2022" s="1790"/>
      <c r="BN2022" s="237">
        <v>602.03</v>
      </c>
      <c r="BO2022" s="237" t="s">
        <v>344</v>
      </c>
      <c r="BT2022" s="347">
        <v>408.08</v>
      </c>
      <c r="BU2022" s="347" t="s">
        <v>360</v>
      </c>
      <c r="CD2022" s="237">
        <v>110.18</v>
      </c>
      <c r="CE2022" s="237" t="s">
        <v>337</v>
      </c>
      <c r="CJ2022" s="347">
        <v>271.05</v>
      </c>
      <c r="CK2022" s="347" t="s">
        <v>363</v>
      </c>
      <c r="CL2022" s="1789"/>
      <c r="CR2022" s="345"/>
      <c r="CS2022" s="345"/>
      <c r="CX2022" s="347"/>
      <c r="CY2022" s="347"/>
      <c r="DH2022" s="237"/>
      <c r="DI2022" s="237"/>
      <c r="DN2022" s="347"/>
      <c r="DO2022" s="347"/>
      <c r="DP2022" s="2505"/>
    </row>
    <row r="2023" spans="12:120">
      <c r="L2023" s="347">
        <v>140.06</v>
      </c>
      <c r="M2023" s="347" t="s">
        <v>365</v>
      </c>
      <c r="AB2023" s="347">
        <v>703.12</v>
      </c>
      <c r="AC2023" s="347" t="s">
        <v>310</v>
      </c>
      <c r="AD2023" s="1138"/>
      <c r="AP2023" s="347">
        <v>408.12</v>
      </c>
      <c r="AQ2023" s="347" t="s">
        <v>360</v>
      </c>
      <c r="BF2023" s="347">
        <v>271.06</v>
      </c>
      <c r="BG2023" s="347" t="s">
        <v>363</v>
      </c>
      <c r="BH2023" s="1790"/>
      <c r="BN2023" s="237">
        <v>603</v>
      </c>
      <c r="BO2023" s="237" t="s">
        <v>344</v>
      </c>
      <c r="BT2023" s="347">
        <v>408.09</v>
      </c>
      <c r="BU2023" s="347" t="s">
        <v>360</v>
      </c>
      <c r="CD2023" s="237">
        <v>110.19</v>
      </c>
      <c r="CE2023" s="237" t="s">
        <v>337</v>
      </c>
      <c r="CJ2023" s="347">
        <v>271.06</v>
      </c>
      <c r="CK2023" s="347" t="s">
        <v>363</v>
      </c>
      <c r="CL2023" s="1789"/>
      <c r="CR2023" s="345"/>
      <c r="CS2023" s="345"/>
      <c r="CX2023" s="347"/>
      <c r="CY2023" s="347"/>
      <c r="DH2023" s="237"/>
      <c r="DI2023" s="237"/>
      <c r="DN2023" s="347"/>
      <c r="DO2023" s="347"/>
      <c r="DP2023" s="2505"/>
    </row>
    <row r="2024" spans="12:120">
      <c r="L2024" s="347">
        <v>141.03</v>
      </c>
      <c r="M2024" s="347" t="s">
        <v>365</v>
      </c>
      <c r="AB2024" s="347">
        <v>703.13</v>
      </c>
      <c r="AC2024" s="347" t="s">
        <v>310</v>
      </c>
      <c r="AD2024" s="1138"/>
      <c r="AP2024" s="347">
        <v>409.03</v>
      </c>
      <c r="AQ2024" s="347" t="s">
        <v>360</v>
      </c>
      <c r="BF2024" s="347">
        <v>272.02</v>
      </c>
      <c r="BG2024" s="347" t="s">
        <v>363</v>
      </c>
      <c r="BH2024" s="1790"/>
      <c r="BN2024" s="237">
        <v>701.01</v>
      </c>
      <c r="BO2024" s="237" t="s">
        <v>344</v>
      </c>
      <c r="BT2024" s="347">
        <v>408.1</v>
      </c>
      <c r="BU2024" s="347" t="s">
        <v>360</v>
      </c>
      <c r="CD2024" s="237">
        <v>111</v>
      </c>
      <c r="CE2024" s="237" t="s">
        <v>323</v>
      </c>
      <c r="CJ2024" s="347">
        <v>272.02</v>
      </c>
      <c r="CK2024" s="347" t="s">
        <v>363</v>
      </c>
      <c r="CL2024" s="1789"/>
      <c r="CR2024" s="345"/>
      <c r="CS2024" s="345"/>
      <c r="CX2024" s="347"/>
      <c r="CY2024" s="347"/>
      <c r="DH2024" s="237"/>
      <c r="DI2024" s="237"/>
      <c r="DN2024" s="347"/>
      <c r="DO2024" s="347"/>
      <c r="DP2024" s="2505"/>
    </row>
    <row r="2025" spans="12:120">
      <c r="L2025" s="347">
        <v>141.04</v>
      </c>
      <c r="M2025" s="347" t="s">
        <v>365</v>
      </c>
      <c r="AB2025" s="347">
        <v>703.14</v>
      </c>
      <c r="AC2025" s="347" t="s">
        <v>310</v>
      </c>
      <c r="AD2025" s="1138"/>
      <c r="AP2025" s="347">
        <v>410.03</v>
      </c>
      <c r="AQ2025" s="347" t="s">
        <v>360</v>
      </c>
      <c r="BF2025" s="347">
        <v>272.04000000000002</v>
      </c>
      <c r="BG2025" s="347" t="s">
        <v>363</v>
      </c>
      <c r="BH2025" s="1790"/>
      <c r="BN2025" s="237">
        <v>701.02</v>
      </c>
      <c r="BO2025" s="237" t="s">
        <v>344</v>
      </c>
      <c r="BT2025" s="347">
        <v>408.11</v>
      </c>
      <c r="BU2025" s="347" t="s">
        <v>360</v>
      </c>
      <c r="CD2025" s="237">
        <v>111</v>
      </c>
      <c r="CE2025" s="237" t="s">
        <v>359</v>
      </c>
      <c r="CJ2025" s="347">
        <v>272.04000000000002</v>
      </c>
      <c r="CK2025" s="347" t="s">
        <v>363</v>
      </c>
      <c r="CL2025" s="1789"/>
      <c r="CR2025" s="345"/>
      <c r="CS2025" s="345"/>
      <c r="CX2025" s="347"/>
      <c r="CY2025" s="347"/>
      <c r="DH2025" s="237"/>
      <c r="DI2025" s="237"/>
      <c r="DN2025" s="347"/>
      <c r="DO2025" s="347"/>
      <c r="DP2025" s="2505"/>
    </row>
    <row r="2026" spans="12:120">
      <c r="L2026" s="347">
        <v>141.05000000000001</v>
      </c>
      <c r="M2026" s="347" t="s">
        <v>365</v>
      </c>
      <c r="AB2026" s="347">
        <v>703.15</v>
      </c>
      <c r="AC2026" s="347" t="s">
        <v>310</v>
      </c>
      <c r="AD2026" s="1138"/>
      <c r="AP2026" s="347">
        <v>410.04</v>
      </c>
      <c r="AQ2026" s="347" t="s">
        <v>360</v>
      </c>
      <c r="BF2026" s="347">
        <v>272.06</v>
      </c>
      <c r="BG2026" s="347" t="s">
        <v>363</v>
      </c>
      <c r="BH2026" s="1790"/>
      <c r="BN2026" s="237">
        <v>702.01</v>
      </c>
      <c r="BO2026" s="237" t="s">
        <v>344</v>
      </c>
      <c r="BT2026" s="347">
        <v>408.12</v>
      </c>
      <c r="BU2026" s="347" t="s">
        <v>360</v>
      </c>
      <c r="CD2026" s="237">
        <v>111</v>
      </c>
      <c r="CE2026" s="237" t="s">
        <v>365</v>
      </c>
      <c r="CJ2026" s="347">
        <v>272.06</v>
      </c>
      <c r="CK2026" s="347" t="s">
        <v>363</v>
      </c>
      <c r="CL2026" s="1789"/>
      <c r="CR2026" s="345"/>
      <c r="CS2026" s="345"/>
      <c r="CX2026" s="347"/>
      <c r="CY2026" s="347"/>
      <c r="DH2026" s="237"/>
      <c r="DI2026" s="237"/>
      <c r="DN2026" s="347"/>
      <c r="DO2026" s="347"/>
      <c r="DP2026" s="2505"/>
    </row>
    <row r="2027" spans="12:120">
      <c r="L2027" s="347">
        <v>141.21</v>
      </c>
      <c r="M2027" s="347" t="s">
        <v>365</v>
      </c>
      <c r="AB2027" s="347">
        <v>703.16</v>
      </c>
      <c r="AC2027" s="347" t="s">
        <v>310</v>
      </c>
      <c r="AD2027" s="1138"/>
      <c r="AP2027" s="347">
        <v>410.06</v>
      </c>
      <c r="AQ2027" s="347" t="s">
        <v>360</v>
      </c>
      <c r="BF2027" s="347">
        <v>272.07</v>
      </c>
      <c r="BG2027" s="347" t="s">
        <v>363</v>
      </c>
      <c r="BH2027" s="1790"/>
      <c r="BN2027" s="237">
        <v>702.02</v>
      </c>
      <c r="BO2027" s="237" t="s">
        <v>344</v>
      </c>
      <c r="BT2027" s="347">
        <v>409.01</v>
      </c>
      <c r="BU2027" s="347" t="s">
        <v>360</v>
      </c>
      <c r="CD2027" s="237">
        <v>111.03</v>
      </c>
      <c r="CE2027" s="237" t="s">
        <v>318</v>
      </c>
      <c r="CJ2027" s="347">
        <v>272.07</v>
      </c>
      <c r="CK2027" s="347" t="s">
        <v>363</v>
      </c>
      <c r="CL2027" s="1789"/>
      <c r="CR2027" s="345"/>
      <c r="CS2027" s="345"/>
      <c r="CX2027" s="347"/>
      <c r="CY2027" s="347"/>
      <c r="DH2027" s="237"/>
      <c r="DI2027" s="237"/>
      <c r="DN2027" s="347"/>
      <c r="DO2027" s="347"/>
      <c r="DP2027" s="2505"/>
    </row>
    <row r="2028" spans="12:120">
      <c r="L2028" s="347">
        <v>141.22999999999999</v>
      </c>
      <c r="M2028" s="347" t="s">
        <v>365</v>
      </c>
      <c r="AB2028" s="347">
        <v>703.17</v>
      </c>
      <c r="AC2028" s="347" t="s">
        <v>310</v>
      </c>
      <c r="AD2028" s="1138"/>
      <c r="AP2028" s="347">
        <v>413.02</v>
      </c>
      <c r="AQ2028" s="347" t="s">
        <v>360</v>
      </c>
      <c r="BF2028" s="347">
        <v>272.08</v>
      </c>
      <c r="BG2028" s="347" t="s">
        <v>363</v>
      </c>
      <c r="BH2028" s="1790"/>
      <c r="BN2028" s="237">
        <v>801</v>
      </c>
      <c r="BO2028" s="237" t="s">
        <v>344</v>
      </c>
      <c r="BT2028" s="347">
        <v>410.03</v>
      </c>
      <c r="BU2028" s="347" t="s">
        <v>360</v>
      </c>
      <c r="CD2028" s="237">
        <v>111.03</v>
      </c>
      <c r="CE2028" s="237" t="s">
        <v>337</v>
      </c>
      <c r="CJ2028" s="347">
        <v>272.08</v>
      </c>
      <c r="CK2028" s="347" t="s">
        <v>363</v>
      </c>
      <c r="CL2028" s="1789"/>
      <c r="CR2028" s="345"/>
      <c r="CS2028" s="345"/>
      <c r="CX2028" s="347"/>
      <c r="CY2028" s="347"/>
      <c r="DH2028" s="237"/>
      <c r="DI2028" s="237"/>
      <c r="DN2028" s="347"/>
      <c r="DO2028" s="347"/>
      <c r="DP2028" s="2505"/>
    </row>
    <row r="2029" spans="12:120">
      <c r="L2029" s="347">
        <v>142.02000000000001</v>
      </c>
      <c r="M2029" s="347" t="s">
        <v>365</v>
      </c>
      <c r="AB2029" s="347">
        <v>703.18</v>
      </c>
      <c r="AC2029" s="347" t="s">
        <v>310</v>
      </c>
      <c r="AD2029" s="1138"/>
      <c r="AP2029" s="347">
        <v>415.01</v>
      </c>
      <c r="AQ2029" s="347" t="s">
        <v>360</v>
      </c>
      <c r="BF2029" s="347">
        <v>272.11</v>
      </c>
      <c r="BG2029" s="347" t="s">
        <v>363</v>
      </c>
      <c r="BH2029" s="1790"/>
      <c r="BN2029" s="237">
        <v>802.02</v>
      </c>
      <c r="BO2029" s="237" t="s">
        <v>344</v>
      </c>
      <c r="BT2029" s="347">
        <v>410.06</v>
      </c>
      <c r="BU2029" s="347" t="s">
        <v>360</v>
      </c>
      <c r="CD2029" s="237">
        <v>111.03</v>
      </c>
      <c r="CE2029" s="237" t="s">
        <v>352</v>
      </c>
      <c r="CJ2029" s="347">
        <v>272.10000000000002</v>
      </c>
      <c r="CK2029" s="347" t="s">
        <v>363</v>
      </c>
      <c r="CL2029" s="1789"/>
      <c r="CR2029" s="345"/>
      <c r="CS2029" s="345"/>
      <c r="CX2029" s="347"/>
      <c r="CY2029" s="347"/>
      <c r="DH2029" s="237"/>
      <c r="DI2029" s="237"/>
      <c r="DN2029" s="347"/>
      <c r="DO2029" s="347"/>
      <c r="DP2029" s="2505"/>
    </row>
    <row r="2030" spans="12:120">
      <c r="L2030" s="347">
        <v>142.03</v>
      </c>
      <c r="M2030" s="347" t="s">
        <v>365</v>
      </c>
      <c r="AB2030" s="347">
        <v>703.19</v>
      </c>
      <c r="AC2030" s="347" t="s">
        <v>310</v>
      </c>
      <c r="AD2030" s="1138"/>
      <c r="AP2030" s="347">
        <v>415.02</v>
      </c>
      <c r="AQ2030" s="347" t="s">
        <v>360</v>
      </c>
      <c r="BF2030" s="347">
        <v>273.08</v>
      </c>
      <c r="BG2030" s="347" t="s">
        <v>363</v>
      </c>
      <c r="BH2030" s="1790"/>
      <c r="BN2030" s="237">
        <v>802.03</v>
      </c>
      <c r="BO2030" s="237" t="s">
        <v>344</v>
      </c>
      <c r="BT2030" s="347">
        <v>413.02</v>
      </c>
      <c r="BU2030" s="347" t="s">
        <v>360</v>
      </c>
      <c r="CD2030" s="237">
        <v>111.04</v>
      </c>
      <c r="CE2030" s="237" t="s">
        <v>352</v>
      </c>
      <c r="CJ2030" s="347">
        <v>272.11</v>
      </c>
      <c r="CK2030" s="347" t="s">
        <v>363</v>
      </c>
      <c r="CL2030" s="1789"/>
      <c r="CR2030" s="345"/>
      <c r="CS2030" s="345"/>
      <c r="CX2030" s="347"/>
      <c r="CY2030" s="347"/>
      <c r="DH2030" s="237"/>
      <c r="DI2030" s="237"/>
      <c r="DN2030" s="347"/>
      <c r="DO2030" s="347"/>
      <c r="DP2030" s="2505"/>
    </row>
    <row r="2031" spans="12:120">
      <c r="L2031" s="347">
        <v>143.02000000000001</v>
      </c>
      <c r="M2031" s="347" t="s">
        <v>365</v>
      </c>
      <c r="AB2031" s="347">
        <v>703.2</v>
      </c>
      <c r="AC2031" s="347" t="s">
        <v>310</v>
      </c>
      <c r="AD2031" s="1138"/>
      <c r="AP2031" s="347">
        <v>424</v>
      </c>
      <c r="AQ2031" s="347" t="s">
        <v>360</v>
      </c>
      <c r="BF2031" s="347">
        <v>273.08999999999997</v>
      </c>
      <c r="BG2031" s="347" t="s">
        <v>363</v>
      </c>
      <c r="BH2031" s="1790"/>
      <c r="BN2031" s="237">
        <v>802.04</v>
      </c>
      <c r="BO2031" s="237" t="s">
        <v>344</v>
      </c>
      <c r="BT2031" s="347">
        <v>415.01</v>
      </c>
      <c r="BU2031" s="347" t="s">
        <v>360</v>
      </c>
      <c r="CD2031" s="237">
        <v>111.05</v>
      </c>
      <c r="CE2031" s="237" t="s">
        <v>352</v>
      </c>
      <c r="CJ2031" s="347">
        <v>272.12</v>
      </c>
      <c r="CK2031" s="347" t="s">
        <v>363</v>
      </c>
      <c r="CL2031" s="1789"/>
      <c r="CR2031" s="345"/>
      <c r="CS2031" s="345"/>
      <c r="CX2031" s="347"/>
      <c r="CY2031" s="347"/>
      <c r="DH2031" s="237"/>
      <c r="DI2031" s="237"/>
      <c r="DN2031" s="347"/>
      <c r="DO2031" s="347"/>
      <c r="DP2031" s="2505"/>
    </row>
    <row r="2032" spans="12:120">
      <c r="L2032" s="347">
        <v>144</v>
      </c>
      <c r="M2032" s="347" t="s">
        <v>365</v>
      </c>
      <c r="AB2032" s="347">
        <v>703.21</v>
      </c>
      <c r="AC2032" s="347" t="s">
        <v>310</v>
      </c>
      <c r="AD2032" s="1138"/>
      <c r="AP2032" s="347">
        <v>427.01</v>
      </c>
      <c r="AQ2032" s="347" t="s">
        <v>360</v>
      </c>
      <c r="BF2032" s="347">
        <v>273.14</v>
      </c>
      <c r="BG2032" s="347" t="s">
        <v>363</v>
      </c>
      <c r="BH2032" s="1790"/>
      <c r="BN2032" s="237">
        <v>803</v>
      </c>
      <c r="BO2032" s="237" t="s">
        <v>344</v>
      </c>
      <c r="BT2032" s="347">
        <v>415.02</v>
      </c>
      <c r="BU2032" s="347" t="s">
        <v>360</v>
      </c>
      <c r="CD2032" s="237">
        <v>111.06</v>
      </c>
      <c r="CE2032" s="237" t="s">
        <v>337</v>
      </c>
      <c r="CJ2032" s="347">
        <v>273.08</v>
      </c>
      <c r="CK2032" s="347" t="s">
        <v>363</v>
      </c>
      <c r="CL2032" s="1789"/>
      <c r="CR2032" s="345"/>
      <c r="CS2032" s="345"/>
      <c r="CX2032" s="347"/>
      <c r="CY2032" s="347"/>
      <c r="DH2032" s="237"/>
      <c r="DI2032" s="237"/>
      <c r="DN2032" s="347"/>
      <c r="DO2032" s="347"/>
      <c r="DP2032" s="2505"/>
    </row>
    <row r="2033" spans="12:120">
      <c r="L2033" s="347">
        <v>145.01</v>
      </c>
      <c r="M2033" s="347" t="s">
        <v>365</v>
      </c>
      <c r="AB2033" s="347">
        <v>703.22</v>
      </c>
      <c r="AC2033" s="347" t="s">
        <v>310</v>
      </c>
      <c r="AD2033" s="1138"/>
      <c r="AP2033" s="347">
        <v>428</v>
      </c>
      <c r="AQ2033" s="347" t="s">
        <v>360</v>
      </c>
      <c r="BF2033" s="347">
        <v>273.16000000000003</v>
      </c>
      <c r="BG2033" s="347" t="s">
        <v>363</v>
      </c>
      <c r="BH2033" s="1790"/>
      <c r="BN2033" s="237">
        <v>901</v>
      </c>
      <c r="BO2033" s="237" t="s">
        <v>344</v>
      </c>
      <c r="BT2033" s="347">
        <v>422.01</v>
      </c>
      <c r="BU2033" s="347" t="s">
        <v>360</v>
      </c>
      <c r="CD2033" s="237">
        <v>111.06</v>
      </c>
      <c r="CE2033" s="237" t="s">
        <v>352</v>
      </c>
      <c r="CJ2033" s="347">
        <v>273.08999999999997</v>
      </c>
      <c r="CK2033" s="347" t="s">
        <v>363</v>
      </c>
      <c r="CL2033" s="1789"/>
      <c r="CR2033" s="345"/>
      <c r="CS2033" s="345"/>
      <c r="CX2033" s="347"/>
      <c r="CY2033" s="347"/>
      <c r="DH2033" s="237"/>
      <c r="DI2033" s="237"/>
      <c r="DN2033" s="347"/>
      <c r="DO2033" s="347"/>
      <c r="DP2033" s="2505"/>
    </row>
    <row r="2034" spans="12:120">
      <c r="L2034" s="347">
        <v>147.01</v>
      </c>
      <c r="M2034" s="347" t="s">
        <v>365</v>
      </c>
      <c r="AB2034" s="347">
        <v>704.01</v>
      </c>
      <c r="AC2034" s="347" t="s">
        <v>310</v>
      </c>
      <c r="AD2034" s="1138"/>
      <c r="AP2034" s="347">
        <v>429.03</v>
      </c>
      <c r="AQ2034" s="347" t="s">
        <v>360</v>
      </c>
      <c r="BF2034" s="347">
        <v>273.17</v>
      </c>
      <c r="BG2034" s="347" t="s">
        <v>363</v>
      </c>
      <c r="BH2034" s="1790"/>
      <c r="BN2034" s="237">
        <v>9800</v>
      </c>
      <c r="BO2034" s="237" t="s">
        <v>344</v>
      </c>
      <c r="BT2034" s="347">
        <v>424</v>
      </c>
      <c r="BU2034" s="347" t="s">
        <v>360</v>
      </c>
      <c r="CD2034" s="237">
        <v>111.07</v>
      </c>
      <c r="CE2034" s="237" t="s">
        <v>318</v>
      </c>
      <c r="CJ2034" s="347">
        <v>273.14</v>
      </c>
      <c r="CK2034" s="347" t="s">
        <v>363</v>
      </c>
      <c r="CL2034" s="1789"/>
      <c r="CR2034" s="345"/>
      <c r="CS2034" s="345"/>
      <c r="CX2034" s="347"/>
      <c r="CY2034" s="347"/>
      <c r="DH2034" s="237"/>
      <c r="DI2034" s="237"/>
      <c r="DN2034" s="347"/>
      <c r="DO2034" s="347"/>
      <c r="DP2034" s="2505"/>
    </row>
    <row r="2035" spans="12:120">
      <c r="L2035" s="347">
        <v>147.02000000000001</v>
      </c>
      <c r="M2035" s="347" t="s">
        <v>365</v>
      </c>
      <c r="AB2035" s="347">
        <v>704.02</v>
      </c>
      <c r="AC2035" s="347" t="s">
        <v>310</v>
      </c>
      <c r="AD2035" s="1138"/>
      <c r="AP2035" s="347">
        <v>429.04</v>
      </c>
      <c r="AQ2035" s="347" t="s">
        <v>360</v>
      </c>
      <c r="BF2035" s="347">
        <v>273.18</v>
      </c>
      <c r="BG2035" s="347" t="s">
        <v>363</v>
      </c>
      <c r="BH2035" s="1790"/>
      <c r="BN2035" s="237">
        <v>9900</v>
      </c>
      <c r="BO2035" s="237" t="s">
        <v>344</v>
      </c>
      <c r="BT2035" s="347">
        <v>428</v>
      </c>
      <c r="BU2035" s="347" t="s">
        <v>360</v>
      </c>
      <c r="CD2035" s="237">
        <v>111.07</v>
      </c>
      <c r="CE2035" s="237" t="s">
        <v>337</v>
      </c>
      <c r="CJ2035" s="347">
        <v>273.16000000000003</v>
      </c>
      <c r="CK2035" s="347" t="s">
        <v>363</v>
      </c>
      <c r="CL2035" s="1789"/>
      <c r="CR2035" s="345"/>
      <c r="CS2035" s="345"/>
      <c r="CX2035" s="347"/>
      <c r="CY2035" s="347"/>
      <c r="DH2035" s="237"/>
      <c r="DI2035" s="237"/>
      <c r="DN2035" s="347"/>
      <c r="DO2035" s="347"/>
      <c r="DP2035" s="2505"/>
    </row>
    <row r="2036" spans="12:120">
      <c r="L2036" s="347">
        <v>148.02000000000001</v>
      </c>
      <c r="M2036" s="347" t="s">
        <v>365</v>
      </c>
      <c r="AB2036" s="347">
        <v>704.03</v>
      </c>
      <c r="AC2036" s="347" t="s">
        <v>310</v>
      </c>
      <c r="AD2036" s="1138"/>
      <c r="AP2036" s="347">
        <v>431</v>
      </c>
      <c r="AQ2036" s="347" t="s">
        <v>360</v>
      </c>
      <c r="BF2036" s="347">
        <v>273.19</v>
      </c>
      <c r="BG2036" s="347" t="s">
        <v>363</v>
      </c>
      <c r="BH2036" s="1790"/>
      <c r="BN2036" s="237">
        <v>2</v>
      </c>
      <c r="BO2036" s="237" t="s">
        <v>345</v>
      </c>
      <c r="BT2036" s="347">
        <v>429.03</v>
      </c>
      <c r="BU2036" s="347" t="s">
        <v>360</v>
      </c>
      <c r="CD2036" s="237">
        <v>111.08</v>
      </c>
      <c r="CE2036" s="237" t="s">
        <v>318</v>
      </c>
      <c r="CJ2036" s="347">
        <v>273.17</v>
      </c>
      <c r="CK2036" s="347" t="s">
        <v>363</v>
      </c>
      <c r="CL2036" s="1789"/>
      <c r="CR2036" s="345"/>
      <c r="CS2036" s="345"/>
      <c r="CX2036" s="347"/>
      <c r="CY2036" s="347"/>
      <c r="DH2036" s="237"/>
      <c r="DI2036" s="237"/>
      <c r="DN2036" s="347"/>
      <c r="DO2036" s="347"/>
      <c r="DP2036" s="2505"/>
    </row>
    <row r="2037" spans="12:120">
      <c r="L2037" s="347">
        <v>148.03</v>
      </c>
      <c r="M2037" s="347" t="s">
        <v>365</v>
      </c>
      <c r="AB2037" s="347">
        <v>704.04</v>
      </c>
      <c r="AC2037" s="347" t="s">
        <v>310</v>
      </c>
      <c r="AD2037" s="1138"/>
      <c r="AP2037" s="347">
        <v>432.07</v>
      </c>
      <c r="AQ2037" s="347" t="s">
        <v>360</v>
      </c>
      <c r="BF2037" s="347">
        <v>273.2</v>
      </c>
      <c r="BG2037" s="347" t="s">
        <v>363</v>
      </c>
      <c r="BH2037" s="1790"/>
      <c r="BN2037" s="237">
        <v>3.01</v>
      </c>
      <c r="BO2037" s="237" t="s">
        <v>345</v>
      </c>
      <c r="BT2037" s="347">
        <v>429.04</v>
      </c>
      <c r="BU2037" s="347" t="s">
        <v>360</v>
      </c>
      <c r="CD2037" s="237">
        <v>111.08</v>
      </c>
      <c r="CE2037" s="237" t="s">
        <v>337</v>
      </c>
      <c r="CJ2037" s="347">
        <v>273.18</v>
      </c>
      <c r="CK2037" s="347" t="s">
        <v>363</v>
      </c>
      <c r="CL2037" s="1789"/>
      <c r="CR2037" s="345"/>
      <c r="CS2037" s="345"/>
      <c r="CX2037" s="347"/>
      <c r="CY2037" s="347"/>
      <c r="DH2037" s="237"/>
      <c r="DI2037" s="237"/>
      <c r="DN2037" s="347"/>
      <c r="DO2037" s="347"/>
      <c r="DP2037" s="2505"/>
    </row>
    <row r="2038" spans="12:120">
      <c r="L2038" s="347">
        <v>148.04</v>
      </c>
      <c r="M2038" s="347" t="s">
        <v>365</v>
      </c>
      <c r="AB2038" s="347">
        <v>704.05</v>
      </c>
      <c r="AC2038" s="347" t="s">
        <v>310</v>
      </c>
      <c r="AD2038" s="1138"/>
      <c r="AP2038" s="347">
        <v>432.08</v>
      </c>
      <c r="AQ2038" s="347" t="s">
        <v>360</v>
      </c>
      <c r="BF2038" s="347">
        <v>273.20999999999998</v>
      </c>
      <c r="BG2038" s="347" t="s">
        <v>363</v>
      </c>
      <c r="BH2038" s="1790"/>
      <c r="BN2038" s="237">
        <v>3.02</v>
      </c>
      <c r="BO2038" s="237" t="s">
        <v>345</v>
      </c>
      <c r="BT2038" s="347">
        <v>431</v>
      </c>
      <c r="BU2038" s="347" t="s">
        <v>360</v>
      </c>
      <c r="CD2038" s="237">
        <v>111.09</v>
      </c>
      <c r="CE2038" s="237" t="s">
        <v>318</v>
      </c>
      <c r="CJ2038" s="347">
        <v>273.19</v>
      </c>
      <c r="CK2038" s="347" t="s">
        <v>363</v>
      </c>
      <c r="CL2038" s="1789"/>
      <c r="CR2038" s="345"/>
      <c r="CS2038" s="345"/>
      <c r="CX2038" s="347"/>
      <c r="CY2038" s="347"/>
      <c r="DH2038" s="237"/>
      <c r="DI2038" s="237"/>
      <c r="DN2038" s="347"/>
      <c r="DO2038" s="347"/>
      <c r="DP2038" s="2505"/>
    </row>
    <row r="2039" spans="12:120">
      <c r="L2039" s="347">
        <v>149.01</v>
      </c>
      <c r="M2039" s="347" t="s">
        <v>365</v>
      </c>
      <c r="AB2039" s="347">
        <v>705.01</v>
      </c>
      <c r="AC2039" s="347" t="s">
        <v>310</v>
      </c>
      <c r="AD2039" s="1138"/>
      <c r="AP2039" s="347">
        <v>432.09</v>
      </c>
      <c r="AQ2039" s="347" t="s">
        <v>360</v>
      </c>
      <c r="BF2039" s="347">
        <v>273.24</v>
      </c>
      <c r="BG2039" s="347" t="s">
        <v>363</v>
      </c>
      <c r="BH2039" s="1790"/>
      <c r="BN2039" s="237">
        <v>3.03</v>
      </c>
      <c r="BO2039" s="237" t="s">
        <v>345</v>
      </c>
      <c r="BT2039" s="347">
        <v>432.07</v>
      </c>
      <c r="BU2039" s="347" t="s">
        <v>360</v>
      </c>
      <c r="CD2039" s="237">
        <v>111.09</v>
      </c>
      <c r="CE2039" s="237" t="s">
        <v>337</v>
      </c>
      <c r="CJ2039" s="347">
        <v>273.2</v>
      </c>
      <c r="CK2039" s="347" t="s">
        <v>363</v>
      </c>
      <c r="CL2039" s="1789"/>
      <c r="CR2039" s="345"/>
      <c r="CS2039" s="345"/>
      <c r="CX2039" s="347"/>
      <c r="CY2039" s="347"/>
      <c r="DH2039" s="237"/>
      <c r="DI2039" s="237"/>
      <c r="DN2039" s="347"/>
      <c r="DO2039" s="347"/>
      <c r="DP2039" s="2505"/>
    </row>
    <row r="2040" spans="12:120">
      <c r="L2040" s="347">
        <v>151.01</v>
      </c>
      <c r="M2040" s="347" t="s">
        <v>365</v>
      </c>
      <c r="AB2040" s="347">
        <v>706.02</v>
      </c>
      <c r="AC2040" s="347" t="s">
        <v>310</v>
      </c>
      <c r="AD2040" s="1138"/>
      <c r="AP2040" s="347">
        <v>433.01</v>
      </c>
      <c r="AQ2040" s="347" t="s">
        <v>360</v>
      </c>
      <c r="BF2040" s="347">
        <v>273.25</v>
      </c>
      <c r="BG2040" s="347" t="s">
        <v>363</v>
      </c>
      <c r="BH2040" s="1790"/>
      <c r="BN2040" s="237">
        <v>4</v>
      </c>
      <c r="BO2040" s="237" t="s">
        <v>345</v>
      </c>
      <c r="BT2040" s="347">
        <v>432.08</v>
      </c>
      <c r="BU2040" s="347" t="s">
        <v>360</v>
      </c>
      <c r="CD2040" s="237">
        <v>111.1</v>
      </c>
      <c r="CE2040" s="237" t="s">
        <v>318</v>
      </c>
      <c r="CJ2040" s="347">
        <v>273.20999999999998</v>
      </c>
      <c r="CK2040" s="347" t="s">
        <v>363</v>
      </c>
      <c r="CL2040" s="1789"/>
      <c r="CR2040" s="345"/>
      <c r="CS2040" s="345"/>
      <c r="CX2040" s="347"/>
      <c r="CY2040" s="347"/>
      <c r="DH2040" s="237"/>
      <c r="DI2040" s="237"/>
      <c r="DN2040" s="347"/>
      <c r="DO2040" s="347"/>
      <c r="DP2040" s="2505"/>
    </row>
    <row r="2041" spans="12:120">
      <c r="L2041" s="347">
        <v>151.02000000000001</v>
      </c>
      <c r="M2041" s="347" t="s">
        <v>365</v>
      </c>
      <c r="AB2041" s="347">
        <v>712</v>
      </c>
      <c r="AC2041" s="347" t="s">
        <v>309</v>
      </c>
      <c r="AD2041" s="1138"/>
      <c r="AP2041" s="347">
        <v>433.03</v>
      </c>
      <c r="AQ2041" s="347" t="s">
        <v>360</v>
      </c>
      <c r="BF2041" s="347">
        <v>273.27</v>
      </c>
      <c r="BG2041" s="347" t="s">
        <v>363</v>
      </c>
      <c r="BH2041" s="1790"/>
      <c r="BN2041" s="237">
        <v>5.01</v>
      </c>
      <c r="BO2041" s="237" t="s">
        <v>345</v>
      </c>
      <c r="BT2041" s="347">
        <v>432.09</v>
      </c>
      <c r="BU2041" s="347" t="s">
        <v>360</v>
      </c>
      <c r="CD2041" s="237">
        <v>111.11</v>
      </c>
      <c r="CE2041" s="237" t="s">
        <v>318</v>
      </c>
      <c r="CJ2041" s="347">
        <v>273.23</v>
      </c>
      <c r="CK2041" s="347" t="s">
        <v>363</v>
      </c>
      <c r="CL2041" s="1789"/>
      <c r="CR2041" s="345"/>
      <c r="CS2041" s="345"/>
      <c r="CX2041" s="347"/>
      <c r="CY2041" s="347"/>
      <c r="DH2041" s="237"/>
      <c r="DI2041" s="237"/>
      <c r="DN2041" s="347"/>
      <c r="DO2041" s="347"/>
      <c r="DP2041" s="2505"/>
    </row>
    <row r="2042" spans="12:120">
      <c r="L2042" s="347">
        <v>154.04</v>
      </c>
      <c r="M2042" s="347" t="s">
        <v>365</v>
      </c>
      <c r="AB2042" s="347">
        <v>713.01</v>
      </c>
      <c r="AC2042" s="347" t="s">
        <v>309</v>
      </c>
      <c r="AD2042" s="1138"/>
      <c r="AP2042" s="347">
        <v>433.04</v>
      </c>
      <c r="AQ2042" s="347" t="s">
        <v>360</v>
      </c>
      <c r="BF2042" s="347">
        <v>273.27999999999997</v>
      </c>
      <c r="BG2042" s="347" t="s">
        <v>363</v>
      </c>
      <c r="BH2042" s="1790"/>
      <c r="BN2042" s="237">
        <v>5.0199999999999996</v>
      </c>
      <c r="BO2042" s="237" t="s">
        <v>345</v>
      </c>
      <c r="BT2042" s="347">
        <v>433.01</v>
      </c>
      <c r="BU2042" s="347" t="s">
        <v>360</v>
      </c>
      <c r="CD2042" s="237">
        <v>111.12</v>
      </c>
      <c r="CE2042" s="237" t="s">
        <v>318</v>
      </c>
      <c r="CJ2042" s="347">
        <v>273.24</v>
      </c>
      <c r="CK2042" s="347" t="s">
        <v>363</v>
      </c>
      <c r="CL2042" s="1789"/>
      <c r="CR2042" s="345"/>
      <c r="CS2042" s="345"/>
      <c r="CX2042" s="347"/>
      <c r="CY2042" s="347"/>
      <c r="DH2042" s="237"/>
      <c r="DI2042" s="237"/>
      <c r="DN2042" s="347"/>
      <c r="DO2042" s="347"/>
      <c r="DP2042" s="2505"/>
    </row>
    <row r="2043" spans="12:120">
      <c r="L2043" s="347">
        <v>159</v>
      </c>
      <c r="M2043" s="347" t="s">
        <v>365</v>
      </c>
      <c r="AB2043" s="347">
        <v>713.34</v>
      </c>
      <c r="AC2043" s="347" t="s">
        <v>309</v>
      </c>
      <c r="AD2043" s="1138"/>
      <c r="AP2043" s="347">
        <v>435</v>
      </c>
      <c r="AQ2043" s="347" t="s">
        <v>360</v>
      </c>
      <c r="BF2043" s="347">
        <v>273.29000000000002</v>
      </c>
      <c r="BG2043" s="347" t="s">
        <v>363</v>
      </c>
      <c r="BH2043" s="1790"/>
      <c r="BN2043" s="237">
        <v>6</v>
      </c>
      <c r="BO2043" s="237" t="s">
        <v>345</v>
      </c>
      <c r="BT2043" s="347">
        <v>433.03</v>
      </c>
      <c r="BU2043" s="347" t="s">
        <v>360</v>
      </c>
      <c r="CD2043" s="237">
        <v>111.13</v>
      </c>
      <c r="CE2043" s="237" t="s">
        <v>318</v>
      </c>
      <c r="CJ2043" s="347">
        <v>273.25</v>
      </c>
      <c r="CK2043" s="347" t="s">
        <v>363</v>
      </c>
      <c r="CL2043" s="1789"/>
      <c r="CR2043" s="345"/>
      <c r="CS2043" s="345"/>
      <c r="CX2043" s="347"/>
      <c r="CY2043" s="347"/>
      <c r="DH2043" s="237"/>
      <c r="DI2043" s="237"/>
      <c r="DN2043" s="347"/>
      <c r="DO2043" s="347"/>
      <c r="DP2043" s="2505"/>
    </row>
    <row r="2044" spans="12:120">
      <c r="L2044" s="347">
        <v>9501</v>
      </c>
      <c r="M2044" s="347" t="s">
        <v>366</v>
      </c>
      <c r="AB2044" s="347">
        <v>713.35</v>
      </c>
      <c r="AC2044" s="347" t="s">
        <v>309</v>
      </c>
      <c r="AD2044" s="1138"/>
      <c r="AP2044" s="347">
        <v>436</v>
      </c>
      <c r="AQ2044" s="347" t="s">
        <v>360</v>
      </c>
      <c r="BF2044" s="347">
        <v>273.32</v>
      </c>
      <c r="BG2044" s="347" t="s">
        <v>363</v>
      </c>
      <c r="BH2044" s="1790"/>
      <c r="BN2044" s="237">
        <v>7</v>
      </c>
      <c r="BO2044" s="237" t="s">
        <v>345</v>
      </c>
      <c r="BT2044" s="347">
        <v>433.04</v>
      </c>
      <c r="BU2044" s="347" t="s">
        <v>360</v>
      </c>
      <c r="CD2044" s="237">
        <v>111.14</v>
      </c>
      <c r="CE2044" s="237" t="s">
        <v>318</v>
      </c>
      <c r="CJ2044" s="347">
        <v>273.27</v>
      </c>
      <c r="CK2044" s="347" t="s">
        <v>363</v>
      </c>
      <c r="CL2044" s="1789"/>
      <c r="CR2044" s="345"/>
      <c r="CS2044" s="345"/>
      <c r="CX2044" s="347"/>
      <c r="CY2044" s="347"/>
      <c r="DH2044" s="237"/>
      <c r="DI2044" s="237"/>
      <c r="DN2044" s="347"/>
      <c r="DO2044" s="347"/>
      <c r="DP2044" s="2505"/>
    </row>
    <row r="2045" spans="12:120">
      <c r="L2045" s="347">
        <v>9502.02</v>
      </c>
      <c r="M2045" s="347" t="s">
        <v>366</v>
      </c>
      <c r="AB2045" s="347">
        <v>713.38</v>
      </c>
      <c r="AC2045" s="347" t="s">
        <v>309</v>
      </c>
      <c r="AD2045" s="1138"/>
      <c r="AP2045" s="347">
        <v>437</v>
      </c>
      <c r="AQ2045" s="347" t="s">
        <v>360</v>
      </c>
      <c r="BF2045" s="347">
        <v>275.01</v>
      </c>
      <c r="BG2045" s="347" t="s">
        <v>363</v>
      </c>
      <c r="BH2045" s="1790"/>
      <c r="BN2045" s="237">
        <v>8</v>
      </c>
      <c r="BO2045" s="237" t="s">
        <v>345</v>
      </c>
      <c r="BT2045" s="347">
        <v>436</v>
      </c>
      <c r="BU2045" s="347" t="s">
        <v>360</v>
      </c>
      <c r="CD2045" s="237">
        <v>112</v>
      </c>
      <c r="CE2045" s="237" t="s">
        <v>323</v>
      </c>
      <c r="CJ2045" s="347">
        <v>273.27999999999997</v>
      </c>
      <c r="CK2045" s="347" t="s">
        <v>363</v>
      </c>
      <c r="CL2045" s="1789"/>
      <c r="CR2045" s="345"/>
      <c r="CS2045" s="345"/>
      <c r="CX2045" s="347"/>
      <c r="CY2045" s="347"/>
      <c r="DH2045" s="237"/>
      <c r="DI2045" s="237"/>
      <c r="DN2045" s="347"/>
      <c r="DO2045" s="347"/>
      <c r="DP2045" s="2505"/>
    </row>
    <row r="2046" spans="12:120">
      <c r="L2046" s="347">
        <v>9503</v>
      </c>
      <c r="M2046" s="347" t="s">
        <v>366</v>
      </c>
      <c r="AB2046" s="347">
        <v>713.39</v>
      </c>
      <c r="AC2046" s="347" t="s">
        <v>309</v>
      </c>
      <c r="AD2046" s="1138"/>
      <c r="AP2046" s="347">
        <v>438.01</v>
      </c>
      <c r="AQ2046" s="347" t="s">
        <v>360</v>
      </c>
      <c r="BF2046" s="347">
        <v>275.02999999999997</v>
      </c>
      <c r="BG2046" s="347" t="s">
        <v>363</v>
      </c>
      <c r="BH2046" s="1790"/>
      <c r="BN2046" s="237">
        <v>9.0299999999999994</v>
      </c>
      <c r="BO2046" s="237" t="s">
        <v>345</v>
      </c>
      <c r="BT2046" s="347">
        <v>437</v>
      </c>
      <c r="BU2046" s="347" t="s">
        <v>360</v>
      </c>
      <c r="CD2046" s="237">
        <v>112</v>
      </c>
      <c r="CE2046" s="237" t="s">
        <v>359</v>
      </c>
      <c r="CJ2046" s="347">
        <v>273.29000000000002</v>
      </c>
      <c r="CK2046" s="347" t="s">
        <v>363</v>
      </c>
      <c r="CL2046" s="1789"/>
      <c r="CR2046" s="345"/>
      <c r="CS2046" s="345"/>
      <c r="CX2046" s="347"/>
      <c r="CY2046" s="347"/>
      <c r="DH2046" s="237"/>
      <c r="DI2046" s="237"/>
      <c r="DN2046" s="347"/>
      <c r="DO2046" s="347"/>
      <c r="DP2046" s="2505"/>
    </row>
    <row r="2047" spans="12:120">
      <c r="L2047" s="347">
        <v>9504</v>
      </c>
      <c r="M2047" s="347" t="s">
        <v>366</v>
      </c>
      <c r="AB2047" s="347">
        <v>713.4</v>
      </c>
      <c r="AC2047" s="347" t="s">
        <v>309</v>
      </c>
      <c r="AD2047" s="1138"/>
      <c r="AP2047" s="347">
        <v>1.02</v>
      </c>
      <c r="AQ2047" s="347" t="s">
        <v>361</v>
      </c>
      <c r="BF2047" s="347">
        <v>275.04000000000002</v>
      </c>
      <c r="BG2047" s="347" t="s">
        <v>363</v>
      </c>
      <c r="BH2047" s="1790"/>
      <c r="BN2047" s="237">
        <v>9.0399999999999991</v>
      </c>
      <c r="BO2047" s="237" t="s">
        <v>345</v>
      </c>
      <c r="BT2047" s="347">
        <v>438.01</v>
      </c>
      <c r="BU2047" s="347" t="s">
        <v>360</v>
      </c>
      <c r="CD2047" s="237">
        <v>112.02</v>
      </c>
      <c r="CE2047" s="237" t="s">
        <v>365</v>
      </c>
      <c r="CJ2047" s="347">
        <v>273.32</v>
      </c>
      <c r="CK2047" s="347" t="s">
        <v>363</v>
      </c>
      <c r="CL2047" s="1789"/>
      <c r="CR2047" s="345"/>
      <c r="CS2047" s="345"/>
      <c r="CX2047" s="347"/>
      <c r="CY2047" s="347"/>
      <c r="DH2047" s="237"/>
      <c r="DI2047" s="237"/>
      <c r="DN2047" s="347"/>
      <c r="DO2047" s="347"/>
      <c r="DP2047" s="2505"/>
    </row>
    <row r="2048" spans="12:120">
      <c r="L2048" s="347">
        <v>9506</v>
      </c>
      <c r="M2048" s="347" t="s">
        <v>366</v>
      </c>
      <c r="AB2048" s="347">
        <v>715</v>
      </c>
      <c r="AC2048" s="347" t="s">
        <v>309</v>
      </c>
      <c r="AD2048" s="1138"/>
      <c r="AP2048" s="347">
        <v>1.03</v>
      </c>
      <c r="AQ2048" s="347" t="s">
        <v>361</v>
      </c>
      <c r="BF2048" s="347">
        <v>276.02999999999997</v>
      </c>
      <c r="BG2048" s="347" t="s">
        <v>363</v>
      </c>
      <c r="BH2048" s="1790"/>
      <c r="BN2048" s="237">
        <v>9.0500000000000007</v>
      </c>
      <c r="BO2048" s="237" t="s">
        <v>345</v>
      </c>
      <c r="BT2048" s="347">
        <v>1.02</v>
      </c>
      <c r="BU2048" s="347" t="s">
        <v>361</v>
      </c>
      <c r="CD2048" s="237">
        <v>112.03</v>
      </c>
      <c r="CE2048" s="237" t="s">
        <v>337</v>
      </c>
      <c r="CJ2048" s="347">
        <v>275.01</v>
      </c>
      <c r="CK2048" s="347" t="s">
        <v>363</v>
      </c>
      <c r="CL2048" s="1789"/>
      <c r="CR2048" s="345"/>
      <c r="CS2048" s="345"/>
      <c r="CX2048" s="347"/>
      <c r="CY2048" s="347"/>
      <c r="DH2048" s="237"/>
      <c r="DI2048" s="237"/>
      <c r="DN2048" s="347"/>
      <c r="DO2048" s="347"/>
      <c r="DP2048" s="2505"/>
    </row>
    <row r="2049" spans="12:120">
      <c r="L2049" s="347">
        <v>9509</v>
      </c>
      <c r="M2049" s="347" t="s">
        <v>366</v>
      </c>
      <c r="AB2049" s="347">
        <v>801</v>
      </c>
      <c r="AC2049" s="347" t="s">
        <v>376</v>
      </c>
      <c r="AD2049" s="1138"/>
      <c r="AP2049" s="347">
        <v>1.04</v>
      </c>
      <c r="AQ2049" s="347" t="s">
        <v>361</v>
      </c>
      <c r="BF2049" s="347">
        <v>276.04000000000002</v>
      </c>
      <c r="BG2049" s="347" t="s">
        <v>363</v>
      </c>
      <c r="BH2049" s="1790"/>
      <c r="BN2049" s="237">
        <v>9.06</v>
      </c>
      <c r="BO2049" s="237" t="s">
        <v>345</v>
      </c>
      <c r="BT2049" s="347">
        <v>1.03</v>
      </c>
      <c r="BU2049" s="347" t="s">
        <v>361</v>
      </c>
      <c r="CD2049" s="237">
        <v>112.03</v>
      </c>
      <c r="CE2049" s="237" t="s">
        <v>352</v>
      </c>
      <c r="CJ2049" s="347">
        <v>275.02999999999997</v>
      </c>
      <c r="CK2049" s="347" t="s">
        <v>363</v>
      </c>
      <c r="CL2049" s="1789"/>
      <c r="CR2049" s="345"/>
      <c r="CS2049" s="345"/>
      <c r="CX2049" s="347"/>
      <c r="CY2049" s="347"/>
      <c r="DH2049" s="237"/>
      <c r="DI2049" s="237"/>
      <c r="DN2049" s="347"/>
      <c r="DO2049" s="347"/>
      <c r="DP2049" s="2505"/>
    </row>
    <row r="2050" spans="12:120">
      <c r="L2050" s="347">
        <v>9510</v>
      </c>
      <c r="M2050" s="347" t="s">
        <v>366</v>
      </c>
      <c r="AB2050" s="347">
        <v>801.03</v>
      </c>
      <c r="AC2050" s="347" t="s">
        <v>310</v>
      </c>
      <c r="AD2050" s="1138"/>
      <c r="AP2050" s="347">
        <v>2.02</v>
      </c>
      <c r="AQ2050" s="347" t="s">
        <v>361</v>
      </c>
      <c r="BF2050" s="347">
        <v>276.05</v>
      </c>
      <c r="BG2050" s="347" t="s">
        <v>363</v>
      </c>
      <c r="BH2050" s="1790"/>
      <c r="BN2050" s="237">
        <v>9.07</v>
      </c>
      <c r="BO2050" s="237" t="s">
        <v>345</v>
      </c>
      <c r="BT2050" s="347">
        <v>1.04</v>
      </c>
      <c r="BU2050" s="347" t="s">
        <v>361</v>
      </c>
      <c r="CD2050" s="237">
        <v>112.03</v>
      </c>
      <c r="CE2050" s="237" t="s">
        <v>365</v>
      </c>
      <c r="CJ2050" s="347">
        <v>275.04000000000002</v>
      </c>
      <c r="CK2050" s="347" t="s">
        <v>363</v>
      </c>
      <c r="CL2050" s="1789"/>
      <c r="CR2050" s="345"/>
      <c r="CS2050" s="345"/>
      <c r="CX2050" s="347"/>
      <c r="CY2050" s="347"/>
      <c r="DH2050" s="237"/>
      <c r="DI2050" s="237"/>
      <c r="DN2050" s="347"/>
      <c r="DO2050" s="347"/>
      <c r="DP2050" s="2505"/>
    </row>
    <row r="2051" spans="12:120">
      <c r="L2051" s="347">
        <v>9511</v>
      </c>
      <c r="M2051" s="347" t="s">
        <v>366</v>
      </c>
      <c r="AB2051" s="347">
        <v>802.01</v>
      </c>
      <c r="AC2051" s="347" t="s">
        <v>376</v>
      </c>
      <c r="AD2051" s="1138"/>
      <c r="AP2051" s="347">
        <v>2.04</v>
      </c>
      <c r="AQ2051" s="347" t="s">
        <v>361</v>
      </c>
      <c r="BF2051" s="347">
        <v>276.06</v>
      </c>
      <c r="BG2051" s="347" t="s">
        <v>363</v>
      </c>
      <c r="BH2051" s="1790"/>
      <c r="BN2051" s="237">
        <v>10.01</v>
      </c>
      <c r="BO2051" s="237" t="s">
        <v>345</v>
      </c>
      <c r="BT2051" s="347">
        <v>2.04</v>
      </c>
      <c r="BU2051" s="347" t="s">
        <v>361</v>
      </c>
      <c r="CD2051" s="237">
        <v>112.04</v>
      </c>
      <c r="CE2051" s="237" t="s">
        <v>318</v>
      </c>
      <c r="CJ2051" s="347">
        <v>276.02999999999997</v>
      </c>
      <c r="CK2051" s="347" t="s">
        <v>363</v>
      </c>
      <c r="CL2051" s="1789"/>
      <c r="CR2051" s="345"/>
      <c r="CS2051" s="345"/>
      <c r="CX2051" s="347"/>
      <c r="CY2051" s="347"/>
      <c r="DH2051" s="237"/>
      <c r="DI2051" s="237"/>
      <c r="DN2051" s="347"/>
      <c r="DO2051" s="347"/>
      <c r="DP2051" s="2505"/>
    </row>
    <row r="2052" spans="12:120">
      <c r="L2052" s="347">
        <v>9513</v>
      </c>
      <c r="M2052" s="347" t="s">
        <v>366</v>
      </c>
      <c r="AB2052" s="347">
        <v>802.02</v>
      </c>
      <c r="AC2052" s="347" t="s">
        <v>344</v>
      </c>
      <c r="AD2052" s="1138"/>
      <c r="AP2052" s="347">
        <v>2.08</v>
      </c>
      <c r="AQ2052" s="347" t="s">
        <v>361</v>
      </c>
      <c r="BF2052" s="347">
        <v>277.01</v>
      </c>
      <c r="BG2052" s="347" t="s">
        <v>363</v>
      </c>
      <c r="BH2052" s="1790"/>
      <c r="BN2052" s="237">
        <v>10.02</v>
      </c>
      <c r="BO2052" s="237" t="s">
        <v>345</v>
      </c>
      <c r="BT2052" s="347">
        <v>2.08</v>
      </c>
      <c r="BU2052" s="347" t="s">
        <v>361</v>
      </c>
      <c r="CD2052" s="237">
        <v>112.04</v>
      </c>
      <c r="CE2052" s="237" t="s">
        <v>337</v>
      </c>
      <c r="CJ2052" s="347">
        <v>276.04000000000002</v>
      </c>
      <c r="CK2052" s="347" t="s">
        <v>363</v>
      </c>
      <c r="CL2052" s="1789"/>
      <c r="CR2052" s="345"/>
      <c r="CS2052" s="345"/>
      <c r="CX2052" s="347"/>
      <c r="CY2052" s="347"/>
      <c r="DH2052" s="237"/>
      <c r="DI2052" s="237"/>
      <c r="DN2052" s="347"/>
      <c r="DO2052" s="347"/>
      <c r="DP2052" s="2505"/>
    </row>
    <row r="2053" spans="12:120">
      <c r="L2053" s="347">
        <v>103</v>
      </c>
      <c r="M2053" s="347" t="s">
        <v>750</v>
      </c>
      <c r="AB2053" s="347">
        <v>802.03</v>
      </c>
      <c r="AC2053" s="347" t="s">
        <v>344</v>
      </c>
      <c r="AD2053" s="1138"/>
      <c r="AP2053" s="347">
        <v>2.1</v>
      </c>
      <c r="AQ2053" s="347" t="s">
        <v>361</v>
      </c>
      <c r="BF2053" s="347">
        <v>277.02999999999997</v>
      </c>
      <c r="BG2053" s="347" t="s">
        <v>363</v>
      </c>
      <c r="BH2053" s="1790"/>
      <c r="BN2053" s="237">
        <v>11.01</v>
      </c>
      <c r="BO2053" s="237" t="s">
        <v>345</v>
      </c>
      <c r="BT2053" s="347">
        <v>2.11</v>
      </c>
      <c r="BU2053" s="347" t="s">
        <v>361</v>
      </c>
      <c r="CD2053" s="237">
        <v>112.04</v>
      </c>
      <c r="CE2053" s="237" t="s">
        <v>352</v>
      </c>
      <c r="CJ2053" s="347">
        <v>276.05</v>
      </c>
      <c r="CK2053" s="347" t="s">
        <v>363</v>
      </c>
      <c r="CL2053" s="1789"/>
      <c r="CR2053" s="345"/>
      <c r="CS2053" s="345"/>
      <c r="CX2053" s="347"/>
      <c r="CY2053" s="347"/>
      <c r="DH2053" s="237"/>
      <c r="DI2053" s="237"/>
      <c r="DN2053" s="347"/>
      <c r="DO2053" s="347"/>
      <c r="DP2053" s="2505"/>
    </row>
    <row r="2054" spans="12:120">
      <c r="L2054" s="347">
        <v>105.04</v>
      </c>
      <c r="M2054" s="347" t="s">
        <v>750</v>
      </c>
      <c r="AB2054" s="347">
        <v>802.04</v>
      </c>
      <c r="AC2054" s="347" t="s">
        <v>344</v>
      </c>
      <c r="AD2054" s="1138"/>
      <c r="AP2054" s="347">
        <v>2.11</v>
      </c>
      <c r="AQ2054" s="347" t="s">
        <v>361</v>
      </c>
      <c r="BF2054" s="347">
        <v>277.04000000000002</v>
      </c>
      <c r="BG2054" s="347" t="s">
        <v>363</v>
      </c>
      <c r="BH2054" s="1790"/>
      <c r="BN2054" s="237">
        <v>11.02</v>
      </c>
      <c r="BO2054" s="237" t="s">
        <v>345</v>
      </c>
      <c r="BT2054" s="347">
        <v>2.13</v>
      </c>
      <c r="BU2054" s="347" t="s">
        <v>361</v>
      </c>
      <c r="CD2054" s="237">
        <v>112.04</v>
      </c>
      <c r="CE2054" s="237" t="s">
        <v>365</v>
      </c>
      <c r="CJ2054" s="347">
        <v>276.06</v>
      </c>
      <c r="CK2054" s="347" t="s">
        <v>363</v>
      </c>
      <c r="CL2054" s="1789"/>
      <c r="CR2054" s="345"/>
      <c r="CS2054" s="345"/>
      <c r="CX2054" s="347"/>
      <c r="CY2054" s="347"/>
      <c r="DH2054" s="237"/>
      <c r="DI2054" s="237"/>
      <c r="DN2054" s="347"/>
      <c r="DO2054" s="347"/>
      <c r="DP2054" s="2505"/>
    </row>
    <row r="2055" spans="12:120">
      <c r="L2055" s="347">
        <v>107.02</v>
      </c>
      <c r="M2055" s="347" t="s">
        <v>750</v>
      </c>
      <c r="AB2055" s="347">
        <v>803</v>
      </c>
      <c r="AC2055" s="347" t="s">
        <v>344</v>
      </c>
      <c r="AD2055" s="1138"/>
      <c r="AP2055" s="347">
        <v>2.13</v>
      </c>
      <c r="AQ2055" s="347" t="s">
        <v>361</v>
      </c>
      <c r="BF2055" s="347">
        <v>278.01</v>
      </c>
      <c r="BG2055" s="347" t="s">
        <v>363</v>
      </c>
      <c r="BH2055" s="1790"/>
      <c r="BN2055" s="237">
        <v>12</v>
      </c>
      <c r="BO2055" s="237" t="s">
        <v>345</v>
      </c>
      <c r="BT2055" s="347">
        <v>2.14</v>
      </c>
      <c r="BU2055" s="347" t="s">
        <v>361</v>
      </c>
      <c r="CD2055" s="237">
        <v>112.05</v>
      </c>
      <c r="CE2055" s="237" t="s">
        <v>318</v>
      </c>
      <c r="CJ2055" s="347">
        <v>277.01</v>
      </c>
      <c r="CK2055" s="347" t="s">
        <v>363</v>
      </c>
      <c r="CL2055" s="1789"/>
      <c r="CR2055" s="345"/>
      <c r="CS2055" s="345"/>
      <c r="CX2055" s="347"/>
      <c r="CY2055" s="347"/>
      <c r="DH2055" s="237"/>
      <c r="DI2055" s="237"/>
      <c r="DN2055" s="347"/>
      <c r="DO2055" s="347"/>
      <c r="DP2055" s="2505"/>
    </row>
    <row r="2056" spans="12:120">
      <c r="L2056" s="347">
        <v>107.04</v>
      </c>
      <c r="M2056" s="347" t="s">
        <v>750</v>
      </c>
      <c r="AB2056" s="347">
        <v>803</v>
      </c>
      <c r="AC2056" s="347" t="s">
        <v>376</v>
      </c>
      <c r="AD2056" s="1138"/>
      <c r="AP2056" s="347">
        <v>2.14</v>
      </c>
      <c r="AQ2056" s="347" t="s">
        <v>361</v>
      </c>
      <c r="BF2056" s="347">
        <v>278.02</v>
      </c>
      <c r="BG2056" s="347" t="s">
        <v>363</v>
      </c>
      <c r="BH2056" s="1790"/>
      <c r="BN2056" s="237">
        <v>13</v>
      </c>
      <c r="BO2056" s="237" t="s">
        <v>345</v>
      </c>
      <c r="BT2056" s="347">
        <v>2.16</v>
      </c>
      <c r="BU2056" s="347" t="s">
        <v>361</v>
      </c>
      <c r="CD2056" s="237">
        <v>112.05</v>
      </c>
      <c r="CE2056" s="237" t="s">
        <v>337</v>
      </c>
      <c r="CJ2056" s="347">
        <v>277.02999999999997</v>
      </c>
      <c r="CK2056" s="347" t="s">
        <v>363</v>
      </c>
      <c r="CL2056" s="1789"/>
      <c r="CR2056" s="345"/>
      <c r="CS2056" s="345"/>
      <c r="CX2056" s="347"/>
      <c r="CY2056" s="347"/>
      <c r="DH2056" s="237"/>
      <c r="DI2056" s="237"/>
      <c r="DN2056" s="347"/>
      <c r="DO2056" s="347"/>
      <c r="DP2056" s="2505"/>
    </row>
    <row r="2057" spans="12:120">
      <c r="L2057" s="347">
        <v>107.07</v>
      </c>
      <c r="M2057" s="347" t="s">
        <v>750</v>
      </c>
      <c r="AB2057" s="347">
        <v>804</v>
      </c>
      <c r="AC2057" s="347" t="s">
        <v>376</v>
      </c>
      <c r="AD2057" s="1138"/>
      <c r="AP2057" s="347">
        <v>2.16</v>
      </c>
      <c r="AQ2057" s="347" t="s">
        <v>361</v>
      </c>
      <c r="BF2057" s="347">
        <v>279.01</v>
      </c>
      <c r="BG2057" s="347" t="s">
        <v>363</v>
      </c>
      <c r="BH2057" s="1790"/>
      <c r="BN2057" s="237">
        <v>14.01</v>
      </c>
      <c r="BO2057" s="237" t="s">
        <v>345</v>
      </c>
      <c r="BT2057" s="347">
        <v>2.17</v>
      </c>
      <c r="BU2057" s="347" t="s">
        <v>361</v>
      </c>
      <c r="CD2057" s="237">
        <v>112.05</v>
      </c>
      <c r="CE2057" s="237" t="s">
        <v>352</v>
      </c>
      <c r="CJ2057" s="347">
        <v>277.04000000000002</v>
      </c>
      <c r="CK2057" s="347" t="s">
        <v>363</v>
      </c>
      <c r="CL2057" s="1789"/>
      <c r="CR2057" s="345"/>
      <c r="CS2057" s="345"/>
      <c r="CX2057" s="347"/>
      <c r="CY2057" s="347"/>
      <c r="DH2057" s="237"/>
      <c r="DI2057" s="237"/>
      <c r="DN2057" s="347"/>
      <c r="DO2057" s="347"/>
      <c r="DP2057" s="2505"/>
    </row>
    <row r="2058" spans="12:120">
      <c r="L2058" s="347">
        <v>108.02</v>
      </c>
      <c r="M2058" s="347" t="s">
        <v>750</v>
      </c>
      <c r="AB2058" s="347">
        <v>804.06</v>
      </c>
      <c r="AC2058" s="347" t="s">
        <v>310</v>
      </c>
      <c r="AD2058" s="1138"/>
      <c r="AP2058" s="347">
        <v>2.17</v>
      </c>
      <c r="AQ2058" s="347" t="s">
        <v>361</v>
      </c>
      <c r="BF2058" s="347">
        <v>279.05</v>
      </c>
      <c r="BG2058" s="347" t="s">
        <v>363</v>
      </c>
      <c r="BH2058" s="1790"/>
      <c r="BN2058" s="237">
        <v>14.02</v>
      </c>
      <c r="BO2058" s="237" t="s">
        <v>345</v>
      </c>
      <c r="BT2058" s="347">
        <v>2.1800000000000002</v>
      </c>
      <c r="BU2058" s="347" t="s">
        <v>361</v>
      </c>
      <c r="CD2058" s="237">
        <v>112.06</v>
      </c>
      <c r="CE2058" s="237" t="s">
        <v>318</v>
      </c>
      <c r="CJ2058" s="347">
        <v>278.01</v>
      </c>
      <c r="CK2058" s="347" t="s">
        <v>363</v>
      </c>
      <c r="CL2058" s="1789"/>
      <c r="CR2058" s="345"/>
      <c r="CS2058" s="345"/>
      <c r="CX2058" s="347"/>
      <c r="CY2058" s="347"/>
      <c r="DH2058" s="237"/>
      <c r="DI2058" s="237"/>
      <c r="DN2058" s="347"/>
      <c r="DO2058" s="347"/>
      <c r="DP2058" s="2505"/>
    </row>
    <row r="2059" spans="12:120">
      <c r="L2059" s="347">
        <v>108.11</v>
      </c>
      <c r="M2059" s="347" t="s">
        <v>750</v>
      </c>
      <c r="AB2059" s="347">
        <v>805</v>
      </c>
      <c r="AC2059" s="347" t="s">
        <v>376</v>
      </c>
      <c r="AD2059" s="1138"/>
      <c r="AP2059" s="347">
        <v>2.1800000000000002</v>
      </c>
      <c r="AQ2059" s="347" t="s">
        <v>361</v>
      </c>
      <c r="BF2059" s="347">
        <v>280.02</v>
      </c>
      <c r="BG2059" s="347" t="s">
        <v>363</v>
      </c>
      <c r="BH2059" s="1790"/>
      <c r="BN2059" s="237">
        <v>15</v>
      </c>
      <c r="BO2059" s="237" t="s">
        <v>345</v>
      </c>
      <c r="BT2059" s="347">
        <v>2.19</v>
      </c>
      <c r="BU2059" s="347" t="s">
        <v>361</v>
      </c>
      <c r="CD2059" s="237">
        <v>112.06</v>
      </c>
      <c r="CE2059" s="237" t="s">
        <v>337</v>
      </c>
      <c r="CJ2059" s="347">
        <v>278.02</v>
      </c>
      <c r="CK2059" s="347" t="s">
        <v>363</v>
      </c>
      <c r="CL2059" s="1789"/>
      <c r="CR2059" s="345"/>
      <c r="CS2059" s="345"/>
      <c r="CX2059" s="347"/>
      <c r="CY2059" s="347"/>
      <c r="DH2059" s="237"/>
      <c r="DI2059" s="237"/>
      <c r="DN2059" s="347"/>
      <c r="DO2059" s="347"/>
      <c r="DP2059" s="2505"/>
    </row>
    <row r="2060" spans="12:120">
      <c r="L2060" s="347">
        <v>108.12</v>
      </c>
      <c r="M2060" s="347" t="s">
        <v>750</v>
      </c>
      <c r="AB2060" s="347">
        <v>806</v>
      </c>
      <c r="AC2060" s="347" t="s">
        <v>376</v>
      </c>
      <c r="AD2060" s="1138"/>
      <c r="AP2060" s="347">
        <v>2.19</v>
      </c>
      <c r="AQ2060" s="347" t="s">
        <v>361</v>
      </c>
      <c r="BF2060" s="347">
        <v>280.04000000000002</v>
      </c>
      <c r="BG2060" s="347" t="s">
        <v>363</v>
      </c>
      <c r="BH2060" s="1790"/>
      <c r="BN2060" s="237">
        <v>16.010000000000002</v>
      </c>
      <c r="BO2060" s="237" t="s">
        <v>345</v>
      </c>
      <c r="BT2060" s="347">
        <v>2.2000000000000002</v>
      </c>
      <c r="BU2060" s="347" t="s">
        <v>361</v>
      </c>
      <c r="CD2060" s="237">
        <v>112.06</v>
      </c>
      <c r="CE2060" s="237" t="s">
        <v>352</v>
      </c>
      <c r="CJ2060" s="347">
        <v>279.01</v>
      </c>
      <c r="CK2060" s="347" t="s">
        <v>363</v>
      </c>
      <c r="CL2060" s="1789"/>
      <c r="CR2060" s="345"/>
      <c r="CS2060" s="345"/>
      <c r="CX2060" s="347"/>
      <c r="CY2060" s="347"/>
      <c r="DH2060" s="237"/>
      <c r="DI2060" s="237"/>
      <c r="DN2060" s="347"/>
      <c r="DO2060" s="347"/>
      <c r="DP2060" s="2505"/>
    </row>
    <row r="2061" spans="12:120">
      <c r="L2061" s="347">
        <v>108.13</v>
      </c>
      <c r="M2061" s="347" t="s">
        <v>750</v>
      </c>
      <c r="AB2061" s="347">
        <v>807</v>
      </c>
      <c r="AC2061" s="347" t="s">
        <v>376</v>
      </c>
      <c r="AD2061" s="1138"/>
      <c r="AP2061" s="347">
        <v>2.2000000000000002</v>
      </c>
      <c r="AQ2061" s="347" t="s">
        <v>361</v>
      </c>
      <c r="BF2061" s="347">
        <v>280.05</v>
      </c>
      <c r="BG2061" s="347" t="s">
        <v>363</v>
      </c>
      <c r="BH2061" s="1790"/>
      <c r="BN2061" s="237">
        <v>16.02</v>
      </c>
      <c r="BO2061" s="237" t="s">
        <v>345</v>
      </c>
      <c r="BT2061" s="347">
        <v>2.21</v>
      </c>
      <c r="BU2061" s="347" t="s">
        <v>361</v>
      </c>
      <c r="CD2061" s="237">
        <v>112.07</v>
      </c>
      <c r="CE2061" s="237" t="s">
        <v>318</v>
      </c>
      <c r="CJ2061" s="347">
        <v>279.05</v>
      </c>
      <c r="CK2061" s="347" t="s">
        <v>363</v>
      </c>
      <c r="CL2061" s="1789"/>
      <c r="CR2061" s="345"/>
      <c r="CS2061" s="345"/>
      <c r="CX2061" s="347"/>
      <c r="CY2061" s="347"/>
      <c r="DH2061" s="237"/>
      <c r="DI2061" s="237"/>
      <c r="DN2061" s="347"/>
      <c r="DO2061" s="347"/>
      <c r="DP2061" s="2505"/>
    </row>
    <row r="2062" spans="12:120">
      <c r="L2062" s="347">
        <v>108.14</v>
      </c>
      <c r="M2062" s="347" t="s">
        <v>750</v>
      </c>
      <c r="AB2062" s="347">
        <v>808.03</v>
      </c>
      <c r="AC2062" s="347" t="s">
        <v>376</v>
      </c>
      <c r="AD2062" s="1138"/>
      <c r="AP2062" s="347">
        <v>2.21</v>
      </c>
      <c r="AQ2062" s="347" t="s">
        <v>361</v>
      </c>
      <c r="BF2062" s="347">
        <v>280.06</v>
      </c>
      <c r="BG2062" s="347" t="s">
        <v>363</v>
      </c>
      <c r="BH2062" s="1790"/>
      <c r="BN2062" s="237">
        <v>17.010000000000002</v>
      </c>
      <c r="BO2062" s="237" t="s">
        <v>345</v>
      </c>
      <c r="BT2062" s="347">
        <v>2.23</v>
      </c>
      <c r="BU2062" s="347" t="s">
        <v>361</v>
      </c>
      <c r="CD2062" s="237">
        <v>112.08</v>
      </c>
      <c r="CE2062" s="237" t="s">
        <v>318</v>
      </c>
      <c r="CJ2062" s="347">
        <v>280.02</v>
      </c>
      <c r="CK2062" s="347" t="s">
        <v>363</v>
      </c>
      <c r="CL2062" s="1789"/>
      <c r="CR2062" s="345"/>
      <c r="CS2062" s="345"/>
      <c r="CX2062" s="347"/>
      <c r="CY2062" s="347"/>
      <c r="DH2062" s="237"/>
      <c r="DI2062" s="237"/>
      <c r="DN2062" s="347"/>
      <c r="DO2062" s="347"/>
      <c r="DP2062" s="2505"/>
    </row>
    <row r="2063" spans="12:120">
      <c r="L2063" s="347">
        <v>108.17</v>
      </c>
      <c r="M2063" s="347" t="s">
        <v>750</v>
      </c>
      <c r="AB2063" s="347">
        <v>808.06</v>
      </c>
      <c r="AC2063" s="347" t="s">
        <v>376</v>
      </c>
      <c r="AD2063" s="1138"/>
      <c r="AP2063" s="347">
        <v>2.23</v>
      </c>
      <c r="AQ2063" s="347" t="s">
        <v>361</v>
      </c>
      <c r="BF2063" s="347">
        <v>281.02</v>
      </c>
      <c r="BG2063" s="347" t="s">
        <v>363</v>
      </c>
      <c r="BH2063" s="1790"/>
      <c r="BN2063" s="237">
        <v>17.02</v>
      </c>
      <c r="BO2063" s="237" t="s">
        <v>345</v>
      </c>
      <c r="BT2063" s="347">
        <v>3.01</v>
      </c>
      <c r="BU2063" s="347" t="s">
        <v>361</v>
      </c>
      <c r="CD2063" s="237">
        <v>112.09</v>
      </c>
      <c r="CE2063" s="237" t="s">
        <v>318</v>
      </c>
      <c r="CJ2063" s="347">
        <v>280.04000000000002</v>
      </c>
      <c r="CK2063" s="347" t="s">
        <v>363</v>
      </c>
      <c r="CL2063" s="1789"/>
      <c r="CR2063" s="345"/>
      <c r="CS2063" s="345"/>
      <c r="CX2063" s="347"/>
      <c r="CY2063" s="347"/>
      <c r="DH2063" s="237"/>
      <c r="DI2063" s="237"/>
      <c r="DN2063" s="347"/>
      <c r="DO2063" s="347"/>
      <c r="DP2063" s="2505"/>
    </row>
    <row r="2064" spans="12:120">
      <c r="L2064" s="347">
        <v>108.19</v>
      </c>
      <c r="M2064" s="347" t="s">
        <v>750</v>
      </c>
      <c r="AB2064" s="347">
        <v>808.07</v>
      </c>
      <c r="AC2064" s="347" t="s">
        <v>376</v>
      </c>
      <c r="AD2064" s="1138"/>
      <c r="AP2064" s="347">
        <v>3.01</v>
      </c>
      <c r="AQ2064" s="347" t="s">
        <v>361</v>
      </c>
      <c r="BF2064" s="347">
        <v>282</v>
      </c>
      <c r="BG2064" s="347" t="s">
        <v>363</v>
      </c>
      <c r="BH2064" s="1790"/>
      <c r="BN2064" s="237">
        <v>18.010000000000002</v>
      </c>
      <c r="BO2064" s="237" t="s">
        <v>345</v>
      </c>
      <c r="BT2064" s="347">
        <v>3.03</v>
      </c>
      <c r="BU2064" s="347" t="s">
        <v>361</v>
      </c>
      <c r="CD2064" s="237">
        <v>112.1</v>
      </c>
      <c r="CE2064" s="237" t="s">
        <v>318</v>
      </c>
      <c r="CJ2064" s="347">
        <v>280.05</v>
      </c>
      <c r="CK2064" s="347" t="s">
        <v>363</v>
      </c>
      <c r="CL2064" s="1789"/>
      <c r="CR2064" s="345"/>
      <c r="CS2064" s="345"/>
      <c r="CX2064" s="347"/>
      <c r="CY2064" s="347"/>
      <c r="DH2064" s="237"/>
      <c r="DI2064" s="237"/>
      <c r="DN2064" s="347"/>
      <c r="DO2064" s="347"/>
      <c r="DP2064" s="2505"/>
    </row>
    <row r="2065" spans="12:120">
      <c r="L2065" s="347">
        <v>109</v>
      </c>
      <c r="M2065" s="347" t="s">
        <v>750</v>
      </c>
      <c r="AB2065" s="347">
        <v>811.02</v>
      </c>
      <c r="AC2065" s="347" t="s">
        <v>376</v>
      </c>
      <c r="AD2065" s="1138"/>
      <c r="AP2065" s="347">
        <v>3.03</v>
      </c>
      <c r="AQ2065" s="347" t="s">
        <v>361</v>
      </c>
      <c r="BF2065" s="347">
        <v>285</v>
      </c>
      <c r="BG2065" s="347" t="s">
        <v>363</v>
      </c>
      <c r="BH2065" s="1790"/>
      <c r="BN2065" s="237">
        <v>18.03</v>
      </c>
      <c r="BO2065" s="237" t="s">
        <v>345</v>
      </c>
      <c r="BT2065" s="347">
        <v>3.04</v>
      </c>
      <c r="BU2065" s="347" t="s">
        <v>361</v>
      </c>
      <c r="CD2065" s="237">
        <v>112.11</v>
      </c>
      <c r="CE2065" s="237" t="s">
        <v>318</v>
      </c>
      <c r="CJ2065" s="347">
        <v>280.06</v>
      </c>
      <c r="CK2065" s="347" t="s">
        <v>363</v>
      </c>
      <c r="CL2065" s="1789"/>
      <c r="CR2065" s="345"/>
      <c r="CS2065" s="345"/>
      <c r="CX2065" s="347"/>
      <c r="CY2065" s="347"/>
      <c r="DH2065" s="237"/>
      <c r="DI2065" s="237"/>
      <c r="DN2065" s="347"/>
      <c r="DO2065" s="347"/>
      <c r="DP2065" s="2505"/>
    </row>
    <row r="2066" spans="12:120">
      <c r="L2066" s="347">
        <v>4.04</v>
      </c>
      <c r="M2066" s="347" t="s">
        <v>368</v>
      </c>
      <c r="AB2066" s="347">
        <v>812</v>
      </c>
      <c r="AC2066" s="347" t="s">
        <v>376</v>
      </c>
      <c r="AD2066" s="1138"/>
      <c r="AP2066" s="347">
        <v>3.04</v>
      </c>
      <c r="AQ2066" s="347" t="s">
        <v>361</v>
      </c>
      <c r="BF2066" s="347">
        <v>286.02</v>
      </c>
      <c r="BG2066" s="347" t="s">
        <v>363</v>
      </c>
      <c r="BH2066" s="1790"/>
      <c r="BN2066" s="237">
        <v>18.04</v>
      </c>
      <c r="BO2066" s="237" t="s">
        <v>345</v>
      </c>
      <c r="BT2066" s="347">
        <v>4.05</v>
      </c>
      <c r="BU2066" s="347" t="s">
        <v>361</v>
      </c>
      <c r="CD2066" s="237">
        <v>112.12</v>
      </c>
      <c r="CE2066" s="237" t="s">
        <v>318</v>
      </c>
      <c r="CJ2066" s="347">
        <v>281.02</v>
      </c>
      <c r="CK2066" s="347" t="s">
        <v>363</v>
      </c>
      <c r="CL2066" s="1789"/>
      <c r="CR2066" s="345"/>
      <c r="CS2066" s="345"/>
      <c r="CX2066" s="347"/>
      <c r="CY2066" s="347"/>
      <c r="DH2066" s="237"/>
      <c r="DI2066" s="237"/>
      <c r="DN2066" s="347"/>
      <c r="DO2066" s="347"/>
      <c r="DP2066" s="2505"/>
    </row>
    <row r="2067" spans="12:120">
      <c r="L2067" s="347">
        <v>4.05</v>
      </c>
      <c r="M2067" s="347" t="s">
        <v>368</v>
      </c>
      <c r="AB2067" s="347">
        <v>813</v>
      </c>
      <c r="AC2067" s="347" t="s">
        <v>376</v>
      </c>
      <c r="AD2067" s="1138"/>
      <c r="AP2067" s="347">
        <v>4.05</v>
      </c>
      <c r="AQ2067" s="347" t="s">
        <v>361</v>
      </c>
      <c r="BF2067" s="347">
        <v>301</v>
      </c>
      <c r="BG2067" s="347" t="s">
        <v>310</v>
      </c>
      <c r="BH2067" s="1790"/>
      <c r="BN2067" s="237">
        <v>19.010000000000002</v>
      </c>
      <c r="BO2067" s="237" t="s">
        <v>345</v>
      </c>
      <c r="BT2067" s="347">
        <v>4.0599999999999996</v>
      </c>
      <c r="BU2067" s="347" t="s">
        <v>361</v>
      </c>
      <c r="CD2067" s="237">
        <v>112.13</v>
      </c>
      <c r="CE2067" s="237" t="s">
        <v>318</v>
      </c>
      <c r="CJ2067" s="347">
        <v>282</v>
      </c>
      <c r="CK2067" s="347" t="s">
        <v>363</v>
      </c>
      <c r="CL2067" s="1789"/>
      <c r="CR2067" s="345"/>
      <c r="CS2067" s="345"/>
      <c r="CX2067" s="347"/>
      <c r="CY2067" s="347"/>
      <c r="DH2067" s="237"/>
      <c r="DI2067" s="237"/>
      <c r="DN2067" s="347"/>
      <c r="DO2067" s="347"/>
      <c r="DP2067" s="2505"/>
    </row>
    <row r="2068" spans="12:120">
      <c r="L2068" s="347">
        <v>5.01</v>
      </c>
      <c r="M2068" s="347" t="s">
        <v>368</v>
      </c>
      <c r="AB2068" s="347">
        <v>824.05</v>
      </c>
      <c r="AC2068" s="347" t="s">
        <v>376</v>
      </c>
      <c r="AD2068" s="1138"/>
      <c r="AP2068" s="347">
        <v>4.0599999999999996</v>
      </c>
      <c r="AQ2068" s="347" t="s">
        <v>361</v>
      </c>
      <c r="BF2068" s="347">
        <v>301</v>
      </c>
      <c r="BG2068" s="347" t="s">
        <v>344</v>
      </c>
      <c r="BH2068" s="1790"/>
      <c r="BN2068" s="237">
        <v>19.02</v>
      </c>
      <c r="BO2068" s="237" t="s">
        <v>345</v>
      </c>
      <c r="BT2068" s="347">
        <v>4.07</v>
      </c>
      <c r="BU2068" s="347" t="s">
        <v>361</v>
      </c>
      <c r="CD2068" s="237">
        <v>112.14</v>
      </c>
      <c r="CE2068" s="237" t="s">
        <v>318</v>
      </c>
      <c r="CJ2068" s="347">
        <v>285</v>
      </c>
      <c r="CK2068" s="347" t="s">
        <v>363</v>
      </c>
      <c r="CL2068" s="1789"/>
      <c r="CR2068" s="345"/>
      <c r="CS2068" s="345"/>
      <c r="CX2068" s="347"/>
      <c r="CY2068" s="347"/>
      <c r="DH2068" s="237"/>
      <c r="DI2068" s="237"/>
      <c r="DN2068" s="347"/>
      <c r="DO2068" s="347"/>
      <c r="DP2068" s="2505"/>
    </row>
    <row r="2069" spans="12:120">
      <c r="L2069" s="347">
        <v>5.0199999999999996</v>
      </c>
      <c r="M2069" s="347" t="s">
        <v>368</v>
      </c>
      <c r="AB2069" s="347">
        <v>824.06</v>
      </c>
      <c r="AC2069" s="347" t="s">
        <v>376</v>
      </c>
      <c r="AD2069" s="1138"/>
      <c r="AP2069" s="347">
        <v>4.07</v>
      </c>
      <c r="AQ2069" s="347" t="s">
        <v>361</v>
      </c>
      <c r="BF2069" s="347">
        <v>301.02</v>
      </c>
      <c r="BG2069" s="347" t="s">
        <v>315</v>
      </c>
      <c r="BH2069" s="1790"/>
      <c r="BN2069" s="237">
        <v>20.03</v>
      </c>
      <c r="BO2069" s="237" t="s">
        <v>345</v>
      </c>
      <c r="BT2069" s="347">
        <v>4.08</v>
      </c>
      <c r="BU2069" s="347" t="s">
        <v>361</v>
      </c>
      <c r="CD2069" s="237">
        <v>113</v>
      </c>
      <c r="CE2069" s="237" t="s">
        <v>323</v>
      </c>
      <c r="CJ2069" s="347">
        <v>286.01</v>
      </c>
      <c r="CK2069" s="347" t="s">
        <v>363</v>
      </c>
      <c r="CL2069" s="1789"/>
      <c r="CR2069" s="345"/>
      <c r="CS2069" s="345"/>
      <c r="CX2069" s="347"/>
      <c r="CY2069" s="347"/>
      <c r="DH2069" s="237"/>
      <c r="DI2069" s="237"/>
      <c r="DN2069" s="347"/>
      <c r="DO2069" s="347"/>
      <c r="DP2069" s="2505"/>
    </row>
    <row r="2070" spans="12:120">
      <c r="L2070" s="347">
        <v>6.01</v>
      </c>
      <c r="M2070" s="347" t="s">
        <v>368</v>
      </c>
      <c r="AB2070" s="347">
        <v>824.1</v>
      </c>
      <c r="AC2070" s="347" t="s">
        <v>376</v>
      </c>
      <c r="AD2070" s="1138"/>
      <c r="AP2070" s="347">
        <v>4.08</v>
      </c>
      <c r="AQ2070" s="347" t="s">
        <v>361</v>
      </c>
      <c r="BF2070" s="347">
        <v>301.04000000000002</v>
      </c>
      <c r="BG2070" s="347" t="s">
        <v>343</v>
      </c>
      <c r="BH2070" s="1790"/>
      <c r="BN2070" s="237">
        <v>20.05</v>
      </c>
      <c r="BO2070" s="237" t="s">
        <v>345</v>
      </c>
      <c r="BT2070" s="347">
        <v>4.0999999999999996</v>
      </c>
      <c r="BU2070" s="347" t="s">
        <v>361</v>
      </c>
      <c r="CD2070" s="237">
        <v>113</v>
      </c>
      <c r="CE2070" s="237" t="s">
        <v>359</v>
      </c>
      <c r="CJ2070" s="347">
        <v>286.02</v>
      </c>
      <c r="CK2070" s="347" t="s">
        <v>363</v>
      </c>
      <c r="CL2070" s="1789"/>
      <c r="CR2070" s="345"/>
      <c r="CS2070" s="345"/>
      <c r="CX2070" s="347"/>
      <c r="CY2070" s="347"/>
      <c r="DH2070" s="237"/>
      <c r="DI2070" s="237"/>
      <c r="DN2070" s="347"/>
      <c r="DO2070" s="347"/>
      <c r="DP2070" s="2505"/>
    </row>
    <row r="2071" spans="12:120">
      <c r="L2071" s="347">
        <v>6.02</v>
      </c>
      <c r="M2071" s="347" t="s">
        <v>368</v>
      </c>
      <c r="AB2071" s="347">
        <v>824.11</v>
      </c>
      <c r="AC2071" s="347" t="s">
        <v>376</v>
      </c>
      <c r="AD2071" s="1138"/>
      <c r="AP2071" s="347">
        <v>5.05</v>
      </c>
      <c r="AQ2071" s="347" t="s">
        <v>361</v>
      </c>
      <c r="BF2071" s="347">
        <v>301.08</v>
      </c>
      <c r="BG2071" s="347" t="s">
        <v>343</v>
      </c>
      <c r="BH2071" s="1790"/>
      <c r="BN2071" s="237">
        <v>20.059999999999999</v>
      </c>
      <c r="BO2071" s="237" t="s">
        <v>345</v>
      </c>
      <c r="BT2071" s="347">
        <v>5.05</v>
      </c>
      <c r="BU2071" s="347" t="s">
        <v>361</v>
      </c>
      <c r="CD2071" s="237">
        <v>113</v>
      </c>
      <c r="CE2071" s="237" t="s">
        <v>365</v>
      </c>
      <c r="CJ2071" s="347">
        <v>301</v>
      </c>
      <c r="CK2071" s="347" t="s">
        <v>310</v>
      </c>
      <c r="CL2071" s="1789"/>
      <c r="CR2071" s="345"/>
      <c r="CS2071" s="345"/>
      <c r="CX2071" s="347"/>
      <c r="CY2071" s="347"/>
      <c r="DH2071" s="237"/>
      <c r="DI2071" s="237"/>
      <c r="DN2071" s="347"/>
      <c r="DO2071" s="347"/>
      <c r="DP2071" s="2505"/>
    </row>
    <row r="2072" spans="12:120">
      <c r="L2072" s="347">
        <v>7</v>
      </c>
      <c r="M2072" s="347" t="s">
        <v>368</v>
      </c>
      <c r="AB2072" s="347">
        <v>824.12</v>
      </c>
      <c r="AC2072" s="347" t="s">
        <v>376</v>
      </c>
      <c r="AD2072" s="1138"/>
      <c r="AP2072" s="347">
        <v>5.07</v>
      </c>
      <c r="AQ2072" s="347" t="s">
        <v>361</v>
      </c>
      <c r="BF2072" s="347">
        <v>301.08999999999997</v>
      </c>
      <c r="BG2072" s="347" t="s">
        <v>343</v>
      </c>
      <c r="BH2072" s="1790"/>
      <c r="BN2072" s="237">
        <v>20.07</v>
      </c>
      <c r="BO2072" s="237" t="s">
        <v>345</v>
      </c>
      <c r="BT2072" s="347">
        <v>5.07</v>
      </c>
      <c r="BU2072" s="347" t="s">
        <v>361</v>
      </c>
      <c r="CD2072" s="237">
        <v>113.01</v>
      </c>
      <c r="CE2072" s="237" t="s">
        <v>337</v>
      </c>
      <c r="CJ2072" s="347">
        <v>301</v>
      </c>
      <c r="CK2072" s="347" t="s">
        <v>344</v>
      </c>
      <c r="CL2072" s="1789"/>
      <c r="CR2072" s="345"/>
      <c r="CS2072" s="345"/>
      <c r="CX2072" s="347"/>
      <c r="CY2072" s="347"/>
      <c r="DH2072" s="237"/>
      <c r="DI2072" s="237"/>
      <c r="DN2072" s="347"/>
      <c r="DO2072" s="347"/>
      <c r="DP2072" s="2505"/>
    </row>
    <row r="2073" spans="12:120">
      <c r="L2073" s="347">
        <v>8.01</v>
      </c>
      <c r="M2073" s="347" t="s">
        <v>368</v>
      </c>
      <c r="AB2073" s="347">
        <v>824.13</v>
      </c>
      <c r="AC2073" s="347" t="s">
        <v>376</v>
      </c>
      <c r="AD2073" s="1138"/>
      <c r="AP2073" s="347">
        <v>5.09</v>
      </c>
      <c r="AQ2073" s="347" t="s">
        <v>361</v>
      </c>
      <c r="BF2073" s="347">
        <v>301.10000000000002</v>
      </c>
      <c r="BG2073" s="347" t="s">
        <v>343</v>
      </c>
      <c r="BH2073" s="1790"/>
      <c r="BN2073" s="237">
        <v>20.079999999999998</v>
      </c>
      <c r="BO2073" s="237" t="s">
        <v>345</v>
      </c>
      <c r="BT2073" s="347">
        <v>5.09</v>
      </c>
      <c r="BU2073" s="347" t="s">
        <v>361</v>
      </c>
      <c r="CD2073" s="237">
        <v>113.01</v>
      </c>
      <c r="CE2073" s="237" t="s">
        <v>352</v>
      </c>
      <c r="CJ2073" s="347">
        <v>301.04000000000002</v>
      </c>
      <c r="CK2073" s="347" t="s">
        <v>317</v>
      </c>
      <c r="CL2073" s="1789"/>
      <c r="CR2073" s="345"/>
      <c r="CS2073" s="345"/>
      <c r="CX2073" s="347"/>
      <c r="CY2073" s="347"/>
      <c r="DH2073" s="237"/>
      <c r="DI2073" s="237"/>
      <c r="DN2073" s="347"/>
      <c r="DO2073" s="347"/>
      <c r="DP2073" s="2505"/>
    </row>
    <row r="2074" spans="12:120">
      <c r="L2074" s="347">
        <v>8.02</v>
      </c>
      <c r="M2074" s="347" t="s">
        <v>368</v>
      </c>
      <c r="AB2074" s="347">
        <v>825.08</v>
      </c>
      <c r="AC2074" s="347" t="s">
        <v>376</v>
      </c>
      <c r="AD2074" s="1138"/>
      <c r="AP2074" s="347">
        <v>5.13</v>
      </c>
      <c r="AQ2074" s="347" t="s">
        <v>361</v>
      </c>
      <c r="BF2074" s="347">
        <v>302.01</v>
      </c>
      <c r="BG2074" s="347" t="s">
        <v>344</v>
      </c>
      <c r="BH2074" s="1790"/>
      <c r="BN2074" s="237">
        <v>21.01</v>
      </c>
      <c r="BO2074" s="237" t="s">
        <v>345</v>
      </c>
      <c r="BT2074" s="347">
        <v>5.12</v>
      </c>
      <c r="BU2074" s="347" t="s">
        <v>361</v>
      </c>
      <c r="CD2074" s="237">
        <v>113.02</v>
      </c>
      <c r="CE2074" s="237" t="s">
        <v>352</v>
      </c>
      <c r="CJ2074" s="347">
        <v>301.04000000000002</v>
      </c>
      <c r="CK2074" s="347" t="s">
        <v>343</v>
      </c>
      <c r="CL2074" s="1789"/>
      <c r="CR2074" s="345"/>
      <c r="CS2074" s="345"/>
      <c r="CX2074" s="347"/>
      <c r="CY2074" s="347"/>
      <c r="DH2074" s="237"/>
      <c r="DI2074" s="237"/>
      <c r="DN2074" s="347"/>
      <c r="DO2074" s="347"/>
      <c r="DP2074" s="2505"/>
    </row>
    <row r="2075" spans="12:120">
      <c r="L2075" s="347">
        <v>9</v>
      </c>
      <c r="M2075" s="347" t="s">
        <v>368</v>
      </c>
      <c r="AB2075" s="347">
        <v>825.09</v>
      </c>
      <c r="AC2075" s="347" t="s">
        <v>376</v>
      </c>
      <c r="AD2075" s="1138"/>
      <c r="AP2075" s="347">
        <v>6</v>
      </c>
      <c r="AQ2075" s="347" t="s">
        <v>361</v>
      </c>
      <c r="BF2075" s="347">
        <v>302.02</v>
      </c>
      <c r="BG2075" s="347" t="s">
        <v>315</v>
      </c>
      <c r="BH2075" s="1790"/>
      <c r="BN2075" s="237">
        <v>21.03</v>
      </c>
      <c r="BO2075" s="237" t="s">
        <v>345</v>
      </c>
      <c r="BT2075" s="347">
        <v>5.13</v>
      </c>
      <c r="BU2075" s="347" t="s">
        <v>361</v>
      </c>
      <c r="CD2075" s="237">
        <v>113.03</v>
      </c>
      <c r="CE2075" s="237" t="s">
        <v>318</v>
      </c>
      <c r="CJ2075" s="347">
        <v>301.08</v>
      </c>
      <c r="CK2075" s="347" t="s">
        <v>343</v>
      </c>
      <c r="CL2075" s="1789"/>
      <c r="CR2075" s="345"/>
      <c r="CS2075" s="345"/>
      <c r="CX2075" s="347"/>
      <c r="CY2075" s="347"/>
      <c r="DH2075" s="237"/>
      <c r="DI2075" s="237"/>
      <c r="DN2075" s="347"/>
      <c r="DO2075" s="347"/>
      <c r="DP2075" s="2505"/>
    </row>
    <row r="2076" spans="12:120">
      <c r="L2076" s="347">
        <v>12.01</v>
      </c>
      <c r="M2076" s="347" t="s">
        <v>368</v>
      </c>
      <c r="AB2076" s="347">
        <v>826.04</v>
      </c>
      <c r="AC2076" s="347" t="s">
        <v>376</v>
      </c>
      <c r="AD2076" s="1138"/>
      <c r="AP2076" s="347">
        <v>7.02</v>
      </c>
      <c r="AQ2076" s="347" t="s">
        <v>361</v>
      </c>
      <c r="BF2076" s="347">
        <v>302.02</v>
      </c>
      <c r="BG2076" s="347" t="s">
        <v>362</v>
      </c>
      <c r="BH2076" s="1790"/>
      <c r="BN2076" s="237">
        <v>21.05</v>
      </c>
      <c r="BO2076" s="237" t="s">
        <v>345</v>
      </c>
      <c r="BT2076" s="347">
        <v>6</v>
      </c>
      <c r="BU2076" s="347" t="s">
        <v>361</v>
      </c>
      <c r="CD2076" s="237">
        <v>113.03</v>
      </c>
      <c r="CE2076" s="237" t="s">
        <v>337</v>
      </c>
      <c r="CJ2076" s="347">
        <v>301.08999999999997</v>
      </c>
      <c r="CK2076" s="347" t="s">
        <v>343</v>
      </c>
      <c r="CL2076" s="1789"/>
      <c r="CR2076" s="345"/>
      <c r="CS2076" s="345"/>
      <c r="CX2076" s="347"/>
      <c r="CY2076" s="347"/>
      <c r="DH2076" s="237"/>
      <c r="DI2076" s="237"/>
      <c r="DN2076" s="347"/>
      <c r="DO2076" s="347"/>
      <c r="DP2076" s="2505"/>
    </row>
    <row r="2077" spans="12:120">
      <c r="L2077" s="347">
        <v>12.03</v>
      </c>
      <c r="M2077" s="347" t="s">
        <v>368</v>
      </c>
      <c r="AB2077" s="347">
        <v>826.05</v>
      </c>
      <c r="AC2077" s="347" t="s">
        <v>376</v>
      </c>
      <c r="AD2077" s="1138"/>
      <c r="AP2077" s="347">
        <v>7.03</v>
      </c>
      <c r="AQ2077" s="347" t="s">
        <v>361</v>
      </c>
      <c r="BF2077" s="347">
        <v>302.02999999999997</v>
      </c>
      <c r="BG2077" s="347" t="s">
        <v>343</v>
      </c>
      <c r="BH2077" s="1790"/>
      <c r="BN2077" s="237">
        <v>21.06</v>
      </c>
      <c r="BO2077" s="237" t="s">
        <v>345</v>
      </c>
      <c r="BT2077" s="347">
        <v>7.02</v>
      </c>
      <c r="BU2077" s="347" t="s">
        <v>361</v>
      </c>
      <c r="CD2077" s="237">
        <v>113.04</v>
      </c>
      <c r="CE2077" s="237" t="s">
        <v>318</v>
      </c>
      <c r="CJ2077" s="347">
        <v>301.10000000000002</v>
      </c>
      <c r="CK2077" s="347" t="s">
        <v>343</v>
      </c>
      <c r="CL2077" s="1789"/>
      <c r="CR2077" s="345"/>
      <c r="CS2077" s="345"/>
      <c r="CX2077" s="347"/>
      <c r="CY2077" s="347"/>
      <c r="DH2077" s="237"/>
      <c r="DI2077" s="237"/>
      <c r="DN2077" s="347"/>
      <c r="DO2077" s="347"/>
      <c r="DP2077" s="2505"/>
    </row>
    <row r="2078" spans="12:120">
      <c r="L2078" s="347">
        <v>12.04</v>
      </c>
      <c r="M2078" s="347" t="s">
        <v>368</v>
      </c>
      <c r="AB2078" s="347">
        <v>826.06</v>
      </c>
      <c r="AC2078" s="347" t="s">
        <v>376</v>
      </c>
      <c r="AD2078" s="1138"/>
      <c r="AP2078" s="347">
        <v>8.0299999999999994</v>
      </c>
      <c r="AQ2078" s="347" t="s">
        <v>361</v>
      </c>
      <c r="BF2078" s="347">
        <v>302.04000000000002</v>
      </c>
      <c r="BG2078" s="347" t="s">
        <v>317</v>
      </c>
      <c r="BH2078" s="1790"/>
      <c r="BN2078" s="237">
        <v>22.01</v>
      </c>
      <c r="BO2078" s="237" t="s">
        <v>345</v>
      </c>
      <c r="BT2078" s="347">
        <v>7.03</v>
      </c>
      <c r="BU2078" s="347" t="s">
        <v>361</v>
      </c>
      <c r="CD2078" s="237">
        <v>113.04</v>
      </c>
      <c r="CE2078" s="237" t="s">
        <v>337</v>
      </c>
      <c r="CJ2078" s="347">
        <v>302.01</v>
      </c>
      <c r="CK2078" s="347" t="s">
        <v>344</v>
      </c>
      <c r="CL2078" s="1789"/>
      <c r="CR2078" s="345"/>
      <c r="CS2078" s="345"/>
      <c r="CX2078" s="347"/>
      <c r="CY2078" s="347"/>
      <c r="DH2078" s="237"/>
      <c r="DI2078" s="237"/>
      <c r="DN2078" s="347"/>
      <c r="DO2078" s="347"/>
      <c r="DP2078" s="2505"/>
    </row>
    <row r="2079" spans="12:120">
      <c r="L2079" s="347">
        <v>13.01</v>
      </c>
      <c r="M2079" s="347" t="s">
        <v>368</v>
      </c>
      <c r="AB2079" s="347">
        <v>826.07</v>
      </c>
      <c r="AC2079" s="347" t="s">
        <v>376</v>
      </c>
      <c r="AD2079" s="1138"/>
      <c r="AP2079" s="347">
        <v>8.0500000000000007</v>
      </c>
      <c r="AQ2079" s="347" t="s">
        <v>361</v>
      </c>
      <c r="BF2079" s="347">
        <v>302.04000000000002</v>
      </c>
      <c r="BG2079" s="347" t="s">
        <v>362</v>
      </c>
      <c r="BH2079" s="1790"/>
      <c r="BN2079" s="237">
        <v>22.05</v>
      </c>
      <c r="BO2079" s="237" t="s">
        <v>345</v>
      </c>
      <c r="BT2079" s="347">
        <v>8.0299999999999994</v>
      </c>
      <c r="BU2079" s="347" t="s">
        <v>361</v>
      </c>
      <c r="CD2079" s="237">
        <v>113.05</v>
      </c>
      <c r="CE2079" s="237" t="s">
        <v>318</v>
      </c>
      <c r="CJ2079" s="347">
        <v>302.02</v>
      </c>
      <c r="CK2079" s="347" t="s">
        <v>315</v>
      </c>
      <c r="CL2079" s="1789"/>
      <c r="CR2079" s="345"/>
      <c r="CS2079" s="345"/>
      <c r="CX2079" s="347"/>
      <c r="CY2079" s="347"/>
      <c r="DH2079" s="237"/>
      <c r="DI2079" s="237"/>
      <c r="DN2079" s="347"/>
      <c r="DO2079" s="347"/>
      <c r="DP2079" s="2505"/>
    </row>
    <row r="2080" spans="12:120">
      <c r="L2080" s="347">
        <v>13.02</v>
      </c>
      <c r="M2080" s="347" t="s">
        <v>368</v>
      </c>
      <c r="AB2080" s="347">
        <v>827.01</v>
      </c>
      <c r="AC2080" s="347" t="s">
        <v>376</v>
      </c>
      <c r="AD2080" s="1138"/>
      <c r="AP2080" s="347">
        <v>9.02</v>
      </c>
      <c r="AQ2080" s="347" t="s">
        <v>361</v>
      </c>
      <c r="BF2080" s="347">
        <v>302.05</v>
      </c>
      <c r="BG2080" s="347" t="s">
        <v>317</v>
      </c>
      <c r="BH2080" s="1790"/>
      <c r="BN2080" s="237">
        <v>22.06</v>
      </c>
      <c r="BO2080" s="237" t="s">
        <v>345</v>
      </c>
      <c r="BT2080" s="347">
        <v>8.0500000000000007</v>
      </c>
      <c r="BU2080" s="347" t="s">
        <v>361</v>
      </c>
      <c r="CD2080" s="237">
        <v>113.06</v>
      </c>
      <c r="CE2080" s="237" t="s">
        <v>318</v>
      </c>
      <c r="CJ2080" s="347">
        <v>302.02</v>
      </c>
      <c r="CK2080" s="347" t="s">
        <v>362</v>
      </c>
      <c r="CL2080" s="1789"/>
      <c r="CR2080" s="345"/>
      <c r="CS2080" s="345"/>
      <c r="CX2080" s="347"/>
      <c r="CY2080" s="347"/>
      <c r="DH2080" s="237"/>
      <c r="DI2080" s="237"/>
      <c r="DN2080" s="347"/>
      <c r="DO2080" s="347"/>
      <c r="DP2080" s="2505"/>
    </row>
    <row r="2081" spans="12:120">
      <c r="L2081" s="347">
        <v>13.03</v>
      </c>
      <c r="M2081" s="347" t="s">
        <v>368</v>
      </c>
      <c r="AB2081" s="347">
        <v>827.03</v>
      </c>
      <c r="AC2081" s="347" t="s">
        <v>376</v>
      </c>
      <c r="AD2081" s="1138"/>
      <c r="AP2081" s="347">
        <v>9.0299999999999994</v>
      </c>
      <c r="AQ2081" s="347" t="s">
        <v>361</v>
      </c>
      <c r="BF2081" s="347">
        <v>302.05</v>
      </c>
      <c r="BG2081" s="347" t="s">
        <v>344</v>
      </c>
      <c r="BH2081" s="1790"/>
      <c r="BN2081" s="237">
        <v>22.07</v>
      </c>
      <c r="BO2081" s="237" t="s">
        <v>345</v>
      </c>
      <c r="BT2081" s="347">
        <v>9.02</v>
      </c>
      <c r="BU2081" s="347" t="s">
        <v>361</v>
      </c>
      <c r="CD2081" s="237">
        <v>114</v>
      </c>
      <c r="CE2081" s="237" t="s">
        <v>318</v>
      </c>
      <c r="CJ2081" s="347">
        <v>302.02999999999997</v>
      </c>
      <c r="CK2081" s="347" t="s">
        <v>343</v>
      </c>
      <c r="CL2081" s="1789"/>
      <c r="CR2081" s="345"/>
      <c r="CS2081" s="345"/>
      <c r="CX2081" s="347"/>
      <c r="CY2081" s="347"/>
      <c r="DH2081" s="237"/>
      <c r="DI2081" s="237"/>
      <c r="DN2081" s="347"/>
      <c r="DO2081" s="347"/>
      <c r="DP2081" s="2505"/>
    </row>
    <row r="2082" spans="12:120">
      <c r="L2082" s="347">
        <v>13.04</v>
      </c>
      <c r="M2082" s="347" t="s">
        <v>368</v>
      </c>
      <c r="AB2082" s="347">
        <v>827.04</v>
      </c>
      <c r="AC2082" s="347" t="s">
        <v>376</v>
      </c>
      <c r="AD2082" s="1138"/>
      <c r="AP2082" s="347">
        <v>9.0399999999999991</v>
      </c>
      <c r="AQ2082" s="347" t="s">
        <v>361</v>
      </c>
      <c r="BF2082" s="347">
        <v>302.05</v>
      </c>
      <c r="BG2082" s="347" t="s">
        <v>362</v>
      </c>
      <c r="BH2082" s="1790"/>
      <c r="BN2082" s="237">
        <v>22.08</v>
      </c>
      <c r="BO2082" s="237" t="s">
        <v>345</v>
      </c>
      <c r="BT2082" s="347">
        <v>9.0299999999999994</v>
      </c>
      <c r="BU2082" s="347" t="s">
        <v>361</v>
      </c>
      <c r="CD2082" s="237">
        <v>114</v>
      </c>
      <c r="CE2082" s="237" t="s">
        <v>323</v>
      </c>
      <c r="CJ2082" s="347">
        <v>302.04000000000002</v>
      </c>
      <c r="CK2082" s="347" t="s">
        <v>317</v>
      </c>
      <c r="CL2082" s="1789"/>
      <c r="CR2082" s="345"/>
      <c r="CS2082" s="345"/>
      <c r="CX2082" s="347"/>
      <c r="CY2082" s="347"/>
      <c r="DH2082" s="237"/>
      <c r="DI2082" s="237"/>
      <c r="DN2082" s="347"/>
      <c r="DO2082" s="347"/>
      <c r="DP2082" s="2505"/>
    </row>
    <row r="2083" spans="12:120">
      <c r="L2083" s="347">
        <v>14.01</v>
      </c>
      <c r="M2083" s="347" t="s">
        <v>368</v>
      </c>
      <c r="AB2083" s="347">
        <v>827.05</v>
      </c>
      <c r="AC2083" s="347" t="s">
        <v>376</v>
      </c>
      <c r="AD2083" s="1138"/>
      <c r="AP2083" s="347">
        <v>9.0500000000000007</v>
      </c>
      <c r="AQ2083" s="347" t="s">
        <v>361</v>
      </c>
      <c r="BF2083" s="347">
        <v>302.06</v>
      </c>
      <c r="BG2083" s="347" t="s">
        <v>317</v>
      </c>
      <c r="BH2083" s="1790"/>
      <c r="BN2083" s="237">
        <v>23.02</v>
      </c>
      <c r="BO2083" s="237" t="s">
        <v>345</v>
      </c>
      <c r="BT2083" s="347">
        <v>9.0399999999999991</v>
      </c>
      <c r="BU2083" s="347" t="s">
        <v>361</v>
      </c>
      <c r="CD2083" s="237">
        <v>114</v>
      </c>
      <c r="CE2083" s="237" t="s">
        <v>365</v>
      </c>
      <c r="CJ2083" s="347">
        <v>302.04000000000002</v>
      </c>
      <c r="CK2083" s="347" t="s">
        <v>343</v>
      </c>
      <c r="CL2083" s="1789"/>
      <c r="CR2083" s="345"/>
      <c r="CS2083" s="345"/>
      <c r="CX2083" s="347"/>
      <c r="CY2083" s="347"/>
      <c r="DH2083" s="237"/>
      <c r="DI2083" s="237"/>
      <c r="DN2083" s="347"/>
      <c r="DO2083" s="347"/>
      <c r="DP2083" s="2505"/>
    </row>
    <row r="2084" spans="12:120">
      <c r="L2084" s="347">
        <v>14.02</v>
      </c>
      <c r="M2084" s="347" t="s">
        <v>368</v>
      </c>
      <c r="AB2084" s="347">
        <v>828.01</v>
      </c>
      <c r="AC2084" s="347" t="s">
        <v>376</v>
      </c>
      <c r="AD2084" s="1138"/>
      <c r="AP2084" s="347">
        <v>10.029999999999999</v>
      </c>
      <c r="AQ2084" s="347" t="s">
        <v>361</v>
      </c>
      <c r="BF2084" s="347">
        <v>302.07</v>
      </c>
      <c r="BG2084" s="347" t="s">
        <v>317</v>
      </c>
      <c r="BH2084" s="1790"/>
      <c r="BN2084" s="237">
        <v>23.03</v>
      </c>
      <c r="BO2084" s="237" t="s">
        <v>345</v>
      </c>
      <c r="BT2084" s="347">
        <v>9.0500000000000007</v>
      </c>
      <c r="BU2084" s="347" t="s">
        <v>361</v>
      </c>
      <c r="CD2084" s="237">
        <v>114.05</v>
      </c>
      <c r="CE2084" s="237" t="s">
        <v>352</v>
      </c>
      <c r="CJ2084" s="347">
        <v>302.04000000000002</v>
      </c>
      <c r="CK2084" s="347" t="s">
        <v>362</v>
      </c>
      <c r="CL2084" s="1789"/>
      <c r="CR2084" s="345"/>
      <c r="CS2084" s="345"/>
      <c r="CX2084" s="347"/>
      <c r="CY2084" s="347"/>
      <c r="DH2084" s="237"/>
      <c r="DI2084" s="237"/>
      <c r="DN2084" s="347"/>
      <c r="DO2084" s="347"/>
      <c r="DP2084" s="2505"/>
    </row>
    <row r="2085" spans="12:120">
      <c r="L2085" s="347">
        <v>14.03</v>
      </c>
      <c r="M2085" s="347" t="s">
        <v>368</v>
      </c>
      <c r="AB2085" s="347">
        <v>828.02</v>
      </c>
      <c r="AC2085" s="347" t="s">
        <v>376</v>
      </c>
      <c r="AD2085" s="1138"/>
      <c r="AP2085" s="347">
        <v>11.02</v>
      </c>
      <c r="AQ2085" s="347" t="s">
        <v>361</v>
      </c>
      <c r="BF2085" s="347">
        <v>302.08</v>
      </c>
      <c r="BG2085" s="347" t="s">
        <v>343</v>
      </c>
      <c r="BH2085" s="1790"/>
      <c r="BN2085" s="237">
        <v>23.04</v>
      </c>
      <c r="BO2085" s="237" t="s">
        <v>345</v>
      </c>
      <c r="BT2085" s="347">
        <v>10.029999999999999</v>
      </c>
      <c r="BU2085" s="347" t="s">
        <v>361</v>
      </c>
      <c r="CD2085" s="237">
        <v>114.06</v>
      </c>
      <c r="CE2085" s="237" t="s">
        <v>352</v>
      </c>
      <c r="CJ2085" s="347">
        <v>302.05</v>
      </c>
      <c r="CK2085" s="347" t="s">
        <v>317</v>
      </c>
      <c r="CL2085" s="1789"/>
      <c r="CR2085" s="345"/>
      <c r="CS2085" s="345"/>
      <c r="CX2085" s="347"/>
      <c r="CY2085" s="347"/>
      <c r="DH2085" s="237"/>
      <c r="DI2085" s="237"/>
      <c r="DN2085" s="347"/>
      <c r="DO2085" s="347"/>
      <c r="DP2085" s="2505"/>
    </row>
    <row r="2086" spans="12:120">
      <c r="L2086" s="347">
        <v>15.03</v>
      </c>
      <c r="M2086" s="347" t="s">
        <v>368</v>
      </c>
      <c r="AB2086" s="347">
        <v>829.02</v>
      </c>
      <c r="AC2086" s="347" t="s">
        <v>376</v>
      </c>
      <c r="AD2086" s="1138"/>
      <c r="AP2086" s="347">
        <v>19.04</v>
      </c>
      <c r="AQ2086" s="347" t="s">
        <v>361</v>
      </c>
      <c r="BF2086" s="347">
        <v>302.10000000000002</v>
      </c>
      <c r="BG2086" s="347" t="s">
        <v>317</v>
      </c>
      <c r="BH2086" s="1790"/>
      <c r="BN2086" s="237">
        <v>24.03</v>
      </c>
      <c r="BO2086" s="237" t="s">
        <v>345</v>
      </c>
      <c r="BT2086" s="347">
        <v>11.02</v>
      </c>
      <c r="BU2086" s="347" t="s">
        <v>361</v>
      </c>
      <c r="CD2086" s="237">
        <v>114.07</v>
      </c>
      <c r="CE2086" s="237" t="s">
        <v>337</v>
      </c>
      <c r="CJ2086" s="347">
        <v>302.05</v>
      </c>
      <c r="CK2086" s="347" t="s">
        <v>344</v>
      </c>
      <c r="CL2086" s="1789"/>
      <c r="CR2086" s="345"/>
      <c r="CS2086" s="345"/>
      <c r="CX2086" s="347"/>
      <c r="CY2086" s="347"/>
      <c r="DH2086" s="237"/>
      <c r="DI2086" s="237"/>
      <c r="DN2086" s="347"/>
      <c r="DO2086" s="347"/>
      <c r="DP2086" s="2505"/>
    </row>
    <row r="2087" spans="12:120">
      <c r="L2087" s="347">
        <v>15.05</v>
      </c>
      <c r="M2087" s="347" t="s">
        <v>368</v>
      </c>
      <c r="AB2087" s="347">
        <v>829.04</v>
      </c>
      <c r="AC2087" s="347" t="s">
        <v>376</v>
      </c>
      <c r="AD2087" s="1138"/>
      <c r="AP2087" s="347">
        <v>19.18</v>
      </c>
      <c r="AQ2087" s="347" t="s">
        <v>361</v>
      </c>
      <c r="BF2087" s="347">
        <v>302.11</v>
      </c>
      <c r="BG2087" s="347" t="s">
        <v>343</v>
      </c>
      <c r="BH2087" s="1790"/>
      <c r="BN2087" s="237">
        <v>24.1</v>
      </c>
      <c r="BO2087" s="237" t="s">
        <v>345</v>
      </c>
      <c r="BT2087" s="347">
        <v>19.04</v>
      </c>
      <c r="BU2087" s="347" t="s">
        <v>361</v>
      </c>
      <c r="CD2087" s="237">
        <v>114.07</v>
      </c>
      <c r="CE2087" s="237" t="s">
        <v>352</v>
      </c>
      <c r="CJ2087" s="347">
        <v>302.05</v>
      </c>
      <c r="CK2087" s="347" t="s">
        <v>362</v>
      </c>
      <c r="CL2087" s="1789"/>
      <c r="CR2087" s="345"/>
      <c r="CS2087" s="345"/>
      <c r="CX2087" s="347"/>
      <c r="CY2087" s="347"/>
      <c r="DH2087" s="237"/>
      <c r="DI2087" s="237"/>
      <c r="DN2087" s="347"/>
      <c r="DO2087" s="347"/>
      <c r="DP2087" s="2505"/>
    </row>
    <row r="2088" spans="12:120">
      <c r="L2088" s="347">
        <v>15.06</v>
      </c>
      <c r="M2088" s="347" t="s">
        <v>368</v>
      </c>
      <c r="AB2088" s="347">
        <v>830.05</v>
      </c>
      <c r="AC2088" s="347" t="s">
        <v>376</v>
      </c>
      <c r="AD2088" s="1138"/>
      <c r="AP2088" s="347">
        <v>19.190000000000001</v>
      </c>
      <c r="AQ2088" s="347" t="s">
        <v>361</v>
      </c>
      <c r="BF2088" s="347">
        <v>303</v>
      </c>
      <c r="BG2088" s="347" t="s">
        <v>344</v>
      </c>
      <c r="BH2088" s="1790"/>
      <c r="BN2088" s="237">
        <v>24.11</v>
      </c>
      <c r="BO2088" s="237" t="s">
        <v>345</v>
      </c>
      <c r="BT2088" s="347">
        <v>19.07</v>
      </c>
      <c r="BU2088" s="347" t="s">
        <v>361</v>
      </c>
      <c r="CD2088" s="237">
        <v>114.08</v>
      </c>
      <c r="CE2088" s="237" t="s">
        <v>337</v>
      </c>
      <c r="CJ2088" s="347">
        <v>302.06</v>
      </c>
      <c r="CK2088" s="347" t="s">
        <v>317</v>
      </c>
      <c r="CL2088" s="1789"/>
      <c r="CR2088" s="345"/>
      <c r="CS2088" s="345"/>
      <c r="CX2088" s="347"/>
      <c r="CY2088" s="347"/>
      <c r="DH2088" s="237"/>
      <c r="DI2088" s="237"/>
      <c r="DN2088" s="347"/>
      <c r="DO2088" s="347"/>
      <c r="DP2088" s="2505"/>
    </row>
    <row r="2089" spans="12:120">
      <c r="L2089" s="347">
        <v>15.07</v>
      </c>
      <c r="M2089" s="347" t="s">
        <v>368</v>
      </c>
      <c r="AB2089" s="347">
        <v>830.06</v>
      </c>
      <c r="AC2089" s="347" t="s">
        <v>376</v>
      </c>
      <c r="AD2089" s="1138"/>
      <c r="AP2089" s="347">
        <v>19.21</v>
      </c>
      <c r="AQ2089" s="347" t="s">
        <v>361</v>
      </c>
      <c r="BF2089" s="347">
        <v>303.01</v>
      </c>
      <c r="BG2089" s="347" t="s">
        <v>315</v>
      </c>
      <c r="BH2089" s="1790"/>
      <c r="BN2089" s="237">
        <v>24.13</v>
      </c>
      <c r="BO2089" s="237" t="s">
        <v>345</v>
      </c>
      <c r="BT2089" s="347">
        <v>19.16</v>
      </c>
      <c r="BU2089" s="347" t="s">
        <v>361</v>
      </c>
      <c r="CD2089" s="237">
        <v>114.08</v>
      </c>
      <c r="CE2089" s="237" t="s">
        <v>352</v>
      </c>
      <c r="CJ2089" s="347">
        <v>302.07</v>
      </c>
      <c r="CK2089" s="347" t="s">
        <v>317</v>
      </c>
      <c r="CL2089" s="1789"/>
      <c r="CR2089" s="345"/>
      <c r="CS2089" s="345"/>
      <c r="CX2089" s="347"/>
      <c r="CY2089" s="347"/>
      <c r="DH2089" s="237"/>
      <c r="DI2089" s="237"/>
      <c r="DN2089" s="347"/>
      <c r="DO2089" s="347"/>
      <c r="DP2089" s="2505"/>
    </row>
    <row r="2090" spans="12:120">
      <c r="L2090" s="347">
        <v>17.02</v>
      </c>
      <c r="M2090" s="347" t="s">
        <v>368</v>
      </c>
      <c r="AB2090" s="347">
        <v>830.07</v>
      </c>
      <c r="AC2090" s="347" t="s">
        <v>376</v>
      </c>
      <c r="AD2090" s="1138"/>
      <c r="AP2090" s="347">
        <v>26</v>
      </c>
      <c r="AQ2090" s="347" t="s">
        <v>361</v>
      </c>
      <c r="BF2090" s="347">
        <v>303.02999999999997</v>
      </c>
      <c r="BG2090" s="347" t="s">
        <v>362</v>
      </c>
      <c r="BH2090" s="1790"/>
      <c r="BN2090" s="237">
        <v>24.14</v>
      </c>
      <c r="BO2090" s="237" t="s">
        <v>345</v>
      </c>
      <c r="BT2090" s="347">
        <v>19.18</v>
      </c>
      <c r="BU2090" s="347" t="s">
        <v>361</v>
      </c>
      <c r="CD2090" s="237">
        <v>114.09</v>
      </c>
      <c r="CE2090" s="237" t="s">
        <v>337</v>
      </c>
      <c r="CJ2090" s="347">
        <v>302.08</v>
      </c>
      <c r="CK2090" s="347" t="s">
        <v>317</v>
      </c>
      <c r="CL2090" s="1789"/>
      <c r="CR2090" s="345"/>
      <c r="CS2090" s="345"/>
      <c r="CX2090" s="347"/>
      <c r="CY2090" s="347"/>
      <c r="DH2090" s="237"/>
      <c r="DI2090" s="237"/>
      <c r="DN2090" s="347"/>
      <c r="DO2090" s="347"/>
      <c r="DP2090" s="2505"/>
    </row>
    <row r="2091" spans="12:120">
      <c r="L2091" s="347">
        <v>17.04</v>
      </c>
      <c r="M2091" s="347" t="s">
        <v>368</v>
      </c>
      <c r="AB2091" s="347">
        <v>830.09</v>
      </c>
      <c r="AC2091" s="347" t="s">
        <v>376</v>
      </c>
      <c r="AD2091" s="1138"/>
      <c r="AP2091" s="347">
        <v>27.02</v>
      </c>
      <c r="AQ2091" s="347" t="s">
        <v>361</v>
      </c>
      <c r="BF2091" s="347">
        <v>303.04000000000002</v>
      </c>
      <c r="BG2091" s="347" t="s">
        <v>362</v>
      </c>
      <c r="BH2091" s="1790"/>
      <c r="BN2091" s="237">
        <v>24.15</v>
      </c>
      <c r="BO2091" s="237" t="s">
        <v>345</v>
      </c>
      <c r="BT2091" s="347">
        <v>19.190000000000001</v>
      </c>
      <c r="BU2091" s="347" t="s">
        <v>361</v>
      </c>
      <c r="CD2091" s="237">
        <v>114.09</v>
      </c>
      <c r="CE2091" s="237" t="s">
        <v>352</v>
      </c>
      <c r="CJ2091" s="347">
        <v>302.08</v>
      </c>
      <c r="CK2091" s="347" t="s">
        <v>343</v>
      </c>
      <c r="CL2091" s="1789"/>
      <c r="CR2091" s="345"/>
      <c r="CS2091" s="345"/>
      <c r="CX2091" s="347"/>
      <c r="CY2091" s="347"/>
      <c r="DH2091" s="237"/>
      <c r="DI2091" s="237"/>
      <c r="DN2091" s="347"/>
      <c r="DO2091" s="347"/>
      <c r="DP2091" s="2505"/>
    </row>
    <row r="2092" spans="12:120">
      <c r="L2092" s="347">
        <v>18.010000000000002</v>
      </c>
      <c r="M2092" s="347" t="s">
        <v>368</v>
      </c>
      <c r="AB2092" s="347">
        <v>832.03</v>
      </c>
      <c r="AC2092" s="347" t="s">
        <v>376</v>
      </c>
      <c r="AD2092" s="1138"/>
      <c r="AP2092" s="347">
        <v>27.03</v>
      </c>
      <c r="AQ2092" s="347" t="s">
        <v>361</v>
      </c>
      <c r="BF2092" s="347">
        <v>303.05</v>
      </c>
      <c r="BG2092" s="347" t="s">
        <v>343</v>
      </c>
      <c r="BH2092" s="1790"/>
      <c r="BN2092" s="237">
        <v>24.16</v>
      </c>
      <c r="BO2092" s="237" t="s">
        <v>345</v>
      </c>
      <c r="BT2092" s="347">
        <v>26</v>
      </c>
      <c r="BU2092" s="347" t="s">
        <v>361</v>
      </c>
      <c r="CD2092" s="237">
        <v>114.1</v>
      </c>
      <c r="CE2092" s="237" t="s">
        <v>337</v>
      </c>
      <c r="CJ2092" s="347">
        <v>302.08999999999997</v>
      </c>
      <c r="CK2092" s="347" t="s">
        <v>317</v>
      </c>
      <c r="CL2092" s="1789"/>
      <c r="CR2092" s="345"/>
      <c r="CS2092" s="345"/>
      <c r="CX2092" s="347"/>
      <c r="CY2092" s="347"/>
      <c r="DH2092" s="237"/>
      <c r="DI2092" s="237"/>
      <c r="DN2092" s="347"/>
      <c r="DO2092" s="347"/>
      <c r="DP2092" s="2505"/>
    </row>
    <row r="2093" spans="12:120">
      <c r="L2093" s="347">
        <v>18.05</v>
      </c>
      <c r="M2093" s="347" t="s">
        <v>368</v>
      </c>
      <c r="AB2093" s="347">
        <v>832.05</v>
      </c>
      <c r="AC2093" s="347" t="s">
        <v>376</v>
      </c>
      <c r="AD2093" s="1138"/>
      <c r="AP2093" s="347">
        <v>33</v>
      </c>
      <c r="AQ2093" s="347" t="s">
        <v>361</v>
      </c>
      <c r="BF2093" s="347">
        <v>303.06</v>
      </c>
      <c r="BG2093" s="347" t="s">
        <v>317</v>
      </c>
      <c r="BH2093" s="1790"/>
      <c r="BN2093" s="237">
        <v>24.18</v>
      </c>
      <c r="BO2093" s="237" t="s">
        <v>345</v>
      </c>
      <c r="BT2093" s="347">
        <v>27.02</v>
      </c>
      <c r="BU2093" s="347" t="s">
        <v>361</v>
      </c>
      <c r="CD2093" s="237">
        <v>114.1</v>
      </c>
      <c r="CE2093" s="237" t="s">
        <v>352</v>
      </c>
      <c r="CJ2093" s="347">
        <v>302.10000000000002</v>
      </c>
      <c r="CK2093" s="347" t="s">
        <v>317</v>
      </c>
      <c r="CL2093" s="1789"/>
      <c r="CR2093" s="345"/>
      <c r="CS2093" s="345"/>
      <c r="CX2093" s="347"/>
      <c r="CY2093" s="347"/>
      <c r="DH2093" s="237"/>
      <c r="DI2093" s="237"/>
      <c r="DN2093" s="347"/>
      <c r="DO2093" s="347"/>
      <c r="DP2093" s="2505"/>
    </row>
    <row r="2094" spans="12:120">
      <c r="L2094" s="347">
        <v>19.03</v>
      </c>
      <c r="M2094" s="347" t="s">
        <v>368</v>
      </c>
      <c r="AB2094" s="347">
        <v>832.07</v>
      </c>
      <c r="AC2094" s="347" t="s">
        <v>376</v>
      </c>
      <c r="AD2094" s="1138"/>
      <c r="AP2094" s="347">
        <v>34</v>
      </c>
      <c r="AQ2094" s="347" t="s">
        <v>361</v>
      </c>
      <c r="BF2094" s="347">
        <v>303.08</v>
      </c>
      <c r="BG2094" s="347" t="s">
        <v>343</v>
      </c>
      <c r="BH2094" s="1790"/>
      <c r="BN2094" s="237">
        <v>24.19</v>
      </c>
      <c r="BO2094" s="237" t="s">
        <v>345</v>
      </c>
      <c r="BT2094" s="347">
        <v>27.03</v>
      </c>
      <c r="BU2094" s="347" t="s">
        <v>361</v>
      </c>
      <c r="CD2094" s="237">
        <v>114.11</v>
      </c>
      <c r="CE2094" s="237" t="s">
        <v>337</v>
      </c>
      <c r="CJ2094" s="347">
        <v>302.11</v>
      </c>
      <c r="CK2094" s="347" t="s">
        <v>343</v>
      </c>
      <c r="CL2094" s="1789"/>
      <c r="CR2094" s="345"/>
      <c r="CS2094" s="345"/>
      <c r="CX2094" s="347"/>
      <c r="CY2094" s="347"/>
      <c r="DH2094" s="237"/>
      <c r="DI2094" s="237"/>
      <c r="DN2094" s="347"/>
      <c r="DO2094" s="347"/>
      <c r="DP2094" s="2505"/>
    </row>
    <row r="2095" spans="12:120">
      <c r="L2095" s="347">
        <v>19.04</v>
      </c>
      <c r="M2095" s="347" t="s">
        <v>368</v>
      </c>
      <c r="AB2095" s="347">
        <v>832.08</v>
      </c>
      <c r="AC2095" s="347" t="s">
        <v>376</v>
      </c>
      <c r="AD2095" s="1138"/>
      <c r="AP2095" s="347">
        <v>35.07</v>
      </c>
      <c r="AQ2095" s="347" t="s">
        <v>361</v>
      </c>
      <c r="BF2095" s="347">
        <v>304.01</v>
      </c>
      <c r="BG2095" s="347" t="s">
        <v>315</v>
      </c>
      <c r="BH2095" s="1790"/>
      <c r="BN2095" s="237">
        <v>24.2</v>
      </c>
      <c r="BO2095" s="237" t="s">
        <v>345</v>
      </c>
      <c r="BT2095" s="347">
        <v>33</v>
      </c>
      <c r="BU2095" s="347" t="s">
        <v>361</v>
      </c>
      <c r="CD2095" s="237">
        <v>114.11</v>
      </c>
      <c r="CE2095" s="237" t="s">
        <v>352</v>
      </c>
      <c r="CJ2095" s="347">
        <v>303</v>
      </c>
      <c r="CK2095" s="347" t="s">
        <v>344</v>
      </c>
      <c r="CL2095" s="1789"/>
      <c r="CR2095" s="345"/>
      <c r="CS2095" s="345"/>
      <c r="CX2095" s="347"/>
      <c r="CY2095" s="347"/>
      <c r="DH2095" s="237"/>
      <c r="DI2095" s="237"/>
      <c r="DN2095" s="347"/>
      <c r="DO2095" s="347"/>
      <c r="DP2095" s="2505"/>
    </row>
    <row r="2096" spans="12:120">
      <c r="L2096" s="347">
        <v>19.05</v>
      </c>
      <c r="M2096" s="347" t="s">
        <v>368</v>
      </c>
      <c r="AB2096" s="347">
        <v>832.09</v>
      </c>
      <c r="AC2096" s="347" t="s">
        <v>376</v>
      </c>
      <c r="AD2096" s="1138"/>
      <c r="AP2096" s="347">
        <v>35.130000000000003</v>
      </c>
      <c r="AQ2096" s="347" t="s">
        <v>361</v>
      </c>
      <c r="BF2096" s="347">
        <v>304.02</v>
      </c>
      <c r="BG2096" s="347" t="s">
        <v>315</v>
      </c>
      <c r="BH2096" s="1790"/>
      <c r="BN2096" s="237">
        <v>24.21</v>
      </c>
      <c r="BO2096" s="237" t="s">
        <v>345</v>
      </c>
      <c r="BT2096" s="347">
        <v>34</v>
      </c>
      <c r="BU2096" s="347" t="s">
        <v>361</v>
      </c>
      <c r="CD2096" s="237">
        <v>114.12</v>
      </c>
      <c r="CE2096" s="237" t="s">
        <v>337</v>
      </c>
      <c r="CJ2096" s="347">
        <v>303.01</v>
      </c>
      <c r="CK2096" s="347" t="s">
        <v>315</v>
      </c>
      <c r="CL2096" s="1789"/>
      <c r="CR2096" s="345"/>
      <c r="CS2096" s="345"/>
      <c r="CX2096" s="347"/>
      <c r="CY2096" s="347"/>
      <c r="DH2096" s="237"/>
      <c r="DI2096" s="237"/>
      <c r="DN2096" s="347"/>
      <c r="DO2096" s="347"/>
      <c r="DP2096" s="2505"/>
    </row>
    <row r="2097" spans="12:120">
      <c r="L2097" s="347">
        <v>19.07</v>
      </c>
      <c r="M2097" s="347" t="s">
        <v>368</v>
      </c>
      <c r="AB2097" s="347">
        <v>901</v>
      </c>
      <c r="AC2097" s="347" t="s">
        <v>344</v>
      </c>
      <c r="AD2097" s="1138"/>
      <c r="AP2097" s="347">
        <v>35.14</v>
      </c>
      <c r="AQ2097" s="347" t="s">
        <v>361</v>
      </c>
      <c r="BF2097" s="347">
        <v>304.04000000000002</v>
      </c>
      <c r="BG2097" s="347" t="s">
        <v>362</v>
      </c>
      <c r="BH2097" s="1790"/>
      <c r="BN2097" s="237">
        <v>24.22</v>
      </c>
      <c r="BO2097" s="237" t="s">
        <v>345</v>
      </c>
      <c r="BT2097" s="347">
        <v>35.07</v>
      </c>
      <c r="BU2097" s="347" t="s">
        <v>361</v>
      </c>
      <c r="CD2097" s="237">
        <v>114.12</v>
      </c>
      <c r="CE2097" s="237" t="s">
        <v>352</v>
      </c>
      <c r="CJ2097" s="347">
        <v>303.02999999999997</v>
      </c>
      <c r="CK2097" s="347" t="s">
        <v>362</v>
      </c>
      <c r="CL2097" s="1789"/>
      <c r="CR2097" s="345"/>
      <c r="CS2097" s="345"/>
      <c r="CX2097" s="347"/>
      <c r="CY2097" s="347"/>
      <c r="DH2097" s="237"/>
      <c r="DI2097" s="237"/>
      <c r="DN2097" s="347"/>
      <c r="DO2097" s="347"/>
      <c r="DP2097" s="2505"/>
    </row>
    <row r="2098" spans="12:120">
      <c r="L2098" s="347">
        <v>19.079999999999998</v>
      </c>
      <c r="M2098" s="347" t="s">
        <v>368</v>
      </c>
      <c r="AB2098" s="347">
        <v>901.01</v>
      </c>
      <c r="AC2098" s="347" t="s">
        <v>310</v>
      </c>
      <c r="AD2098" s="1138"/>
      <c r="AP2098" s="347">
        <v>36</v>
      </c>
      <c r="AQ2098" s="347" t="s">
        <v>361</v>
      </c>
      <c r="BF2098" s="347">
        <v>304.05</v>
      </c>
      <c r="BG2098" s="347" t="s">
        <v>343</v>
      </c>
      <c r="BH2098" s="1790"/>
      <c r="BN2098" s="237">
        <v>24.23</v>
      </c>
      <c r="BO2098" s="237" t="s">
        <v>345</v>
      </c>
      <c r="BT2098" s="347">
        <v>35.119999999999997</v>
      </c>
      <c r="BU2098" s="347" t="s">
        <v>361</v>
      </c>
      <c r="CD2098" s="237">
        <v>114.13</v>
      </c>
      <c r="CE2098" s="237" t="s">
        <v>337</v>
      </c>
      <c r="CJ2098" s="347">
        <v>303.04000000000002</v>
      </c>
      <c r="CK2098" s="347" t="s">
        <v>362</v>
      </c>
      <c r="CL2098" s="1789"/>
      <c r="CR2098" s="345"/>
      <c r="CS2098" s="345"/>
      <c r="CX2098" s="347"/>
      <c r="CY2098" s="347"/>
      <c r="DH2098" s="237"/>
      <c r="DI2098" s="237"/>
      <c r="DN2098" s="347"/>
      <c r="DO2098" s="347"/>
      <c r="DP2098" s="2505"/>
    </row>
    <row r="2099" spans="12:120">
      <c r="L2099" s="347">
        <v>20.04</v>
      </c>
      <c r="M2099" s="347" t="s">
        <v>368</v>
      </c>
      <c r="AB2099" s="347">
        <v>901.01</v>
      </c>
      <c r="AC2099" s="347" t="s">
        <v>376</v>
      </c>
      <c r="AD2099" s="1138"/>
      <c r="AP2099" s="347">
        <v>38.020000000000003</v>
      </c>
      <c r="AQ2099" s="347" t="s">
        <v>361</v>
      </c>
      <c r="BF2099" s="347">
        <v>304.07</v>
      </c>
      <c r="BG2099" s="347" t="s">
        <v>362</v>
      </c>
      <c r="BH2099" s="1790"/>
      <c r="BN2099" s="237">
        <v>25.05</v>
      </c>
      <c r="BO2099" s="237" t="s">
        <v>345</v>
      </c>
      <c r="BT2099" s="347">
        <v>35.14</v>
      </c>
      <c r="BU2099" s="347" t="s">
        <v>361</v>
      </c>
      <c r="CD2099" s="237">
        <v>114.14</v>
      </c>
      <c r="CE2099" s="237" t="s">
        <v>337</v>
      </c>
      <c r="CJ2099" s="347">
        <v>303.06</v>
      </c>
      <c r="CK2099" s="347" t="s">
        <v>317</v>
      </c>
      <c r="CL2099" s="1789"/>
      <c r="CR2099" s="345"/>
      <c r="CS2099" s="345"/>
      <c r="CX2099" s="347"/>
      <c r="CY2099" s="347"/>
      <c r="DH2099" s="237"/>
      <c r="DI2099" s="237"/>
      <c r="DN2099" s="347"/>
      <c r="DO2099" s="347"/>
      <c r="DP2099" s="2505"/>
    </row>
    <row r="2100" spans="12:120">
      <c r="L2100" s="347">
        <v>20.05</v>
      </c>
      <c r="M2100" s="347" t="s">
        <v>368</v>
      </c>
      <c r="AB2100" s="347">
        <v>901.02</v>
      </c>
      <c r="AC2100" s="347" t="s">
        <v>310</v>
      </c>
      <c r="AD2100" s="1138"/>
      <c r="AP2100" s="347">
        <v>42.05</v>
      </c>
      <c r="AQ2100" s="347" t="s">
        <v>361</v>
      </c>
      <c r="BF2100" s="347">
        <v>304.08</v>
      </c>
      <c r="BG2100" s="347" t="s">
        <v>343</v>
      </c>
      <c r="BH2100" s="1790"/>
      <c r="BN2100" s="237">
        <v>25.07</v>
      </c>
      <c r="BO2100" s="237" t="s">
        <v>345</v>
      </c>
      <c r="BT2100" s="347">
        <v>36</v>
      </c>
      <c r="BU2100" s="347" t="s">
        <v>361</v>
      </c>
      <c r="CD2100" s="237">
        <v>114.15</v>
      </c>
      <c r="CE2100" s="237" t="s">
        <v>337</v>
      </c>
      <c r="CJ2100" s="347">
        <v>304.02</v>
      </c>
      <c r="CK2100" s="347" t="s">
        <v>315</v>
      </c>
      <c r="CL2100" s="1789"/>
      <c r="CR2100" s="345"/>
      <c r="CS2100" s="345"/>
      <c r="CX2100" s="347"/>
      <c r="CY2100" s="347"/>
      <c r="DH2100" s="237"/>
      <c r="DI2100" s="237"/>
      <c r="DN2100" s="347"/>
      <c r="DO2100" s="347"/>
      <c r="DP2100" s="2505"/>
    </row>
    <row r="2101" spans="12:120">
      <c r="L2101" s="347">
        <v>20.07</v>
      </c>
      <c r="M2101" s="347" t="s">
        <v>368</v>
      </c>
      <c r="AB2101" s="347">
        <v>902</v>
      </c>
      <c r="AC2101" s="347" t="s">
        <v>310</v>
      </c>
      <c r="AD2101" s="1138"/>
      <c r="AP2101" s="347">
        <v>43</v>
      </c>
      <c r="AQ2101" s="347" t="s">
        <v>361</v>
      </c>
      <c r="BF2101" s="347">
        <v>304.10000000000002</v>
      </c>
      <c r="BG2101" s="347" t="s">
        <v>343</v>
      </c>
      <c r="BH2101" s="1790"/>
      <c r="BN2101" s="237">
        <v>25.09</v>
      </c>
      <c r="BO2101" s="237" t="s">
        <v>345</v>
      </c>
      <c r="BT2101" s="347">
        <v>42.05</v>
      </c>
      <c r="BU2101" s="347" t="s">
        <v>361</v>
      </c>
      <c r="CD2101" s="237">
        <v>114.16</v>
      </c>
      <c r="CE2101" s="237" t="s">
        <v>337</v>
      </c>
      <c r="CJ2101" s="347">
        <v>304.04000000000002</v>
      </c>
      <c r="CK2101" s="347" t="s">
        <v>362</v>
      </c>
      <c r="CL2101" s="1789"/>
      <c r="CR2101" s="345"/>
      <c r="CS2101" s="345"/>
      <c r="CX2101" s="347"/>
      <c r="CY2101" s="347"/>
      <c r="DH2101" s="237"/>
      <c r="DI2101" s="237"/>
      <c r="DN2101" s="347"/>
      <c r="DO2101" s="347"/>
      <c r="DP2101" s="2505"/>
    </row>
    <row r="2102" spans="12:120">
      <c r="L2102" s="347">
        <v>20.079999999999998</v>
      </c>
      <c r="M2102" s="347" t="s">
        <v>368</v>
      </c>
      <c r="AB2102" s="347">
        <v>902.02</v>
      </c>
      <c r="AC2102" s="347" t="s">
        <v>376</v>
      </c>
      <c r="AD2102" s="1138"/>
      <c r="AP2102" s="347">
        <v>44.01</v>
      </c>
      <c r="AQ2102" s="347" t="s">
        <v>361</v>
      </c>
      <c r="BF2102" s="347">
        <v>305.01</v>
      </c>
      <c r="BG2102" s="347" t="s">
        <v>315</v>
      </c>
      <c r="BH2102" s="1790"/>
      <c r="BN2102" s="237">
        <v>25.11</v>
      </c>
      <c r="BO2102" s="237" t="s">
        <v>345</v>
      </c>
      <c r="BT2102" s="347">
        <v>42.06</v>
      </c>
      <c r="BU2102" s="347" t="s">
        <v>361</v>
      </c>
      <c r="CD2102" s="237">
        <v>114.17</v>
      </c>
      <c r="CE2102" s="237" t="s">
        <v>337</v>
      </c>
      <c r="CJ2102" s="347">
        <v>304.07</v>
      </c>
      <c r="CK2102" s="347" t="s">
        <v>362</v>
      </c>
      <c r="CL2102" s="1789"/>
      <c r="CR2102" s="345"/>
      <c r="CS2102" s="345"/>
      <c r="CX2102" s="347"/>
      <c r="CY2102" s="347"/>
      <c r="DH2102" s="237"/>
      <c r="DI2102" s="237"/>
      <c r="DN2102" s="347"/>
      <c r="DO2102" s="347"/>
      <c r="DP2102" s="2505"/>
    </row>
    <row r="2103" spans="12:120">
      <c r="L2103" s="347">
        <v>20.09</v>
      </c>
      <c r="M2103" s="347" t="s">
        <v>368</v>
      </c>
      <c r="AB2103" s="347">
        <v>902.03</v>
      </c>
      <c r="AC2103" s="347" t="s">
        <v>376</v>
      </c>
      <c r="AD2103" s="1138"/>
      <c r="AP2103" s="347">
        <v>47.02</v>
      </c>
      <c r="AQ2103" s="347" t="s">
        <v>361</v>
      </c>
      <c r="BF2103" s="347">
        <v>305.04000000000002</v>
      </c>
      <c r="BG2103" s="347" t="s">
        <v>315</v>
      </c>
      <c r="BH2103" s="1790"/>
      <c r="BN2103" s="237">
        <v>25.12</v>
      </c>
      <c r="BO2103" s="237" t="s">
        <v>345</v>
      </c>
      <c r="BT2103" s="347">
        <v>43</v>
      </c>
      <c r="BU2103" s="347" t="s">
        <v>361</v>
      </c>
      <c r="CD2103" s="237">
        <v>114.18</v>
      </c>
      <c r="CE2103" s="237" t="s">
        <v>337</v>
      </c>
      <c r="CJ2103" s="347">
        <v>304.08</v>
      </c>
      <c r="CK2103" s="347" t="s">
        <v>343</v>
      </c>
      <c r="CL2103" s="1789"/>
      <c r="CR2103" s="345"/>
      <c r="CS2103" s="345"/>
      <c r="CX2103" s="347"/>
      <c r="CY2103" s="347"/>
      <c r="DH2103" s="237"/>
      <c r="DI2103" s="237"/>
      <c r="DN2103" s="347"/>
      <c r="DO2103" s="347"/>
      <c r="DP2103" s="2505"/>
    </row>
    <row r="2104" spans="12:120">
      <c r="L2104" s="347">
        <v>20.100000000000001</v>
      </c>
      <c r="M2104" s="347" t="s">
        <v>368</v>
      </c>
      <c r="AB2104" s="347">
        <v>902.04</v>
      </c>
      <c r="AC2104" s="347" t="s">
        <v>376</v>
      </c>
      <c r="AD2104" s="1138"/>
      <c r="AP2104" s="347">
        <v>48.15</v>
      </c>
      <c r="AQ2104" s="347" t="s">
        <v>361</v>
      </c>
      <c r="BF2104" s="347">
        <v>305.05</v>
      </c>
      <c r="BG2104" s="347" t="s">
        <v>315</v>
      </c>
      <c r="BH2104" s="1790"/>
      <c r="BN2104" s="237">
        <v>25.13</v>
      </c>
      <c r="BO2104" s="237" t="s">
        <v>345</v>
      </c>
      <c r="BT2104" s="347">
        <v>44.01</v>
      </c>
      <c r="BU2104" s="347" t="s">
        <v>361</v>
      </c>
      <c r="CD2104" s="237">
        <v>115</v>
      </c>
      <c r="CE2104" s="237" t="s">
        <v>323</v>
      </c>
      <c r="CJ2104" s="347">
        <v>304.10000000000002</v>
      </c>
      <c r="CK2104" s="347" t="s">
        <v>343</v>
      </c>
      <c r="CL2104" s="1789"/>
      <c r="CR2104" s="345"/>
      <c r="CS2104" s="345"/>
      <c r="CX2104" s="347"/>
      <c r="CY2104" s="347"/>
      <c r="DH2104" s="237"/>
      <c r="DI2104" s="237"/>
      <c r="DN2104" s="347"/>
      <c r="DO2104" s="347"/>
      <c r="DP2104" s="2505"/>
    </row>
    <row r="2105" spans="12:120">
      <c r="L2105" s="347">
        <v>21</v>
      </c>
      <c r="M2105" s="347" t="s">
        <v>368</v>
      </c>
      <c r="AB2105" s="347">
        <v>903.04</v>
      </c>
      <c r="AC2105" s="347" t="s">
        <v>376</v>
      </c>
      <c r="AD2105" s="1138"/>
      <c r="AP2105" s="347">
        <v>48.16</v>
      </c>
      <c r="AQ2105" s="347" t="s">
        <v>361</v>
      </c>
      <c r="BF2105" s="347">
        <v>305.06</v>
      </c>
      <c r="BG2105" s="347" t="s">
        <v>343</v>
      </c>
      <c r="BH2105" s="1790"/>
      <c r="BN2105" s="237">
        <v>25.14</v>
      </c>
      <c r="BO2105" s="237" t="s">
        <v>345</v>
      </c>
      <c r="BT2105" s="347">
        <v>47.02</v>
      </c>
      <c r="BU2105" s="347" t="s">
        <v>361</v>
      </c>
      <c r="CD2105" s="237">
        <v>115</v>
      </c>
      <c r="CE2105" s="237" t="s">
        <v>352</v>
      </c>
      <c r="CJ2105" s="347">
        <v>305</v>
      </c>
      <c r="CK2105" s="347" t="s">
        <v>317</v>
      </c>
      <c r="CL2105" s="1789"/>
      <c r="CR2105" s="345"/>
      <c r="CS2105" s="345"/>
      <c r="CX2105" s="347"/>
      <c r="CY2105" s="347"/>
      <c r="DH2105" s="237"/>
      <c r="DI2105" s="237"/>
      <c r="DN2105" s="347"/>
      <c r="DO2105" s="347"/>
      <c r="DP2105" s="2505"/>
    </row>
    <row r="2106" spans="12:120">
      <c r="L2106" s="347">
        <v>22.02</v>
      </c>
      <c r="M2106" s="347" t="s">
        <v>368</v>
      </c>
      <c r="AB2106" s="347">
        <v>903.05</v>
      </c>
      <c r="AC2106" s="347" t="s">
        <v>376</v>
      </c>
      <c r="AD2106" s="1138"/>
      <c r="AP2106" s="347">
        <v>48.21</v>
      </c>
      <c r="AQ2106" s="347" t="s">
        <v>361</v>
      </c>
      <c r="BF2106" s="347">
        <v>305.07</v>
      </c>
      <c r="BG2106" s="347" t="s">
        <v>315</v>
      </c>
      <c r="BH2106" s="1790"/>
      <c r="BN2106" s="237">
        <v>25.15</v>
      </c>
      <c r="BO2106" s="237" t="s">
        <v>345</v>
      </c>
      <c r="BT2106" s="347">
        <v>48.13</v>
      </c>
      <c r="BU2106" s="347" t="s">
        <v>361</v>
      </c>
      <c r="CD2106" s="237">
        <v>115.01</v>
      </c>
      <c r="CE2106" s="237" t="s">
        <v>365</v>
      </c>
      <c r="CJ2106" s="347">
        <v>305.01</v>
      </c>
      <c r="CK2106" s="347" t="s">
        <v>315</v>
      </c>
      <c r="CL2106" s="1789"/>
      <c r="CR2106" s="345"/>
      <c r="CS2106" s="345"/>
      <c r="CX2106" s="347"/>
      <c r="CY2106" s="347"/>
      <c r="DH2106" s="237"/>
      <c r="DI2106" s="237"/>
      <c r="DN2106" s="347"/>
      <c r="DO2106" s="347"/>
      <c r="DP2106" s="2505"/>
    </row>
    <row r="2107" spans="12:120">
      <c r="L2107" s="347">
        <v>23.03</v>
      </c>
      <c r="M2107" s="347" t="s">
        <v>368</v>
      </c>
      <c r="AB2107" s="347">
        <v>903.06</v>
      </c>
      <c r="AC2107" s="347" t="s">
        <v>376</v>
      </c>
      <c r="AD2107" s="1138"/>
      <c r="AP2107" s="347">
        <v>48.23</v>
      </c>
      <c r="AQ2107" s="347" t="s">
        <v>361</v>
      </c>
      <c r="BF2107" s="347">
        <v>306</v>
      </c>
      <c r="BG2107" s="347" t="s">
        <v>317</v>
      </c>
      <c r="BH2107" s="1790"/>
      <c r="BN2107" s="237">
        <v>25.16</v>
      </c>
      <c r="BO2107" s="237" t="s">
        <v>345</v>
      </c>
      <c r="BT2107" s="347">
        <v>48.21</v>
      </c>
      <c r="BU2107" s="347" t="s">
        <v>361</v>
      </c>
      <c r="CD2107" s="237">
        <v>115.02</v>
      </c>
      <c r="CE2107" s="237" t="s">
        <v>365</v>
      </c>
      <c r="CJ2107" s="347">
        <v>305.04000000000002</v>
      </c>
      <c r="CK2107" s="347" t="s">
        <v>315</v>
      </c>
      <c r="CL2107" s="1789"/>
      <c r="CR2107" s="345"/>
      <c r="CS2107" s="345"/>
      <c r="CX2107" s="347"/>
      <c r="CY2107" s="347"/>
      <c r="DH2107" s="237"/>
      <c r="DI2107" s="237"/>
      <c r="DN2107" s="347"/>
      <c r="DO2107" s="347"/>
      <c r="DP2107" s="2505"/>
    </row>
    <row r="2108" spans="12:120">
      <c r="L2108" s="347">
        <v>23.04</v>
      </c>
      <c r="M2108" s="347" t="s">
        <v>368</v>
      </c>
      <c r="AB2108" s="347">
        <v>904</v>
      </c>
      <c r="AC2108" s="347" t="s">
        <v>376</v>
      </c>
      <c r="AD2108" s="1138"/>
      <c r="AP2108" s="347">
        <v>49.02</v>
      </c>
      <c r="AQ2108" s="347" t="s">
        <v>361</v>
      </c>
      <c r="BF2108" s="347">
        <v>307.01</v>
      </c>
      <c r="BG2108" s="347" t="s">
        <v>317</v>
      </c>
      <c r="BH2108" s="1790"/>
      <c r="BN2108" s="237">
        <v>25.17</v>
      </c>
      <c r="BO2108" s="237" t="s">
        <v>345</v>
      </c>
      <c r="BT2108" s="347">
        <v>48.23</v>
      </c>
      <c r="BU2108" s="347" t="s">
        <v>361</v>
      </c>
      <c r="CD2108" s="237">
        <v>115.04</v>
      </c>
      <c r="CE2108" s="237" t="s">
        <v>337</v>
      </c>
      <c r="CJ2108" s="347">
        <v>305.05</v>
      </c>
      <c r="CK2108" s="347" t="s">
        <v>315</v>
      </c>
      <c r="CL2108" s="1789"/>
      <c r="CR2108" s="345"/>
      <c r="CS2108" s="345"/>
      <c r="CX2108" s="347"/>
      <c r="CY2108" s="347"/>
      <c r="DH2108" s="237"/>
      <c r="DI2108" s="237"/>
      <c r="DN2108" s="347"/>
      <c r="DO2108" s="347"/>
      <c r="DP2108" s="2505"/>
    </row>
    <row r="2109" spans="12:120">
      <c r="L2109" s="347">
        <v>23.05</v>
      </c>
      <c r="M2109" s="347" t="s">
        <v>368</v>
      </c>
      <c r="AB2109" s="347">
        <v>905.02</v>
      </c>
      <c r="AC2109" s="347" t="s">
        <v>310</v>
      </c>
      <c r="AD2109" s="1138"/>
      <c r="AP2109" s="347">
        <v>53</v>
      </c>
      <c r="AQ2109" s="347" t="s">
        <v>361</v>
      </c>
      <c r="BF2109" s="347">
        <v>307.01</v>
      </c>
      <c r="BG2109" s="347" t="s">
        <v>343</v>
      </c>
      <c r="BH2109" s="1790"/>
      <c r="BN2109" s="237">
        <v>26.03</v>
      </c>
      <c r="BO2109" s="237" t="s">
        <v>345</v>
      </c>
      <c r="BT2109" s="347">
        <v>49.02</v>
      </c>
      <c r="BU2109" s="347" t="s">
        <v>361</v>
      </c>
      <c r="CD2109" s="237">
        <v>115.06</v>
      </c>
      <c r="CE2109" s="237" t="s">
        <v>337</v>
      </c>
      <c r="CJ2109" s="347">
        <v>305.06</v>
      </c>
      <c r="CK2109" s="347" t="s">
        <v>343</v>
      </c>
      <c r="CL2109" s="1789"/>
      <c r="CR2109" s="345"/>
      <c r="CS2109" s="345"/>
      <c r="CX2109" s="347"/>
      <c r="CY2109" s="347"/>
      <c r="DH2109" s="237"/>
      <c r="DI2109" s="237"/>
      <c r="DN2109" s="347"/>
      <c r="DO2109" s="347"/>
      <c r="DP2109" s="2505"/>
    </row>
    <row r="2110" spans="12:120">
      <c r="L2110" s="347">
        <v>24.01</v>
      </c>
      <c r="M2110" s="347" t="s">
        <v>368</v>
      </c>
      <c r="AB2110" s="347">
        <v>905.03</v>
      </c>
      <c r="AC2110" s="347" t="s">
        <v>310</v>
      </c>
      <c r="AD2110" s="1138"/>
      <c r="AP2110" s="347">
        <v>54.11</v>
      </c>
      <c r="AQ2110" s="347" t="s">
        <v>361</v>
      </c>
      <c r="BF2110" s="347">
        <v>307.02</v>
      </c>
      <c r="BG2110" s="347" t="s">
        <v>310</v>
      </c>
      <c r="BH2110" s="1790"/>
      <c r="BN2110" s="237">
        <v>26.04</v>
      </c>
      <c r="BO2110" s="237" t="s">
        <v>345</v>
      </c>
      <c r="BT2110" s="347">
        <v>54.11</v>
      </c>
      <c r="BU2110" s="347" t="s">
        <v>361</v>
      </c>
      <c r="CD2110" s="237">
        <v>115.09</v>
      </c>
      <c r="CE2110" s="237" t="s">
        <v>337</v>
      </c>
      <c r="CJ2110" s="347">
        <v>305.07</v>
      </c>
      <c r="CK2110" s="347" t="s">
        <v>315</v>
      </c>
      <c r="CL2110" s="1789"/>
      <c r="CR2110" s="345"/>
      <c r="CS2110" s="345"/>
      <c r="CX2110" s="347"/>
      <c r="CY2110" s="347"/>
      <c r="DH2110" s="237"/>
      <c r="DI2110" s="237"/>
      <c r="DN2110" s="347"/>
      <c r="DO2110" s="347"/>
      <c r="DP2110" s="2505"/>
    </row>
    <row r="2111" spans="12:120">
      <c r="L2111" s="347">
        <v>25.05</v>
      </c>
      <c r="M2111" s="347" t="s">
        <v>368</v>
      </c>
      <c r="AB2111" s="347">
        <v>906.01</v>
      </c>
      <c r="AC2111" s="347" t="s">
        <v>310</v>
      </c>
      <c r="AD2111" s="1138"/>
      <c r="AP2111" s="347">
        <v>54.12</v>
      </c>
      <c r="AQ2111" s="347" t="s">
        <v>361</v>
      </c>
      <c r="BF2111" s="347">
        <v>307.04000000000002</v>
      </c>
      <c r="BG2111" s="347" t="s">
        <v>310</v>
      </c>
      <c r="BH2111" s="1790"/>
      <c r="BN2111" s="237">
        <v>26.05</v>
      </c>
      <c r="BO2111" s="237" t="s">
        <v>345</v>
      </c>
      <c r="BT2111" s="347">
        <v>54.12</v>
      </c>
      <c r="BU2111" s="347" t="s">
        <v>361</v>
      </c>
      <c r="CD2111" s="237">
        <v>115.1</v>
      </c>
      <c r="CE2111" s="237" t="s">
        <v>337</v>
      </c>
      <c r="CJ2111" s="347">
        <v>307.01</v>
      </c>
      <c r="CK2111" s="347" t="s">
        <v>317</v>
      </c>
      <c r="CL2111" s="1789"/>
      <c r="CR2111" s="345"/>
      <c r="CS2111" s="345"/>
      <c r="CX2111" s="347"/>
      <c r="CY2111" s="347"/>
      <c r="DH2111" s="237"/>
      <c r="DI2111" s="237"/>
      <c r="DN2111" s="347"/>
      <c r="DO2111" s="347"/>
      <c r="DP2111" s="2505"/>
    </row>
    <row r="2112" spans="12:120">
      <c r="L2112" s="347">
        <v>25.07</v>
      </c>
      <c r="M2112" s="347" t="s">
        <v>368</v>
      </c>
      <c r="AB2112" s="347">
        <v>907.01</v>
      </c>
      <c r="AC2112" s="347" t="s">
        <v>376</v>
      </c>
      <c r="AD2112" s="1138"/>
      <c r="AP2112" s="347">
        <v>54.13</v>
      </c>
      <c r="AQ2112" s="347" t="s">
        <v>361</v>
      </c>
      <c r="BF2112" s="347">
        <v>307.04000000000002</v>
      </c>
      <c r="BG2112" s="347" t="s">
        <v>317</v>
      </c>
      <c r="BH2112" s="1790"/>
      <c r="BN2112" s="237">
        <v>26.06</v>
      </c>
      <c r="BO2112" s="237" t="s">
        <v>345</v>
      </c>
      <c r="BT2112" s="347">
        <v>54.13</v>
      </c>
      <c r="BU2112" s="347" t="s">
        <v>361</v>
      </c>
      <c r="CD2112" s="237">
        <v>115.12</v>
      </c>
      <c r="CE2112" s="237" t="s">
        <v>337</v>
      </c>
      <c r="CJ2112" s="347">
        <v>307.01</v>
      </c>
      <c r="CK2112" s="347" t="s">
        <v>343</v>
      </c>
      <c r="CL2112" s="1789"/>
      <c r="CR2112" s="345"/>
      <c r="CS2112" s="345"/>
      <c r="CX2112" s="347"/>
      <c r="CY2112" s="347"/>
      <c r="DH2112" s="237"/>
      <c r="DI2112" s="237"/>
      <c r="DN2112" s="347"/>
      <c r="DO2112" s="347"/>
      <c r="DP2112" s="2505"/>
    </row>
    <row r="2113" spans="12:120">
      <c r="L2113" s="347">
        <v>25.11</v>
      </c>
      <c r="M2113" s="347" t="s">
        <v>368</v>
      </c>
      <c r="AB2113" s="347">
        <v>908.01</v>
      </c>
      <c r="AC2113" s="347" t="s">
        <v>310</v>
      </c>
      <c r="AD2113" s="1138"/>
      <c r="AP2113" s="347">
        <v>56.02</v>
      </c>
      <c r="AQ2113" s="347" t="s">
        <v>361</v>
      </c>
      <c r="BF2113" s="347">
        <v>307.05</v>
      </c>
      <c r="BG2113" s="347" t="s">
        <v>317</v>
      </c>
      <c r="BH2113" s="1790"/>
      <c r="BN2113" s="237">
        <v>27.01</v>
      </c>
      <c r="BO2113" s="237" t="s">
        <v>345</v>
      </c>
      <c r="BT2113" s="347">
        <v>56.02</v>
      </c>
      <c r="BU2113" s="347" t="s">
        <v>361</v>
      </c>
      <c r="CD2113" s="237">
        <v>115.14</v>
      </c>
      <c r="CE2113" s="237" t="s">
        <v>337</v>
      </c>
      <c r="CJ2113" s="347">
        <v>307.02</v>
      </c>
      <c r="CK2113" s="347" t="s">
        <v>310</v>
      </c>
      <c r="CL2113" s="1789"/>
      <c r="CR2113" s="345"/>
      <c r="CS2113" s="345"/>
      <c r="CX2113" s="347"/>
      <c r="CY2113" s="347"/>
      <c r="DH2113" s="237"/>
      <c r="DI2113" s="237"/>
      <c r="DN2113" s="347"/>
      <c r="DO2113" s="347"/>
      <c r="DP2113" s="2505"/>
    </row>
    <row r="2114" spans="12:120">
      <c r="L2114" s="347">
        <v>26.01</v>
      </c>
      <c r="M2114" s="347" t="s">
        <v>368</v>
      </c>
      <c r="AB2114" s="347">
        <v>908.02</v>
      </c>
      <c r="AC2114" s="347" t="s">
        <v>310</v>
      </c>
      <c r="AD2114" s="1138"/>
      <c r="AP2114" s="347">
        <v>58.07</v>
      </c>
      <c r="AQ2114" s="347" t="s">
        <v>361</v>
      </c>
      <c r="BF2114" s="347">
        <v>307.06</v>
      </c>
      <c r="BG2114" s="347" t="s">
        <v>317</v>
      </c>
      <c r="BH2114" s="1790"/>
      <c r="BN2114" s="237">
        <v>27.02</v>
      </c>
      <c r="BO2114" s="237" t="s">
        <v>345</v>
      </c>
      <c r="BT2114" s="347">
        <v>58.11</v>
      </c>
      <c r="BU2114" s="347" t="s">
        <v>361</v>
      </c>
      <c r="CD2114" s="237">
        <v>115.15</v>
      </c>
      <c r="CE2114" s="237" t="s">
        <v>337</v>
      </c>
      <c r="CJ2114" s="347">
        <v>307.04000000000002</v>
      </c>
      <c r="CK2114" s="347" t="s">
        <v>317</v>
      </c>
      <c r="CL2114" s="1789"/>
      <c r="CR2114" s="345"/>
      <c r="CS2114" s="345"/>
      <c r="CX2114" s="347"/>
      <c r="CY2114" s="347"/>
      <c r="DH2114" s="237"/>
      <c r="DI2114" s="237"/>
      <c r="DN2114" s="347"/>
      <c r="DO2114" s="347"/>
      <c r="DP2114" s="2505"/>
    </row>
    <row r="2115" spans="12:120">
      <c r="L2115" s="347">
        <v>27.11</v>
      </c>
      <c r="M2115" s="347" t="s">
        <v>368</v>
      </c>
      <c r="AB2115" s="347">
        <v>908.03</v>
      </c>
      <c r="AC2115" s="347" t="s">
        <v>376</v>
      </c>
      <c r="AD2115" s="1138"/>
      <c r="AP2115" s="347">
        <v>58.11</v>
      </c>
      <c r="AQ2115" s="347" t="s">
        <v>361</v>
      </c>
      <c r="BF2115" s="347">
        <v>307.07</v>
      </c>
      <c r="BG2115" s="347" t="s">
        <v>317</v>
      </c>
      <c r="BH2115" s="1790"/>
      <c r="BN2115" s="237">
        <v>9701.01</v>
      </c>
      <c r="BO2115" s="237" t="s">
        <v>346</v>
      </c>
      <c r="BT2115" s="347">
        <v>58.13</v>
      </c>
      <c r="BU2115" s="347" t="s">
        <v>361</v>
      </c>
      <c r="CD2115" s="237">
        <v>115.16</v>
      </c>
      <c r="CE2115" s="237" t="s">
        <v>337</v>
      </c>
      <c r="CJ2115" s="347">
        <v>307.05</v>
      </c>
      <c r="CK2115" s="347" t="s">
        <v>317</v>
      </c>
      <c r="CL2115" s="1789"/>
      <c r="CR2115" s="345"/>
      <c r="CS2115" s="345"/>
      <c r="CX2115" s="347"/>
      <c r="CY2115" s="347"/>
      <c r="DH2115" s="237"/>
      <c r="DI2115" s="237"/>
      <c r="DN2115" s="347"/>
      <c r="DO2115" s="347"/>
      <c r="DP2115" s="2505"/>
    </row>
    <row r="2116" spans="12:120">
      <c r="L2116" s="347">
        <v>27.12</v>
      </c>
      <c r="M2116" s="347" t="s">
        <v>368</v>
      </c>
      <c r="AB2116" s="347">
        <v>908.05</v>
      </c>
      <c r="AC2116" s="347" t="s">
        <v>376</v>
      </c>
      <c r="AD2116" s="1138"/>
      <c r="AP2116" s="347">
        <v>58.13</v>
      </c>
      <c r="AQ2116" s="347" t="s">
        <v>361</v>
      </c>
      <c r="BF2116" s="347">
        <v>307.08</v>
      </c>
      <c r="BG2116" s="347" t="s">
        <v>317</v>
      </c>
      <c r="BH2116" s="1790"/>
      <c r="BN2116" s="237">
        <v>9701.0300000000007</v>
      </c>
      <c r="BO2116" s="237" t="s">
        <v>346</v>
      </c>
      <c r="BT2116" s="347">
        <v>58.2</v>
      </c>
      <c r="BU2116" s="347" t="s">
        <v>361</v>
      </c>
      <c r="CD2116" s="237">
        <v>115.18</v>
      </c>
      <c r="CE2116" s="237" t="s">
        <v>337</v>
      </c>
      <c r="CJ2116" s="347">
        <v>307.06</v>
      </c>
      <c r="CK2116" s="347" t="s">
        <v>317</v>
      </c>
      <c r="CL2116" s="1789"/>
      <c r="CR2116" s="345"/>
      <c r="CS2116" s="345"/>
      <c r="CX2116" s="347"/>
      <c r="CY2116" s="347"/>
      <c r="DH2116" s="237"/>
      <c r="DI2116" s="237"/>
      <c r="DN2116" s="347"/>
      <c r="DO2116" s="347"/>
      <c r="DP2116" s="2505"/>
    </row>
    <row r="2117" spans="12:120">
      <c r="L2117" s="347">
        <v>27.13</v>
      </c>
      <c r="M2117" s="347" t="s">
        <v>368</v>
      </c>
      <c r="AB2117" s="347">
        <v>909</v>
      </c>
      <c r="AC2117" s="347" t="s">
        <v>310</v>
      </c>
      <c r="AD2117" s="1138"/>
      <c r="AP2117" s="347">
        <v>58.19</v>
      </c>
      <c r="AQ2117" s="347" t="s">
        <v>361</v>
      </c>
      <c r="BF2117" s="347">
        <v>308.01</v>
      </c>
      <c r="BG2117" s="347" t="s">
        <v>317</v>
      </c>
      <c r="BH2117" s="1790"/>
      <c r="BN2117" s="237">
        <v>9701.0400000000009</v>
      </c>
      <c r="BO2117" s="237" t="s">
        <v>346</v>
      </c>
      <c r="BT2117" s="347">
        <v>59.16</v>
      </c>
      <c r="BU2117" s="347" t="s">
        <v>361</v>
      </c>
      <c r="CD2117" s="237">
        <v>115.19</v>
      </c>
      <c r="CE2117" s="237" t="s">
        <v>337</v>
      </c>
      <c r="CJ2117" s="347">
        <v>307.07</v>
      </c>
      <c r="CK2117" s="347" t="s">
        <v>317</v>
      </c>
      <c r="CL2117" s="1789"/>
      <c r="CR2117" s="345"/>
      <c r="CS2117" s="345"/>
      <c r="CX2117" s="347"/>
      <c r="CY2117" s="347"/>
      <c r="DH2117" s="237"/>
      <c r="DI2117" s="237"/>
      <c r="DN2117" s="347"/>
      <c r="DO2117" s="347"/>
      <c r="DP2117" s="2505"/>
    </row>
    <row r="2118" spans="12:120">
      <c r="L2118" s="347">
        <v>27.14</v>
      </c>
      <c r="M2118" s="347" t="s">
        <v>368</v>
      </c>
      <c r="AB2118" s="347">
        <v>909.02</v>
      </c>
      <c r="AC2118" s="347" t="s">
        <v>376</v>
      </c>
      <c r="AD2118" s="1138"/>
      <c r="AP2118" s="347">
        <v>58.2</v>
      </c>
      <c r="AQ2118" s="347" t="s">
        <v>361</v>
      </c>
      <c r="BF2118" s="347">
        <v>308.02</v>
      </c>
      <c r="BG2118" s="347" t="s">
        <v>317</v>
      </c>
      <c r="BH2118" s="1790"/>
      <c r="BN2118" s="237">
        <v>9702</v>
      </c>
      <c r="BO2118" s="237" t="s">
        <v>346</v>
      </c>
      <c r="BT2118" s="347">
        <v>59.17</v>
      </c>
      <c r="BU2118" s="347" t="s">
        <v>361</v>
      </c>
      <c r="CD2118" s="237">
        <v>115.2</v>
      </c>
      <c r="CE2118" s="237" t="s">
        <v>337</v>
      </c>
      <c r="CJ2118" s="347">
        <v>307.08</v>
      </c>
      <c r="CK2118" s="347" t="s">
        <v>317</v>
      </c>
      <c r="CL2118" s="1789"/>
      <c r="CR2118" s="345"/>
      <c r="CS2118" s="345"/>
      <c r="CX2118" s="347"/>
      <c r="CY2118" s="347"/>
      <c r="DH2118" s="237"/>
      <c r="DI2118" s="237"/>
      <c r="DN2118" s="347"/>
      <c r="DO2118" s="347"/>
      <c r="DP2118" s="2505"/>
    </row>
    <row r="2119" spans="12:120">
      <c r="L2119" s="347">
        <v>27.16</v>
      </c>
      <c r="M2119" s="347" t="s">
        <v>368</v>
      </c>
      <c r="AB2119" s="347">
        <v>909.03</v>
      </c>
      <c r="AC2119" s="347" t="s">
        <v>376</v>
      </c>
      <c r="AD2119" s="1138"/>
      <c r="AP2119" s="347">
        <v>59.16</v>
      </c>
      <c r="AQ2119" s="347" t="s">
        <v>361</v>
      </c>
      <c r="BF2119" s="347">
        <v>308.02999999999997</v>
      </c>
      <c r="BG2119" s="347" t="s">
        <v>343</v>
      </c>
      <c r="BH2119" s="1790"/>
      <c r="BN2119" s="237">
        <v>9703.01</v>
      </c>
      <c r="BO2119" s="237" t="s">
        <v>346</v>
      </c>
      <c r="BT2119" s="347">
        <v>59.21</v>
      </c>
      <c r="BU2119" s="347" t="s">
        <v>361</v>
      </c>
      <c r="CD2119" s="237">
        <v>115.21</v>
      </c>
      <c r="CE2119" s="237" t="s">
        <v>337</v>
      </c>
      <c r="CJ2119" s="347">
        <v>308.01</v>
      </c>
      <c r="CK2119" s="347" t="s">
        <v>317</v>
      </c>
      <c r="CL2119" s="1789"/>
      <c r="CR2119" s="345"/>
      <c r="CS2119" s="345"/>
      <c r="CX2119" s="347"/>
      <c r="CY2119" s="347"/>
      <c r="DH2119" s="237"/>
      <c r="DI2119" s="237"/>
      <c r="DN2119" s="347"/>
      <c r="DO2119" s="347"/>
      <c r="DP2119" s="2505"/>
    </row>
    <row r="2120" spans="12:120">
      <c r="L2120" s="347">
        <v>27.18</v>
      </c>
      <c r="M2120" s="347" t="s">
        <v>368</v>
      </c>
      <c r="AB2120" s="347">
        <v>909.04</v>
      </c>
      <c r="AC2120" s="347" t="s">
        <v>376</v>
      </c>
      <c r="AD2120" s="1138"/>
      <c r="AP2120" s="347">
        <v>59.17</v>
      </c>
      <c r="AQ2120" s="347" t="s">
        <v>361</v>
      </c>
      <c r="BF2120" s="347">
        <v>308.07</v>
      </c>
      <c r="BG2120" s="347" t="s">
        <v>343</v>
      </c>
      <c r="BH2120" s="1790"/>
      <c r="BN2120" s="237">
        <v>9703.0300000000007</v>
      </c>
      <c r="BO2120" s="237" t="s">
        <v>346</v>
      </c>
      <c r="BT2120" s="347">
        <v>59.23</v>
      </c>
      <c r="BU2120" s="347" t="s">
        <v>361</v>
      </c>
      <c r="CD2120" s="237">
        <v>115.22</v>
      </c>
      <c r="CE2120" s="237" t="s">
        <v>337</v>
      </c>
      <c r="CJ2120" s="347">
        <v>308.02</v>
      </c>
      <c r="CK2120" s="347" t="s">
        <v>317</v>
      </c>
      <c r="CL2120" s="1789"/>
      <c r="CR2120" s="345"/>
      <c r="CS2120" s="345"/>
      <c r="CX2120" s="347"/>
      <c r="CY2120" s="347"/>
      <c r="DH2120" s="237"/>
      <c r="DI2120" s="237"/>
      <c r="DN2120" s="347"/>
      <c r="DO2120" s="347"/>
      <c r="DP2120" s="2505"/>
    </row>
    <row r="2121" spans="12:120">
      <c r="L2121" s="347">
        <v>27.19</v>
      </c>
      <c r="M2121" s="347" t="s">
        <v>368</v>
      </c>
      <c r="AB2121" s="347">
        <v>910</v>
      </c>
      <c r="AC2121" s="347" t="s">
        <v>310</v>
      </c>
      <c r="AD2121" s="1138"/>
      <c r="AP2121" s="347">
        <v>59.18</v>
      </c>
      <c r="AQ2121" s="347" t="s">
        <v>361</v>
      </c>
      <c r="BF2121" s="347">
        <v>309.01</v>
      </c>
      <c r="BG2121" s="347" t="s">
        <v>362</v>
      </c>
      <c r="BH2121" s="1790"/>
      <c r="BN2121" s="237">
        <v>9703.0400000000009</v>
      </c>
      <c r="BO2121" s="237" t="s">
        <v>346</v>
      </c>
      <c r="BT2121" s="347">
        <v>59.31</v>
      </c>
      <c r="BU2121" s="347" t="s">
        <v>361</v>
      </c>
      <c r="CD2121" s="237">
        <v>115.23</v>
      </c>
      <c r="CE2121" s="237" t="s">
        <v>337</v>
      </c>
      <c r="CJ2121" s="347">
        <v>308.02999999999997</v>
      </c>
      <c r="CK2121" s="347" t="s">
        <v>343</v>
      </c>
      <c r="CL2121" s="1789"/>
      <c r="CR2121" s="345"/>
      <c r="CS2121" s="345"/>
      <c r="CX2121" s="347"/>
      <c r="CY2121" s="347"/>
      <c r="DH2121" s="237"/>
      <c r="DI2121" s="237"/>
      <c r="DN2121" s="347"/>
      <c r="DO2121" s="347"/>
      <c r="DP2121" s="2505"/>
    </row>
    <row r="2122" spans="12:120">
      <c r="L2122" s="347">
        <v>27.2</v>
      </c>
      <c r="M2122" s="347" t="s">
        <v>368</v>
      </c>
      <c r="AB2122" s="347">
        <v>910.01</v>
      </c>
      <c r="AC2122" s="347" t="s">
        <v>376</v>
      </c>
      <c r="AD2122" s="1138"/>
      <c r="AP2122" s="347">
        <v>59.21</v>
      </c>
      <c r="AQ2122" s="347" t="s">
        <v>361</v>
      </c>
      <c r="BF2122" s="347">
        <v>309.02</v>
      </c>
      <c r="BG2122" s="347" t="s">
        <v>310</v>
      </c>
      <c r="BH2122" s="1790"/>
      <c r="BN2122" s="237">
        <v>9704</v>
      </c>
      <c r="BO2122" s="237" t="s">
        <v>346</v>
      </c>
      <c r="BT2122" s="347">
        <v>59.34</v>
      </c>
      <c r="BU2122" s="347" t="s">
        <v>361</v>
      </c>
      <c r="CD2122" s="237">
        <v>115.24</v>
      </c>
      <c r="CE2122" s="237" t="s">
        <v>337</v>
      </c>
      <c r="CJ2122" s="347">
        <v>308.04000000000002</v>
      </c>
      <c r="CK2122" s="347" t="s">
        <v>343</v>
      </c>
      <c r="CL2122" s="1789"/>
      <c r="CR2122" s="345"/>
      <c r="CS2122" s="345"/>
      <c r="CX2122" s="347"/>
      <c r="CY2122" s="347"/>
      <c r="DH2122" s="237"/>
      <c r="DI2122" s="237"/>
      <c r="DN2122" s="347"/>
      <c r="DO2122" s="347"/>
      <c r="DP2122" s="2505"/>
    </row>
    <row r="2123" spans="12:120">
      <c r="L2123" s="347">
        <v>207.01</v>
      </c>
      <c r="M2123" s="347" t="s">
        <v>369</v>
      </c>
      <c r="AB2123" s="347">
        <v>910.05</v>
      </c>
      <c r="AC2123" s="347" t="s">
        <v>376</v>
      </c>
      <c r="AD2123" s="1138"/>
      <c r="AP2123" s="347">
        <v>59.22</v>
      </c>
      <c r="AQ2123" s="347" t="s">
        <v>361</v>
      </c>
      <c r="BF2123" s="347">
        <v>309.04000000000002</v>
      </c>
      <c r="BG2123" s="347" t="s">
        <v>310</v>
      </c>
      <c r="BH2123" s="1790"/>
      <c r="BN2123" s="237">
        <v>9705.01</v>
      </c>
      <c r="BO2123" s="237" t="s">
        <v>346</v>
      </c>
      <c r="BT2123" s="347">
        <v>59.37</v>
      </c>
      <c r="BU2123" s="347" t="s">
        <v>361</v>
      </c>
      <c r="CD2123" s="237">
        <v>115.25</v>
      </c>
      <c r="CE2123" s="237" t="s">
        <v>337</v>
      </c>
      <c r="CJ2123" s="347">
        <v>308.05</v>
      </c>
      <c r="CK2123" s="347" t="s">
        <v>343</v>
      </c>
      <c r="CL2123" s="1789"/>
      <c r="CR2123" s="345"/>
      <c r="CS2123" s="345"/>
      <c r="CX2123" s="347"/>
      <c r="CY2123" s="347"/>
      <c r="DH2123" s="237"/>
      <c r="DI2123" s="237"/>
      <c r="DN2123" s="347"/>
      <c r="DO2123" s="347"/>
      <c r="DP2123" s="2505"/>
    </row>
    <row r="2124" spans="12:120">
      <c r="L2124" s="347">
        <v>207.03</v>
      </c>
      <c r="M2124" s="347" t="s">
        <v>369</v>
      </c>
      <c r="AB2124" s="347">
        <v>910.15</v>
      </c>
      <c r="AC2124" s="347" t="s">
        <v>376</v>
      </c>
      <c r="AD2124" s="1138"/>
      <c r="AP2124" s="347">
        <v>59.3</v>
      </c>
      <c r="AQ2124" s="347" t="s">
        <v>361</v>
      </c>
      <c r="BF2124" s="347">
        <v>309.04000000000002</v>
      </c>
      <c r="BG2124" s="347" t="s">
        <v>317</v>
      </c>
      <c r="BH2124" s="1790"/>
      <c r="BN2124" s="237">
        <v>9705.02</v>
      </c>
      <c r="BO2124" s="237" t="s">
        <v>346</v>
      </c>
      <c r="BT2124" s="347">
        <v>59.38</v>
      </c>
      <c r="BU2124" s="347" t="s">
        <v>361</v>
      </c>
      <c r="CD2124" s="237">
        <v>115.26</v>
      </c>
      <c r="CE2124" s="237" t="s">
        <v>337</v>
      </c>
      <c r="CJ2124" s="347">
        <v>308.07</v>
      </c>
      <c r="CK2124" s="347" t="s">
        <v>343</v>
      </c>
      <c r="CL2124" s="1789"/>
      <c r="CR2124" s="345"/>
      <c r="CS2124" s="345"/>
      <c r="CX2124" s="347"/>
      <c r="CY2124" s="347"/>
      <c r="DH2124" s="237"/>
      <c r="DI2124" s="237"/>
      <c r="DN2124" s="347"/>
      <c r="DO2124" s="347"/>
      <c r="DP2124" s="2505"/>
    </row>
    <row r="2125" spans="12:120">
      <c r="L2125" s="347">
        <v>207.04</v>
      </c>
      <c r="M2125" s="347" t="s">
        <v>369</v>
      </c>
      <c r="AB2125" s="347">
        <v>910.17</v>
      </c>
      <c r="AC2125" s="347" t="s">
        <v>376</v>
      </c>
      <c r="AD2125" s="1138"/>
      <c r="AP2125" s="347">
        <v>59.31</v>
      </c>
      <c r="AQ2125" s="347" t="s">
        <v>361</v>
      </c>
      <c r="BF2125" s="347">
        <v>309.05</v>
      </c>
      <c r="BG2125" s="347" t="s">
        <v>317</v>
      </c>
      <c r="BH2125" s="1790"/>
      <c r="BN2125" s="237">
        <v>9706</v>
      </c>
      <c r="BO2125" s="237" t="s">
        <v>346</v>
      </c>
      <c r="BT2125" s="347">
        <v>59.42</v>
      </c>
      <c r="BU2125" s="347" t="s">
        <v>361</v>
      </c>
      <c r="CD2125" s="237">
        <v>115.27</v>
      </c>
      <c r="CE2125" s="237" t="s">
        <v>337</v>
      </c>
      <c r="CJ2125" s="347">
        <v>309.01</v>
      </c>
      <c r="CK2125" s="347" t="s">
        <v>362</v>
      </c>
      <c r="CL2125" s="1789"/>
      <c r="CR2125" s="345"/>
      <c r="CS2125" s="345"/>
      <c r="CX2125" s="347"/>
      <c r="CY2125" s="347"/>
      <c r="DH2125" s="237"/>
      <c r="DI2125" s="237"/>
      <c r="DN2125" s="347"/>
      <c r="DO2125" s="347"/>
      <c r="DP2125" s="2505"/>
    </row>
    <row r="2126" spans="12:120">
      <c r="L2126" s="347">
        <v>207.05</v>
      </c>
      <c r="M2126" s="347" t="s">
        <v>369</v>
      </c>
      <c r="AB2126" s="347">
        <v>910.19</v>
      </c>
      <c r="AC2126" s="347" t="s">
        <v>376</v>
      </c>
      <c r="AD2126" s="1138"/>
      <c r="AP2126" s="347">
        <v>59.34</v>
      </c>
      <c r="AQ2126" s="347" t="s">
        <v>361</v>
      </c>
      <c r="BF2126" s="347">
        <v>309.17</v>
      </c>
      <c r="BG2126" s="347" t="s">
        <v>343</v>
      </c>
      <c r="BH2126" s="1790"/>
      <c r="BN2126" s="237">
        <v>9707</v>
      </c>
      <c r="BO2126" s="237" t="s">
        <v>346</v>
      </c>
      <c r="BT2126" s="347">
        <v>59.45</v>
      </c>
      <c r="BU2126" s="347" t="s">
        <v>361</v>
      </c>
      <c r="CD2126" s="237">
        <v>115.28</v>
      </c>
      <c r="CE2126" s="237" t="s">
        <v>337</v>
      </c>
      <c r="CJ2126" s="347">
        <v>309.02</v>
      </c>
      <c r="CK2126" s="347" t="s">
        <v>310</v>
      </c>
      <c r="CL2126" s="1789"/>
      <c r="CR2126" s="345"/>
      <c r="CS2126" s="345"/>
      <c r="CX2126" s="347"/>
      <c r="CY2126" s="347"/>
      <c r="DH2126" s="237"/>
      <c r="DI2126" s="237"/>
      <c r="DN2126" s="347"/>
      <c r="DO2126" s="347"/>
      <c r="DP2126" s="2505"/>
    </row>
    <row r="2127" spans="12:120">
      <c r="L2127" s="347">
        <v>208.03</v>
      </c>
      <c r="M2127" s="347" t="s">
        <v>369</v>
      </c>
      <c r="AB2127" s="347">
        <v>910.2</v>
      </c>
      <c r="AC2127" s="347" t="s">
        <v>376</v>
      </c>
      <c r="AD2127" s="1138"/>
      <c r="AP2127" s="347">
        <v>59.37</v>
      </c>
      <c r="AQ2127" s="347" t="s">
        <v>361</v>
      </c>
      <c r="BF2127" s="347">
        <v>309.18</v>
      </c>
      <c r="BG2127" s="347" t="s">
        <v>343</v>
      </c>
      <c r="BH2127" s="1790"/>
      <c r="BN2127" s="237">
        <v>9900</v>
      </c>
      <c r="BO2127" s="237" t="s">
        <v>346</v>
      </c>
      <c r="BT2127" s="347">
        <v>59.46</v>
      </c>
      <c r="BU2127" s="347" t="s">
        <v>361</v>
      </c>
      <c r="CD2127" s="237">
        <v>116</v>
      </c>
      <c r="CE2127" s="237" t="s">
        <v>323</v>
      </c>
      <c r="CJ2127" s="347">
        <v>309.02999999999997</v>
      </c>
      <c r="CK2127" s="347" t="s">
        <v>310</v>
      </c>
      <c r="CL2127" s="1789"/>
      <c r="CR2127" s="345"/>
      <c r="CS2127" s="345"/>
      <c r="CX2127" s="347"/>
      <c r="CY2127" s="347"/>
      <c r="DH2127" s="237"/>
      <c r="DI2127" s="237"/>
      <c r="DN2127" s="347"/>
      <c r="DO2127" s="347"/>
      <c r="DP2127" s="2505"/>
    </row>
    <row r="2128" spans="12:120">
      <c r="L2128" s="347">
        <v>208.05</v>
      </c>
      <c r="M2128" s="347" t="s">
        <v>369</v>
      </c>
      <c r="AB2128" s="347">
        <v>910.21</v>
      </c>
      <c r="AC2128" s="347" t="s">
        <v>376</v>
      </c>
      <c r="AD2128" s="1138"/>
      <c r="AP2128" s="347">
        <v>59.38</v>
      </c>
      <c r="AQ2128" s="347" t="s">
        <v>361</v>
      </c>
      <c r="BF2128" s="347">
        <v>310.02</v>
      </c>
      <c r="BG2128" s="347" t="s">
        <v>343</v>
      </c>
      <c r="BH2128" s="1790"/>
      <c r="BN2128" s="237">
        <v>1.01</v>
      </c>
      <c r="BO2128" s="237" t="s">
        <v>349</v>
      </c>
      <c r="BT2128" s="347">
        <v>59.47</v>
      </c>
      <c r="BU2128" s="347" t="s">
        <v>361</v>
      </c>
      <c r="CD2128" s="237">
        <v>116</v>
      </c>
      <c r="CE2128" s="237" t="s">
        <v>359</v>
      </c>
      <c r="CJ2128" s="347">
        <v>309.04000000000002</v>
      </c>
      <c r="CK2128" s="347" t="s">
        <v>310</v>
      </c>
      <c r="CL2128" s="1789"/>
      <c r="CR2128" s="345"/>
      <c r="CS2128" s="345"/>
      <c r="CX2128" s="347"/>
      <c r="CY2128" s="347"/>
      <c r="DH2128" s="237"/>
      <c r="DI2128" s="237"/>
      <c r="DN2128" s="347"/>
      <c r="DO2128" s="347"/>
      <c r="DP2128" s="2505"/>
    </row>
    <row r="2129" spans="12:120">
      <c r="L2129" s="347">
        <v>208.08</v>
      </c>
      <c r="M2129" s="347" t="s">
        <v>369</v>
      </c>
      <c r="AB2129" s="347">
        <v>910.22</v>
      </c>
      <c r="AC2129" s="347" t="s">
        <v>376</v>
      </c>
      <c r="AD2129" s="1138"/>
      <c r="AP2129" s="347">
        <v>59.42</v>
      </c>
      <c r="AQ2129" s="347" t="s">
        <v>361</v>
      </c>
      <c r="BF2129" s="347">
        <v>311.01</v>
      </c>
      <c r="BG2129" s="347" t="s">
        <v>310</v>
      </c>
      <c r="BH2129" s="1790"/>
      <c r="BN2129" s="237">
        <v>1.03</v>
      </c>
      <c r="BO2129" s="237" t="s">
        <v>349</v>
      </c>
      <c r="BT2129" s="347">
        <v>59.49</v>
      </c>
      <c r="BU2129" s="347" t="s">
        <v>361</v>
      </c>
      <c r="CD2129" s="237">
        <v>116.01</v>
      </c>
      <c r="CE2129" s="237" t="s">
        <v>352</v>
      </c>
      <c r="CJ2129" s="347">
        <v>309.04000000000002</v>
      </c>
      <c r="CK2129" s="347" t="s">
        <v>317</v>
      </c>
      <c r="CL2129" s="1789"/>
      <c r="CR2129" s="345"/>
      <c r="CS2129" s="345"/>
      <c r="CX2129" s="347"/>
      <c r="CY2129" s="347"/>
      <c r="DH2129" s="237"/>
      <c r="DI2129" s="237"/>
      <c r="DN2129" s="347"/>
      <c r="DO2129" s="347"/>
      <c r="DP2129" s="2505"/>
    </row>
    <row r="2130" spans="12:120">
      <c r="L2130" s="347">
        <v>208.1</v>
      </c>
      <c r="M2130" s="347" t="s">
        <v>369</v>
      </c>
      <c r="AB2130" s="347">
        <v>910.23</v>
      </c>
      <c r="AC2130" s="347" t="s">
        <v>376</v>
      </c>
      <c r="AD2130" s="1138"/>
      <c r="AP2130" s="347">
        <v>59.45</v>
      </c>
      <c r="AQ2130" s="347" t="s">
        <v>361</v>
      </c>
      <c r="BF2130" s="347">
        <v>311.01</v>
      </c>
      <c r="BG2130" s="347" t="s">
        <v>317</v>
      </c>
      <c r="BH2130" s="1790"/>
      <c r="BN2130" s="237">
        <v>1.05</v>
      </c>
      <c r="BO2130" s="237" t="s">
        <v>349</v>
      </c>
      <c r="BT2130" s="347">
        <v>59.5</v>
      </c>
      <c r="BU2130" s="347" t="s">
        <v>361</v>
      </c>
      <c r="CD2130" s="237">
        <v>116.02</v>
      </c>
      <c r="CE2130" s="237" t="s">
        <v>352</v>
      </c>
      <c r="CJ2130" s="347">
        <v>309.05</v>
      </c>
      <c r="CK2130" s="347" t="s">
        <v>317</v>
      </c>
      <c r="CL2130" s="1789"/>
      <c r="CR2130" s="345"/>
      <c r="CS2130" s="345"/>
      <c r="CX2130" s="347"/>
      <c r="CY2130" s="347"/>
      <c r="DH2130" s="237"/>
      <c r="DI2130" s="237"/>
      <c r="DN2130" s="347"/>
      <c r="DO2130" s="347"/>
      <c r="DP2130" s="2505"/>
    </row>
    <row r="2131" spans="12:120">
      <c r="L2131" s="347">
        <v>208.11</v>
      </c>
      <c r="M2131" s="347" t="s">
        <v>369</v>
      </c>
      <c r="AB2131" s="347">
        <v>910.26</v>
      </c>
      <c r="AC2131" s="347" t="s">
        <v>376</v>
      </c>
      <c r="AD2131" s="1138"/>
      <c r="AP2131" s="347">
        <v>59.46</v>
      </c>
      <c r="AQ2131" s="347" t="s">
        <v>361</v>
      </c>
      <c r="BF2131" s="347">
        <v>311.02</v>
      </c>
      <c r="BG2131" s="347" t="s">
        <v>310</v>
      </c>
      <c r="BH2131" s="1790"/>
      <c r="BN2131" s="237">
        <v>1.06</v>
      </c>
      <c r="BO2131" s="237" t="s">
        <v>349</v>
      </c>
      <c r="BT2131" s="347">
        <v>59.53</v>
      </c>
      <c r="BU2131" s="347" t="s">
        <v>361</v>
      </c>
      <c r="CD2131" s="237">
        <v>116.03</v>
      </c>
      <c r="CE2131" s="237" t="s">
        <v>337</v>
      </c>
      <c r="CJ2131" s="347">
        <v>309.16000000000003</v>
      </c>
      <c r="CK2131" s="347" t="s">
        <v>343</v>
      </c>
      <c r="CL2131" s="1789"/>
      <c r="CR2131" s="345"/>
      <c r="CS2131" s="345"/>
      <c r="CX2131" s="347"/>
      <c r="CY2131" s="347"/>
      <c r="DH2131" s="237"/>
      <c r="DI2131" s="237"/>
      <c r="DN2131" s="347"/>
      <c r="DO2131" s="347"/>
      <c r="DP2131" s="2505"/>
    </row>
    <row r="2132" spans="12:120">
      <c r="L2132" s="347">
        <v>212.01</v>
      </c>
      <c r="M2132" s="347" t="s">
        <v>369</v>
      </c>
      <c r="AB2132" s="347">
        <v>910.29</v>
      </c>
      <c r="AC2132" s="347" t="s">
        <v>376</v>
      </c>
      <c r="AD2132" s="1138"/>
      <c r="AP2132" s="347">
        <v>59.47</v>
      </c>
      <c r="AQ2132" s="347" t="s">
        <v>361</v>
      </c>
      <c r="BF2132" s="347">
        <v>311.02999999999997</v>
      </c>
      <c r="BG2132" s="347" t="s">
        <v>343</v>
      </c>
      <c r="BH2132" s="1790"/>
      <c r="BN2132" s="237">
        <v>2.0099999999999998</v>
      </c>
      <c r="BO2132" s="237" t="s">
        <v>349</v>
      </c>
      <c r="BT2132" s="347">
        <v>59.54</v>
      </c>
      <c r="BU2132" s="347" t="s">
        <v>361</v>
      </c>
      <c r="CD2132" s="237">
        <v>116.03</v>
      </c>
      <c r="CE2132" s="237" t="s">
        <v>365</v>
      </c>
      <c r="CJ2132" s="347">
        <v>309.17</v>
      </c>
      <c r="CK2132" s="347" t="s">
        <v>343</v>
      </c>
      <c r="CL2132" s="1789"/>
      <c r="CR2132" s="345"/>
      <c r="CS2132" s="345"/>
      <c r="CX2132" s="347"/>
      <c r="CY2132" s="347"/>
      <c r="DH2132" s="237"/>
      <c r="DI2132" s="237"/>
      <c r="DN2132" s="347"/>
      <c r="DO2132" s="347"/>
      <c r="DP2132" s="2505"/>
    </row>
    <row r="2133" spans="12:120">
      <c r="L2133" s="347">
        <v>212.03</v>
      </c>
      <c r="M2133" s="347" t="s">
        <v>369</v>
      </c>
      <c r="AB2133" s="347">
        <v>913</v>
      </c>
      <c r="AC2133" s="347" t="s">
        <v>310</v>
      </c>
      <c r="AD2133" s="1138"/>
      <c r="AP2133" s="347">
        <v>59.49</v>
      </c>
      <c r="AQ2133" s="347" t="s">
        <v>361</v>
      </c>
      <c r="BF2133" s="347">
        <v>311.05</v>
      </c>
      <c r="BG2133" s="347" t="s">
        <v>343</v>
      </c>
      <c r="BH2133" s="1790"/>
      <c r="BN2133" s="237">
        <v>2.0299999999999998</v>
      </c>
      <c r="BO2133" s="237" t="s">
        <v>349</v>
      </c>
      <c r="BT2133" s="347">
        <v>59.55</v>
      </c>
      <c r="BU2133" s="347" t="s">
        <v>361</v>
      </c>
      <c r="CD2133" s="237">
        <v>116.04</v>
      </c>
      <c r="CE2133" s="237" t="s">
        <v>365</v>
      </c>
      <c r="CJ2133" s="347">
        <v>309.18</v>
      </c>
      <c r="CK2133" s="347" t="s">
        <v>343</v>
      </c>
      <c r="CL2133" s="1789"/>
      <c r="CR2133" s="345"/>
      <c r="CS2133" s="345"/>
      <c r="CX2133" s="347"/>
      <c r="CY2133" s="347"/>
      <c r="DH2133" s="237"/>
      <c r="DI2133" s="237"/>
      <c r="DN2133" s="347"/>
      <c r="DO2133" s="347"/>
      <c r="DP2133" s="2505"/>
    </row>
    <row r="2134" spans="12:120">
      <c r="L2134" s="347">
        <v>212.04</v>
      </c>
      <c r="M2134" s="347" t="s">
        <v>369</v>
      </c>
      <c r="AB2134" s="347">
        <v>917.01</v>
      </c>
      <c r="AC2134" s="347" t="s">
        <v>310</v>
      </c>
      <c r="AD2134" s="1138"/>
      <c r="AP2134" s="347">
        <v>59.5</v>
      </c>
      <c r="AQ2134" s="347" t="s">
        <v>361</v>
      </c>
      <c r="BF2134" s="347">
        <v>311.06</v>
      </c>
      <c r="BG2134" s="347" t="s">
        <v>343</v>
      </c>
      <c r="BH2134" s="1790"/>
      <c r="BN2134" s="237">
        <v>2.04</v>
      </c>
      <c r="BO2134" s="237" t="s">
        <v>349</v>
      </c>
      <c r="BT2134" s="347">
        <v>59.58</v>
      </c>
      <c r="BU2134" s="347" t="s">
        <v>361</v>
      </c>
      <c r="CD2134" s="237">
        <v>116.05</v>
      </c>
      <c r="CE2134" s="237" t="s">
        <v>337</v>
      </c>
      <c r="CJ2134" s="347">
        <v>310.02</v>
      </c>
      <c r="CK2134" s="347" t="s">
        <v>343</v>
      </c>
      <c r="CL2134" s="1789"/>
      <c r="CR2134" s="345"/>
      <c r="CS2134" s="345"/>
      <c r="CX2134" s="347"/>
      <c r="CY2134" s="347"/>
      <c r="DH2134" s="237"/>
      <c r="DI2134" s="237"/>
      <c r="DN2134" s="347"/>
      <c r="DO2134" s="347"/>
      <c r="DP2134" s="2505"/>
    </row>
    <row r="2135" spans="12:120">
      <c r="L2135" s="347">
        <v>213.06</v>
      </c>
      <c r="M2135" s="347" t="s">
        <v>369</v>
      </c>
      <c r="AB2135" s="347">
        <v>919.01</v>
      </c>
      <c r="AC2135" s="347" t="s">
        <v>310</v>
      </c>
      <c r="AD2135" s="1138"/>
      <c r="AP2135" s="347">
        <v>59.53</v>
      </c>
      <c r="AQ2135" s="347" t="s">
        <v>361</v>
      </c>
      <c r="BF2135" s="347">
        <v>312.02</v>
      </c>
      <c r="BG2135" s="347" t="s">
        <v>317</v>
      </c>
      <c r="BH2135" s="1790"/>
      <c r="BN2135" s="237">
        <v>3.04</v>
      </c>
      <c r="BO2135" s="237" t="s">
        <v>349</v>
      </c>
      <c r="BT2135" s="347">
        <v>59.6</v>
      </c>
      <c r="BU2135" s="347" t="s">
        <v>361</v>
      </c>
      <c r="CD2135" s="237">
        <v>116.05</v>
      </c>
      <c r="CE2135" s="237" t="s">
        <v>365</v>
      </c>
      <c r="CJ2135" s="347">
        <v>310.14</v>
      </c>
      <c r="CK2135" s="347" t="s">
        <v>362</v>
      </c>
      <c r="CL2135" s="1789"/>
      <c r="CR2135" s="345"/>
      <c r="CS2135" s="345"/>
      <c r="CX2135" s="347"/>
      <c r="CY2135" s="347"/>
      <c r="DH2135" s="237"/>
      <c r="DI2135" s="237"/>
      <c r="DN2135" s="347"/>
      <c r="DO2135" s="347"/>
      <c r="DP2135" s="2505"/>
    </row>
    <row r="2136" spans="12:120">
      <c r="L2136" s="347">
        <v>213.07</v>
      </c>
      <c r="M2136" s="347" t="s">
        <v>369</v>
      </c>
      <c r="AB2136" s="347">
        <v>920</v>
      </c>
      <c r="AC2136" s="347" t="s">
        <v>310</v>
      </c>
      <c r="AD2136" s="1138"/>
      <c r="AP2136" s="347">
        <v>59.54</v>
      </c>
      <c r="AQ2136" s="347" t="s">
        <v>361</v>
      </c>
      <c r="BF2136" s="347">
        <v>312.02</v>
      </c>
      <c r="BG2136" s="347" t="s">
        <v>343</v>
      </c>
      <c r="BH2136" s="1790"/>
      <c r="BN2136" s="237">
        <v>3.05</v>
      </c>
      <c r="BO2136" s="237" t="s">
        <v>349</v>
      </c>
      <c r="BT2136" s="347">
        <v>60.05</v>
      </c>
      <c r="BU2136" s="347" t="s">
        <v>361</v>
      </c>
      <c r="CD2136" s="237">
        <v>116.06</v>
      </c>
      <c r="CE2136" s="237" t="s">
        <v>365</v>
      </c>
      <c r="CJ2136" s="347">
        <v>311.01</v>
      </c>
      <c r="CK2136" s="347" t="s">
        <v>310</v>
      </c>
      <c r="CL2136" s="1789"/>
      <c r="CR2136" s="345"/>
      <c r="CS2136" s="345"/>
      <c r="CX2136" s="347"/>
      <c r="CY2136" s="347"/>
      <c r="DH2136" s="237"/>
      <c r="DI2136" s="237"/>
      <c r="DN2136" s="347"/>
      <c r="DO2136" s="347"/>
      <c r="DP2136" s="2505"/>
    </row>
    <row r="2137" spans="12:120">
      <c r="L2137" s="347">
        <v>213.11</v>
      </c>
      <c r="M2137" s="347" t="s">
        <v>369</v>
      </c>
      <c r="AB2137" s="347">
        <v>1001.04</v>
      </c>
      <c r="AC2137" s="347" t="s">
        <v>310</v>
      </c>
      <c r="AD2137" s="1138"/>
      <c r="AP2137" s="347">
        <v>59.55</v>
      </c>
      <c r="AQ2137" s="347" t="s">
        <v>361</v>
      </c>
      <c r="BF2137" s="347">
        <v>312.02999999999997</v>
      </c>
      <c r="BG2137" s="347" t="s">
        <v>310</v>
      </c>
      <c r="BH2137" s="1790"/>
      <c r="BN2137" s="237">
        <v>3.07</v>
      </c>
      <c r="BO2137" s="237" t="s">
        <v>349</v>
      </c>
      <c r="BT2137" s="347">
        <v>60.08</v>
      </c>
      <c r="BU2137" s="347" t="s">
        <v>361</v>
      </c>
      <c r="CD2137" s="237">
        <v>116.1</v>
      </c>
      <c r="CE2137" s="237" t="s">
        <v>337</v>
      </c>
      <c r="CJ2137" s="347">
        <v>311.01</v>
      </c>
      <c r="CK2137" s="347" t="s">
        <v>317</v>
      </c>
      <c r="CL2137" s="1789"/>
      <c r="CR2137" s="345"/>
      <c r="CS2137" s="345"/>
      <c r="CX2137" s="347"/>
      <c r="CY2137" s="347"/>
      <c r="DH2137" s="237"/>
      <c r="DI2137" s="237"/>
      <c r="DN2137" s="347"/>
      <c r="DO2137" s="347"/>
      <c r="DP2137" s="2505"/>
    </row>
    <row r="2138" spans="12:120">
      <c r="L2138" s="347">
        <v>213.12</v>
      </c>
      <c r="M2138" s="347" t="s">
        <v>369</v>
      </c>
      <c r="AB2138" s="347">
        <v>1001.05</v>
      </c>
      <c r="AC2138" s="347" t="s">
        <v>310</v>
      </c>
      <c r="AD2138" s="1138"/>
      <c r="AP2138" s="347">
        <v>59.58</v>
      </c>
      <c r="AQ2138" s="347" t="s">
        <v>361</v>
      </c>
      <c r="BF2138" s="347">
        <v>312.02999999999997</v>
      </c>
      <c r="BG2138" s="347" t="s">
        <v>317</v>
      </c>
      <c r="BH2138" s="1790"/>
      <c r="BN2138" s="237">
        <v>3.09</v>
      </c>
      <c r="BO2138" s="237" t="s">
        <v>349</v>
      </c>
      <c r="BT2138" s="347">
        <v>60.1</v>
      </c>
      <c r="BU2138" s="347" t="s">
        <v>361</v>
      </c>
      <c r="CD2138" s="237">
        <v>116.11</v>
      </c>
      <c r="CE2138" s="237" t="s">
        <v>337</v>
      </c>
      <c r="CJ2138" s="347">
        <v>311.02</v>
      </c>
      <c r="CK2138" s="347" t="s">
        <v>310</v>
      </c>
      <c r="CL2138" s="1789"/>
      <c r="CR2138" s="345"/>
      <c r="CS2138" s="345"/>
      <c r="CX2138" s="347"/>
      <c r="CY2138" s="347"/>
      <c r="DH2138" s="237"/>
      <c r="DI2138" s="237"/>
      <c r="DN2138" s="347"/>
      <c r="DO2138" s="347"/>
      <c r="DP2138" s="2505"/>
    </row>
    <row r="2139" spans="12:120">
      <c r="L2139" s="347">
        <v>213.13</v>
      </c>
      <c r="M2139" s="347" t="s">
        <v>369</v>
      </c>
      <c r="AB2139" s="347">
        <v>1101</v>
      </c>
      <c r="AC2139" s="347" t="s">
        <v>348</v>
      </c>
      <c r="AD2139" s="1138"/>
      <c r="AP2139" s="347">
        <v>59.6</v>
      </c>
      <c r="AQ2139" s="347" t="s">
        <v>361</v>
      </c>
      <c r="BF2139" s="347">
        <v>312.04000000000002</v>
      </c>
      <c r="BG2139" s="347" t="s">
        <v>310</v>
      </c>
      <c r="BH2139" s="1790"/>
      <c r="BN2139" s="237">
        <v>3.1</v>
      </c>
      <c r="BO2139" s="237" t="s">
        <v>349</v>
      </c>
      <c r="BT2139" s="347">
        <v>62.02</v>
      </c>
      <c r="BU2139" s="347" t="s">
        <v>361</v>
      </c>
      <c r="CD2139" s="237">
        <v>116.12</v>
      </c>
      <c r="CE2139" s="237" t="s">
        <v>337</v>
      </c>
      <c r="CJ2139" s="347">
        <v>311.02999999999997</v>
      </c>
      <c r="CK2139" s="347" t="s">
        <v>343</v>
      </c>
      <c r="CL2139" s="1789"/>
      <c r="CR2139" s="345"/>
      <c r="CS2139" s="345"/>
      <c r="CX2139" s="347"/>
      <c r="CY2139" s="347"/>
      <c r="DH2139" s="237"/>
      <c r="DI2139" s="237"/>
      <c r="DN2139" s="347"/>
      <c r="DO2139" s="347"/>
      <c r="DP2139" s="2505"/>
    </row>
    <row r="2140" spans="12:120">
      <c r="L2140" s="347">
        <v>213.14</v>
      </c>
      <c r="M2140" s="347" t="s">
        <v>369</v>
      </c>
      <c r="AB2140" s="347">
        <v>1102.01</v>
      </c>
      <c r="AC2140" s="347" t="s">
        <v>319</v>
      </c>
      <c r="AD2140" s="1138"/>
      <c r="AP2140" s="347">
        <v>60.05</v>
      </c>
      <c r="AQ2140" s="347" t="s">
        <v>361</v>
      </c>
      <c r="BF2140" s="347">
        <v>312.04000000000002</v>
      </c>
      <c r="BG2140" s="347" t="s">
        <v>362</v>
      </c>
      <c r="BH2140" s="1790"/>
      <c r="BN2140" s="237">
        <v>3.11</v>
      </c>
      <c r="BO2140" s="237" t="s">
        <v>349</v>
      </c>
      <c r="BT2140" s="347">
        <v>63.02</v>
      </c>
      <c r="BU2140" s="347" t="s">
        <v>361</v>
      </c>
      <c r="CD2140" s="237">
        <v>116.13</v>
      </c>
      <c r="CE2140" s="237" t="s">
        <v>337</v>
      </c>
      <c r="CJ2140" s="347">
        <v>311.04000000000002</v>
      </c>
      <c r="CK2140" s="347" t="s">
        <v>343</v>
      </c>
      <c r="CL2140" s="1789"/>
      <c r="CR2140" s="345"/>
      <c r="CS2140" s="345"/>
      <c r="CX2140" s="347"/>
      <c r="CY2140" s="347"/>
      <c r="DH2140" s="237"/>
      <c r="DI2140" s="237"/>
      <c r="DN2140" s="347"/>
      <c r="DO2140" s="347"/>
      <c r="DP2140" s="2505"/>
    </row>
    <row r="2141" spans="12:120">
      <c r="L2141" s="347">
        <v>213.15</v>
      </c>
      <c r="M2141" s="347" t="s">
        <v>369</v>
      </c>
      <c r="AB2141" s="347">
        <v>1103.01</v>
      </c>
      <c r="AC2141" s="347" t="s">
        <v>310</v>
      </c>
      <c r="AD2141" s="1138"/>
      <c r="AP2141" s="347">
        <v>60.06</v>
      </c>
      <c r="AQ2141" s="347" t="s">
        <v>361</v>
      </c>
      <c r="BF2141" s="347">
        <v>312.05</v>
      </c>
      <c r="BG2141" s="347" t="s">
        <v>310</v>
      </c>
      <c r="BH2141" s="1790"/>
      <c r="BN2141" s="237">
        <v>3.12</v>
      </c>
      <c r="BO2141" s="237" t="s">
        <v>349</v>
      </c>
      <c r="BT2141" s="347">
        <v>64.010000000000005</v>
      </c>
      <c r="BU2141" s="347" t="s">
        <v>361</v>
      </c>
      <c r="CD2141" s="237">
        <v>116.14</v>
      </c>
      <c r="CE2141" s="237" t="s">
        <v>337</v>
      </c>
      <c r="CJ2141" s="347">
        <v>311.05</v>
      </c>
      <c r="CK2141" s="347" t="s">
        <v>343</v>
      </c>
      <c r="CL2141" s="1789"/>
      <c r="CR2141" s="345"/>
      <c r="CS2141" s="345"/>
      <c r="CX2141" s="347"/>
      <c r="CY2141" s="347"/>
      <c r="DH2141" s="237"/>
      <c r="DI2141" s="237"/>
      <c r="DN2141" s="347"/>
      <c r="DO2141" s="347"/>
      <c r="DP2141" s="2505"/>
    </row>
    <row r="2142" spans="12:120">
      <c r="L2142" s="347">
        <v>213.16</v>
      </c>
      <c r="M2142" s="347" t="s">
        <v>369</v>
      </c>
      <c r="AB2142" s="347">
        <v>1103.01</v>
      </c>
      <c r="AC2142" s="347" t="s">
        <v>348</v>
      </c>
      <c r="AD2142" s="1138"/>
      <c r="AP2142" s="347">
        <v>60.08</v>
      </c>
      <c r="AQ2142" s="347" t="s">
        <v>361</v>
      </c>
      <c r="BF2142" s="347">
        <v>312.05</v>
      </c>
      <c r="BG2142" s="347" t="s">
        <v>343</v>
      </c>
      <c r="BH2142" s="1790"/>
      <c r="BN2142" s="237">
        <v>3.13</v>
      </c>
      <c r="BO2142" s="237" t="s">
        <v>349</v>
      </c>
      <c r="BT2142" s="347">
        <v>64.02</v>
      </c>
      <c r="BU2142" s="347" t="s">
        <v>361</v>
      </c>
      <c r="CD2142" s="237">
        <v>116.15</v>
      </c>
      <c r="CE2142" s="237" t="s">
        <v>337</v>
      </c>
      <c r="CJ2142" s="347">
        <v>311.06</v>
      </c>
      <c r="CK2142" s="347" t="s">
        <v>343</v>
      </c>
      <c r="CL2142" s="1789"/>
      <c r="CR2142" s="345"/>
      <c r="CS2142" s="345"/>
      <c r="CX2142" s="347"/>
      <c r="CY2142" s="347"/>
      <c r="DH2142" s="237"/>
      <c r="DI2142" s="237"/>
      <c r="DN2142" s="347"/>
      <c r="DO2142" s="347"/>
      <c r="DP2142" s="2505"/>
    </row>
    <row r="2143" spans="12:120">
      <c r="L2143" s="347">
        <v>213.17</v>
      </c>
      <c r="M2143" s="347" t="s">
        <v>369</v>
      </c>
      <c r="AB2143" s="347">
        <v>1103.02</v>
      </c>
      <c r="AC2143" s="347" t="s">
        <v>310</v>
      </c>
      <c r="AD2143" s="1138"/>
      <c r="AP2143" s="347">
        <v>62.02</v>
      </c>
      <c r="AQ2143" s="347" t="s">
        <v>361</v>
      </c>
      <c r="BF2143" s="347">
        <v>312.06</v>
      </c>
      <c r="BG2143" s="347" t="s">
        <v>310</v>
      </c>
      <c r="BH2143" s="1790"/>
      <c r="BN2143" s="237">
        <v>3.14</v>
      </c>
      <c r="BO2143" s="237" t="s">
        <v>349</v>
      </c>
      <c r="BT2143" s="347">
        <v>65.010000000000005</v>
      </c>
      <c r="BU2143" s="347" t="s">
        <v>361</v>
      </c>
      <c r="CD2143" s="237">
        <v>116.16</v>
      </c>
      <c r="CE2143" s="237" t="s">
        <v>337</v>
      </c>
      <c r="CJ2143" s="347">
        <v>311.08</v>
      </c>
      <c r="CK2143" s="347" t="s">
        <v>343</v>
      </c>
      <c r="CL2143" s="1789"/>
      <c r="CR2143" s="345"/>
      <c r="CS2143" s="345"/>
      <c r="CX2143" s="347"/>
      <c r="CY2143" s="347"/>
      <c r="DH2143" s="237"/>
      <c r="DI2143" s="237"/>
      <c r="DN2143" s="347"/>
      <c r="DO2143" s="347"/>
      <c r="DP2143" s="2505"/>
    </row>
    <row r="2144" spans="12:120">
      <c r="L2144" s="347">
        <v>213.18</v>
      </c>
      <c r="M2144" s="347" t="s">
        <v>369</v>
      </c>
      <c r="AB2144" s="347">
        <v>1103.03</v>
      </c>
      <c r="AC2144" s="347" t="s">
        <v>310</v>
      </c>
      <c r="AD2144" s="1138"/>
      <c r="AP2144" s="347">
        <v>63.01</v>
      </c>
      <c r="AQ2144" s="347" t="s">
        <v>361</v>
      </c>
      <c r="BF2144" s="347">
        <v>312.06</v>
      </c>
      <c r="BG2144" s="347" t="s">
        <v>362</v>
      </c>
      <c r="BH2144" s="1790"/>
      <c r="BN2144" s="237">
        <v>4.03</v>
      </c>
      <c r="BO2144" s="237" t="s">
        <v>349</v>
      </c>
      <c r="BT2144" s="347">
        <v>65.02</v>
      </c>
      <c r="BU2144" s="347" t="s">
        <v>361</v>
      </c>
      <c r="CD2144" s="237">
        <v>116.17</v>
      </c>
      <c r="CE2144" s="237" t="s">
        <v>337</v>
      </c>
      <c r="CJ2144" s="347">
        <v>312.02</v>
      </c>
      <c r="CK2144" s="347" t="s">
        <v>317</v>
      </c>
      <c r="CL2144" s="1789"/>
      <c r="CR2144" s="345"/>
      <c r="CS2144" s="345"/>
      <c r="CX2144" s="347"/>
      <c r="CY2144" s="347"/>
      <c r="DH2144" s="237"/>
      <c r="DI2144" s="237"/>
      <c r="DN2144" s="347"/>
      <c r="DO2144" s="347"/>
      <c r="DP2144" s="2505"/>
    </row>
    <row r="2145" spans="12:120">
      <c r="L2145" s="347">
        <v>213.2</v>
      </c>
      <c r="M2145" s="347" t="s">
        <v>369</v>
      </c>
      <c r="AB2145" s="347">
        <v>1103.07</v>
      </c>
      <c r="AC2145" s="347" t="s">
        <v>310</v>
      </c>
      <c r="AD2145" s="1138"/>
      <c r="AP2145" s="347">
        <v>63.02</v>
      </c>
      <c r="AQ2145" s="347" t="s">
        <v>361</v>
      </c>
      <c r="BF2145" s="347">
        <v>312.07</v>
      </c>
      <c r="BG2145" s="347" t="s">
        <v>310</v>
      </c>
      <c r="BH2145" s="1790"/>
      <c r="BN2145" s="237">
        <v>4.05</v>
      </c>
      <c r="BO2145" s="237" t="s">
        <v>349</v>
      </c>
      <c r="BT2145" s="347">
        <v>66.02</v>
      </c>
      <c r="BU2145" s="347" t="s">
        <v>361</v>
      </c>
      <c r="CD2145" s="237">
        <v>117</v>
      </c>
      <c r="CE2145" s="237" t="s">
        <v>323</v>
      </c>
      <c r="CJ2145" s="347">
        <v>312.02999999999997</v>
      </c>
      <c r="CK2145" s="347" t="s">
        <v>310</v>
      </c>
      <c r="CL2145" s="1789"/>
      <c r="CR2145" s="345"/>
      <c r="CS2145" s="345"/>
      <c r="CX2145" s="347"/>
      <c r="CY2145" s="347"/>
      <c r="DH2145" s="237"/>
      <c r="DI2145" s="237"/>
      <c r="DN2145" s="347"/>
      <c r="DO2145" s="347"/>
      <c r="DP2145" s="2505"/>
    </row>
    <row r="2146" spans="12:120">
      <c r="L2146" s="347">
        <v>213.21</v>
      </c>
      <c r="M2146" s="347" t="s">
        <v>369</v>
      </c>
      <c r="AB2146" s="347">
        <v>1103.08</v>
      </c>
      <c r="AC2146" s="347" t="s">
        <v>310</v>
      </c>
      <c r="AD2146" s="1138"/>
      <c r="AP2146" s="347">
        <v>64.010000000000005</v>
      </c>
      <c r="AQ2146" s="347" t="s">
        <v>361</v>
      </c>
      <c r="BF2146" s="347">
        <v>312.07</v>
      </c>
      <c r="BG2146" s="347" t="s">
        <v>343</v>
      </c>
      <c r="BH2146" s="1790"/>
      <c r="BN2146" s="237">
        <v>4.0599999999999996</v>
      </c>
      <c r="BO2146" s="237" t="s">
        <v>349</v>
      </c>
      <c r="BT2146" s="347">
        <v>66.069999999999993</v>
      </c>
      <c r="BU2146" s="347" t="s">
        <v>361</v>
      </c>
      <c r="CD2146" s="237">
        <v>117.01</v>
      </c>
      <c r="CE2146" s="237" t="s">
        <v>352</v>
      </c>
      <c r="CJ2146" s="347">
        <v>312.02999999999997</v>
      </c>
      <c r="CK2146" s="347" t="s">
        <v>317</v>
      </c>
      <c r="CL2146" s="1789"/>
      <c r="CR2146" s="345"/>
      <c r="CS2146" s="345"/>
      <c r="CX2146" s="347"/>
      <c r="CY2146" s="347"/>
      <c r="DH2146" s="237"/>
      <c r="DI2146" s="237"/>
      <c r="DN2146" s="347"/>
      <c r="DO2146" s="347"/>
      <c r="DP2146" s="2505"/>
    </row>
    <row r="2147" spans="12:120">
      <c r="L2147" s="347">
        <v>214.03</v>
      </c>
      <c r="M2147" s="347" t="s">
        <v>369</v>
      </c>
      <c r="AB2147" s="347">
        <v>1103.0899999999999</v>
      </c>
      <c r="AC2147" s="347" t="s">
        <v>310</v>
      </c>
      <c r="AD2147" s="1138"/>
      <c r="AP2147" s="347">
        <v>64.02</v>
      </c>
      <c r="AQ2147" s="347" t="s">
        <v>361</v>
      </c>
      <c r="BF2147" s="347">
        <v>312.08</v>
      </c>
      <c r="BG2147" s="347" t="s">
        <v>343</v>
      </c>
      <c r="BH2147" s="1790"/>
      <c r="BN2147" s="237">
        <v>4.07</v>
      </c>
      <c r="BO2147" s="237" t="s">
        <v>349</v>
      </c>
      <c r="BT2147" s="347">
        <v>69.06</v>
      </c>
      <c r="BU2147" s="347" t="s">
        <v>361</v>
      </c>
      <c r="CD2147" s="237">
        <v>117.01</v>
      </c>
      <c r="CE2147" s="237" t="s">
        <v>359</v>
      </c>
      <c r="CJ2147" s="347">
        <v>312.04000000000002</v>
      </c>
      <c r="CK2147" s="347" t="s">
        <v>362</v>
      </c>
      <c r="CL2147" s="1789"/>
      <c r="CR2147" s="345"/>
      <c r="CS2147" s="345"/>
      <c r="CX2147" s="347"/>
      <c r="CY2147" s="347"/>
      <c r="DH2147" s="237"/>
      <c r="DI2147" s="237"/>
      <c r="DN2147" s="347"/>
      <c r="DO2147" s="347"/>
      <c r="DP2147" s="2505"/>
    </row>
    <row r="2148" spans="12:120">
      <c r="L2148" s="347">
        <v>215.04</v>
      </c>
      <c r="M2148" s="347" t="s">
        <v>369</v>
      </c>
      <c r="AB2148" s="347">
        <v>1103.1099999999999</v>
      </c>
      <c r="AC2148" s="347" t="s">
        <v>310</v>
      </c>
      <c r="AD2148" s="1138"/>
      <c r="AP2148" s="347">
        <v>65.02</v>
      </c>
      <c r="AQ2148" s="347" t="s">
        <v>361</v>
      </c>
      <c r="BF2148" s="347">
        <v>312.08</v>
      </c>
      <c r="BG2148" s="347" t="s">
        <v>362</v>
      </c>
      <c r="BH2148" s="1790"/>
      <c r="BN2148" s="237">
        <v>4.09</v>
      </c>
      <c r="BO2148" s="237" t="s">
        <v>349</v>
      </c>
      <c r="BT2148" s="347">
        <v>69.069999999999993</v>
      </c>
      <c r="BU2148" s="347" t="s">
        <v>361</v>
      </c>
      <c r="CD2148" s="237">
        <v>117.02</v>
      </c>
      <c r="CE2148" s="237" t="s">
        <v>352</v>
      </c>
      <c r="CJ2148" s="347">
        <v>312.05</v>
      </c>
      <c r="CK2148" s="347" t="s">
        <v>310</v>
      </c>
      <c r="CL2148" s="1789"/>
      <c r="CR2148" s="345"/>
      <c r="CS2148" s="345"/>
      <c r="CX2148" s="347"/>
      <c r="CY2148" s="347"/>
      <c r="DH2148" s="237"/>
      <c r="DI2148" s="237"/>
      <c r="DN2148" s="347"/>
      <c r="DO2148" s="347"/>
      <c r="DP2148" s="2505"/>
    </row>
    <row r="2149" spans="12:120">
      <c r="L2149" s="347">
        <v>215.05</v>
      </c>
      <c r="M2149" s="347" t="s">
        <v>369</v>
      </c>
      <c r="AB2149" s="347">
        <v>1103.19</v>
      </c>
      <c r="AC2149" s="347" t="s">
        <v>310</v>
      </c>
      <c r="AD2149" s="1138"/>
      <c r="AP2149" s="347">
        <v>66.02</v>
      </c>
      <c r="AQ2149" s="347" t="s">
        <v>361</v>
      </c>
      <c r="BF2149" s="347">
        <v>313.01</v>
      </c>
      <c r="BG2149" s="347" t="s">
        <v>343</v>
      </c>
      <c r="BH2149" s="1790"/>
      <c r="BN2149" s="237">
        <v>4.0999999999999996</v>
      </c>
      <c r="BO2149" s="237" t="s">
        <v>349</v>
      </c>
      <c r="BT2149" s="347">
        <v>69.12</v>
      </c>
      <c r="BU2149" s="347" t="s">
        <v>361</v>
      </c>
      <c r="CD2149" s="237">
        <v>117.02</v>
      </c>
      <c r="CE2149" s="237" t="s">
        <v>359</v>
      </c>
      <c r="CJ2149" s="347">
        <v>312.06</v>
      </c>
      <c r="CK2149" s="347" t="s">
        <v>310</v>
      </c>
      <c r="CL2149" s="1789"/>
      <c r="CR2149" s="345"/>
      <c r="CS2149" s="345"/>
      <c r="CX2149" s="347"/>
      <c r="CY2149" s="347"/>
      <c r="DH2149" s="237"/>
      <c r="DI2149" s="237"/>
      <c r="DN2149" s="347"/>
      <c r="DO2149" s="347"/>
      <c r="DP2149" s="2505"/>
    </row>
    <row r="2150" spans="12:120">
      <c r="L2150" s="347">
        <v>216.04</v>
      </c>
      <c r="M2150" s="347" t="s">
        <v>369</v>
      </c>
      <c r="AB2150" s="347">
        <v>1103.21</v>
      </c>
      <c r="AC2150" s="347" t="s">
        <v>310</v>
      </c>
      <c r="AD2150" s="1138"/>
      <c r="AP2150" s="347">
        <v>66.06</v>
      </c>
      <c r="AQ2150" s="347" t="s">
        <v>361</v>
      </c>
      <c r="BF2150" s="347">
        <v>313.01</v>
      </c>
      <c r="BG2150" s="347" t="s">
        <v>362</v>
      </c>
      <c r="BH2150" s="1790"/>
      <c r="BN2150" s="237">
        <v>5.01</v>
      </c>
      <c r="BO2150" s="237" t="s">
        <v>349</v>
      </c>
      <c r="BT2150" s="347">
        <v>70.05</v>
      </c>
      <c r="BU2150" s="347" t="s">
        <v>361</v>
      </c>
      <c r="CD2150" s="237">
        <v>117.04</v>
      </c>
      <c r="CE2150" s="237" t="s">
        <v>365</v>
      </c>
      <c r="CJ2150" s="347">
        <v>312.07</v>
      </c>
      <c r="CK2150" s="347" t="s">
        <v>310</v>
      </c>
      <c r="CL2150" s="1789"/>
      <c r="CR2150" s="345"/>
      <c r="CS2150" s="345"/>
      <c r="CX2150" s="347"/>
      <c r="CY2150" s="347"/>
      <c r="DH2150" s="237"/>
      <c r="DI2150" s="237"/>
      <c r="DN2150" s="347"/>
      <c r="DO2150" s="347"/>
      <c r="DP2150" s="2505"/>
    </row>
    <row r="2151" spans="12:120">
      <c r="L2151" s="347">
        <v>216.09</v>
      </c>
      <c r="M2151" s="347" t="s">
        <v>369</v>
      </c>
      <c r="AB2151" s="347">
        <v>1103.22</v>
      </c>
      <c r="AC2151" s="347" t="s">
        <v>310</v>
      </c>
      <c r="AD2151" s="1138"/>
      <c r="AP2151" s="347">
        <v>66.069999999999993</v>
      </c>
      <c r="AQ2151" s="347" t="s">
        <v>361</v>
      </c>
      <c r="BF2151" s="347">
        <v>313.02</v>
      </c>
      <c r="BG2151" s="347" t="s">
        <v>317</v>
      </c>
      <c r="BH2151" s="1790"/>
      <c r="BN2151" s="237">
        <v>5.03</v>
      </c>
      <c r="BO2151" s="237" t="s">
        <v>349</v>
      </c>
      <c r="BT2151" s="347">
        <v>70.06</v>
      </c>
      <c r="BU2151" s="347" t="s">
        <v>361</v>
      </c>
      <c r="CD2151" s="237">
        <v>117.08</v>
      </c>
      <c r="CE2151" s="237" t="s">
        <v>337</v>
      </c>
      <c r="CJ2151" s="347">
        <v>312.07</v>
      </c>
      <c r="CK2151" s="347" t="s">
        <v>343</v>
      </c>
      <c r="CL2151" s="1789"/>
      <c r="CR2151" s="345"/>
      <c r="CS2151" s="345"/>
      <c r="CX2151" s="347"/>
      <c r="CY2151" s="347"/>
      <c r="DH2151" s="237"/>
      <c r="DI2151" s="237"/>
      <c r="DN2151" s="347"/>
      <c r="DO2151" s="347"/>
      <c r="DP2151" s="2505"/>
    </row>
    <row r="2152" spans="12:120">
      <c r="L2152" s="347">
        <v>216.11</v>
      </c>
      <c r="M2152" s="347" t="s">
        <v>369</v>
      </c>
      <c r="AB2152" s="347">
        <v>1103.24</v>
      </c>
      <c r="AC2152" s="347" t="s">
        <v>310</v>
      </c>
      <c r="AD2152" s="1138"/>
      <c r="AP2152" s="347">
        <v>69.06</v>
      </c>
      <c r="AQ2152" s="347" t="s">
        <v>361</v>
      </c>
      <c r="BF2152" s="347">
        <v>313.02</v>
      </c>
      <c r="BG2152" s="347" t="s">
        <v>362</v>
      </c>
      <c r="BH2152" s="1790"/>
      <c r="BN2152" s="237">
        <v>5.04</v>
      </c>
      <c r="BO2152" s="237" t="s">
        <v>349</v>
      </c>
      <c r="BT2152" s="347">
        <v>70.069999999999993</v>
      </c>
      <c r="BU2152" s="347" t="s">
        <v>361</v>
      </c>
      <c r="CD2152" s="237">
        <v>117.12</v>
      </c>
      <c r="CE2152" s="237" t="s">
        <v>337</v>
      </c>
      <c r="CJ2152" s="347">
        <v>312.08</v>
      </c>
      <c r="CK2152" s="347" t="s">
        <v>343</v>
      </c>
      <c r="CL2152" s="1789"/>
      <c r="CR2152" s="345"/>
      <c r="CS2152" s="345"/>
      <c r="CX2152" s="347"/>
      <c r="CY2152" s="347"/>
      <c r="DH2152" s="237"/>
      <c r="DI2152" s="237"/>
      <c r="DN2152" s="347"/>
      <c r="DO2152" s="347"/>
      <c r="DP2152" s="2505"/>
    </row>
    <row r="2153" spans="12:120">
      <c r="L2153" s="347">
        <v>216.12</v>
      </c>
      <c r="M2153" s="347" t="s">
        <v>369</v>
      </c>
      <c r="AB2153" s="347">
        <v>1103.25</v>
      </c>
      <c r="AC2153" s="347" t="s">
        <v>310</v>
      </c>
      <c r="AD2153" s="1138"/>
      <c r="AP2153" s="347">
        <v>69.069999999999993</v>
      </c>
      <c r="AQ2153" s="347" t="s">
        <v>361</v>
      </c>
      <c r="BF2153" s="347">
        <v>313.06</v>
      </c>
      <c r="BG2153" s="347" t="s">
        <v>343</v>
      </c>
      <c r="BH2153" s="1790"/>
      <c r="BN2153" s="237">
        <v>6.01</v>
      </c>
      <c r="BO2153" s="237" t="s">
        <v>349</v>
      </c>
      <c r="BT2153" s="347">
        <v>70.08</v>
      </c>
      <c r="BU2153" s="347" t="s">
        <v>361</v>
      </c>
      <c r="CD2153" s="237">
        <v>117.13</v>
      </c>
      <c r="CE2153" s="237" t="s">
        <v>337</v>
      </c>
      <c r="CJ2153" s="347">
        <v>312.08</v>
      </c>
      <c r="CK2153" s="347" t="s">
        <v>362</v>
      </c>
      <c r="CL2153" s="1789"/>
      <c r="CR2153" s="345"/>
      <c r="CS2153" s="345"/>
      <c r="CX2153" s="347"/>
      <c r="CY2153" s="347"/>
      <c r="DH2153" s="237"/>
      <c r="DI2153" s="237"/>
      <c r="DN2153" s="347"/>
      <c r="DO2153" s="347"/>
      <c r="DP2153" s="2505"/>
    </row>
    <row r="2154" spans="12:120">
      <c r="L2154" s="347">
        <v>216.14</v>
      </c>
      <c r="M2154" s="347" t="s">
        <v>369</v>
      </c>
      <c r="AB2154" s="347">
        <v>1103.26</v>
      </c>
      <c r="AC2154" s="347" t="s">
        <v>310</v>
      </c>
      <c r="AD2154" s="1138"/>
      <c r="AP2154" s="347">
        <v>69.12</v>
      </c>
      <c r="AQ2154" s="347" t="s">
        <v>361</v>
      </c>
      <c r="BF2154" s="347">
        <v>313.08</v>
      </c>
      <c r="BG2154" s="347" t="s">
        <v>343</v>
      </c>
      <c r="BH2154" s="1790"/>
      <c r="BN2154" s="237">
        <v>6.03</v>
      </c>
      <c r="BO2154" s="237" t="s">
        <v>349</v>
      </c>
      <c r="BT2154" s="347">
        <v>70.09</v>
      </c>
      <c r="BU2154" s="347" t="s">
        <v>361</v>
      </c>
      <c r="CD2154" s="237">
        <v>117.14</v>
      </c>
      <c r="CE2154" s="237" t="s">
        <v>337</v>
      </c>
      <c r="CJ2154" s="347">
        <v>313.01</v>
      </c>
      <c r="CK2154" s="347" t="s">
        <v>343</v>
      </c>
      <c r="CL2154" s="1789"/>
      <c r="CR2154" s="345"/>
      <c r="CS2154" s="345"/>
      <c r="CX2154" s="347"/>
      <c r="CY2154" s="347"/>
      <c r="DH2154" s="237"/>
      <c r="DI2154" s="237"/>
      <c r="DN2154" s="347"/>
      <c r="DO2154" s="347"/>
      <c r="DP2154" s="2505"/>
    </row>
    <row r="2155" spans="12:120">
      <c r="L2155" s="347">
        <v>216.15</v>
      </c>
      <c r="M2155" s="347" t="s">
        <v>369</v>
      </c>
      <c r="AB2155" s="347">
        <v>1103.27</v>
      </c>
      <c r="AC2155" s="347" t="s">
        <v>310</v>
      </c>
      <c r="AD2155" s="1138"/>
      <c r="AP2155" s="347">
        <v>70.05</v>
      </c>
      <c r="AQ2155" s="347" t="s">
        <v>361</v>
      </c>
      <c r="BF2155" s="347">
        <v>313.08999999999997</v>
      </c>
      <c r="BG2155" s="347" t="s">
        <v>343</v>
      </c>
      <c r="BH2155" s="1790"/>
      <c r="BN2155" s="237">
        <v>6.04</v>
      </c>
      <c r="BO2155" s="237" t="s">
        <v>349</v>
      </c>
      <c r="BT2155" s="347">
        <v>70.099999999999994</v>
      </c>
      <c r="BU2155" s="347" t="s">
        <v>361</v>
      </c>
      <c r="CD2155" s="237">
        <v>117.15</v>
      </c>
      <c r="CE2155" s="237" t="s">
        <v>337</v>
      </c>
      <c r="CJ2155" s="347">
        <v>313.02</v>
      </c>
      <c r="CK2155" s="347" t="s">
        <v>317</v>
      </c>
      <c r="CL2155" s="1789"/>
      <c r="CR2155" s="345"/>
      <c r="CS2155" s="345"/>
      <c r="CX2155" s="347"/>
      <c r="CY2155" s="347"/>
      <c r="DH2155" s="237"/>
      <c r="DI2155" s="237"/>
      <c r="DN2155" s="347"/>
      <c r="DO2155" s="347"/>
      <c r="DP2155" s="2505"/>
    </row>
    <row r="2156" spans="12:120">
      <c r="L2156" s="347">
        <v>216.16</v>
      </c>
      <c r="M2156" s="347" t="s">
        <v>369</v>
      </c>
      <c r="AB2156" s="347">
        <v>1103.28</v>
      </c>
      <c r="AC2156" s="347" t="s">
        <v>310</v>
      </c>
      <c r="AD2156" s="1138"/>
      <c r="AP2156" s="347">
        <v>70.06</v>
      </c>
      <c r="AQ2156" s="347" t="s">
        <v>361</v>
      </c>
      <c r="BF2156" s="347">
        <v>313.13</v>
      </c>
      <c r="BG2156" s="347" t="s">
        <v>343</v>
      </c>
      <c r="BH2156" s="1790"/>
      <c r="BN2156" s="237">
        <v>7.03</v>
      </c>
      <c r="BO2156" s="237" t="s">
        <v>349</v>
      </c>
      <c r="BT2156" s="347">
        <v>70.11</v>
      </c>
      <c r="BU2156" s="347" t="s">
        <v>361</v>
      </c>
      <c r="CD2156" s="237">
        <v>117.16</v>
      </c>
      <c r="CE2156" s="237" t="s">
        <v>337</v>
      </c>
      <c r="CJ2156" s="347">
        <v>313.02</v>
      </c>
      <c r="CK2156" s="347" t="s">
        <v>362</v>
      </c>
      <c r="CL2156" s="1789"/>
      <c r="CR2156" s="345"/>
      <c r="CS2156" s="345"/>
      <c r="CX2156" s="347"/>
      <c r="CY2156" s="347"/>
      <c r="DH2156" s="237"/>
      <c r="DI2156" s="237"/>
      <c r="DN2156" s="347"/>
      <c r="DO2156" s="347"/>
      <c r="DP2156" s="2505"/>
    </row>
    <row r="2157" spans="12:120">
      <c r="L2157" s="347">
        <v>217.04</v>
      </c>
      <c r="M2157" s="347" t="s">
        <v>369</v>
      </c>
      <c r="AB2157" s="347">
        <v>1103.3</v>
      </c>
      <c r="AC2157" s="347" t="s">
        <v>310</v>
      </c>
      <c r="AD2157" s="1138"/>
      <c r="AP2157" s="347">
        <v>70.069999999999993</v>
      </c>
      <c r="AQ2157" s="347" t="s">
        <v>361</v>
      </c>
      <c r="BF2157" s="347">
        <v>313.14</v>
      </c>
      <c r="BG2157" s="347" t="s">
        <v>343</v>
      </c>
      <c r="BH2157" s="1790"/>
      <c r="BN2157" s="237">
        <v>7.04</v>
      </c>
      <c r="BO2157" s="237" t="s">
        <v>349</v>
      </c>
      <c r="BT2157" s="347">
        <v>70.12</v>
      </c>
      <c r="BU2157" s="347" t="s">
        <v>361</v>
      </c>
      <c r="CD2157" s="237">
        <v>117.21</v>
      </c>
      <c r="CE2157" s="237" t="s">
        <v>365</v>
      </c>
      <c r="CJ2157" s="347">
        <v>313.06</v>
      </c>
      <c r="CK2157" s="347" t="s">
        <v>343</v>
      </c>
      <c r="CL2157" s="1789"/>
      <c r="CR2157" s="345"/>
      <c r="CS2157" s="345"/>
      <c r="CX2157" s="347"/>
      <c r="CY2157" s="347"/>
      <c r="DH2157" s="237"/>
      <c r="DI2157" s="237"/>
      <c r="DN2157" s="347"/>
      <c r="DO2157" s="347"/>
      <c r="DP2157" s="2505"/>
    </row>
    <row r="2158" spans="12:120">
      <c r="L2158" s="347">
        <v>217.06</v>
      </c>
      <c r="M2158" s="347" t="s">
        <v>369</v>
      </c>
      <c r="AB2158" s="347">
        <v>1103.31</v>
      </c>
      <c r="AC2158" s="347" t="s">
        <v>310</v>
      </c>
      <c r="AD2158" s="1138"/>
      <c r="AP2158" s="347">
        <v>70.08</v>
      </c>
      <c r="AQ2158" s="347" t="s">
        <v>361</v>
      </c>
      <c r="BF2158" s="347">
        <v>313.14999999999998</v>
      </c>
      <c r="BG2158" s="347" t="s">
        <v>343</v>
      </c>
      <c r="BH2158" s="1790"/>
      <c r="BN2158" s="237">
        <v>7.05</v>
      </c>
      <c r="BO2158" s="237" t="s">
        <v>349</v>
      </c>
      <c r="BT2158" s="347">
        <v>70.13</v>
      </c>
      <c r="BU2158" s="347" t="s">
        <v>361</v>
      </c>
      <c r="CD2158" s="237">
        <v>117.22</v>
      </c>
      <c r="CE2158" s="237" t="s">
        <v>365</v>
      </c>
      <c r="CJ2158" s="347">
        <v>313.08</v>
      </c>
      <c r="CK2158" s="347" t="s">
        <v>343</v>
      </c>
      <c r="CL2158" s="1789"/>
      <c r="CR2158" s="345"/>
      <c r="CS2158" s="345"/>
      <c r="CX2158" s="347"/>
      <c r="CY2158" s="347"/>
      <c r="DH2158" s="237"/>
      <c r="DI2158" s="237"/>
      <c r="DN2158" s="347"/>
      <c r="DO2158" s="347"/>
      <c r="DP2158" s="2505"/>
    </row>
    <row r="2159" spans="12:120">
      <c r="L2159" s="347">
        <v>217.07</v>
      </c>
      <c r="M2159" s="347" t="s">
        <v>369</v>
      </c>
      <c r="AB2159" s="347">
        <v>1103.32</v>
      </c>
      <c r="AC2159" s="347" t="s">
        <v>310</v>
      </c>
      <c r="AD2159" s="1138"/>
      <c r="AP2159" s="347">
        <v>70.09</v>
      </c>
      <c r="AQ2159" s="347" t="s">
        <v>361</v>
      </c>
      <c r="BF2159" s="347">
        <v>313.16000000000003</v>
      </c>
      <c r="BG2159" s="347" t="s">
        <v>343</v>
      </c>
      <c r="BH2159" s="1790"/>
      <c r="BN2159" s="237">
        <v>8.0399999999999991</v>
      </c>
      <c r="BO2159" s="237" t="s">
        <v>349</v>
      </c>
      <c r="BT2159" s="347">
        <v>72.02</v>
      </c>
      <c r="BU2159" s="347" t="s">
        <v>361</v>
      </c>
      <c r="CD2159" s="237">
        <v>117.31</v>
      </c>
      <c r="CE2159" s="237" t="s">
        <v>365</v>
      </c>
      <c r="CJ2159" s="347">
        <v>313.08999999999997</v>
      </c>
      <c r="CK2159" s="347" t="s">
        <v>343</v>
      </c>
      <c r="CL2159" s="1789"/>
      <c r="CR2159" s="345"/>
      <c r="CS2159" s="345"/>
      <c r="CX2159" s="347"/>
      <c r="CY2159" s="347"/>
      <c r="DH2159" s="237"/>
      <c r="DI2159" s="237"/>
      <c r="DN2159" s="347"/>
      <c r="DO2159" s="347"/>
      <c r="DP2159" s="2505"/>
    </row>
    <row r="2160" spans="12:120">
      <c r="L2160" s="347">
        <v>217.08</v>
      </c>
      <c r="M2160" s="347" t="s">
        <v>369</v>
      </c>
      <c r="AB2160" s="347">
        <v>1103.33</v>
      </c>
      <c r="AC2160" s="347" t="s">
        <v>310</v>
      </c>
      <c r="AD2160" s="1138"/>
      <c r="AP2160" s="347">
        <v>70.099999999999994</v>
      </c>
      <c r="AQ2160" s="347" t="s">
        <v>361</v>
      </c>
      <c r="BF2160" s="347">
        <v>313.18</v>
      </c>
      <c r="BG2160" s="347" t="s">
        <v>343</v>
      </c>
      <c r="BH2160" s="1790"/>
      <c r="BN2160" s="237">
        <v>8.0500000000000007</v>
      </c>
      <c r="BO2160" s="237" t="s">
        <v>349</v>
      </c>
      <c r="BT2160" s="347">
        <v>72.06</v>
      </c>
      <c r="BU2160" s="347" t="s">
        <v>361</v>
      </c>
      <c r="CD2160" s="237">
        <v>117.32</v>
      </c>
      <c r="CE2160" s="237" t="s">
        <v>365</v>
      </c>
      <c r="CJ2160" s="347">
        <v>313.13</v>
      </c>
      <c r="CK2160" s="347" t="s">
        <v>343</v>
      </c>
      <c r="CL2160" s="1789"/>
      <c r="CR2160" s="345"/>
      <c r="CS2160" s="345"/>
      <c r="CX2160" s="347"/>
      <c r="CY2160" s="347"/>
      <c r="DH2160" s="237"/>
      <c r="DI2160" s="237"/>
      <c r="DN2160" s="347"/>
      <c r="DO2160" s="347"/>
      <c r="DP2160" s="2505"/>
    </row>
    <row r="2161" spans="12:120">
      <c r="L2161" s="347">
        <v>218.03</v>
      </c>
      <c r="M2161" s="347" t="s">
        <v>369</v>
      </c>
      <c r="AB2161" s="347">
        <v>1103.3599999999999</v>
      </c>
      <c r="AC2161" s="347" t="s">
        <v>310</v>
      </c>
      <c r="AD2161" s="1138"/>
      <c r="AP2161" s="347">
        <v>70.11</v>
      </c>
      <c r="AQ2161" s="347" t="s">
        <v>361</v>
      </c>
      <c r="BF2161" s="347">
        <v>313.19</v>
      </c>
      <c r="BG2161" s="347" t="s">
        <v>343</v>
      </c>
      <c r="BH2161" s="1790"/>
      <c r="BN2161" s="237">
        <v>8.08</v>
      </c>
      <c r="BO2161" s="237" t="s">
        <v>349</v>
      </c>
      <c r="BT2161" s="347">
        <v>72.08</v>
      </c>
      <c r="BU2161" s="347" t="s">
        <v>361</v>
      </c>
      <c r="CD2161" s="237">
        <v>118</v>
      </c>
      <c r="CE2161" s="237" t="s">
        <v>323</v>
      </c>
      <c r="CJ2161" s="347">
        <v>313.14</v>
      </c>
      <c r="CK2161" s="347" t="s">
        <v>343</v>
      </c>
      <c r="CL2161" s="1789"/>
      <c r="CR2161" s="345"/>
      <c r="CS2161" s="345"/>
      <c r="CX2161" s="347"/>
      <c r="CY2161" s="347"/>
      <c r="DH2161" s="237"/>
      <c r="DI2161" s="237"/>
      <c r="DN2161" s="347"/>
      <c r="DO2161" s="347"/>
      <c r="DP2161" s="2505"/>
    </row>
    <row r="2162" spans="12:120">
      <c r="L2162" s="347">
        <v>218.05</v>
      </c>
      <c r="M2162" s="347" t="s">
        <v>369</v>
      </c>
      <c r="AB2162" s="347">
        <v>1103.3699999999999</v>
      </c>
      <c r="AC2162" s="347" t="s">
        <v>310</v>
      </c>
      <c r="AD2162" s="1138"/>
      <c r="AP2162" s="347">
        <v>70.12</v>
      </c>
      <c r="AQ2162" s="347" t="s">
        <v>361</v>
      </c>
      <c r="BF2162" s="347">
        <v>313.2</v>
      </c>
      <c r="BG2162" s="347" t="s">
        <v>343</v>
      </c>
      <c r="BH2162" s="1790"/>
      <c r="BN2162" s="237">
        <v>8.09</v>
      </c>
      <c r="BO2162" s="237" t="s">
        <v>349</v>
      </c>
      <c r="BT2162" s="347">
        <v>73.010000000000005</v>
      </c>
      <c r="BU2162" s="347" t="s">
        <v>361</v>
      </c>
      <c r="CD2162" s="237">
        <v>118</v>
      </c>
      <c r="CE2162" s="237" t="s">
        <v>352</v>
      </c>
      <c r="CJ2162" s="347">
        <v>313.14999999999998</v>
      </c>
      <c r="CK2162" s="347" t="s">
        <v>343</v>
      </c>
      <c r="CL2162" s="1789"/>
      <c r="CR2162" s="345"/>
      <c r="CS2162" s="345"/>
      <c r="CX2162" s="347"/>
      <c r="CY2162" s="347"/>
      <c r="DH2162" s="237"/>
      <c r="DI2162" s="237"/>
      <c r="DN2162" s="347"/>
      <c r="DO2162" s="347"/>
      <c r="DP2162" s="2505"/>
    </row>
    <row r="2163" spans="12:120">
      <c r="L2163" s="347">
        <v>218.06</v>
      </c>
      <c r="M2163" s="347" t="s">
        <v>369</v>
      </c>
      <c r="AB2163" s="347">
        <v>1103.3800000000001</v>
      </c>
      <c r="AC2163" s="347" t="s">
        <v>310</v>
      </c>
      <c r="AD2163" s="1138"/>
      <c r="AP2163" s="347">
        <v>70.13</v>
      </c>
      <c r="AQ2163" s="347" t="s">
        <v>361</v>
      </c>
      <c r="BF2163" s="347">
        <v>313.20999999999998</v>
      </c>
      <c r="BG2163" s="347" t="s">
        <v>343</v>
      </c>
      <c r="BH2163" s="1790"/>
      <c r="BN2163" s="237">
        <v>8.1</v>
      </c>
      <c r="BO2163" s="237" t="s">
        <v>349</v>
      </c>
      <c r="BT2163" s="347">
        <v>74.069999999999993</v>
      </c>
      <c r="BU2163" s="347" t="s">
        <v>361</v>
      </c>
      <c r="CD2163" s="237">
        <v>118.02</v>
      </c>
      <c r="CE2163" s="237" t="s">
        <v>337</v>
      </c>
      <c r="CJ2163" s="347">
        <v>313.16000000000003</v>
      </c>
      <c r="CK2163" s="347" t="s">
        <v>343</v>
      </c>
      <c r="CL2163" s="1789"/>
      <c r="CR2163" s="345"/>
      <c r="CS2163" s="345"/>
      <c r="CX2163" s="347"/>
      <c r="CY2163" s="347"/>
      <c r="DH2163" s="237"/>
      <c r="DI2163" s="237"/>
      <c r="DN2163" s="347"/>
      <c r="DO2163" s="347"/>
      <c r="DP2163" s="2505"/>
    </row>
    <row r="2164" spans="12:120">
      <c r="L2164" s="347">
        <v>219.01</v>
      </c>
      <c r="M2164" s="347" t="s">
        <v>369</v>
      </c>
      <c r="AB2164" s="347">
        <v>1103.3900000000001</v>
      </c>
      <c r="AC2164" s="347" t="s">
        <v>310</v>
      </c>
      <c r="AD2164" s="1138"/>
      <c r="AP2164" s="347">
        <v>72.02</v>
      </c>
      <c r="AQ2164" s="347" t="s">
        <v>361</v>
      </c>
      <c r="BF2164" s="347">
        <v>313.22000000000003</v>
      </c>
      <c r="BG2164" s="347" t="s">
        <v>343</v>
      </c>
      <c r="BH2164" s="1790"/>
      <c r="BN2164" s="237">
        <v>8.11</v>
      </c>
      <c r="BO2164" s="237" t="s">
        <v>349</v>
      </c>
      <c r="BT2164" s="347">
        <v>74.099999999999994</v>
      </c>
      <c r="BU2164" s="347" t="s">
        <v>361</v>
      </c>
      <c r="CD2164" s="237">
        <v>118.04</v>
      </c>
      <c r="CE2164" s="237" t="s">
        <v>337</v>
      </c>
      <c r="CJ2164" s="347">
        <v>313.18</v>
      </c>
      <c r="CK2164" s="347" t="s">
        <v>343</v>
      </c>
      <c r="CL2164" s="1789"/>
      <c r="CR2164" s="345"/>
      <c r="CS2164" s="345"/>
      <c r="CX2164" s="347"/>
      <c r="CY2164" s="347"/>
      <c r="DH2164" s="237"/>
      <c r="DI2164" s="237"/>
      <c r="DN2164" s="347"/>
      <c r="DO2164" s="347"/>
      <c r="DP2164" s="2505"/>
    </row>
    <row r="2165" spans="12:120">
      <c r="L2165" s="347">
        <v>221.05</v>
      </c>
      <c r="M2165" s="347" t="s">
        <v>369</v>
      </c>
      <c r="AB2165" s="347">
        <v>1103.4000000000001</v>
      </c>
      <c r="AC2165" s="347" t="s">
        <v>310</v>
      </c>
      <c r="AD2165" s="1138"/>
      <c r="AP2165" s="347">
        <v>72.06</v>
      </c>
      <c r="AQ2165" s="347" t="s">
        <v>361</v>
      </c>
      <c r="BF2165" s="347">
        <v>313.23</v>
      </c>
      <c r="BG2165" s="347" t="s">
        <v>343</v>
      </c>
      <c r="BH2165" s="1790"/>
      <c r="BN2165" s="237">
        <v>8.1199999999999992</v>
      </c>
      <c r="BO2165" s="237" t="s">
        <v>349</v>
      </c>
      <c r="BT2165" s="347">
        <v>74.12</v>
      </c>
      <c r="BU2165" s="347" t="s">
        <v>361</v>
      </c>
      <c r="CD2165" s="237">
        <v>118.05</v>
      </c>
      <c r="CE2165" s="237" t="s">
        <v>337</v>
      </c>
      <c r="CJ2165" s="347">
        <v>313.19</v>
      </c>
      <c r="CK2165" s="347" t="s">
        <v>343</v>
      </c>
      <c r="CL2165" s="1789"/>
      <c r="CR2165" s="345"/>
      <c r="CS2165" s="345"/>
      <c r="CX2165" s="347"/>
      <c r="CY2165" s="347"/>
      <c r="DH2165" s="237"/>
      <c r="DI2165" s="237"/>
      <c r="DN2165" s="347"/>
      <c r="DO2165" s="347"/>
      <c r="DP2165" s="2505"/>
    </row>
    <row r="2166" spans="12:120">
      <c r="L2166" s="347">
        <v>221.06</v>
      </c>
      <c r="M2166" s="347" t="s">
        <v>369</v>
      </c>
      <c r="AB2166" s="347">
        <v>1103.42</v>
      </c>
      <c r="AC2166" s="347" t="s">
        <v>310</v>
      </c>
      <c r="AD2166" s="1138"/>
      <c r="AP2166" s="347">
        <v>72.069999999999993</v>
      </c>
      <c r="AQ2166" s="347" t="s">
        <v>361</v>
      </c>
      <c r="BF2166" s="347">
        <v>314.04000000000002</v>
      </c>
      <c r="BG2166" s="347" t="s">
        <v>362</v>
      </c>
      <c r="BH2166" s="1790"/>
      <c r="BN2166" s="237">
        <v>8.1300000000000008</v>
      </c>
      <c r="BO2166" s="237" t="s">
        <v>349</v>
      </c>
      <c r="BT2166" s="347">
        <v>74.14</v>
      </c>
      <c r="BU2166" s="347" t="s">
        <v>361</v>
      </c>
      <c r="CD2166" s="237">
        <v>118.06</v>
      </c>
      <c r="CE2166" s="237" t="s">
        <v>337</v>
      </c>
      <c r="CJ2166" s="347">
        <v>313.2</v>
      </c>
      <c r="CK2166" s="347" t="s">
        <v>343</v>
      </c>
      <c r="CL2166" s="1789"/>
      <c r="CR2166" s="345"/>
      <c r="CS2166" s="345"/>
      <c r="CX2166" s="347"/>
      <c r="CY2166" s="347"/>
      <c r="DH2166" s="237"/>
      <c r="DI2166" s="237"/>
      <c r="DN2166" s="347"/>
      <c r="DO2166" s="347"/>
      <c r="DP2166" s="2505"/>
    </row>
    <row r="2167" spans="12:120">
      <c r="L2167" s="347">
        <v>222.05</v>
      </c>
      <c r="M2167" s="347" t="s">
        <v>369</v>
      </c>
      <c r="AB2167" s="347">
        <v>1103.43</v>
      </c>
      <c r="AC2167" s="347" t="s">
        <v>310</v>
      </c>
      <c r="AD2167" s="1138"/>
      <c r="AP2167" s="347">
        <v>72.08</v>
      </c>
      <c r="AQ2167" s="347" t="s">
        <v>361</v>
      </c>
      <c r="BF2167" s="347">
        <v>314.11</v>
      </c>
      <c r="BG2167" s="347" t="s">
        <v>362</v>
      </c>
      <c r="BH2167" s="1790"/>
      <c r="BN2167" s="237">
        <v>8.14</v>
      </c>
      <c r="BO2167" s="237" t="s">
        <v>349</v>
      </c>
      <c r="BT2167" s="347">
        <v>74.2</v>
      </c>
      <c r="BU2167" s="347" t="s">
        <v>361</v>
      </c>
      <c r="CD2167" s="237">
        <v>118.21</v>
      </c>
      <c r="CE2167" s="237" t="s">
        <v>365</v>
      </c>
      <c r="CJ2167" s="347">
        <v>313.20999999999998</v>
      </c>
      <c r="CK2167" s="347" t="s">
        <v>343</v>
      </c>
      <c r="CL2167" s="1789"/>
      <c r="CR2167" s="345"/>
      <c r="CS2167" s="345"/>
      <c r="CX2167" s="347"/>
      <c r="CY2167" s="347"/>
      <c r="DH2167" s="237"/>
      <c r="DI2167" s="237"/>
      <c r="DN2167" s="347"/>
      <c r="DO2167" s="347"/>
      <c r="DP2167" s="2505"/>
    </row>
    <row r="2168" spans="12:120">
      <c r="L2168" s="347">
        <v>222.06</v>
      </c>
      <c r="M2168" s="347" t="s">
        <v>369</v>
      </c>
      <c r="AB2168" s="347">
        <v>1104</v>
      </c>
      <c r="AC2168" s="347" t="s">
        <v>348</v>
      </c>
      <c r="AD2168" s="1138"/>
      <c r="AP2168" s="347">
        <v>73.010000000000005</v>
      </c>
      <c r="AQ2168" s="347" t="s">
        <v>361</v>
      </c>
      <c r="BF2168" s="347">
        <v>315.02999999999997</v>
      </c>
      <c r="BG2168" s="347" t="s">
        <v>362</v>
      </c>
      <c r="BH2168" s="1790"/>
      <c r="BN2168" s="237">
        <v>9.01</v>
      </c>
      <c r="BO2168" s="237" t="s">
        <v>349</v>
      </c>
      <c r="BT2168" s="347">
        <v>74.209999999999994</v>
      </c>
      <c r="BU2168" s="347" t="s">
        <v>361</v>
      </c>
      <c r="CD2168" s="237">
        <v>118.22</v>
      </c>
      <c r="CE2168" s="237" t="s">
        <v>365</v>
      </c>
      <c r="CJ2168" s="347">
        <v>313.22000000000003</v>
      </c>
      <c r="CK2168" s="347" t="s">
        <v>343</v>
      </c>
      <c r="CL2168" s="1789"/>
      <c r="CR2168" s="345"/>
      <c r="CS2168" s="345"/>
      <c r="CX2168" s="347"/>
      <c r="CY2168" s="347"/>
      <c r="DH2168" s="237"/>
      <c r="DI2168" s="237"/>
      <c r="DN2168" s="347"/>
      <c r="DO2168" s="347"/>
      <c r="DP2168" s="2505"/>
    </row>
    <row r="2169" spans="12:120">
      <c r="L2169" s="347">
        <v>222.07</v>
      </c>
      <c r="M2169" s="347" t="s">
        <v>369</v>
      </c>
      <c r="AB2169" s="347">
        <v>1104.02</v>
      </c>
      <c r="AC2169" s="347" t="s">
        <v>310</v>
      </c>
      <c r="AD2169" s="1138"/>
      <c r="AP2169" s="347">
        <v>74.069999999999993</v>
      </c>
      <c r="AQ2169" s="347" t="s">
        <v>361</v>
      </c>
      <c r="BF2169" s="347">
        <v>315.04000000000002</v>
      </c>
      <c r="BG2169" s="347" t="s">
        <v>362</v>
      </c>
      <c r="BH2169" s="1790"/>
      <c r="BN2169" s="237">
        <v>9.02</v>
      </c>
      <c r="BO2169" s="237" t="s">
        <v>349</v>
      </c>
      <c r="BT2169" s="347">
        <v>75.010000000000005</v>
      </c>
      <c r="BU2169" s="347" t="s">
        <v>361</v>
      </c>
      <c r="CD2169" s="237">
        <v>118.32</v>
      </c>
      <c r="CE2169" s="237" t="s">
        <v>365</v>
      </c>
      <c r="CJ2169" s="347">
        <v>313.23</v>
      </c>
      <c r="CK2169" s="347" t="s">
        <v>343</v>
      </c>
      <c r="CL2169" s="1789"/>
      <c r="CR2169" s="345"/>
      <c r="CS2169" s="345"/>
      <c r="CX2169" s="347"/>
      <c r="CY2169" s="347"/>
      <c r="DH2169" s="237"/>
      <c r="DI2169" s="237"/>
      <c r="DN2169" s="347"/>
      <c r="DO2169" s="347"/>
      <c r="DP2169" s="2505"/>
    </row>
    <row r="2170" spans="12:120">
      <c r="L2170" s="347">
        <v>205</v>
      </c>
      <c r="M2170" s="347" t="s">
        <v>751</v>
      </c>
      <c r="AB2170" s="347">
        <v>1104.03</v>
      </c>
      <c r="AC2170" s="347" t="s">
        <v>310</v>
      </c>
      <c r="AD2170" s="1138"/>
      <c r="AP2170" s="347">
        <v>74.099999999999994</v>
      </c>
      <c r="AQ2170" s="347" t="s">
        <v>361</v>
      </c>
      <c r="BF2170" s="347">
        <v>315.05</v>
      </c>
      <c r="BG2170" s="347" t="s">
        <v>362</v>
      </c>
      <c r="BH2170" s="1790"/>
      <c r="BN2170" s="237">
        <v>10.01</v>
      </c>
      <c r="BO2170" s="237" t="s">
        <v>349</v>
      </c>
      <c r="BT2170" s="347">
        <v>75.040000000000006</v>
      </c>
      <c r="BU2170" s="347" t="s">
        <v>361</v>
      </c>
      <c r="CD2170" s="237">
        <v>118.34</v>
      </c>
      <c r="CE2170" s="237" t="s">
        <v>365</v>
      </c>
      <c r="CJ2170" s="347">
        <v>314.04000000000002</v>
      </c>
      <c r="CK2170" s="347" t="s">
        <v>362</v>
      </c>
      <c r="CL2170" s="1789"/>
      <c r="CR2170" s="345"/>
      <c r="CS2170" s="345"/>
      <c r="CX2170" s="347"/>
      <c r="CY2170" s="347"/>
      <c r="DH2170" s="237"/>
      <c r="DI2170" s="237"/>
      <c r="DN2170" s="347"/>
      <c r="DO2170" s="347"/>
      <c r="DP2170" s="2505"/>
    </row>
    <row r="2171" spans="12:120">
      <c r="L2171" s="347">
        <v>206.01</v>
      </c>
      <c r="M2171" s="347" t="s">
        <v>751</v>
      </c>
      <c r="AB2171" s="347">
        <v>1105</v>
      </c>
      <c r="AC2171" s="347" t="s">
        <v>319</v>
      </c>
      <c r="AD2171" s="1138"/>
      <c r="AP2171" s="347">
        <v>74.12</v>
      </c>
      <c r="AQ2171" s="347" t="s">
        <v>361</v>
      </c>
      <c r="BF2171" s="347">
        <v>315.06</v>
      </c>
      <c r="BG2171" s="347" t="s">
        <v>362</v>
      </c>
      <c r="BH2171" s="1790"/>
      <c r="BN2171" s="237">
        <v>10.02</v>
      </c>
      <c r="BO2171" s="237" t="s">
        <v>349</v>
      </c>
      <c r="BT2171" s="347">
        <v>75.05</v>
      </c>
      <c r="BU2171" s="347" t="s">
        <v>361</v>
      </c>
      <c r="CD2171" s="237">
        <v>118.35</v>
      </c>
      <c r="CE2171" s="237" t="s">
        <v>365</v>
      </c>
      <c r="CJ2171" s="347">
        <v>314.10000000000002</v>
      </c>
      <c r="CK2171" s="347" t="s">
        <v>362</v>
      </c>
      <c r="CL2171" s="1789"/>
      <c r="CR2171" s="345"/>
      <c r="CS2171" s="345"/>
      <c r="CX2171" s="347"/>
      <c r="CY2171" s="347"/>
      <c r="DH2171" s="237"/>
      <c r="DI2171" s="237"/>
      <c r="DN2171" s="347"/>
      <c r="DO2171" s="347"/>
      <c r="DP2171" s="2505"/>
    </row>
    <row r="2172" spans="12:120">
      <c r="L2172" s="347">
        <v>206.02</v>
      </c>
      <c r="M2172" s="347" t="s">
        <v>751</v>
      </c>
      <c r="AB2172" s="347">
        <v>1106</v>
      </c>
      <c r="AC2172" s="347" t="s">
        <v>310</v>
      </c>
      <c r="AD2172" s="1138"/>
      <c r="AP2172" s="347">
        <v>74.14</v>
      </c>
      <c r="AQ2172" s="347" t="s">
        <v>361</v>
      </c>
      <c r="BF2172" s="347">
        <v>315.07</v>
      </c>
      <c r="BG2172" s="347" t="s">
        <v>362</v>
      </c>
      <c r="BH2172" s="1790"/>
      <c r="BN2172" s="237">
        <v>11.04</v>
      </c>
      <c r="BO2172" s="237" t="s">
        <v>349</v>
      </c>
      <c r="BT2172" s="347">
        <v>76.03</v>
      </c>
      <c r="BU2172" s="347" t="s">
        <v>361</v>
      </c>
      <c r="CD2172" s="237">
        <v>118.36</v>
      </c>
      <c r="CE2172" s="237" t="s">
        <v>365</v>
      </c>
      <c r="CJ2172" s="347">
        <v>314.11</v>
      </c>
      <c r="CK2172" s="347" t="s">
        <v>362</v>
      </c>
      <c r="CL2172" s="1789"/>
      <c r="CR2172" s="345"/>
      <c r="CS2172" s="345"/>
      <c r="CX2172" s="347"/>
      <c r="CY2172" s="347"/>
      <c r="DH2172" s="237"/>
      <c r="DI2172" s="237"/>
      <c r="DN2172" s="347"/>
      <c r="DO2172" s="347"/>
      <c r="DP2172" s="2505"/>
    </row>
    <row r="2173" spans="12:120">
      <c r="L2173" s="347">
        <v>207.04</v>
      </c>
      <c r="M2173" s="347" t="s">
        <v>751</v>
      </c>
      <c r="AB2173" s="347">
        <v>1106.01</v>
      </c>
      <c r="AC2173" s="347" t="s">
        <v>319</v>
      </c>
      <c r="AD2173" s="1138"/>
      <c r="AP2173" s="347">
        <v>74.2</v>
      </c>
      <c r="AQ2173" s="347" t="s">
        <v>361</v>
      </c>
      <c r="BF2173" s="347">
        <v>315.08</v>
      </c>
      <c r="BG2173" s="347" t="s">
        <v>362</v>
      </c>
      <c r="BH2173" s="1790"/>
      <c r="BN2173" s="237">
        <v>11.05</v>
      </c>
      <c r="BO2173" s="237" t="s">
        <v>349</v>
      </c>
      <c r="BT2173" s="347">
        <v>76.040000000000006</v>
      </c>
      <c r="BU2173" s="347" t="s">
        <v>361</v>
      </c>
      <c r="CD2173" s="237">
        <v>118.37</v>
      </c>
      <c r="CE2173" s="237" t="s">
        <v>365</v>
      </c>
      <c r="CJ2173" s="347">
        <v>315.04000000000002</v>
      </c>
      <c r="CK2173" s="347" t="s">
        <v>362</v>
      </c>
      <c r="CL2173" s="1789"/>
      <c r="CR2173" s="345"/>
      <c r="CS2173" s="345"/>
      <c r="CX2173" s="347"/>
      <c r="CY2173" s="347"/>
      <c r="DH2173" s="237"/>
      <c r="DI2173" s="237"/>
      <c r="DN2173" s="347"/>
      <c r="DO2173" s="347"/>
      <c r="DP2173" s="2505"/>
    </row>
    <row r="2174" spans="12:120">
      <c r="L2174" s="347">
        <v>207.05</v>
      </c>
      <c r="M2174" s="347" t="s">
        <v>751</v>
      </c>
      <c r="AB2174" s="347">
        <v>1107</v>
      </c>
      <c r="AC2174" s="347" t="s">
        <v>319</v>
      </c>
      <c r="AD2174" s="1138"/>
      <c r="AP2174" s="347">
        <v>74.209999999999994</v>
      </c>
      <c r="AQ2174" s="347" t="s">
        <v>361</v>
      </c>
      <c r="BF2174" s="347">
        <v>316.01</v>
      </c>
      <c r="BG2174" s="347" t="s">
        <v>362</v>
      </c>
      <c r="BH2174" s="1790"/>
      <c r="BN2174" s="237">
        <v>11.06</v>
      </c>
      <c r="BO2174" s="237" t="s">
        <v>349</v>
      </c>
      <c r="BT2174" s="347">
        <v>76.05</v>
      </c>
      <c r="BU2174" s="347" t="s">
        <v>361</v>
      </c>
      <c r="CD2174" s="237">
        <v>118.38</v>
      </c>
      <c r="CE2174" s="237" t="s">
        <v>365</v>
      </c>
      <c r="CJ2174" s="347">
        <v>315.05</v>
      </c>
      <c r="CK2174" s="347" t="s">
        <v>362</v>
      </c>
      <c r="CL2174" s="1789"/>
      <c r="CR2174" s="345"/>
      <c r="CS2174" s="345"/>
      <c r="CX2174" s="347"/>
      <c r="CY2174" s="347"/>
      <c r="DH2174" s="237"/>
      <c r="DI2174" s="237"/>
      <c r="DN2174" s="347"/>
      <c r="DO2174" s="347"/>
      <c r="DP2174" s="2505"/>
    </row>
    <row r="2175" spans="12:120">
      <c r="L2175" s="347">
        <v>207.06</v>
      </c>
      <c r="M2175" s="347" t="s">
        <v>751</v>
      </c>
      <c r="AB2175" s="347">
        <v>1108</v>
      </c>
      <c r="AC2175" s="347" t="s">
        <v>319</v>
      </c>
      <c r="AD2175" s="1138"/>
      <c r="AP2175" s="347">
        <v>75.010000000000005</v>
      </c>
      <c r="AQ2175" s="347" t="s">
        <v>361</v>
      </c>
      <c r="BF2175" s="347">
        <v>316.02</v>
      </c>
      <c r="BG2175" s="347" t="s">
        <v>362</v>
      </c>
      <c r="BH2175" s="1790"/>
      <c r="BN2175" s="237">
        <v>11.07</v>
      </c>
      <c r="BO2175" s="237" t="s">
        <v>349</v>
      </c>
      <c r="BT2175" s="347">
        <v>76.099999999999994</v>
      </c>
      <c r="BU2175" s="347" t="s">
        <v>361</v>
      </c>
      <c r="CD2175" s="237">
        <v>119</v>
      </c>
      <c r="CE2175" s="237" t="s">
        <v>352</v>
      </c>
      <c r="CJ2175" s="347">
        <v>315.06</v>
      </c>
      <c r="CK2175" s="347" t="s">
        <v>362</v>
      </c>
      <c r="CL2175" s="1789"/>
      <c r="CR2175" s="345"/>
      <c r="CS2175" s="345"/>
      <c r="CX2175" s="347"/>
      <c r="CY2175" s="347"/>
      <c r="DH2175" s="237"/>
      <c r="DI2175" s="237"/>
      <c r="DN2175" s="347"/>
      <c r="DO2175" s="347"/>
      <c r="DP2175" s="2505"/>
    </row>
    <row r="2176" spans="12:120">
      <c r="L2176" s="347">
        <v>207.07</v>
      </c>
      <c r="M2176" s="347" t="s">
        <v>751</v>
      </c>
      <c r="AB2176" s="347">
        <v>1109.04</v>
      </c>
      <c r="AC2176" s="347" t="s">
        <v>319</v>
      </c>
      <c r="AD2176" s="1138"/>
      <c r="AP2176" s="347">
        <v>75.040000000000006</v>
      </c>
      <c r="AQ2176" s="347" t="s">
        <v>361</v>
      </c>
      <c r="BF2176" s="347">
        <v>316.02999999999997</v>
      </c>
      <c r="BG2176" s="347" t="s">
        <v>362</v>
      </c>
      <c r="BH2176" s="1790"/>
      <c r="BN2176" s="237">
        <v>11.08</v>
      </c>
      <c r="BO2176" s="237" t="s">
        <v>349</v>
      </c>
      <c r="BT2176" s="347">
        <v>76.12</v>
      </c>
      <c r="BU2176" s="347" t="s">
        <v>361</v>
      </c>
      <c r="CD2176" s="237">
        <v>119.01</v>
      </c>
      <c r="CE2176" s="237" t="s">
        <v>323</v>
      </c>
      <c r="CJ2176" s="347">
        <v>315.07</v>
      </c>
      <c r="CK2176" s="347" t="s">
        <v>362</v>
      </c>
      <c r="CL2176" s="1789"/>
      <c r="CR2176" s="345"/>
      <c r="CS2176" s="345"/>
      <c r="CX2176" s="347"/>
      <c r="CY2176" s="347"/>
      <c r="DH2176" s="237"/>
      <c r="DI2176" s="237"/>
      <c r="DN2176" s="347"/>
      <c r="DO2176" s="347"/>
      <c r="DP2176" s="2505"/>
    </row>
    <row r="2177" spans="12:120">
      <c r="L2177" s="347">
        <v>207.08</v>
      </c>
      <c r="M2177" s="347" t="s">
        <v>751</v>
      </c>
      <c r="AB2177" s="347">
        <v>2103</v>
      </c>
      <c r="AC2177" s="347" t="s">
        <v>340</v>
      </c>
      <c r="AD2177" s="1138"/>
      <c r="AP2177" s="347">
        <v>75.05</v>
      </c>
      <c r="AQ2177" s="347" t="s">
        <v>361</v>
      </c>
      <c r="BF2177" s="347">
        <v>316.04000000000002</v>
      </c>
      <c r="BG2177" s="347" t="s">
        <v>362</v>
      </c>
      <c r="BH2177" s="1790"/>
      <c r="BN2177" s="237">
        <v>12.02</v>
      </c>
      <c r="BO2177" s="237" t="s">
        <v>349</v>
      </c>
      <c r="BT2177" s="347">
        <v>76.13</v>
      </c>
      <c r="BU2177" s="347" t="s">
        <v>361</v>
      </c>
      <c r="CD2177" s="237">
        <v>119.01</v>
      </c>
      <c r="CE2177" s="237" t="s">
        <v>365</v>
      </c>
      <c r="CJ2177" s="347">
        <v>315.08</v>
      </c>
      <c r="CK2177" s="347" t="s">
        <v>362</v>
      </c>
      <c r="CL2177" s="1789"/>
      <c r="CR2177" s="345"/>
      <c r="CS2177" s="345"/>
      <c r="CX2177" s="347"/>
      <c r="CY2177" s="347"/>
      <c r="DH2177" s="237"/>
      <c r="DI2177" s="237"/>
      <c r="DN2177" s="347"/>
      <c r="DO2177" s="347"/>
      <c r="DP2177" s="2505"/>
    </row>
    <row r="2178" spans="12:120">
      <c r="L2178" s="347">
        <v>207.1</v>
      </c>
      <c r="M2178" s="347" t="s">
        <v>751</v>
      </c>
      <c r="AB2178" s="347">
        <v>2104</v>
      </c>
      <c r="AC2178" s="347" t="s">
        <v>340</v>
      </c>
      <c r="AD2178" s="1138"/>
      <c r="AP2178" s="347">
        <v>76.03</v>
      </c>
      <c r="AQ2178" s="347" t="s">
        <v>361</v>
      </c>
      <c r="BF2178" s="347">
        <v>316.05</v>
      </c>
      <c r="BG2178" s="347" t="s">
        <v>362</v>
      </c>
      <c r="BH2178" s="1790"/>
      <c r="BN2178" s="237">
        <v>12.03</v>
      </c>
      <c r="BO2178" s="237" t="s">
        <v>349</v>
      </c>
      <c r="BT2178" s="347">
        <v>76.14</v>
      </c>
      <c r="BU2178" s="347" t="s">
        <v>361</v>
      </c>
      <c r="CD2178" s="237">
        <v>119.02</v>
      </c>
      <c r="CE2178" s="237" t="s">
        <v>365</v>
      </c>
      <c r="CJ2178" s="347">
        <v>316.01</v>
      </c>
      <c r="CK2178" s="347" t="s">
        <v>362</v>
      </c>
      <c r="CL2178" s="1789"/>
      <c r="CR2178" s="345"/>
      <c r="CS2178" s="345"/>
      <c r="CX2178" s="347"/>
      <c r="CY2178" s="347"/>
      <c r="DH2178" s="237"/>
      <c r="DI2178" s="237"/>
      <c r="DN2178" s="347"/>
      <c r="DO2178" s="347"/>
      <c r="DP2178" s="2505"/>
    </row>
    <row r="2179" spans="12:120">
      <c r="L2179" s="347">
        <v>207.11</v>
      </c>
      <c r="M2179" s="347" t="s">
        <v>751</v>
      </c>
      <c r="AB2179" s="347">
        <v>2105</v>
      </c>
      <c r="AC2179" s="347" t="s">
        <v>340</v>
      </c>
      <c r="AD2179" s="1138"/>
      <c r="AP2179" s="347">
        <v>76.040000000000006</v>
      </c>
      <c r="AQ2179" s="347" t="s">
        <v>361</v>
      </c>
      <c r="BF2179" s="347">
        <v>317.01</v>
      </c>
      <c r="BG2179" s="347" t="s">
        <v>362</v>
      </c>
      <c r="BH2179" s="1790"/>
      <c r="BN2179" s="237">
        <v>12.04</v>
      </c>
      <c r="BO2179" s="237" t="s">
        <v>349</v>
      </c>
      <c r="BT2179" s="347">
        <v>76.16</v>
      </c>
      <c r="BU2179" s="347" t="s">
        <v>361</v>
      </c>
      <c r="CD2179" s="237">
        <v>119.03</v>
      </c>
      <c r="CE2179" s="237" t="s">
        <v>323</v>
      </c>
      <c r="CJ2179" s="347">
        <v>316.02</v>
      </c>
      <c r="CK2179" s="347" t="s">
        <v>362</v>
      </c>
      <c r="CL2179" s="1789"/>
      <c r="CR2179" s="345"/>
      <c r="CS2179" s="345"/>
      <c r="CX2179" s="347"/>
      <c r="CY2179" s="347"/>
      <c r="DH2179" s="237"/>
      <c r="DI2179" s="237"/>
      <c r="DN2179" s="347"/>
      <c r="DO2179" s="347"/>
      <c r="DP2179" s="2505"/>
    </row>
    <row r="2180" spans="12:120">
      <c r="L2180" s="347">
        <v>208.01</v>
      </c>
      <c r="M2180" s="347" t="s">
        <v>751</v>
      </c>
      <c r="AB2180" s="347">
        <v>2107</v>
      </c>
      <c r="AC2180" s="347" t="s">
        <v>340</v>
      </c>
      <c r="AD2180" s="1138"/>
      <c r="AP2180" s="347">
        <v>76.05</v>
      </c>
      <c r="AQ2180" s="347" t="s">
        <v>361</v>
      </c>
      <c r="BF2180" s="347">
        <v>317.04000000000002</v>
      </c>
      <c r="BG2180" s="347" t="s">
        <v>362</v>
      </c>
      <c r="BH2180" s="1790"/>
      <c r="BN2180" s="237">
        <v>13</v>
      </c>
      <c r="BO2180" s="237" t="s">
        <v>349</v>
      </c>
      <c r="BT2180" s="347">
        <v>76.209999999999994</v>
      </c>
      <c r="BU2180" s="347" t="s">
        <v>361</v>
      </c>
      <c r="CD2180" s="237">
        <v>119.04</v>
      </c>
      <c r="CE2180" s="237" t="s">
        <v>323</v>
      </c>
      <c r="CJ2180" s="347">
        <v>316.02999999999997</v>
      </c>
      <c r="CK2180" s="347" t="s">
        <v>362</v>
      </c>
      <c r="CL2180" s="1789"/>
      <c r="CR2180" s="345"/>
      <c r="CS2180" s="345"/>
      <c r="CX2180" s="347"/>
      <c r="CY2180" s="347"/>
      <c r="DH2180" s="237"/>
      <c r="DI2180" s="237"/>
      <c r="DN2180" s="347"/>
      <c r="DO2180" s="347"/>
      <c r="DP2180" s="2505"/>
    </row>
    <row r="2181" spans="12:120">
      <c r="L2181" s="347">
        <v>208.02</v>
      </c>
      <c r="M2181" s="347" t="s">
        <v>751</v>
      </c>
      <c r="AB2181" s="347">
        <v>2108</v>
      </c>
      <c r="AC2181" s="347" t="s">
        <v>340</v>
      </c>
      <c r="AD2181" s="1138"/>
      <c r="AP2181" s="347">
        <v>76.099999999999994</v>
      </c>
      <c r="AQ2181" s="347" t="s">
        <v>361</v>
      </c>
      <c r="BF2181" s="347">
        <v>317.05</v>
      </c>
      <c r="BG2181" s="347" t="s">
        <v>362</v>
      </c>
      <c r="BH2181" s="1790"/>
      <c r="BN2181" s="237">
        <v>14.02</v>
      </c>
      <c r="BO2181" s="237" t="s">
        <v>349</v>
      </c>
      <c r="BT2181" s="347">
        <v>76.23</v>
      </c>
      <c r="BU2181" s="347" t="s">
        <v>361</v>
      </c>
      <c r="CD2181" s="237">
        <v>119.05</v>
      </c>
      <c r="CE2181" s="237" t="s">
        <v>323</v>
      </c>
      <c r="CJ2181" s="347">
        <v>316.04000000000002</v>
      </c>
      <c r="CK2181" s="347" t="s">
        <v>362</v>
      </c>
      <c r="CL2181" s="1789"/>
      <c r="CR2181" s="345"/>
      <c r="CS2181" s="345"/>
      <c r="CX2181" s="347"/>
      <c r="CY2181" s="347"/>
      <c r="DH2181" s="237"/>
      <c r="DI2181" s="237"/>
      <c r="DN2181" s="347"/>
      <c r="DO2181" s="347"/>
      <c r="DP2181" s="2505"/>
    </row>
    <row r="2182" spans="12:120">
      <c r="L2182" s="347">
        <v>208.03</v>
      </c>
      <c r="M2182" s="347" t="s">
        <v>751</v>
      </c>
      <c r="AB2182" s="347">
        <v>2110</v>
      </c>
      <c r="AC2182" s="347" t="s">
        <v>340</v>
      </c>
      <c r="AD2182" s="1138"/>
      <c r="AP2182" s="347">
        <v>76.12</v>
      </c>
      <c r="AQ2182" s="347" t="s">
        <v>361</v>
      </c>
      <c r="BF2182" s="347">
        <v>317.06</v>
      </c>
      <c r="BG2182" s="347" t="s">
        <v>362</v>
      </c>
      <c r="BH2182" s="1790"/>
      <c r="BN2182" s="237">
        <v>14.04</v>
      </c>
      <c r="BO2182" s="237" t="s">
        <v>349</v>
      </c>
      <c r="BT2182" s="347">
        <v>76.239999999999995</v>
      </c>
      <c r="BU2182" s="347" t="s">
        <v>361</v>
      </c>
      <c r="CD2182" s="237">
        <v>119.05</v>
      </c>
      <c r="CE2182" s="237" t="s">
        <v>337</v>
      </c>
      <c r="CJ2182" s="347">
        <v>316.05</v>
      </c>
      <c r="CK2182" s="347" t="s">
        <v>362</v>
      </c>
      <c r="CL2182" s="1789"/>
      <c r="CR2182" s="345"/>
      <c r="CS2182" s="345"/>
      <c r="CX2182" s="347"/>
      <c r="CY2182" s="347"/>
      <c r="DH2182" s="237"/>
      <c r="DI2182" s="237"/>
      <c r="DN2182" s="347"/>
      <c r="DO2182" s="347"/>
      <c r="DP2182" s="2505"/>
    </row>
    <row r="2183" spans="12:120">
      <c r="L2183" s="347">
        <v>208.05</v>
      </c>
      <c r="M2183" s="347" t="s">
        <v>751</v>
      </c>
      <c r="AB2183" s="347">
        <v>2501.02</v>
      </c>
      <c r="AC2183" s="347" t="s">
        <v>341</v>
      </c>
      <c r="AD2183" s="1138"/>
      <c r="AP2183" s="347">
        <v>76.14</v>
      </c>
      <c r="AQ2183" s="347" t="s">
        <v>361</v>
      </c>
      <c r="BF2183" s="347">
        <v>317.07</v>
      </c>
      <c r="BG2183" s="347" t="s">
        <v>362</v>
      </c>
      <c r="BH2183" s="1790"/>
      <c r="BN2183" s="237">
        <v>14.05</v>
      </c>
      <c r="BO2183" s="237" t="s">
        <v>349</v>
      </c>
      <c r="BT2183" s="347">
        <v>77.05</v>
      </c>
      <c r="BU2183" s="347" t="s">
        <v>361</v>
      </c>
      <c r="CD2183" s="237">
        <v>119.07</v>
      </c>
      <c r="CE2183" s="237" t="s">
        <v>337</v>
      </c>
      <c r="CJ2183" s="347">
        <v>317.01</v>
      </c>
      <c r="CK2183" s="347" t="s">
        <v>362</v>
      </c>
      <c r="CL2183" s="1789"/>
      <c r="CR2183" s="345"/>
      <c r="CS2183" s="345"/>
      <c r="CX2183" s="347"/>
      <c r="CY2183" s="347"/>
      <c r="DH2183" s="237"/>
      <c r="DI2183" s="237"/>
      <c r="DN2183" s="347"/>
      <c r="DO2183" s="347"/>
      <c r="DP2183" s="2505"/>
    </row>
    <row r="2184" spans="12:120">
      <c r="L2184" s="347">
        <v>208.06</v>
      </c>
      <c r="M2184" s="347" t="s">
        <v>751</v>
      </c>
      <c r="AB2184" s="347">
        <v>2502</v>
      </c>
      <c r="AC2184" s="347" t="s">
        <v>341</v>
      </c>
      <c r="AD2184" s="1138"/>
      <c r="AP2184" s="347">
        <v>76.16</v>
      </c>
      <c r="AQ2184" s="347" t="s">
        <v>361</v>
      </c>
      <c r="BF2184" s="347">
        <v>317.08</v>
      </c>
      <c r="BG2184" s="347" t="s">
        <v>362</v>
      </c>
      <c r="BH2184" s="1790"/>
      <c r="BN2184" s="237">
        <v>14.06</v>
      </c>
      <c r="BO2184" s="237" t="s">
        <v>349</v>
      </c>
      <c r="BT2184" s="347">
        <v>77.099999999999994</v>
      </c>
      <c r="BU2184" s="347" t="s">
        <v>361</v>
      </c>
      <c r="CD2184" s="237">
        <v>119.08</v>
      </c>
      <c r="CE2184" s="237" t="s">
        <v>337</v>
      </c>
      <c r="CJ2184" s="347">
        <v>317.04000000000002</v>
      </c>
      <c r="CK2184" s="347" t="s">
        <v>362</v>
      </c>
      <c r="CL2184" s="1789"/>
      <c r="CR2184" s="345"/>
      <c r="CS2184" s="345"/>
      <c r="CX2184" s="347"/>
      <c r="CY2184" s="347"/>
      <c r="DH2184" s="237"/>
      <c r="DI2184" s="237"/>
      <c r="DN2184" s="347"/>
      <c r="DO2184" s="347"/>
      <c r="DP2184" s="2505"/>
    </row>
    <row r="2185" spans="12:120">
      <c r="L2185" s="347">
        <v>208.07</v>
      </c>
      <c r="M2185" s="347" t="s">
        <v>751</v>
      </c>
      <c r="AB2185" s="347">
        <v>3808</v>
      </c>
      <c r="AC2185" s="347" t="s">
        <v>371</v>
      </c>
      <c r="AD2185" s="1138"/>
      <c r="AP2185" s="347">
        <v>76.209999999999994</v>
      </c>
      <c r="AQ2185" s="347" t="s">
        <v>361</v>
      </c>
      <c r="BF2185" s="347">
        <v>318.04000000000002</v>
      </c>
      <c r="BG2185" s="347" t="s">
        <v>362</v>
      </c>
      <c r="BH2185" s="1790"/>
      <c r="BN2185" s="237">
        <v>15.01</v>
      </c>
      <c r="BO2185" s="237" t="s">
        <v>349</v>
      </c>
      <c r="BT2185" s="347">
        <v>77.16</v>
      </c>
      <c r="BU2185" s="347" t="s">
        <v>361</v>
      </c>
      <c r="CD2185" s="237">
        <v>119.08</v>
      </c>
      <c r="CE2185" s="237" t="s">
        <v>365</v>
      </c>
      <c r="CJ2185" s="347">
        <v>317.05</v>
      </c>
      <c r="CK2185" s="347" t="s">
        <v>362</v>
      </c>
      <c r="CL2185" s="1789"/>
      <c r="CR2185" s="345"/>
      <c r="CS2185" s="345"/>
      <c r="CX2185" s="347"/>
      <c r="CY2185" s="347"/>
      <c r="DH2185" s="237"/>
      <c r="DI2185" s="237"/>
      <c r="DN2185" s="347"/>
      <c r="DO2185" s="347"/>
      <c r="DP2185" s="2505"/>
    </row>
    <row r="2186" spans="12:120">
      <c r="L2186" s="347">
        <v>209.02</v>
      </c>
      <c r="M2186" s="347" t="s">
        <v>751</v>
      </c>
      <c r="AB2186" s="347">
        <v>3810</v>
      </c>
      <c r="AC2186" s="347" t="s">
        <v>371</v>
      </c>
      <c r="AD2186" s="1138"/>
      <c r="AP2186" s="347">
        <v>76.23</v>
      </c>
      <c r="AQ2186" s="347" t="s">
        <v>361</v>
      </c>
      <c r="BF2186" s="347">
        <v>318.05</v>
      </c>
      <c r="BG2186" s="347" t="s">
        <v>362</v>
      </c>
      <c r="BH2186" s="1790"/>
      <c r="BN2186" s="237">
        <v>15.02</v>
      </c>
      <c r="BO2186" s="237" t="s">
        <v>349</v>
      </c>
      <c r="BT2186" s="347">
        <v>77.209999999999994</v>
      </c>
      <c r="BU2186" s="347" t="s">
        <v>361</v>
      </c>
      <c r="CD2186" s="237">
        <v>119.09</v>
      </c>
      <c r="CE2186" s="237" t="s">
        <v>337</v>
      </c>
      <c r="CJ2186" s="347">
        <v>317.06</v>
      </c>
      <c r="CK2186" s="347" t="s">
        <v>362</v>
      </c>
      <c r="CL2186" s="1789"/>
      <c r="CR2186" s="345"/>
      <c r="CS2186" s="345"/>
      <c r="CX2186" s="347"/>
      <c r="CY2186" s="347"/>
      <c r="DH2186" s="237"/>
      <c r="DI2186" s="237"/>
      <c r="DN2186" s="347"/>
      <c r="DO2186" s="347"/>
      <c r="DP2186" s="2505"/>
    </row>
    <row r="2187" spans="12:120">
      <c r="L2187" s="347">
        <v>212.04</v>
      </c>
      <c r="M2187" s="347" t="s">
        <v>751</v>
      </c>
      <c r="AB2187" s="347">
        <v>3811.02</v>
      </c>
      <c r="AC2187" s="347" t="s">
        <v>371</v>
      </c>
      <c r="AD2187" s="1138"/>
      <c r="AP2187" s="347">
        <v>76.239999999999995</v>
      </c>
      <c r="AQ2187" s="347" t="s">
        <v>361</v>
      </c>
      <c r="BF2187" s="347">
        <v>318.06</v>
      </c>
      <c r="BG2187" s="347" t="s">
        <v>362</v>
      </c>
      <c r="BH2187" s="1790"/>
      <c r="BN2187" s="237">
        <v>16.02</v>
      </c>
      <c r="BO2187" s="237" t="s">
        <v>349</v>
      </c>
      <c r="BT2187" s="347">
        <v>77.23</v>
      </c>
      <c r="BU2187" s="347" t="s">
        <v>361</v>
      </c>
      <c r="CD2187" s="237">
        <v>119.09</v>
      </c>
      <c r="CE2187" s="237" t="s">
        <v>365</v>
      </c>
      <c r="CJ2187" s="347">
        <v>317.07</v>
      </c>
      <c r="CK2187" s="347" t="s">
        <v>362</v>
      </c>
      <c r="CL2187" s="1789"/>
      <c r="CR2187" s="345"/>
      <c r="CS2187" s="345"/>
      <c r="CX2187" s="347"/>
      <c r="CY2187" s="347"/>
      <c r="DH2187" s="237"/>
      <c r="DI2187" s="237"/>
      <c r="DN2187" s="347"/>
      <c r="DO2187" s="347"/>
      <c r="DP2187" s="2505"/>
    </row>
    <row r="2188" spans="12:120">
      <c r="L2188" s="347">
        <v>213.02</v>
      </c>
      <c r="M2188" s="347" t="s">
        <v>751</v>
      </c>
      <c r="AB2188" s="347">
        <v>3812.04</v>
      </c>
      <c r="AC2188" s="347" t="s">
        <v>371</v>
      </c>
      <c r="AD2188" s="1138"/>
      <c r="AP2188" s="347">
        <v>77.05</v>
      </c>
      <c r="AQ2188" s="347" t="s">
        <v>361</v>
      </c>
      <c r="BF2188" s="347">
        <v>318.08</v>
      </c>
      <c r="BG2188" s="347" t="s">
        <v>362</v>
      </c>
      <c r="BH2188" s="1790"/>
      <c r="BN2188" s="237">
        <v>16.03</v>
      </c>
      <c r="BO2188" s="237" t="s">
        <v>349</v>
      </c>
      <c r="BT2188" s="347">
        <v>77.239999999999995</v>
      </c>
      <c r="BU2188" s="347" t="s">
        <v>361</v>
      </c>
      <c r="CD2188" s="237">
        <v>119.1</v>
      </c>
      <c r="CE2188" s="237" t="s">
        <v>337</v>
      </c>
      <c r="CJ2188" s="347">
        <v>317.08</v>
      </c>
      <c r="CK2188" s="347" t="s">
        <v>362</v>
      </c>
      <c r="CL2188" s="1789"/>
      <c r="CR2188" s="345"/>
      <c r="CS2188" s="345"/>
      <c r="CX2188" s="347"/>
      <c r="CY2188" s="347"/>
      <c r="DH2188" s="237"/>
      <c r="DI2188" s="237"/>
      <c r="DN2188" s="347"/>
      <c r="DO2188" s="347"/>
      <c r="DP2188" s="2505"/>
    </row>
    <row r="2189" spans="12:120">
      <c r="L2189" s="347">
        <v>214.03</v>
      </c>
      <c r="M2189" s="347" t="s">
        <v>751</v>
      </c>
      <c r="AB2189" s="347">
        <v>3813</v>
      </c>
      <c r="AC2189" s="347" t="s">
        <v>371</v>
      </c>
      <c r="AD2189" s="1138"/>
      <c r="AP2189" s="347">
        <v>77.099999999999994</v>
      </c>
      <c r="AQ2189" s="347" t="s">
        <v>361</v>
      </c>
      <c r="BF2189" s="347">
        <v>318.08999999999997</v>
      </c>
      <c r="BG2189" s="347" t="s">
        <v>362</v>
      </c>
      <c r="BH2189" s="1790"/>
      <c r="BN2189" s="237">
        <v>16.04</v>
      </c>
      <c r="BO2189" s="237" t="s">
        <v>349</v>
      </c>
      <c r="BT2189" s="347">
        <v>77.3</v>
      </c>
      <c r="BU2189" s="347" t="s">
        <v>361</v>
      </c>
      <c r="CD2189" s="237">
        <v>119.1</v>
      </c>
      <c r="CE2189" s="237" t="s">
        <v>365</v>
      </c>
      <c r="CJ2189" s="347">
        <v>318.04000000000002</v>
      </c>
      <c r="CK2189" s="347" t="s">
        <v>362</v>
      </c>
      <c r="CL2189" s="1789"/>
      <c r="CR2189" s="345"/>
      <c r="CS2189" s="345"/>
      <c r="CX2189" s="347"/>
      <c r="CY2189" s="347"/>
      <c r="DH2189" s="237"/>
      <c r="DI2189" s="237"/>
      <c r="DN2189" s="347"/>
      <c r="DO2189" s="347"/>
      <c r="DP2189" s="2505"/>
    </row>
    <row r="2190" spans="12:120">
      <c r="L2190" s="347">
        <v>214.04</v>
      </c>
      <c r="M2190" s="347" t="s">
        <v>751</v>
      </c>
      <c r="AB2190" s="347">
        <v>3815.02</v>
      </c>
      <c r="AC2190" s="347" t="s">
        <v>371</v>
      </c>
      <c r="AD2190" s="1138"/>
      <c r="AP2190" s="347">
        <v>77.16</v>
      </c>
      <c r="AQ2190" s="347" t="s">
        <v>361</v>
      </c>
      <c r="BF2190" s="347">
        <v>319.01</v>
      </c>
      <c r="BG2190" s="347" t="s">
        <v>362</v>
      </c>
      <c r="BH2190" s="1790"/>
      <c r="BN2190" s="237">
        <v>17.010000000000002</v>
      </c>
      <c r="BO2190" s="237" t="s">
        <v>349</v>
      </c>
      <c r="BT2190" s="347">
        <v>77.31</v>
      </c>
      <c r="BU2190" s="347" t="s">
        <v>361</v>
      </c>
      <c r="CD2190" s="237">
        <v>119.11</v>
      </c>
      <c r="CE2190" s="237" t="s">
        <v>337</v>
      </c>
      <c r="CJ2190" s="347">
        <v>318.08</v>
      </c>
      <c r="CK2190" s="347" t="s">
        <v>362</v>
      </c>
      <c r="CL2190" s="1789"/>
      <c r="CR2190" s="345"/>
      <c r="CS2190" s="345"/>
      <c r="CX2190" s="347"/>
      <c r="CY2190" s="347"/>
      <c r="DH2190" s="237"/>
      <c r="DI2190" s="237"/>
      <c r="DN2190" s="347"/>
      <c r="DO2190" s="347"/>
      <c r="DP2190" s="2505"/>
    </row>
    <row r="2191" spans="12:120">
      <c r="L2191" s="347">
        <v>214.05</v>
      </c>
      <c r="M2191" s="347" t="s">
        <v>751</v>
      </c>
      <c r="AB2191" s="347">
        <v>3816.01</v>
      </c>
      <c r="AC2191" s="347" t="s">
        <v>371</v>
      </c>
      <c r="AD2191" s="1138"/>
      <c r="AP2191" s="347">
        <v>77.209999999999994</v>
      </c>
      <c r="AQ2191" s="347" t="s">
        <v>361</v>
      </c>
      <c r="BF2191" s="347">
        <v>319.02</v>
      </c>
      <c r="BG2191" s="347" t="s">
        <v>362</v>
      </c>
      <c r="BH2191" s="1790"/>
      <c r="BN2191" s="237">
        <v>17.05</v>
      </c>
      <c r="BO2191" s="237" t="s">
        <v>349</v>
      </c>
      <c r="BT2191" s="347">
        <v>77.349999999999994</v>
      </c>
      <c r="BU2191" s="347" t="s">
        <v>361</v>
      </c>
      <c r="CD2191" s="237">
        <v>119.11</v>
      </c>
      <c r="CE2191" s="237" t="s">
        <v>365</v>
      </c>
      <c r="CJ2191" s="347">
        <v>318.08999999999997</v>
      </c>
      <c r="CK2191" s="347" t="s">
        <v>362</v>
      </c>
      <c r="CL2191" s="1789"/>
      <c r="CR2191" s="345"/>
      <c r="CS2191" s="345"/>
      <c r="CX2191" s="347"/>
      <c r="CY2191" s="347"/>
      <c r="DH2191" s="237"/>
      <c r="DI2191" s="237"/>
      <c r="DN2191" s="347"/>
      <c r="DO2191" s="347"/>
      <c r="DP2191" s="2505"/>
    </row>
    <row r="2192" spans="12:120">
      <c r="L2192" s="347">
        <v>214.06</v>
      </c>
      <c r="M2192" s="347" t="s">
        <v>751</v>
      </c>
      <c r="AB2192" s="347">
        <v>3817.01</v>
      </c>
      <c r="AC2192" s="347" t="s">
        <v>371</v>
      </c>
      <c r="AD2192" s="1138"/>
      <c r="AP2192" s="347">
        <v>77.23</v>
      </c>
      <c r="AQ2192" s="347" t="s">
        <v>361</v>
      </c>
      <c r="BF2192" s="347">
        <v>319.02999999999997</v>
      </c>
      <c r="BG2192" s="347" t="s">
        <v>362</v>
      </c>
      <c r="BH2192" s="1790"/>
      <c r="BN2192" s="237">
        <v>18.010000000000002</v>
      </c>
      <c r="BO2192" s="237" t="s">
        <v>349</v>
      </c>
      <c r="BT2192" s="347">
        <v>77.36</v>
      </c>
      <c r="BU2192" s="347" t="s">
        <v>361</v>
      </c>
      <c r="CD2192" s="237">
        <v>119.12</v>
      </c>
      <c r="CE2192" s="237" t="s">
        <v>365</v>
      </c>
      <c r="CJ2192" s="347">
        <v>319.01</v>
      </c>
      <c r="CK2192" s="347" t="s">
        <v>362</v>
      </c>
      <c r="CL2192" s="1789"/>
      <c r="CR2192" s="345"/>
      <c r="CS2192" s="345"/>
      <c r="CX2192" s="347"/>
      <c r="CY2192" s="347"/>
      <c r="DH2192" s="237"/>
      <c r="DI2192" s="237"/>
      <c r="DN2192" s="347"/>
      <c r="DO2192" s="347"/>
      <c r="DP2192" s="2505"/>
    </row>
    <row r="2193" spans="12:120">
      <c r="L2193" s="347">
        <v>214.07</v>
      </c>
      <c r="M2193" s="347" t="s">
        <v>751</v>
      </c>
      <c r="AB2193" s="347">
        <v>3818.03</v>
      </c>
      <c r="AC2193" s="347" t="s">
        <v>371</v>
      </c>
      <c r="AD2193" s="1138"/>
      <c r="AP2193" s="347">
        <v>77.239999999999995</v>
      </c>
      <c r="AQ2193" s="347" t="s">
        <v>361</v>
      </c>
      <c r="BF2193" s="347">
        <v>320.01</v>
      </c>
      <c r="BG2193" s="347" t="s">
        <v>362</v>
      </c>
      <c r="BH2193" s="1790"/>
      <c r="BN2193" s="237">
        <v>18.02</v>
      </c>
      <c r="BO2193" s="237" t="s">
        <v>349</v>
      </c>
      <c r="BT2193" s="347">
        <v>77.38</v>
      </c>
      <c r="BU2193" s="347" t="s">
        <v>361</v>
      </c>
      <c r="CD2193" s="237">
        <v>119.13</v>
      </c>
      <c r="CE2193" s="237" t="s">
        <v>365</v>
      </c>
      <c r="CJ2193" s="347">
        <v>319.02</v>
      </c>
      <c r="CK2193" s="347" t="s">
        <v>362</v>
      </c>
      <c r="CL2193" s="1789"/>
      <c r="CR2193" s="345"/>
      <c r="CS2193" s="345"/>
      <c r="CX2193" s="347"/>
      <c r="CY2193" s="347"/>
      <c r="DH2193" s="237"/>
      <c r="DI2193" s="237"/>
      <c r="DN2193" s="347"/>
      <c r="DO2193" s="347"/>
      <c r="DP2193" s="2505"/>
    </row>
    <row r="2194" spans="12:120">
      <c r="L2194" s="347">
        <v>3808</v>
      </c>
      <c r="M2194" s="347" t="s">
        <v>751</v>
      </c>
      <c r="AB2194" s="347">
        <v>3818.04</v>
      </c>
      <c r="AC2194" s="347" t="s">
        <v>371</v>
      </c>
      <c r="AD2194" s="1138"/>
      <c r="AP2194" s="347">
        <v>77.25</v>
      </c>
      <c r="AQ2194" s="347" t="s">
        <v>361</v>
      </c>
      <c r="BF2194" s="347">
        <v>320.05</v>
      </c>
      <c r="BG2194" s="347" t="s">
        <v>362</v>
      </c>
      <c r="BH2194" s="1790"/>
      <c r="BN2194" s="237">
        <v>19.04</v>
      </c>
      <c r="BO2194" s="237" t="s">
        <v>349</v>
      </c>
      <c r="BT2194" s="347">
        <v>77.39</v>
      </c>
      <c r="BU2194" s="347" t="s">
        <v>361</v>
      </c>
      <c r="CD2194" s="237">
        <v>120</v>
      </c>
      <c r="CE2194" s="237" t="s">
        <v>323</v>
      </c>
      <c r="CJ2194" s="347">
        <v>319.02999999999997</v>
      </c>
      <c r="CK2194" s="347" t="s">
        <v>362</v>
      </c>
      <c r="CL2194" s="1789"/>
      <c r="CR2194" s="345"/>
      <c r="CS2194" s="345"/>
      <c r="CX2194" s="347"/>
      <c r="CY2194" s="347"/>
      <c r="DH2194" s="237"/>
      <c r="DI2194" s="237"/>
      <c r="DN2194" s="347"/>
      <c r="DO2194" s="347"/>
      <c r="DP2194" s="2505"/>
    </row>
    <row r="2195" spans="12:120">
      <c r="L2195" s="347">
        <v>3810</v>
      </c>
      <c r="M2195" s="347" t="s">
        <v>751</v>
      </c>
      <c r="AB2195" s="347">
        <v>3819</v>
      </c>
      <c r="AC2195" s="347" t="s">
        <v>371</v>
      </c>
      <c r="AD2195" s="1138"/>
      <c r="AP2195" s="347">
        <v>77.3</v>
      </c>
      <c r="AQ2195" s="347" t="s">
        <v>361</v>
      </c>
      <c r="BF2195" s="347">
        <v>320.06</v>
      </c>
      <c r="BG2195" s="347" t="s">
        <v>362</v>
      </c>
      <c r="BH2195" s="1790"/>
      <c r="BN2195" s="237">
        <v>19.07</v>
      </c>
      <c r="BO2195" s="237" t="s">
        <v>349</v>
      </c>
      <c r="BT2195" s="347">
        <v>77.400000000000006</v>
      </c>
      <c r="BU2195" s="347" t="s">
        <v>361</v>
      </c>
      <c r="CD2195" s="237">
        <v>120</v>
      </c>
      <c r="CE2195" s="237" t="s">
        <v>359</v>
      </c>
      <c r="CJ2195" s="347">
        <v>320.01</v>
      </c>
      <c r="CK2195" s="347" t="s">
        <v>362</v>
      </c>
      <c r="CL2195" s="1789"/>
      <c r="CR2195" s="345"/>
      <c r="CS2195" s="345"/>
      <c r="CX2195" s="347"/>
      <c r="CY2195" s="347"/>
      <c r="DH2195" s="237"/>
      <c r="DI2195" s="237"/>
      <c r="DN2195" s="347"/>
      <c r="DO2195" s="347"/>
      <c r="DP2195" s="2505"/>
    </row>
    <row r="2196" spans="12:120">
      <c r="L2196" s="347">
        <v>3811.02</v>
      </c>
      <c r="M2196" s="347" t="s">
        <v>751</v>
      </c>
      <c r="AB2196" s="347">
        <v>3820.03</v>
      </c>
      <c r="AC2196" s="347" t="s">
        <v>371</v>
      </c>
      <c r="AD2196" s="1138"/>
      <c r="AP2196" s="347">
        <v>77.31</v>
      </c>
      <c r="AQ2196" s="347" t="s">
        <v>361</v>
      </c>
      <c r="BF2196" s="347">
        <v>320.07</v>
      </c>
      <c r="BG2196" s="347" t="s">
        <v>362</v>
      </c>
      <c r="BH2196" s="1790"/>
      <c r="BN2196" s="237">
        <v>19.079999999999998</v>
      </c>
      <c r="BO2196" s="237" t="s">
        <v>349</v>
      </c>
      <c r="BT2196" s="347">
        <v>77.41</v>
      </c>
      <c r="BU2196" s="347" t="s">
        <v>361</v>
      </c>
      <c r="CD2196" s="237">
        <v>120.01</v>
      </c>
      <c r="CE2196" s="237" t="s">
        <v>337</v>
      </c>
      <c r="CJ2196" s="347">
        <v>320.05</v>
      </c>
      <c r="CK2196" s="347" t="s">
        <v>362</v>
      </c>
      <c r="CL2196" s="1789"/>
      <c r="CR2196" s="345"/>
      <c r="CS2196" s="345"/>
      <c r="CX2196" s="347"/>
      <c r="CY2196" s="347"/>
      <c r="DH2196" s="237"/>
      <c r="DI2196" s="237"/>
      <c r="DN2196" s="347"/>
      <c r="DO2196" s="347"/>
      <c r="DP2196" s="2505"/>
    </row>
    <row r="2197" spans="12:120">
      <c r="L2197" s="347">
        <v>3812.04</v>
      </c>
      <c r="M2197" s="347" t="s">
        <v>751</v>
      </c>
      <c r="AB2197" s="347">
        <v>3820.06</v>
      </c>
      <c r="AC2197" s="347" t="s">
        <v>371</v>
      </c>
      <c r="AD2197" s="1138"/>
      <c r="AP2197" s="347">
        <v>77.349999999999994</v>
      </c>
      <c r="AQ2197" s="347" t="s">
        <v>361</v>
      </c>
      <c r="BF2197" s="347">
        <v>320.08</v>
      </c>
      <c r="BG2197" s="347" t="s">
        <v>362</v>
      </c>
      <c r="BH2197" s="1790"/>
      <c r="BN2197" s="237">
        <v>19.09</v>
      </c>
      <c r="BO2197" s="237" t="s">
        <v>349</v>
      </c>
      <c r="BT2197" s="347">
        <v>77.430000000000007</v>
      </c>
      <c r="BU2197" s="347" t="s">
        <v>361</v>
      </c>
      <c r="CD2197" s="237">
        <v>120.01</v>
      </c>
      <c r="CE2197" s="237" t="s">
        <v>352</v>
      </c>
      <c r="CJ2197" s="347">
        <v>320.06</v>
      </c>
      <c r="CK2197" s="347" t="s">
        <v>362</v>
      </c>
      <c r="CL2197" s="1789"/>
      <c r="CR2197" s="345"/>
      <c r="CS2197" s="345"/>
      <c r="CX2197" s="347"/>
      <c r="CY2197" s="347"/>
      <c r="DH2197" s="237"/>
      <c r="DI2197" s="237"/>
      <c r="DN2197" s="347"/>
      <c r="DO2197" s="347"/>
      <c r="DP2197" s="2505"/>
    </row>
    <row r="2198" spans="12:120">
      <c r="L2198" s="347">
        <v>3813</v>
      </c>
      <c r="M2198" s="347" t="s">
        <v>751</v>
      </c>
      <c r="AB2198" s="347">
        <v>3820.07</v>
      </c>
      <c r="AC2198" s="347" t="s">
        <v>371</v>
      </c>
      <c r="AD2198" s="1138"/>
      <c r="AP2198" s="347">
        <v>77.38</v>
      </c>
      <c r="AQ2198" s="347" t="s">
        <v>361</v>
      </c>
      <c r="BF2198" s="347">
        <v>320.08999999999997</v>
      </c>
      <c r="BG2198" s="347" t="s">
        <v>362</v>
      </c>
      <c r="BH2198" s="1790"/>
      <c r="BN2198" s="237">
        <v>19.100000000000001</v>
      </c>
      <c r="BO2198" s="237" t="s">
        <v>349</v>
      </c>
      <c r="BT2198" s="347">
        <v>77.48</v>
      </c>
      <c r="BU2198" s="347" t="s">
        <v>361</v>
      </c>
      <c r="CD2198" s="237">
        <v>120.01</v>
      </c>
      <c r="CE2198" s="237" t="s">
        <v>365</v>
      </c>
      <c r="CJ2198" s="347">
        <v>320.07</v>
      </c>
      <c r="CK2198" s="347" t="s">
        <v>362</v>
      </c>
      <c r="CL2198" s="1789"/>
      <c r="CR2198" s="345"/>
      <c r="CS2198" s="345"/>
      <c r="CX2198" s="347"/>
      <c r="CY2198" s="347"/>
      <c r="DH2198" s="237"/>
      <c r="DI2198" s="237"/>
      <c r="DN2198" s="347"/>
      <c r="DO2198" s="347"/>
      <c r="DP2198" s="2505"/>
    </row>
    <row r="2199" spans="12:120">
      <c r="L2199" s="347">
        <v>3815.02</v>
      </c>
      <c r="M2199" s="347" t="s">
        <v>751</v>
      </c>
      <c r="AB2199" s="347">
        <v>3820.08</v>
      </c>
      <c r="AC2199" s="347" t="s">
        <v>371</v>
      </c>
      <c r="AD2199" s="1138"/>
      <c r="AP2199" s="347">
        <v>77.39</v>
      </c>
      <c r="AQ2199" s="347" t="s">
        <v>361</v>
      </c>
      <c r="BF2199" s="347">
        <v>320.10000000000002</v>
      </c>
      <c r="BG2199" s="347" t="s">
        <v>362</v>
      </c>
      <c r="BH2199" s="1790"/>
      <c r="BN2199" s="237">
        <v>19.11</v>
      </c>
      <c r="BO2199" s="237" t="s">
        <v>349</v>
      </c>
      <c r="BT2199" s="347">
        <v>77.489999999999995</v>
      </c>
      <c r="BU2199" s="347" t="s">
        <v>361</v>
      </c>
      <c r="CD2199" s="237">
        <v>120.02</v>
      </c>
      <c r="CE2199" s="237" t="s">
        <v>337</v>
      </c>
      <c r="CJ2199" s="347">
        <v>320.08</v>
      </c>
      <c r="CK2199" s="347" t="s">
        <v>362</v>
      </c>
      <c r="CL2199" s="1789"/>
      <c r="CR2199" s="345"/>
      <c r="CS2199" s="345"/>
      <c r="CX2199" s="347"/>
      <c r="CY2199" s="347"/>
      <c r="DH2199" s="237"/>
      <c r="DI2199" s="237"/>
      <c r="DN2199" s="347"/>
      <c r="DO2199" s="347"/>
      <c r="DP2199" s="2505"/>
    </row>
    <row r="2200" spans="12:120">
      <c r="L2200" s="347">
        <v>3816.01</v>
      </c>
      <c r="M2200" s="347" t="s">
        <v>751</v>
      </c>
      <c r="AB2200" s="347">
        <v>3821.06</v>
      </c>
      <c r="AC2200" s="347" t="s">
        <v>371</v>
      </c>
      <c r="AD2200" s="1138"/>
      <c r="AP2200" s="347">
        <v>77.400000000000006</v>
      </c>
      <c r="AQ2200" s="347" t="s">
        <v>361</v>
      </c>
      <c r="BF2200" s="347">
        <v>320.11</v>
      </c>
      <c r="BG2200" s="347" t="s">
        <v>362</v>
      </c>
      <c r="BH2200" s="1790"/>
      <c r="BN2200" s="237">
        <v>19.13</v>
      </c>
      <c r="BO2200" s="237" t="s">
        <v>349</v>
      </c>
      <c r="BT2200" s="347">
        <v>77.510000000000005</v>
      </c>
      <c r="BU2200" s="347" t="s">
        <v>361</v>
      </c>
      <c r="CD2200" s="237">
        <v>120.02</v>
      </c>
      <c r="CE2200" s="237" t="s">
        <v>352</v>
      </c>
      <c r="CJ2200" s="347">
        <v>320.08999999999997</v>
      </c>
      <c r="CK2200" s="347" t="s">
        <v>362</v>
      </c>
      <c r="CL2200" s="1789"/>
      <c r="CR2200" s="345"/>
      <c r="CS2200" s="345"/>
      <c r="CX2200" s="347"/>
      <c r="CY2200" s="347"/>
      <c r="DH2200" s="237"/>
      <c r="DI2200" s="237"/>
      <c r="DN2200" s="347"/>
      <c r="DO2200" s="347"/>
      <c r="DP2200" s="2505"/>
    </row>
    <row r="2201" spans="12:120">
      <c r="L2201" s="347">
        <v>3817.01</v>
      </c>
      <c r="M2201" s="347" t="s">
        <v>751</v>
      </c>
      <c r="AB2201" s="347">
        <v>3821.08</v>
      </c>
      <c r="AC2201" s="347" t="s">
        <v>371</v>
      </c>
      <c r="AD2201" s="1138"/>
      <c r="AP2201" s="347">
        <v>77.41</v>
      </c>
      <c r="AQ2201" s="347" t="s">
        <v>361</v>
      </c>
      <c r="BF2201" s="347">
        <v>320.12</v>
      </c>
      <c r="BG2201" s="347" t="s">
        <v>362</v>
      </c>
      <c r="BH2201" s="1790"/>
      <c r="BN2201" s="237">
        <v>19.14</v>
      </c>
      <c r="BO2201" s="237" t="s">
        <v>349</v>
      </c>
      <c r="BT2201" s="347">
        <v>77.52</v>
      </c>
      <c r="BU2201" s="347" t="s">
        <v>361</v>
      </c>
      <c r="CD2201" s="237">
        <v>120.02</v>
      </c>
      <c r="CE2201" s="237" t="s">
        <v>365</v>
      </c>
      <c r="CJ2201" s="347">
        <v>320.10000000000002</v>
      </c>
      <c r="CK2201" s="347" t="s">
        <v>362</v>
      </c>
      <c r="CL2201" s="1789"/>
      <c r="CR2201" s="345"/>
      <c r="CS2201" s="345"/>
      <c r="CX2201" s="347"/>
      <c r="CY2201" s="347"/>
      <c r="DH2201" s="237"/>
      <c r="DI2201" s="237"/>
      <c r="DN2201" s="347"/>
      <c r="DO2201" s="347"/>
      <c r="DP2201" s="2505"/>
    </row>
    <row r="2202" spans="12:120">
      <c r="L2202" s="347">
        <v>3818.03</v>
      </c>
      <c r="M2202" s="347" t="s">
        <v>751</v>
      </c>
      <c r="AB2202" s="347">
        <v>3821.09</v>
      </c>
      <c r="AC2202" s="347" t="s">
        <v>371</v>
      </c>
      <c r="AD2202" s="1138"/>
      <c r="AP2202" s="347">
        <v>77.430000000000007</v>
      </c>
      <c r="AQ2202" s="347" t="s">
        <v>361</v>
      </c>
      <c r="BF2202" s="347">
        <v>320.13</v>
      </c>
      <c r="BG2202" s="347" t="s">
        <v>362</v>
      </c>
      <c r="BH2202" s="1790"/>
      <c r="BN2202" s="237">
        <v>19.149999999999999</v>
      </c>
      <c r="BO2202" s="237" t="s">
        <v>349</v>
      </c>
      <c r="BT2202" s="347">
        <v>77.540000000000006</v>
      </c>
      <c r="BU2202" s="347" t="s">
        <v>361</v>
      </c>
      <c r="CD2202" s="237">
        <v>120.03</v>
      </c>
      <c r="CE2202" s="237" t="s">
        <v>365</v>
      </c>
      <c r="CJ2202" s="347">
        <v>320.11</v>
      </c>
      <c r="CK2202" s="347" t="s">
        <v>362</v>
      </c>
      <c r="CL2202" s="1789"/>
      <c r="CR2202" s="345"/>
      <c r="CS2202" s="345"/>
      <c r="CX2202" s="347"/>
      <c r="CY2202" s="347"/>
      <c r="DH2202" s="237"/>
      <c r="DI2202" s="237"/>
      <c r="DN2202" s="347"/>
      <c r="DO2202" s="347"/>
      <c r="DP2202" s="2505"/>
    </row>
    <row r="2203" spans="12:120">
      <c r="L2203" s="347">
        <v>3818.04</v>
      </c>
      <c r="M2203" s="347" t="s">
        <v>751</v>
      </c>
      <c r="AB2203" s="347">
        <v>3821.1</v>
      </c>
      <c r="AC2203" s="347" t="s">
        <v>371</v>
      </c>
      <c r="AD2203" s="1138"/>
      <c r="AP2203" s="347">
        <v>77.48</v>
      </c>
      <c r="AQ2203" s="347" t="s">
        <v>361</v>
      </c>
      <c r="BF2203" s="347">
        <v>320.14</v>
      </c>
      <c r="BG2203" s="347" t="s">
        <v>362</v>
      </c>
      <c r="BH2203" s="1790"/>
      <c r="BN2203" s="237">
        <v>19.16</v>
      </c>
      <c r="BO2203" s="237" t="s">
        <v>349</v>
      </c>
      <c r="BT2203" s="347">
        <v>77.569999999999993</v>
      </c>
      <c r="BU2203" s="347" t="s">
        <v>361</v>
      </c>
      <c r="CD2203" s="237">
        <v>120.04</v>
      </c>
      <c r="CE2203" s="237" t="s">
        <v>365</v>
      </c>
      <c r="CJ2203" s="347">
        <v>320.12</v>
      </c>
      <c r="CK2203" s="347" t="s">
        <v>362</v>
      </c>
      <c r="CL2203" s="1789"/>
      <c r="CR2203" s="345"/>
      <c r="CS2203" s="345"/>
      <c r="CX2203" s="347"/>
      <c r="CY2203" s="347"/>
      <c r="DH2203" s="237"/>
      <c r="DI2203" s="237"/>
      <c r="DN2203" s="347"/>
      <c r="DO2203" s="347"/>
      <c r="DP2203" s="2505"/>
    </row>
    <row r="2204" spans="12:120">
      <c r="L2204" s="347">
        <v>3819</v>
      </c>
      <c r="M2204" s="347" t="s">
        <v>751</v>
      </c>
      <c r="AB2204" s="347">
        <v>3821.11</v>
      </c>
      <c r="AC2204" s="347" t="s">
        <v>371</v>
      </c>
      <c r="AD2204" s="1138"/>
      <c r="AP2204" s="347">
        <v>77.489999999999995</v>
      </c>
      <c r="AQ2204" s="347" t="s">
        <v>361</v>
      </c>
      <c r="BF2204" s="347">
        <v>321.02999999999997</v>
      </c>
      <c r="BG2204" s="347" t="s">
        <v>362</v>
      </c>
      <c r="BH2204" s="1790"/>
      <c r="BN2204" s="237">
        <v>20.03</v>
      </c>
      <c r="BO2204" s="237" t="s">
        <v>349</v>
      </c>
      <c r="BT2204" s="347">
        <v>77.59</v>
      </c>
      <c r="BU2204" s="347" t="s">
        <v>361</v>
      </c>
      <c r="CD2204" s="237">
        <v>121</v>
      </c>
      <c r="CE2204" s="237" t="s">
        <v>323</v>
      </c>
      <c r="CJ2204" s="347">
        <v>320.13</v>
      </c>
      <c r="CK2204" s="347" t="s">
        <v>362</v>
      </c>
      <c r="CL2204" s="1789"/>
      <c r="CR2204" s="345"/>
      <c r="CS2204" s="345"/>
      <c r="CX2204" s="347"/>
      <c r="CY2204" s="347"/>
      <c r="DH2204" s="237"/>
      <c r="DI2204" s="237"/>
      <c r="DN2204" s="347"/>
      <c r="DO2204" s="347"/>
      <c r="DP2204" s="2505"/>
    </row>
    <row r="2205" spans="12:120">
      <c r="L2205" s="347">
        <v>3820.03</v>
      </c>
      <c r="M2205" s="347" t="s">
        <v>751</v>
      </c>
      <c r="AB2205" s="347">
        <v>3821.12</v>
      </c>
      <c r="AC2205" s="347" t="s">
        <v>371</v>
      </c>
      <c r="AD2205" s="1138"/>
      <c r="AP2205" s="347">
        <v>77.510000000000005</v>
      </c>
      <c r="AQ2205" s="347" t="s">
        <v>361</v>
      </c>
      <c r="BF2205" s="347">
        <v>321.04000000000002</v>
      </c>
      <c r="BG2205" s="347" t="s">
        <v>362</v>
      </c>
      <c r="BH2205" s="1790"/>
      <c r="BN2205" s="237">
        <v>20.05</v>
      </c>
      <c r="BO2205" s="237" t="s">
        <v>349</v>
      </c>
      <c r="BT2205" s="347">
        <v>77.63</v>
      </c>
      <c r="BU2205" s="347" t="s">
        <v>361</v>
      </c>
      <c r="CD2205" s="237">
        <v>121</v>
      </c>
      <c r="CE2205" s="237" t="s">
        <v>359</v>
      </c>
      <c r="CJ2205" s="347">
        <v>320.14</v>
      </c>
      <c r="CK2205" s="347" t="s">
        <v>362</v>
      </c>
      <c r="CL2205" s="1789"/>
      <c r="CR2205" s="345"/>
      <c r="CS2205" s="345"/>
      <c r="CX2205" s="347"/>
      <c r="CY2205" s="347"/>
      <c r="DH2205" s="237"/>
      <c r="DI2205" s="237"/>
      <c r="DN2205" s="347"/>
      <c r="DO2205" s="347"/>
      <c r="DP2205" s="2505"/>
    </row>
    <row r="2206" spans="12:120">
      <c r="L2206" s="347">
        <v>3820.06</v>
      </c>
      <c r="M2206" s="347" t="s">
        <v>751</v>
      </c>
      <c r="AB2206" s="347">
        <v>3821.13</v>
      </c>
      <c r="AC2206" s="347" t="s">
        <v>371</v>
      </c>
      <c r="AD2206" s="1138"/>
      <c r="AP2206" s="347">
        <v>77.52</v>
      </c>
      <c r="AQ2206" s="347" t="s">
        <v>361</v>
      </c>
      <c r="BF2206" s="347">
        <v>321.05</v>
      </c>
      <c r="BG2206" s="347" t="s">
        <v>362</v>
      </c>
      <c r="BH2206" s="1790"/>
      <c r="BN2206" s="237">
        <v>20.079999999999998</v>
      </c>
      <c r="BO2206" s="237" t="s">
        <v>349</v>
      </c>
      <c r="BT2206" s="347">
        <v>77.64</v>
      </c>
      <c r="BU2206" s="347" t="s">
        <v>361</v>
      </c>
      <c r="CD2206" s="237">
        <v>121.01</v>
      </c>
      <c r="CE2206" s="237" t="s">
        <v>352</v>
      </c>
      <c r="CJ2206" s="347">
        <v>321.02999999999997</v>
      </c>
      <c r="CK2206" s="347" t="s">
        <v>362</v>
      </c>
      <c r="CL2206" s="1789"/>
      <c r="CR2206" s="345"/>
      <c r="CS2206" s="345"/>
      <c r="CX2206" s="347"/>
      <c r="CY2206" s="347"/>
      <c r="DH2206" s="237"/>
      <c r="DI2206" s="237"/>
      <c r="DN2206" s="347"/>
      <c r="DO2206" s="347"/>
      <c r="DP2206" s="2505"/>
    </row>
    <row r="2207" spans="12:120">
      <c r="L2207" s="347">
        <v>3820.07</v>
      </c>
      <c r="M2207" s="347" t="s">
        <v>751</v>
      </c>
      <c r="AB2207" s="347">
        <v>3822</v>
      </c>
      <c r="AC2207" s="347" t="s">
        <v>371</v>
      </c>
      <c r="AD2207" s="1138"/>
      <c r="AP2207" s="347">
        <v>77.540000000000006</v>
      </c>
      <c r="AQ2207" s="347" t="s">
        <v>361</v>
      </c>
      <c r="BF2207" s="347">
        <v>321.06</v>
      </c>
      <c r="BG2207" s="347" t="s">
        <v>362</v>
      </c>
      <c r="BH2207" s="1790"/>
      <c r="BN2207" s="237">
        <v>20.100000000000001</v>
      </c>
      <c r="BO2207" s="237" t="s">
        <v>349</v>
      </c>
      <c r="BT2207" s="347">
        <v>77.680000000000007</v>
      </c>
      <c r="BU2207" s="347" t="s">
        <v>361</v>
      </c>
      <c r="CD2207" s="237">
        <v>121.02</v>
      </c>
      <c r="CE2207" s="237" t="s">
        <v>352</v>
      </c>
      <c r="CJ2207" s="347">
        <v>321.04000000000002</v>
      </c>
      <c r="CK2207" s="347" t="s">
        <v>362</v>
      </c>
      <c r="CL2207" s="1789"/>
      <c r="CR2207" s="345"/>
      <c r="CS2207" s="345"/>
      <c r="CX2207" s="347"/>
      <c r="CY2207" s="347"/>
      <c r="DH2207" s="237"/>
      <c r="DI2207" s="237"/>
      <c r="DN2207" s="347"/>
      <c r="DO2207" s="347"/>
      <c r="DP2207" s="2505"/>
    </row>
    <row r="2208" spans="12:120">
      <c r="L2208" s="347">
        <v>3820.08</v>
      </c>
      <c r="M2208" s="347" t="s">
        <v>751</v>
      </c>
      <c r="AB2208" s="347">
        <v>4501.01</v>
      </c>
      <c r="AC2208" s="347" t="s">
        <v>316</v>
      </c>
      <c r="AD2208" s="1138"/>
      <c r="AP2208" s="347">
        <v>77.569999999999993</v>
      </c>
      <c r="AQ2208" s="347" t="s">
        <v>361</v>
      </c>
      <c r="BF2208" s="347">
        <v>321.07</v>
      </c>
      <c r="BG2208" s="347" t="s">
        <v>362</v>
      </c>
      <c r="BH2208" s="1790"/>
      <c r="BN2208" s="237">
        <v>20.11</v>
      </c>
      <c r="BO2208" s="237" t="s">
        <v>349</v>
      </c>
      <c r="BT2208" s="347">
        <v>77.7</v>
      </c>
      <c r="BU2208" s="347" t="s">
        <v>361</v>
      </c>
      <c r="CD2208" s="237">
        <v>121.03</v>
      </c>
      <c r="CE2208" s="237" t="s">
        <v>337</v>
      </c>
      <c r="CJ2208" s="347">
        <v>321.05</v>
      </c>
      <c r="CK2208" s="347" t="s">
        <v>362</v>
      </c>
      <c r="CL2208" s="1789"/>
      <c r="CR2208" s="345"/>
      <c r="CS2208" s="345"/>
      <c r="CX2208" s="347"/>
      <c r="CY2208" s="347"/>
      <c r="DH2208" s="237"/>
      <c r="DI2208" s="237"/>
      <c r="DN2208" s="347"/>
      <c r="DO2208" s="347"/>
      <c r="DP2208" s="2505"/>
    </row>
    <row r="2209" spans="12:120">
      <c r="L2209" s="347">
        <v>3821.06</v>
      </c>
      <c r="M2209" s="347" t="s">
        <v>751</v>
      </c>
      <c r="AB2209" s="347">
        <v>4503.0200000000004</v>
      </c>
      <c r="AC2209" s="347" t="s">
        <v>316</v>
      </c>
      <c r="AD2209" s="1138"/>
      <c r="AP2209" s="347">
        <v>77.58</v>
      </c>
      <c r="AQ2209" s="347" t="s">
        <v>361</v>
      </c>
      <c r="BF2209" s="347">
        <v>321.08</v>
      </c>
      <c r="BG2209" s="347" t="s">
        <v>362</v>
      </c>
      <c r="BH2209" s="1790"/>
      <c r="BN2209" s="237">
        <v>20.12</v>
      </c>
      <c r="BO2209" s="237" t="s">
        <v>349</v>
      </c>
      <c r="BT2209" s="347">
        <v>77.709999999999994</v>
      </c>
      <c r="BU2209" s="347" t="s">
        <v>361</v>
      </c>
      <c r="CD2209" s="237">
        <v>121.03</v>
      </c>
      <c r="CE2209" s="237" t="s">
        <v>352</v>
      </c>
      <c r="CJ2209" s="347">
        <v>321.06</v>
      </c>
      <c r="CK2209" s="347" t="s">
        <v>362</v>
      </c>
      <c r="CL2209" s="1789"/>
      <c r="CR2209" s="345"/>
      <c r="CS2209" s="345"/>
      <c r="CX2209" s="347"/>
      <c r="CY2209" s="347"/>
      <c r="DH2209" s="237"/>
      <c r="DI2209" s="237"/>
      <c r="DN2209" s="347"/>
      <c r="DO2209" s="347"/>
      <c r="DP2209" s="2505"/>
    </row>
    <row r="2210" spans="12:120">
      <c r="L2210" s="347">
        <v>3821.08</v>
      </c>
      <c r="M2210" s="347" t="s">
        <v>751</v>
      </c>
      <c r="AB2210" s="347">
        <v>4503.04</v>
      </c>
      <c r="AC2210" s="347" t="s">
        <v>316</v>
      </c>
      <c r="AD2210" s="1138"/>
      <c r="AP2210" s="347">
        <v>77.59</v>
      </c>
      <c r="AQ2210" s="347" t="s">
        <v>361</v>
      </c>
      <c r="BF2210" s="347">
        <v>321.08999999999997</v>
      </c>
      <c r="BG2210" s="347" t="s">
        <v>362</v>
      </c>
      <c r="BH2210" s="1790"/>
      <c r="BN2210" s="237">
        <v>20.14</v>
      </c>
      <c r="BO2210" s="237" t="s">
        <v>349</v>
      </c>
      <c r="BT2210" s="347">
        <v>77.72</v>
      </c>
      <c r="BU2210" s="347" t="s">
        <v>361</v>
      </c>
      <c r="CD2210" s="237">
        <v>121.04</v>
      </c>
      <c r="CE2210" s="237" t="s">
        <v>352</v>
      </c>
      <c r="CJ2210" s="347">
        <v>321.07</v>
      </c>
      <c r="CK2210" s="347" t="s">
        <v>362</v>
      </c>
      <c r="CL2210" s="1789"/>
      <c r="CR2210" s="345"/>
      <c r="CS2210" s="345"/>
      <c r="CX2210" s="347"/>
      <c r="CY2210" s="347"/>
      <c r="DH2210" s="237"/>
      <c r="DI2210" s="237"/>
      <c r="DN2210" s="347"/>
      <c r="DO2210" s="347"/>
      <c r="DP2210" s="2505"/>
    </row>
    <row r="2211" spans="12:120">
      <c r="L2211" s="347">
        <v>3821.09</v>
      </c>
      <c r="M2211" s="347" t="s">
        <v>751</v>
      </c>
      <c r="AB2211" s="347">
        <v>4504</v>
      </c>
      <c r="AC2211" s="347" t="s">
        <v>316</v>
      </c>
      <c r="AD2211" s="1138"/>
      <c r="AP2211" s="347">
        <v>77.63</v>
      </c>
      <c r="AQ2211" s="347" t="s">
        <v>361</v>
      </c>
      <c r="BF2211" s="347">
        <v>321.10000000000002</v>
      </c>
      <c r="BG2211" s="347" t="s">
        <v>362</v>
      </c>
      <c r="BH2211" s="1790"/>
      <c r="BN2211" s="237">
        <v>20.16</v>
      </c>
      <c r="BO2211" s="237" t="s">
        <v>349</v>
      </c>
      <c r="BT2211" s="347">
        <v>77.73</v>
      </c>
      <c r="BU2211" s="347" t="s">
        <v>361</v>
      </c>
      <c r="CD2211" s="237">
        <v>121.05</v>
      </c>
      <c r="CE2211" s="237" t="s">
        <v>352</v>
      </c>
      <c r="CJ2211" s="347">
        <v>321.08</v>
      </c>
      <c r="CK2211" s="347" t="s">
        <v>362</v>
      </c>
      <c r="CL2211" s="1789"/>
      <c r="CR2211" s="345"/>
      <c r="CS2211" s="345"/>
      <c r="CX2211" s="347"/>
      <c r="CY2211" s="347"/>
      <c r="DH2211" s="237"/>
      <c r="DI2211" s="237"/>
      <c r="DN2211" s="347"/>
      <c r="DO2211" s="347"/>
      <c r="DP2211" s="2505"/>
    </row>
    <row r="2212" spans="12:120">
      <c r="L2212" s="347">
        <v>3821.1</v>
      </c>
      <c r="M2212" s="347" t="s">
        <v>751</v>
      </c>
      <c r="AB2212" s="347">
        <v>4505</v>
      </c>
      <c r="AC2212" s="347" t="s">
        <v>316</v>
      </c>
      <c r="AD2212" s="1138"/>
      <c r="AP2212" s="347">
        <v>77.64</v>
      </c>
      <c r="AQ2212" s="347" t="s">
        <v>361</v>
      </c>
      <c r="BF2212" s="347">
        <v>321.11</v>
      </c>
      <c r="BG2212" s="347" t="s">
        <v>362</v>
      </c>
      <c r="BH2212" s="1790"/>
      <c r="BN2212" s="237">
        <v>20.170000000000002</v>
      </c>
      <c r="BO2212" s="237" t="s">
        <v>349</v>
      </c>
      <c r="BT2212" s="347">
        <v>77.739999999999995</v>
      </c>
      <c r="BU2212" s="347" t="s">
        <v>361</v>
      </c>
      <c r="CD2212" s="237">
        <v>121.06</v>
      </c>
      <c r="CE2212" s="237" t="s">
        <v>337</v>
      </c>
      <c r="CJ2212" s="347">
        <v>321.08999999999997</v>
      </c>
      <c r="CK2212" s="347" t="s">
        <v>362</v>
      </c>
      <c r="CL2212" s="1789"/>
      <c r="CR2212" s="345"/>
      <c r="CS2212" s="345"/>
      <c r="CX2212" s="347"/>
      <c r="CY2212" s="347"/>
      <c r="DH2212" s="237"/>
      <c r="DI2212" s="237"/>
      <c r="DN2212" s="347"/>
      <c r="DO2212" s="347"/>
      <c r="DP2212" s="2505"/>
    </row>
    <row r="2213" spans="12:120">
      <c r="L2213" s="347">
        <v>3821.11</v>
      </c>
      <c r="M2213" s="347" t="s">
        <v>751</v>
      </c>
      <c r="AB2213" s="347">
        <v>4506.01</v>
      </c>
      <c r="AC2213" s="347" t="s">
        <v>316</v>
      </c>
      <c r="AD2213" s="1138"/>
      <c r="AP2213" s="347">
        <v>77.680000000000007</v>
      </c>
      <c r="AQ2213" s="347" t="s">
        <v>361</v>
      </c>
      <c r="BF2213" s="347">
        <v>321.12</v>
      </c>
      <c r="BG2213" s="347" t="s">
        <v>362</v>
      </c>
      <c r="BH2213" s="1790"/>
      <c r="BN2213" s="237">
        <v>20.18</v>
      </c>
      <c r="BO2213" s="237" t="s">
        <v>349</v>
      </c>
      <c r="BT2213" s="347">
        <v>77.75</v>
      </c>
      <c r="BU2213" s="347" t="s">
        <v>361</v>
      </c>
      <c r="CD2213" s="237">
        <v>121.07</v>
      </c>
      <c r="CE2213" s="237" t="s">
        <v>337</v>
      </c>
      <c r="CJ2213" s="347">
        <v>321.10000000000002</v>
      </c>
      <c r="CK2213" s="347" t="s">
        <v>362</v>
      </c>
      <c r="CL2213" s="1789"/>
      <c r="CR2213" s="345"/>
      <c r="CS2213" s="345"/>
      <c r="CX2213" s="347"/>
      <c r="CY2213" s="347"/>
      <c r="DH2213" s="237"/>
      <c r="DI2213" s="237"/>
      <c r="DN2213" s="347"/>
      <c r="DO2213" s="347"/>
      <c r="DP2213" s="2505"/>
    </row>
    <row r="2214" spans="12:120">
      <c r="L2214" s="347">
        <v>3821.12</v>
      </c>
      <c r="M2214" s="347" t="s">
        <v>751</v>
      </c>
      <c r="AB2214" s="347">
        <v>4507.01</v>
      </c>
      <c r="AC2214" s="347" t="s">
        <v>316</v>
      </c>
      <c r="AD2214" s="1138"/>
      <c r="AP2214" s="347">
        <v>77.7</v>
      </c>
      <c r="AQ2214" s="347" t="s">
        <v>361</v>
      </c>
      <c r="BF2214" s="347">
        <v>321.13</v>
      </c>
      <c r="BG2214" s="347" t="s">
        <v>362</v>
      </c>
      <c r="BH2214" s="1790"/>
      <c r="BN2214" s="237">
        <v>20.190000000000001</v>
      </c>
      <c r="BO2214" s="237" t="s">
        <v>349</v>
      </c>
      <c r="BT2214" s="347">
        <v>77.760000000000005</v>
      </c>
      <c r="BU2214" s="347" t="s">
        <v>361</v>
      </c>
      <c r="CD2214" s="237">
        <v>121.08</v>
      </c>
      <c r="CE2214" s="237" t="s">
        <v>337</v>
      </c>
      <c r="CJ2214" s="347">
        <v>321.11</v>
      </c>
      <c r="CK2214" s="347" t="s">
        <v>362</v>
      </c>
      <c r="CL2214" s="1789"/>
      <c r="CR2214" s="345"/>
      <c r="CS2214" s="345"/>
      <c r="CX2214" s="347"/>
      <c r="CY2214" s="347"/>
      <c r="DH2214" s="237"/>
      <c r="DI2214" s="237"/>
      <c r="DN2214" s="347"/>
      <c r="DO2214" s="347"/>
      <c r="DP2214" s="2505"/>
    </row>
    <row r="2215" spans="12:120">
      <c r="L2215" s="347">
        <v>3821.13</v>
      </c>
      <c r="M2215" s="347" t="s">
        <v>751</v>
      </c>
      <c r="AB2215" s="347">
        <v>4509.01</v>
      </c>
      <c r="AC2215" s="347" t="s">
        <v>316</v>
      </c>
      <c r="AD2215" s="1138"/>
      <c r="AP2215" s="347">
        <v>77.709999999999994</v>
      </c>
      <c r="AQ2215" s="347" t="s">
        <v>361</v>
      </c>
      <c r="BF2215" s="347">
        <v>322</v>
      </c>
      <c r="BG2215" s="347" t="s">
        <v>362</v>
      </c>
      <c r="BH2215" s="1790"/>
      <c r="BN2215" s="237">
        <v>20.2</v>
      </c>
      <c r="BO2215" s="237" t="s">
        <v>349</v>
      </c>
      <c r="BT2215" s="347">
        <v>77.77</v>
      </c>
      <c r="BU2215" s="347" t="s">
        <v>361</v>
      </c>
      <c r="CD2215" s="237">
        <v>121.09</v>
      </c>
      <c r="CE2215" s="237" t="s">
        <v>337</v>
      </c>
      <c r="CJ2215" s="347">
        <v>321.12</v>
      </c>
      <c r="CK2215" s="347" t="s">
        <v>362</v>
      </c>
      <c r="CL2215" s="1789"/>
      <c r="CR2215" s="345"/>
      <c r="CS2215" s="345"/>
      <c r="CX2215" s="347"/>
      <c r="CY2215" s="347"/>
      <c r="DH2215" s="237"/>
      <c r="DI2215" s="237"/>
      <c r="DN2215" s="347"/>
      <c r="DO2215" s="347"/>
      <c r="DP2215" s="2505"/>
    </row>
    <row r="2216" spans="12:120">
      <c r="L2216" s="347">
        <v>3822</v>
      </c>
      <c r="M2216" s="347" t="s">
        <v>751</v>
      </c>
      <c r="AB2216" s="347">
        <v>4509.0200000000004</v>
      </c>
      <c r="AC2216" s="347" t="s">
        <v>316</v>
      </c>
      <c r="AD2216" s="1138"/>
      <c r="AP2216" s="347">
        <v>77.72</v>
      </c>
      <c r="AQ2216" s="347" t="s">
        <v>361</v>
      </c>
      <c r="BF2216" s="347">
        <v>323</v>
      </c>
      <c r="BG2216" s="347" t="s">
        <v>362</v>
      </c>
      <c r="BH2216" s="1790"/>
      <c r="BN2216" s="237">
        <v>20.21</v>
      </c>
      <c r="BO2216" s="237" t="s">
        <v>349</v>
      </c>
      <c r="BT2216" s="347">
        <v>77.78</v>
      </c>
      <c r="BU2216" s="347" t="s">
        <v>361</v>
      </c>
      <c r="CD2216" s="237">
        <v>121.1</v>
      </c>
      <c r="CE2216" s="237" t="s">
        <v>337</v>
      </c>
      <c r="CJ2216" s="347">
        <v>321.13</v>
      </c>
      <c r="CK2216" s="347" t="s">
        <v>362</v>
      </c>
      <c r="CL2216" s="1789"/>
      <c r="CR2216" s="345"/>
      <c r="CS2216" s="345"/>
      <c r="CX2216" s="347"/>
      <c r="CY2216" s="347"/>
      <c r="DH2216" s="237"/>
      <c r="DI2216" s="237"/>
      <c r="DN2216" s="347"/>
      <c r="DO2216" s="347"/>
      <c r="DP2216" s="2505"/>
    </row>
    <row r="2217" spans="12:120">
      <c r="L2217" s="347">
        <v>9101</v>
      </c>
      <c r="M2217" s="347" t="s">
        <v>372</v>
      </c>
      <c r="AB2217" s="347">
        <v>4510</v>
      </c>
      <c r="AC2217" s="347" t="s">
        <v>316</v>
      </c>
      <c r="AD2217" s="1138"/>
      <c r="AP2217" s="347">
        <v>77.73</v>
      </c>
      <c r="AQ2217" s="347" t="s">
        <v>361</v>
      </c>
      <c r="BF2217" s="347">
        <v>324.01</v>
      </c>
      <c r="BG2217" s="347" t="s">
        <v>362</v>
      </c>
      <c r="BH2217" s="1790"/>
      <c r="BN2217" s="237">
        <v>20.22</v>
      </c>
      <c r="BO2217" s="237" t="s">
        <v>349</v>
      </c>
      <c r="BT2217" s="347">
        <v>77.8</v>
      </c>
      <c r="BU2217" s="347" t="s">
        <v>361</v>
      </c>
      <c r="CD2217" s="237">
        <v>121.13</v>
      </c>
      <c r="CE2217" s="237" t="s">
        <v>365</v>
      </c>
      <c r="CJ2217" s="347">
        <v>322</v>
      </c>
      <c r="CK2217" s="347" t="s">
        <v>362</v>
      </c>
      <c r="CL2217" s="1789"/>
      <c r="CR2217" s="345"/>
      <c r="CS2217" s="345"/>
      <c r="CX2217" s="347"/>
      <c r="CY2217" s="347"/>
      <c r="DH2217" s="237"/>
      <c r="DI2217" s="237"/>
      <c r="DN2217" s="347"/>
      <c r="DO2217" s="347"/>
      <c r="DP2217" s="2505"/>
    </row>
    <row r="2218" spans="12:120">
      <c r="L2218" s="347">
        <v>9105</v>
      </c>
      <c r="M2218" s="347" t="s">
        <v>372</v>
      </c>
      <c r="AB2218" s="347">
        <v>4511.01</v>
      </c>
      <c r="AC2218" s="347" t="s">
        <v>316</v>
      </c>
      <c r="AD2218" s="1138"/>
      <c r="AP2218" s="347">
        <v>77.739999999999995</v>
      </c>
      <c r="AQ2218" s="347" t="s">
        <v>361</v>
      </c>
      <c r="BF2218" s="347">
        <v>326.02</v>
      </c>
      <c r="BG2218" s="347" t="s">
        <v>362</v>
      </c>
      <c r="BH2218" s="1790"/>
      <c r="BN2218" s="237">
        <v>20.23</v>
      </c>
      <c r="BO2218" s="237" t="s">
        <v>349</v>
      </c>
      <c r="BT2218" s="347">
        <v>78.05</v>
      </c>
      <c r="BU2218" s="347" t="s">
        <v>361</v>
      </c>
      <c r="CD2218" s="237">
        <v>121.24</v>
      </c>
      <c r="CE2218" s="237" t="s">
        <v>365</v>
      </c>
      <c r="CJ2218" s="347">
        <v>323</v>
      </c>
      <c r="CK2218" s="347" t="s">
        <v>362</v>
      </c>
      <c r="CL2218" s="1789"/>
      <c r="CR2218" s="345"/>
      <c r="CS2218" s="345"/>
      <c r="CX2218" s="347"/>
      <c r="CY2218" s="347"/>
      <c r="DH2218" s="237"/>
      <c r="DI2218" s="237"/>
      <c r="DN2218" s="347"/>
      <c r="DO2218" s="347"/>
      <c r="DP2218" s="2505"/>
    </row>
    <row r="2219" spans="12:120">
      <c r="L2219" s="347">
        <v>9108</v>
      </c>
      <c r="M2219" s="347" t="s">
        <v>372</v>
      </c>
      <c r="AB2219" s="347">
        <v>4516.01</v>
      </c>
      <c r="AC2219" s="347" t="s">
        <v>316</v>
      </c>
      <c r="AD2219" s="1138"/>
      <c r="AP2219" s="347">
        <v>77.75</v>
      </c>
      <c r="AQ2219" s="347" t="s">
        <v>361</v>
      </c>
      <c r="BF2219" s="347">
        <v>327</v>
      </c>
      <c r="BG2219" s="347" t="s">
        <v>362</v>
      </c>
      <c r="BH2219" s="1790"/>
      <c r="BN2219" s="237">
        <v>20.239999999999998</v>
      </c>
      <c r="BO2219" s="237" t="s">
        <v>349</v>
      </c>
      <c r="BT2219" s="347">
        <v>78.14</v>
      </c>
      <c r="BU2219" s="347" t="s">
        <v>361</v>
      </c>
      <c r="CD2219" s="237">
        <v>121.25</v>
      </c>
      <c r="CE2219" s="237" t="s">
        <v>365</v>
      </c>
      <c r="CJ2219" s="347">
        <v>324.01</v>
      </c>
      <c r="CK2219" s="347" t="s">
        <v>362</v>
      </c>
      <c r="CL2219" s="1789"/>
      <c r="CR2219" s="345"/>
      <c r="CS2219" s="345"/>
      <c r="CX2219" s="347"/>
      <c r="CY2219" s="347"/>
      <c r="DH2219" s="237"/>
      <c r="DI2219" s="237"/>
      <c r="DN2219" s="347"/>
      <c r="DO2219" s="347"/>
      <c r="DP2219" s="2505"/>
    </row>
    <row r="2220" spans="12:120">
      <c r="L2220" s="347">
        <v>9112</v>
      </c>
      <c r="M2220" s="347" t="s">
        <v>372</v>
      </c>
      <c r="AB2220" s="347">
        <v>4516.0200000000004</v>
      </c>
      <c r="AC2220" s="347" t="s">
        <v>316</v>
      </c>
      <c r="AD2220" s="1138"/>
      <c r="AP2220" s="347">
        <v>77.760000000000005</v>
      </c>
      <c r="AQ2220" s="347" t="s">
        <v>361</v>
      </c>
      <c r="BF2220" s="347">
        <v>328.02</v>
      </c>
      <c r="BG2220" s="347" t="s">
        <v>362</v>
      </c>
      <c r="BH2220" s="1790"/>
      <c r="BN2220" s="237">
        <v>20.25</v>
      </c>
      <c r="BO2220" s="237" t="s">
        <v>349</v>
      </c>
      <c r="BT2220" s="347">
        <v>78.180000000000007</v>
      </c>
      <c r="BU2220" s="347" t="s">
        <v>361</v>
      </c>
      <c r="CD2220" s="237">
        <v>121.26</v>
      </c>
      <c r="CE2220" s="237" t="s">
        <v>365</v>
      </c>
      <c r="CJ2220" s="347">
        <v>325</v>
      </c>
      <c r="CK2220" s="347" t="s">
        <v>362</v>
      </c>
      <c r="CL2220" s="1789"/>
      <c r="CR2220" s="345"/>
      <c r="CS2220" s="345"/>
      <c r="CX2220" s="347"/>
      <c r="CY2220" s="347"/>
      <c r="DH2220" s="237"/>
      <c r="DI2220" s="237"/>
      <c r="DN2220" s="347"/>
      <c r="DO2220" s="347"/>
      <c r="DP2220" s="2505"/>
    </row>
    <row r="2221" spans="12:120">
      <c r="L2221" s="347">
        <v>9113.01</v>
      </c>
      <c r="M2221" s="347" t="s">
        <v>372</v>
      </c>
      <c r="AB2221" s="347">
        <v>4517</v>
      </c>
      <c r="AC2221" s="347" t="s">
        <v>316</v>
      </c>
      <c r="AD2221" s="1138"/>
      <c r="AP2221" s="347">
        <v>77.77</v>
      </c>
      <c r="AQ2221" s="347" t="s">
        <v>361</v>
      </c>
      <c r="BF2221" s="347">
        <v>328.04</v>
      </c>
      <c r="BG2221" s="347" t="s">
        <v>362</v>
      </c>
      <c r="BH2221" s="1790"/>
      <c r="BN2221" s="237">
        <v>9900</v>
      </c>
      <c r="BO2221" s="237" t="s">
        <v>349</v>
      </c>
      <c r="BT2221" s="347">
        <v>78.2</v>
      </c>
      <c r="BU2221" s="347" t="s">
        <v>361</v>
      </c>
      <c r="CD2221" s="237">
        <v>121.27</v>
      </c>
      <c r="CE2221" s="237" t="s">
        <v>365</v>
      </c>
      <c r="CJ2221" s="347">
        <v>326.02</v>
      </c>
      <c r="CK2221" s="347" t="s">
        <v>362</v>
      </c>
      <c r="CL2221" s="1789"/>
      <c r="CR2221" s="345"/>
      <c r="CS2221" s="345"/>
      <c r="CX2221" s="347"/>
      <c r="CY2221" s="347"/>
      <c r="DH2221" s="237"/>
      <c r="DI2221" s="237"/>
      <c r="DN2221" s="347"/>
      <c r="DO2221" s="347"/>
      <c r="DP2221" s="2505"/>
    </row>
    <row r="2222" spans="12:120">
      <c r="L2222" s="347">
        <v>9114</v>
      </c>
      <c r="M2222" s="347" t="s">
        <v>372</v>
      </c>
      <c r="AB2222" s="347">
        <v>9101</v>
      </c>
      <c r="AC2222" s="347" t="s">
        <v>372</v>
      </c>
      <c r="AD2222" s="1138"/>
      <c r="AP2222" s="347">
        <v>77.78</v>
      </c>
      <c r="AQ2222" s="347" t="s">
        <v>361</v>
      </c>
      <c r="BF2222" s="347">
        <v>328.05</v>
      </c>
      <c r="BG2222" s="347" t="s">
        <v>362</v>
      </c>
      <c r="BH2222" s="1790"/>
      <c r="BN2222" s="237">
        <v>1.01</v>
      </c>
      <c r="BO2222" s="237" t="s">
        <v>350</v>
      </c>
      <c r="BT2222" s="347">
        <v>78.209999999999994</v>
      </c>
      <c r="BU2222" s="347" t="s">
        <v>361</v>
      </c>
      <c r="CD2222" s="237">
        <v>121.28</v>
      </c>
      <c r="CE2222" s="237" t="s">
        <v>365</v>
      </c>
      <c r="CJ2222" s="347">
        <v>327</v>
      </c>
      <c r="CK2222" s="347" t="s">
        <v>362</v>
      </c>
      <c r="CL2222" s="1789"/>
      <c r="CR2222" s="345"/>
      <c r="CS2222" s="345"/>
      <c r="CX2222" s="347"/>
      <c r="CY2222" s="347"/>
      <c r="DH2222" s="237"/>
      <c r="DI2222" s="237"/>
      <c r="DN2222" s="347"/>
      <c r="DO2222" s="347"/>
      <c r="DP2222" s="2505"/>
    </row>
    <row r="2223" spans="12:120">
      <c r="L2223" s="347">
        <v>9115</v>
      </c>
      <c r="M2223" s="347" t="s">
        <v>372</v>
      </c>
      <c r="AB2223" s="347">
        <v>9101.01</v>
      </c>
      <c r="AC2223" s="347" t="s">
        <v>358</v>
      </c>
      <c r="AD2223" s="1138"/>
      <c r="AP2223" s="347">
        <v>78.05</v>
      </c>
      <c r="AQ2223" s="347" t="s">
        <v>361</v>
      </c>
      <c r="BF2223" s="347">
        <v>329.02</v>
      </c>
      <c r="BG2223" s="347" t="s">
        <v>362</v>
      </c>
      <c r="BH2223" s="1790"/>
      <c r="BN2223" s="237">
        <v>1.02</v>
      </c>
      <c r="BO2223" s="237" t="s">
        <v>350</v>
      </c>
      <c r="BT2223" s="347">
        <v>78.23</v>
      </c>
      <c r="BU2223" s="347" t="s">
        <v>361</v>
      </c>
      <c r="CD2223" s="237">
        <v>121.3</v>
      </c>
      <c r="CE2223" s="237" t="s">
        <v>365</v>
      </c>
      <c r="CJ2223" s="347">
        <v>328.02</v>
      </c>
      <c r="CK2223" s="347" t="s">
        <v>362</v>
      </c>
      <c r="CL2223" s="1789"/>
      <c r="CR2223" s="345"/>
      <c r="CS2223" s="345"/>
      <c r="CX2223" s="347"/>
      <c r="CY2223" s="347"/>
      <c r="DH2223" s="237"/>
      <c r="DI2223" s="237"/>
      <c r="DN2223" s="347"/>
      <c r="DO2223" s="347"/>
      <c r="DP2223" s="2505"/>
    </row>
    <row r="2224" spans="12:120">
      <c r="L2224" s="347">
        <v>9117.01</v>
      </c>
      <c r="M2224" s="347" t="s">
        <v>372</v>
      </c>
      <c r="AB2224" s="347">
        <v>9101.02</v>
      </c>
      <c r="AC2224" s="347" t="s">
        <v>358</v>
      </c>
      <c r="AD2224" s="1138"/>
      <c r="AP2224" s="347">
        <v>78.12</v>
      </c>
      <c r="AQ2224" s="347" t="s">
        <v>361</v>
      </c>
      <c r="BF2224" s="347">
        <v>330.05</v>
      </c>
      <c r="BG2224" s="347" t="s">
        <v>362</v>
      </c>
      <c r="BH2224" s="1790"/>
      <c r="BN2224" s="237">
        <v>2.0099999999999998</v>
      </c>
      <c r="BO2224" s="237" t="s">
        <v>350</v>
      </c>
      <c r="BT2224" s="347">
        <v>78.3</v>
      </c>
      <c r="BU2224" s="347" t="s">
        <v>361</v>
      </c>
      <c r="CD2224" s="237">
        <v>121.31</v>
      </c>
      <c r="CE2224" s="237" t="s">
        <v>365</v>
      </c>
      <c r="CJ2224" s="347">
        <v>328.04</v>
      </c>
      <c r="CK2224" s="347" t="s">
        <v>362</v>
      </c>
      <c r="CL2224" s="1789"/>
      <c r="CR2224" s="345"/>
      <c r="CS2224" s="345"/>
      <c r="CX2224" s="347"/>
      <c r="CY2224" s="347"/>
      <c r="DH2224" s="237"/>
      <c r="DI2224" s="237"/>
      <c r="DN2224" s="347"/>
      <c r="DO2224" s="347"/>
      <c r="DP2224" s="2505"/>
    </row>
    <row r="2225" spans="12:120">
      <c r="L2225" s="347">
        <v>9117.02</v>
      </c>
      <c r="M2225" s="347" t="s">
        <v>372</v>
      </c>
      <c r="AB2225" s="347">
        <v>9104.01</v>
      </c>
      <c r="AC2225" s="347" t="s">
        <v>358</v>
      </c>
      <c r="AD2225" s="1138"/>
      <c r="AP2225" s="347">
        <v>78.13</v>
      </c>
      <c r="AQ2225" s="347" t="s">
        <v>361</v>
      </c>
      <c r="BF2225" s="347">
        <v>330.06</v>
      </c>
      <c r="BG2225" s="347" t="s">
        <v>362</v>
      </c>
      <c r="BH2225" s="1790"/>
      <c r="BN2225" s="237">
        <v>2.02</v>
      </c>
      <c r="BO2225" s="237" t="s">
        <v>350</v>
      </c>
      <c r="BT2225" s="347">
        <v>78.31</v>
      </c>
      <c r="BU2225" s="347" t="s">
        <v>361</v>
      </c>
      <c r="CD2225" s="237">
        <v>121.32</v>
      </c>
      <c r="CE2225" s="237" t="s">
        <v>365</v>
      </c>
      <c r="CJ2225" s="347">
        <v>328.05</v>
      </c>
      <c r="CK2225" s="347" t="s">
        <v>362</v>
      </c>
      <c r="CL2225" s="1789"/>
      <c r="CR2225" s="345"/>
      <c r="CS2225" s="345"/>
      <c r="CX2225" s="347"/>
      <c r="CY2225" s="347"/>
      <c r="DH2225" s="237"/>
      <c r="DI2225" s="237"/>
      <c r="DN2225" s="347"/>
      <c r="DO2225" s="347"/>
      <c r="DP2225" s="2505"/>
    </row>
    <row r="2226" spans="12:120">
      <c r="L2226" s="347">
        <v>9701</v>
      </c>
      <c r="M2226" s="347" t="s">
        <v>373</v>
      </c>
      <c r="AB2226" s="347">
        <v>9105</v>
      </c>
      <c r="AC2226" s="347" t="s">
        <v>358</v>
      </c>
      <c r="AD2226" s="1138"/>
      <c r="AP2226" s="347">
        <v>78.14</v>
      </c>
      <c r="AQ2226" s="347" t="s">
        <v>361</v>
      </c>
      <c r="BF2226" s="347">
        <v>330.08</v>
      </c>
      <c r="BG2226" s="347" t="s">
        <v>362</v>
      </c>
      <c r="BH2226" s="1790"/>
      <c r="BN2226" s="237">
        <v>2.0299999999999998</v>
      </c>
      <c r="BO2226" s="237" t="s">
        <v>350</v>
      </c>
      <c r="BT2226" s="347">
        <v>78.34</v>
      </c>
      <c r="BU2226" s="347" t="s">
        <v>361</v>
      </c>
      <c r="CD2226" s="237">
        <v>121.33</v>
      </c>
      <c r="CE2226" s="237" t="s">
        <v>365</v>
      </c>
      <c r="CJ2226" s="347">
        <v>329.01</v>
      </c>
      <c r="CK2226" s="347" t="s">
        <v>362</v>
      </c>
      <c r="CL2226" s="1789"/>
      <c r="CR2226" s="345"/>
      <c r="CS2226" s="345"/>
      <c r="CX2226" s="347"/>
      <c r="CY2226" s="347"/>
      <c r="DH2226" s="237"/>
      <c r="DI2226" s="237"/>
      <c r="DN2226" s="347"/>
      <c r="DO2226" s="347"/>
      <c r="DP2226" s="2505"/>
    </row>
    <row r="2227" spans="12:120">
      <c r="L2227" s="347">
        <v>9703.02</v>
      </c>
      <c r="M2227" s="347" t="s">
        <v>373</v>
      </c>
      <c r="AB2227" s="347">
        <v>9105</v>
      </c>
      <c r="AC2227" s="347" t="s">
        <v>372</v>
      </c>
      <c r="AD2227" s="1138"/>
      <c r="AP2227" s="347">
        <v>78.180000000000007</v>
      </c>
      <c r="AQ2227" s="347" t="s">
        <v>361</v>
      </c>
      <c r="BF2227" s="347">
        <v>331.02</v>
      </c>
      <c r="BG2227" s="347" t="s">
        <v>362</v>
      </c>
      <c r="BH2227" s="1790"/>
      <c r="BN2227" s="237">
        <v>3.02</v>
      </c>
      <c r="BO2227" s="237" t="s">
        <v>350</v>
      </c>
      <c r="BT2227" s="347">
        <v>78.349999999999994</v>
      </c>
      <c r="BU2227" s="347" t="s">
        <v>361</v>
      </c>
      <c r="CD2227" s="237">
        <v>122</v>
      </c>
      <c r="CE2227" s="237" t="s">
        <v>352</v>
      </c>
      <c r="CJ2227" s="347">
        <v>329.02</v>
      </c>
      <c r="CK2227" s="347" t="s">
        <v>362</v>
      </c>
      <c r="CL2227" s="1789"/>
      <c r="CR2227" s="345"/>
      <c r="CS2227" s="345"/>
      <c r="CX2227" s="347"/>
      <c r="CY2227" s="347"/>
      <c r="DH2227" s="237"/>
      <c r="DI2227" s="237"/>
      <c r="DN2227" s="347"/>
      <c r="DO2227" s="347"/>
      <c r="DP2227" s="2505"/>
    </row>
    <row r="2228" spans="12:120">
      <c r="L2228" s="347">
        <v>9706</v>
      </c>
      <c r="M2228" s="347" t="s">
        <v>373</v>
      </c>
      <c r="AB2228" s="347">
        <v>9106.01</v>
      </c>
      <c r="AC2228" s="347" t="s">
        <v>358</v>
      </c>
      <c r="AD2228" s="1138"/>
      <c r="AP2228" s="347">
        <v>78.2</v>
      </c>
      <c r="AQ2228" s="347" t="s">
        <v>361</v>
      </c>
      <c r="BF2228" s="347">
        <v>401.01</v>
      </c>
      <c r="BG2228" s="347" t="s">
        <v>302</v>
      </c>
      <c r="BH2228" s="1790"/>
      <c r="BN2228" s="237">
        <v>3.03</v>
      </c>
      <c r="BO2228" s="237" t="s">
        <v>350</v>
      </c>
      <c r="BT2228" s="347">
        <v>78.37</v>
      </c>
      <c r="BU2228" s="347" t="s">
        <v>361</v>
      </c>
      <c r="CD2228" s="237">
        <v>122.01</v>
      </c>
      <c r="CE2228" s="237" t="s">
        <v>323</v>
      </c>
      <c r="CJ2228" s="347">
        <v>330.05</v>
      </c>
      <c r="CK2228" s="347" t="s">
        <v>362</v>
      </c>
      <c r="CL2228" s="1789"/>
      <c r="CR2228" s="345"/>
      <c r="CS2228" s="345"/>
      <c r="CX2228" s="347"/>
      <c r="CY2228" s="347"/>
      <c r="DH2228" s="237"/>
      <c r="DI2228" s="237"/>
      <c r="DN2228" s="347"/>
      <c r="DO2228" s="347"/>
      <c r="DP2228" s="2505"/>
    </row>
    <row r="2229" spans="12:120">
      <c r="L2229" s="347">
        <v>9501</v>
      </c>
      <c r="M2229" s="347" t="s">
        <v>374</v>
      </c>
      <c r="AB2229" s="347">
        <v>9106.02</v>
      </c>
      <c r="AC2229" s="347" t="s">
        <v>358</v>
      </c>
      <c r="AD2229" s="1138"/>
      <c r="AP2229" s="347">
        <v>78.209999999999994</v>
      </c>
      <c r="AQ2229" s="347" t="s">
        <v>361</v>
      </c>
      <c r="BF2229" s="347">
        <v>401.01</v>
      </c>
      <c r="BG2229" s="347" t="s">
        <v>310</v>
      </c>
      <c r="BH2229" s="1790"/>
      <c r="BN2229" s="237">
        <v>3.04</v>
      </c>
      <c r="BO2229" s="237" t="s">
        <v>350</v>
      </c>
      <c r="BT2229" s="347">
        <v>78.38</v>
      </c>
      <c r="BU2229" s="347" t="s">
        <v>361</v>
      </c>
      <c r="CD2229" s="237">
        <v>122.01</v>
      </c>
      <c r="CE2229" s="237" t="s">
        <v>359</v>
      </c>
      <c r="CJ2229" s="347">
        <v>330.06</v>
      </c>
      <c r="CK2229" s="347" t="s">
        <v>362</v>
      </c>
      <c r="CL2229" s="1789"/>
      <c r="CR2229" s="345"/>
      <c r="CS2229" s="345"/>
      <c r="CX2229" s="347"/>
      <c r="CY2229" s="347"/>
      <c r="DH2229" s="237"/>
      <c r="DI2229" s="237"/>
      <c r="DN2229" s="347"/>
      <c r="DO2229" s="347"/>
      <c r="DP2229" s="2505"/>
    </row>
    <row r="2230" spans="12:120">
      <c r="L2230" s="347">
        <v>9502</v>
      </c>
      <c r="M2230" s="347" t="s">
        <v>374</v>
      </c>
      <c r="AB2230" s="347">
        <v>9108</v>
      </c>
      <c r="AC2230" s="347" t="s">
        <v>372</v>
      </c>
      <c r="AD2230" s="1138"/>
      <c r="AP2230" s="347">
        <v>78.23</v>
      </c>
      <c r="AQ2230" s="347" t="s">
        <v>361</v>
      </c>
      <c r="BF2230" s="347">
        <v>401.02</v>
      </c>
      <c r="BG2230" s="347" t="s">
        <v>302</v>
      </c>
      <c r="BH2230" s="1790"/>
      <c r="BN2230" s="237">
        <v>4.01</v>
      </c>
      <c r="BO2230" s="237" t="s">
        <v>350</v>
      </c>
      <c r="BT2230" s="347">
        <v>78.41</v>
      </c>
      <c r="BU2230" s="347" t="s">
        <v>361</v>
      </c>
      <c r="CD2230" s="237">
        <v>122.02</v>
      </c>
      <c r="CE2230" s="237" t="s">
        <v>323</v>
      </c>
      <c r="CJ2230" s="347">
        <v>331.02</v>
      </c>
      <c r="CK2230" s="347" t="s">
        <v>362</v>
      </c>
      <c r="CL2230" s="1789"/>
      <c r="CR2230" s="345"/>
      <c r="CS2230" s="345"/>
      <c r="CX2230" s="347"/>
      <c r="CY2230" s="347"/>
      <c r="DH2230" s="237"/>
      <c r="DI2230" s="237"/>
      <c r="DN2230" s="347"/>
      <c r="DO2230" s="347"/>
      <c r="DP2230" s="2505"/>
    </row>
    <row r="2231" spans="12:120">
      <c r="L2231" s="347">
        <v>9504</v>
      </c>
      <c r="M2231" s="347" t="s">
        <v>374</v>
      </c>
      <c r="AB2231" s="347">
        <v>9112</v>
      </c>
      <c r="AC2231" s="347" t="s">
        <v>372</v>
      </c>
      <c r="AD2231" s="1138"/>
      <c r="AP2231" s="347">
        <v>78.3</v>
      </c>
      <c r="AQ2231" s="347" t="s">
        <v>361</v>
      </c>
      <c r="BF2231" s="347">
        <v>401.02</v>
      </c>
      <c r="BG2231" s="347" t="s">
        <v>310</v>
      </c>
      <c r="BH2231" s="1790"/>
      <c r="BN2231" s="237">
        <v>4.0199999999999996</v>
      </c>
      <c r="BO2231" s="237" t="s">
        <v>350</v>
      </c>
      <c r="BT2231" s="347">
        <v>78.42</v>
      </c>
      <c r="BU2231" s="347" t="s">
        <v>361</v>
      </c>
      <c r="CD2231" s="237">
        <v>122.02</v>
      </c>
      <c r="CE2231" s="237" t="s">
        <v>359</v>
      </c>
      <c r="CJ2231" s="347">
        <v>401.01</v>
      </c>
      <c r="CK2231" s="347" t="s">
        <v>302</v>
      </c>
      <c r="CL2231" s="1789"/>
      <c r="CR2231" s="345"/>
      <c r="CS2231" s="345"/>
      <c r="CX2231" s="347"/>
      <c r="CY2231" s="347"/>
      <c r="DH2231" s="237"/>
      <c r="DI2231" s="237"/>
      <c r="DN2231" s="347"/>
      <c r="DO2231" s="347"/>
      <c r="DP2231" s="2505"/>
    </row>
    <row r="2232" spans="12:120">
      <c r="L2232" s="347">
        <v>9601</v>
      </c>
      <c r="M2232" s="347" t="s">
        <v>375</v>
      </c>
      <c r="AB2232" s="347">
        <v>9113.01</v>
      </c>
      <c r="AC2232" s="347" t="s">
        <v>372</v>
      </c>
      <c r="AD2232" s="1138"/>
      <c r="AP2232" s="347">
        <v>78.31</v>
      </c>
      <c r="AQ2232" s="347" t="s">
        <v>361</v>
      </c>
      <c r="BF2232" s="347">
        <v>401.08</v>
      </c>
      <c r="BG2232" s="347" t="s">
        <v>344</v>
      </c>
      <c r="BH2232" s="1790"/>
      <c r="BN2232" s="237">
        <v>5.01</v>
      </c>
      <c r="BO2232" s="237" t="s">
        <v>350</v>
      </c>
      <c r="BT2232" s="347">
        <v>78.430000000000007</v>
      </c>
      <c r="BU2232" s="347" t="s">
        <v>361</v>
      </c>
      <c r="CD2232" s="237">
        <v>122.03</v>
      </c>
      <c r="CE2232" s="237" t="s">
        <v>365</v>
      </c>
      <c r="CJ2232" s="347">
        <v>401.02</v>
      </c>
      <c r="CK2232" s="347" t="s">
        <v>302</v>
      </c>
      <c r="CL2232" s="1789"/>
      <c r="CR2232" s="345"/>
      <c r="CS2232" s="345"/>
      <c r="CX2232" s="347"/>
      <c r="CY2232" s="347"/>
      <c r="DH2232" s="237"/>
      <c r="DI2232" s="237"/>
      <c r="DN2232" s="347"/>
      <c r="DO2232" s="347"/>
      <c r="DP2232" s="2505"/>
    </row>
    <row r="2233" spans="12:120">
      <c r="L2233" s="347">
        <v>9603</v>
      </c>
      <c r="M2233" s="347" t="s">
        <v>375</v>
      </c>
      <c r="AB2233" s="347">
        <v>9114</v>
      </c>
      <c r="AC2233" s="347" t="s">
        <v>372</v>
      </c>
      <c r="AD2233" s="1138"/>
      <c r="AP2233" s="347">
        <v>78.34</v>
      </c>
      <c r="AQ2233" s="347" t="s">
        <v>361</v>
      </c>
      <c r="BF2233" s="347">
        <v>401.1</v>
      </c>
      <c r="BG2233" s="347" t="s">
        <v>344</v>
      </c>
      <c r="BH2233" s="1790"/>
      <c r="BN2233" s="237">
        <v>5.0199999999999996</v>
      </c>
      <c r="BO2233" s="237" t="s">
        <v>350</v>
      </c>
      <c r="BT2233" s="347">
        <v>78.44</v>
      </c>
      <c r="BU2233" s="347" t="s">
        <v>361</v>
      </c>
      <c r="CD2233" s="237">
        <v>122.06</v>
      </c>
      <c r="CE2233" s="237" t="s">
        <v>337</v>
      </c>
      <c r="CJ2233" s="347">
        <v>401.02</v>
      </c>
      <c r="CK2233" s="347" t="s">
        <v>310</v>
      </c>
      <c r="CL2233" s="1789"/>
      <c r="CR2233" s="345"/>
      <c r="CS2233" s="345"/>
      <c r="CX2233" s="347"/>
      <c r="CY2233" s="347"/>
      <c r="DH2233" s="237"/>
      <c r="DI2233" s="237"/>
      <c r="DN2233" s="347"/>
      <c r="DO2233" s="347"/>
      <c r="DP2233" s="2505"/>
    </row>
    <row r="2234" spans="12:120">
      <c r="L2234" s="347">
        <v>801</v>
      </c>
      <c r="M2234" s="347" t="s">
        <v>376</v>
      </c>
      <c r="AB2234" s="347">
        <v>9115</v>
      </c>
      <c r="AC2234" s="347" t="s">
        <v>372</v>
      </c>
      <c r="AD2234" s="1138"/>
      <c r="AP2234" s="347">
        <v>78.349999999999994</v>
      </c>
      <c r="AQ2234" s="347" t="s">
        <v>361</v>
      </c>
      <c r="BF2234" s="347">
        <v>401.11</v>
      </c>
      <c r="BG2234" s="347" t="s">
        <v>344</v>
      </c>
      <c r="BH2234" s="1790"/>
      <c r="BN2234" s="237">
        <v>6.01</v>
      </c>
      <c r="BO2234" s="237" t="s">
        <v>350</v>
      </c>
      <c r="BT2234" s="347">
        <v>78.45</v>
      </c>
      <c r="BU2234" s="347" t="s">
        <v>361</v>
      </c>
      <c r="CD2234" s="237">
        <v>122.07</v>
      </c>
      <c r="CE2234" s="237" t="s">
        <v>337</v>
      </c>
      <c r="CJ2234" s="347">
        <v>401.02</v>
      </c>
      <c r="CK2234" s="347" t="s">
        <v>335</v>
      </c>
      <c r="CL2234" s="1789"/>
      <c r="CR2234" s="345"/>
      <c r="CS2234" s="345"/>
      <c r="CX2234" s="347"/>
      <c r="CY2234" s="347"/>
      <c r="DH2234" s="237"/>
      <c r="DI2234" s="237"/>
      <c r="DN2234" s="347"/>
      <c r="DO2234" s="347"/>
      <c r="DP2234" s="2505"/>
    </row>
    <row r="2235" spans="12:120">
      <c r="L2235" s="347">
        <v>802.01</v>
      </c>
      <c r="M2235" s="347" t="s">
        <v>376</v>
      </c>
      <c r="AB2235" s="347">
        <v>9117.01</v>
      </c>
      <c r="AC2235" s="347" t="s">
        <v>372</v>
      </c>
      <c r="AD2235" s="1138"/>
      <c r="AP2235" s="347">
        <v>78.37</v>
      </c>
      <c r="AQ2235" s="347" t="s">
        <v>361</v>
      </c>
      <c r="BF2235" s="347">
        <v>401.13</v>
      </c>
      <c r="BG2235" s="347" t="s">
        <v>344</v>
      </c>
      <c r="BH2235" s="1790"/>
      <c r="BN2235" s="237">
        <v>6.04</v>
      </c>
      <c r="BO2235" s="237" t="s">
        <v>350</v>
      </c>
      <c r="BT2235" s="347">
        <v>78.459999999999994</v>
      </c>
      <c r="BU2235" s="347" t="s">
        <v>361</v>
      </c>
      <c r="CD2235" s="237">
        <v>122.07</v>
      </c>
      <c r="CE2235" s="237" t="s">
        <v>365</v>
      </c>
      <c r="CJ2235" s="347">
        <v>401.08</v>
      </c>
      <c r="CK2235" s="347" t="s">
        <v>344</v>
      </c>
      <c r="CL2235" s="1789"/>
      <c r="CR2235" s="345"/>
      <c r="CS2235" s="345"/>
      <c r="CX2235" s="347"/>
      <c r="CY2235" s="347"/>
      <c r="DH2235" s="237"/>
      <c r="DI2235" s="237"/>
      <c r="DN2235" s="347"/>
      <c r="DO2235" s="347"/>
      <c r="DP2235" s="2505"/>
    </row>
    <row r="2236" spans="12:120">
      <c r="L2236" s="347">
        <v>803</v>
      </c>
      <c r="M2236" s="347" t="s">
        <v>376</v>
      </c>
      <c r="AB2236" s="347">
        <v>9117.02</v>
      </c>
      <c r="AC2236" s="347" t="s">
        <v>372</v>
      </c>
      <c r="AD2236" s="1138"/>
      <c r="AP2236" s="347">
        <v>78.38</v>
      </c>
      <c r="AQ2236" s="347" t="s">
        <v>361</v>
      </c>
      <c r="BF2236" s="347">
        <v>401.17</v>
      </c>
      <c r="BG2236" s="347" t="s">
        <v>344</v>
      </c>
      <c r="BH2236" s="1790"/>
      <c r="BN2236" s="237">
        <v>6.05</v>
      </c>
      <c r="BO2236" s="237" t="s">
        <v>350</v>
      </c>
      <c r="BT2236" s="347">
        <v>78.47</v>
      </c>
      <c r="BU2236" s="347" t="s">
        <v>361</v>
      </c>
      <c r="CD2236" s="237">
        <v>122.08</v>
      </c>
      <c r="CE2236" s="237" t="s">
        <v>337</v>
      </c>
      <c r="CJ2236" s="347">
        <v>401.1</v>
      </c>
      <c r="CK2236" s="347" t="s">
        <v>344</v>
      </c>
      <c r="CL2236" s="1789"/>
      <c r="CR2236" s="345"/>
      <c r="CS2236" s="345"/>
      <c r="CX2236" s="347"/>
      <c r="CY2236" s="347"/>
      <c r="DH2236" s="237"/>
      <c r="DI2236" s="237"/>
      <c r="DN2236" s="347"/>
      <c r="DO2236" s="347"/>
      <c r="DP2236" s="2505"/>
    </row>
    <row r="2237" spans="12:120">
      <c r="L2237" s="347">
        <v>804</v>
      </c>
      <c r="M2237" s="347" t="s">
        <v>376</v>
      </c>
      <c r="AB2237" s="347">
        <v>9501</v>
      </c>
      <c r="AC2237" s="347" t="s">
        <v>347</v>
      </c>
      <c r="AD2237" s="1138"/>
      <c r="AP2237" s="347">
        <v>78.42</v>
      </c>
      <c r="AQ2237" s="347" t="s">
        <v>361</v>
      </c>
      <c r="BF2237" s="347">
        <v>401.18</v>
      </c>
      <c r="BG2237" s="347" t="s">
        <v>344</v>
      </c>
      <c r="BH2237" s="1790"/>
      <c r="BN2237" s="237">
        <v>6.06</v>
      </c>
      <c r="BO2237" s="237" t="s">
        <v>350</v>
      </c>
      <c r="BT2237" s="347">
        <v>78.48</v>
      </c>
      <c r="BU2237" s="347" t="s">
        <v>361</v>
      </c>
      <c r="CD2237" s="237">
        <v>122.08</v>
      </c>
      <c r="CE2237" s="237" t="s">
        <v>365</v>
      </c>
      <c r="CJ2237" s="347">
        <v>401.11</v>
      </c>
      <c r="CK2237" s="347" t="s">
        <v>344</v>
      </c>
      <c r="CL2237" s="1789"/>
      <c r="CR2237" s="345"/>
      <c r="CS2237" s="345"/>
      <c r="CX2237" s="347"/>
      <c r="CY2237" s="347"/>
      <c r="DH2237" s="237"/>
      <c r="DI2237" s="237"/>
      <c r="DN2237" s="347"/>
      <c r="DO2237" s="347"/>
      <c r="DP2237" s="2505"/>
    </row>
    <row r="2238" spans="12:120">
      <c r="L2238" s="347">
        <v>805</v>
      </c>
      <c r="M2238" s="347" t="s">
        <v>376</v>
      </c>
      <c r="AB2238" s="347">
        <v>9501</v>
      </c>
      <c r="AC2238" s="347" t="s">
        <v>366</v>
      </c>
      <c r="AD2238" s="1138"/>
      <c r="AP2238" s="347">
        <v>78.430000000000007</v>
      </c>
      <c r="AQ2238" s="347" t="s">
        <v>361</v>
      </c>
      <c r="BF2238" s="347">
        <v>401.2</v>
      </c>
      <c r="BG2238" s="347" t="s">
        <v>344</v>
      </c>
      <c r="BH2238" s="1790"/>
      <c r="BN2238" s="237">
        <v>6.07</v>
      </c>
      <c r="BO2238" s="237" t="s">
        <v>350</v>
      </c>
      <c r="BT2238" s="347">
        <v>78.489999999999995</v>
      </c>
      <c r="BU2238" s="347" t="s">
        <v>361</v>
      </c>
      <c r="CD2238" s="237">
        <v>122.09</v>
      </c>
      <c r="CE2238" s="237" t="s">
        <v>337</v>
      </c>
      <c r="CJ2238" s="347">
        <v>401.13</v>
      </c>
      <c r="CK2238" s="347" t="s">
        <v>344</v>
      </c>
      <c r="CL2238" s="1789"/>
      <c r="CR2238" s="345"/>
      <c r="CS2238" s="345"/>
      <c r="CX2238" s="347"/>
      <c r="CY2238" s="347"/>
      <c r="DH2238" s="237"/>
      <c r="DI2238" s="237"/>
      <c r="DN2238" s="347"/>
      <c r="DO2238" s="347"/>
      <c r="DP2238" s="2505"/>
    </row>
    <row r="2239" spans="12:120">
      <c r="L2239" s="347">
        <v>806</v>
      </c>
      <c r="M2239" s="347" t="s">
        <v>376</v>
      </c>
      <c r="AB2239" s="347">
        <v>9501</v>
      </c>
      <c r="AC2239" s="347" t="s">
        <v>374</v>
      </c>
      <c r="AD2239" s="1138"/>
      <c r="AP2239" s="347">
        <v>78.44</v>
      </c>
      <c r="AQ2239" s="347" t="s">
        <v>361</v>
      </c>
      <c r="BF2239" s="347">
        <v>401.23</v>
      </c>
      <c r="BG2239" s="347" t="s">
        <v>344</v>
      </c>
      <c r="BH2239" s="1790"/>
      <c r="BN2239" s="237">
        <v>7.03</v>
      </c>
      <c r="BO2239" s="237" t="s">
        <v>350</v>
      </c>
      <c r="BT2239" s="347">
        <v>78.5</v>
      </c>
      <c r="BU2239" s="347" t="s">
        <v>361</v>
      </c>
      <c r="CD2239" s="237">
        <v>122.09</v>
      </c>
      <c r="CE2239" s="237" t="s">
        <v>365</v>
      </c>
      <c r="CJ2239" s="347">
        <v>401.17</v>
      </c>
      <c r="CK2239" s="347" t="s">
        <v>344</v>
      </c>
      <c r="CL2239" s="1789"/>
      <c r="CR2239" s="345"/>
      <c r="CS2239" s="345"/>
      <c r="CX2239" s="347"/>
      <c r="CY2239" s="347"/>
      <c r="DH2239" s="237"/>
      <c r="DI2239" s="237"/>
      <c r="DN2239" s="347"/>
      <c r="DO2239" s="347"/>
      <c r="DP2239" s="2505"/>
    </row>
    <row r="2240" spans="12:120">
      <c r="L2240" s="347">
        <v>807</v>
      </c>
      <c r="M2240" s="347" t="s">
        <v>376</v>
      </c>
      <c r="AB2240" s="347">
        <v>9501.01</v>
      </c>
      <c r="AC2240" s="347" t="s">
        <v>378</v>
      </c>
      <c r="AD2240" s="1138"/>
      <c r="AP2240" s="347">
        <v>78.45</v>
      </c>
      <c r="AQ2240" s="347" t="s">
        <v>361</v>
      </c>
      <c r="BF2240" s="347">
        <v>401.25</v>
      </c>
      <c r="BG2240" s="347" t="s">
        <v>344</v>
      </c>
      <c r="BH2240" s="1790"/>
      <c r="BN2240" s="237">
        <v>7.04</v>
      </c>
      <c r="BO2240" s="237" t="s">
        <v>350</v>
      </c>
      <c r="BT2240" s="347">
        <v>78.53</v>
      </c>
      <c r="BU2240" s="347" t="s">
        <v>361</v>
      </c>
      <c r="CD2240" s="237">
        <v>122.1</v>
      </c>
      <c r="CE2240" s="237" t="s">
        <v>337</v>
      </c>
      <c r="CJ2240" s="347">
        <v>401.18</v>
      </c>
      <c r="CK2240" s="347" t="s">
        <v>344</v>
      </c>
      <c r="CL2240" s="1789"/>
      <c r="CR2240" s="345"/>
      <c r="CS2240" s="345"/>
      <c r="CX2240" s="347"/>
      <c r="CY2240" s="347"/>
      <c r="DH2240" s="237"/>
      <c r="DI2240" s="237"/>
      <c r="DN2240" s="347"/>
      <c r="DO2240" s="347"/>
      <c r="DP2240" s="2505"/>
    </row>
    <row r="2241" spans="12:120">
      <c r="L2241" s="347">
        <v>808.03</v>
      </c>
      <c r="M2241" s="347" t="s">
        <v>376</v>
      </c>
      <c r="AB2241" s="347">
        <v>9501.02</v>
      </c>
      <c r="AC2241" s="347" t="s">
        <v>378</v>
      </c>
      <c r="AD2241" s="1138"/>
      <c r="AP2241" s="347">
        <v>78.459999999999994</v>
      </c>
      <c r="AQ2241" s="347" t="s">
        <v>361</v>
      </c>
      <c r="BF2241" s="347">
        <v>401.26</v>
      </c>
      <c r="BG2241" s="347" t="s">
        <v>344</v>
      </c>
      <c r="BH2241" s="1790"/>
      <c r="BN2241" s="237">
        <v>7.05</v>
      </c>
      <c r="BO2241" s="237" t="s">
        <v>350</v>
      </c>
      <c r="BT2241" s="347">
        <v>79.09</v>
      </c>
      <c r="BU2241" s="347" t="s">
        <v>361</v>
      </c>
      <c r="CD2241" s="237">
        <v>122.11</v>
      </c>
      <c r="CE2241" s="237" t="s">
        <v>337</v>
      </c>
      <c r="CJ2241" s="347">
        <v>401.2</v>
      </c>
      <c r="CK2241" s="347" t="s">
        <v>344</v>
      </c>
      <c r="CL2241" s="1789"/>
      <c r="CR2241" s="345"/>
      <c r="CS2241" s="345"/>
      <c r="CX2241" s="347"/>
      <c r="CY2241" s="347"/>
      <c r="DH2241" s="237"/>
      <c r="DI2241" s="237"/>
      <c r="DN2241" s="347"/>
      <c r="DO2241" s="347"/>
      <c r="DP2241" s="2505"/>
    </row>
    <row r="2242" spans="12:120">
      <c r="L2242" s="347">
        <v>808.06</v>
      </c>
      <c r="M2242" s="347" t="s">
        <v>376</v>
      </c>
      <c r="AB2242" s="347">
        <v>9502</v>
      </c>
      <c r="AC2242" s="347" t="s">
        <v>374</v>
      </c>
      <c r="AD2242" s="1138"/>
      <c r="AP2242" s="347">
        <v>78.47</v>
      </c>
      <c r="AQ2242" s="347" t="s">
        <v>361</v>
      </c>
      <c r="BF2242" s="347">
        <v>401.28</v>
      </c>
      <c r="BG2242" s="347" t="s">
        <v>344</v>
      </c>
      <c r="BH2242" s="1790"/>
      <c r="BN2242" s="237">
        <v>7.06</v>
      </c>
      <c r="BO2242" s="237" t="s">
        <v>350</v>
      </c>
      <c r="BT2242" s="347">
        <v>79.13</v>
      </c>
      <c r="BU2242" s="347" t="s">
        <v>361</v>
      </c>
      <c r="CD2242" s="237">
        <v>122.12</v>
      </c>
      <c r="CE2242" s="237" t="s">
        <v>337</v>
      </c>
      <c r="CJ2242" s="347">
        <v>401.23</v>
      </c>
      <c r="CK2242" s="347" t="s">
        <v>344</v>
      </c>
      <c r="CL2242" s="1789"/>
      <c r="CR2242" s="345"/>
      <c r="CS2242" s="345"/>
      <c r="CX2242" s="347"/>
      <c r="CY2242" s="347"/>
      <c r="DH2242" s="237"/>
      <c r="DI2242" s="237"/>
      <c r="DN2242" s="347"/>
      <c r="DO2242" s="347"/>
      <c r="DP2242" s="2505"/>
    </row>
    <row r="2243" spans="12:120">
      <c r="L2243" s="347">
        <v>808.07</v>
      </c>
      <c r="M2243" s="347" t="s">
        <v>376</v>
      </c>
      <c r="AB2243" s="347">
        <v>9502.01</v>
      </c>
      <c r="AC2243" s="347" t="s">
        <v>329</v>
      </c>
      <c r="AD2243" s="1138"/>
      <c r="AP2243" s="347">
        <v>78.48</v>
      </c>
      <c r="AQ2243" s="347" t="s">
        <v>361</v>
      </c>
      <c r="BF2243" s="347">
        <v>401.29</v>
      </c>
      <c r="BG2243" s="347" t="s">
        <v>344</v>
      </c>
      <c r="BH2243" s="1790"/>
      <c r="BN2243" s="237">
        <v>7.07</v>
      </c>
      <c r="BO2243" s="237" t="s">
        <v>350</v>
      </c>
      <c r="BT2243" s="347">
        <v>79.150000000000006</v>
      </c>
      <c r="BU2243" s="347" t="s">
        <v>361</v>
      </c>
      <c r="CD2243" s="237">
        <v>122.13</v>
      </c>
      <c r="CE2243" s="237" t="s">
        <v>337</v>
      </c>
      <c r="CJ2243" s="347">
        <v>401.25</v>
      </c>
      <c r="CK2243" s="347" t="s">
        <v>344</v>
      </c>
      <c r="CL2243" s="1789"/>
      <c r="CR2243" s="345"/>
      <c r="CS2243" s="345"/>
      <c r="CX2243" s="347"/>
      <c r="CY2243" s="347"/>
      <c r="DH2243" s="237"/>
      <c r="DI2243" s="237"/>
      <c r="DN2243" s="347"/>
      <c r="DO2243" s="347"/>
      <c r="DP2243" s="2505"/>
    </row>
    <row r="2244" spans="12:120">
      <c r="L2244" s="347">
        <v>811.02</v>
      </c>
      <c r="M2244" s="347" t="s">
        <v>376</v>
      </c>
      <c r="AB2244" s="347">
        <v>9502.02</v>
      </c>
      <c r="AC2244" s="347" t="s">
        <v>329</v>
      </c>
      <c r="AD2244" s="1138"/>
      <c r="AP2244" s="347">
        <v>78.5</v>
      </c>
      <c r="AQ2244" s="347" t="s">
        <v>361</v>
      </c>
      <c r="BF2244" s="347">
        <v>401.3</v>
      </c>
      <c r="BG2244" s="347" t="s">
        <v>344</v>
      </c>
      <c r="BH2244" s="1790"/>
      <c r="BN2244" s="237">
        <v>8.0299999999999994</v>
      </c>
      <c r="BO2244" s="237" t="s">
        <v>350</v>
      </c>
      <c r="BT2244" s="347">
        <v>79.16</v>
      </c>
      <c r="BU2244" s="347" t="s">
        <v>361</v>
      </c>
      <c r="CD2244" s="237">
        <v>123</v>
      </c>
      <c r="CE2244" s="237" t="s">
        <v>323</v>
      </c>
      <c r="CJ2244" s="347">
        <v>401.26</v>
      </c>
      <c r="CK2244" s="347" t="s">
        <v>344</v>
      </c>
      <c r="CL2244" s="1789"/>
      <c r="CR2244" s="345"/>
      <c r="CS2244" s="345"/>
      <c r="CX2244" s="347"/>
      <c r="CY2244" s="347"/>
      <c r="DH2244" s="237"/>
      <c r="DI2244" s="237"/>
      <c r="DN2244" s="347"/>
      <c r="DO2244" s="347"/>
      <c r="DP2244" s="2505"/>
    </row>
    <row r="2245" spans="12:120">
      <c r="L2245" s="347">
        <v>812</v>
      </c>
      <c r="M2245" s="347" t="s">
        <v>376</v>
      </c>
      <c r="AB2245" s="347">
        <v>9502.02</v>
      </c>
      <c r="AC2245" s="347" t="s">
        <v>366</v>
      </c>
      <c r="AD2245" s="1138"/>
      <c r="AP2245" s="347">
        <v>78.53</v>
      </c>
      <c r="AQ2245" s="347" t="s">
        <v>361</v>
      </c>
      <c r="BF2245" s="347">
        <v>401.31</v>
      </c>
      <c r="BG2245" s="347" t="s">
        <v>344</v>
      </c>
      <c r="BH2245" s="1790"/>
      <c r="BN2245" s="237">
        <v>8.0399999999999991</v>
      </c>
      <c r="BO2245" s="237" t="s">
        <v>350</v>
      </c>
      <c r="BT2245" s="347">
        <v>79.17</v>
      </c>
      <c r="BU2245" s="347" t="s">
        <v>361</v>
      </c>
      <c r="CD2245" s="237">
        <v>123.01</v>
      </c>
      <c r="CE2245" s="237" t="s">
        <v>337</v>
      </c>
      <c r="CJ2245" s="347">
        <v>401.28</v>
      </c>
      <c r="CK2245" s="347" t="s">
        <v>344</v>
      </c>
      <c r="CL2245" s="1789"/>
      <c r="CR2245" s="345"/>
      <c r="CS2245" s="345"/>
      <c r="CX2245" s="347"/>
      <c r="CY2245" s="347"/>
      <c r="DH2245" s="237"/>
      <c r="DI2245" s="237"/>
      <c r="DN2245" s="347"/>
      <c r="DO2245" s="347"/>
      <c r="DP2245" s="2505"/>
    </row>
    <row r="2246" spans="12:120">
      <c r="L2246" s="347">
        <v>813</v>
      </c>
      <c r="M2246" s="347" t="s">
        <v>376</v>
      </c>
      <c r="AB2246" s="347">
        <v>9502.0300000000007</v>
      </c>
      <c r="AC2246" s="347" t="s">
        <v>329</v>
      </c>
      <c r="AD2246" s="1138"/>
      <c r="AP2246" s="347">
        <v>79.09</v>
      </c>
      <c r="AQ2246" s="347" t="s">
        <v>361</v>
      </c>
      <c r="BF2246" s="347">
        <v>401.32</v>
      </c>
      <c r="BG2246" s="347" t="s">
        <v>344</v>
      </c>
      <c r="BH2246" s="1790"/>
      <c r="BN2246" s="237">
        <v>8.0500000000000007</v>
      </c>
      <c r="BO2246" s="237" t="s">
        <v>350</v>
      </c>
      <c r="BT2246" s="347">
        <v>79.180000000000007</v>
      </c>
      <c r="BU2246" s="347" t="s">
        <v>361</v>
      </c>
      <c r="CD2246" s="237">
        <v>123.01</v>
      </c>
      <c r="CE2246" s="237" t="s">
        <v>352</v>
      </c>
      <c r="CJ2246" s="347">
        <v>401.29</v>
      </c>
      <c r="CK2246" s="347" t="s">
        <v>344</v>
      </c>
      <c r="CL2246" s="1789"/>
      <c r="CR2246" s="345"/>
      <c r="CS2246" s="345"/>
      <c r="CX2246" s="347"/>
      <c r="CY2246" s="347"/>
      <c r="DH2246" s="237"/>
      <c r="DI2246" s="237"/>
      <c r="DN2246" s="347"/>
      <c r="DO2246" s="347"/>
      <c r="DP2246" s="2505"/>
    </row>
    <row r="2247" spans="12:120">
      <c r="L2247" s="347">
        <v>824.05</v>
      </c>
      <c r="M2247" s="347" t="s">
        <v>376</v>
      </c>
      <c r="AB2247" s="347">
        <v>9502.0400000000009</v>
      </c>
      <c r="AC2247" s="347" t="s">
        <v>329</v>
      </c>
      <c r="AD2247" s="1138"/>
      <c r="AP2247" s="347">
        <v>79.16</v>
      </c>
      <c r="AQ2247" s="347" t="s">
        <v>361</v>
      </c>
      <c r="BF2247" s="347">
        <v>401.33</v>
      </c>
      <c r="BG2247" s="347" t="s">
        <v>344</v>
      </c>
      <c r="BH2247" s="1790"/>
      <c r="BN2247" s="237">
        <v>8.06</v>
      </c>
      <c r="BO2247" s="237" t="s">
        <v>350</v>
      </c>
      <c r="BT2247" s="347">
        <v>79.19</v>
      </c>
      <c r="BU2247" s="347" t="s">
        <v>361</v>
      </c>
      <c r="CD2247" s="237">
        <v>123.02</v>
      </c>
      <c r="CE2247" s="237" t="s">
        <v>352</v>
      </c>
      <c r="CJ2247" s="347">
        <v>401.3</v>
      </c>
      <c r="CK2247" s="347" t="s">
        <v>344</v>
      </c>
      <c r="CL2247" s="1789"/>
      <c r="CR2247" s="345"/>
      <c r="CS2247" s="345"/>
      <c r="CX2247" s="347"/>
      <c r="CY2247" s="347"/>
      <c r="DH2247" s="237"/>
      <c r="DI2247" s="237"/>
      <c r="DN2247" s="347"/>
      <c r="DO2247" s="347"/>
      <c r="DP2247" s="2505"/>
    </row>
    <row r="2248" spans="12:120">
      <c r="L2248" s="347">
        <v>824.06</v>
      </c>
      <c r="M2248" s="347" t="s">
        <v>376</v>
      </c>
      <c r="AB2248" s="347">
        <v>9503</v>
      </c>
      <c r="AC2248" s="347" t="s">
        <v>366</v>
      </c>
      <c r="AD2248" s="1138"/>
      <c r="AP2248" s="347">
        <v>79.17</v>
      </c>
      <c r="AQ2248" s="347" t="s">
        <v>361</v>
      </c>
      <c r="BF2248" s="347">
        <v>401.35</v>
      </c>
      <c r="BG2248" s="347" t="s">
        <v>344</v>
      </c>
      <c r="BH2248" s="1790"/>
      <c r="BN2248" s="237">
        <v>8.07</v>
      </c>
      <c r="BO2248" s="237" t="s">
        <v>350</v>
      </c>
      <c r="BT2248" s="347">
        <v>302.02</v>
      </c>
      <c r="BU2248" s="347" t="s">
        <v>362</v>
      </c>
      <c r="CD2248" s="237">
        <v>123.03</v>
      </c>
      <c r="CE2248" s="237" t="s">
        <v>337</v>
      </c>
      <c r="CJ2248" s="347">
        <v>401.31</v>
      </c>
      <c r="CK2248" s="347" t="s">
        <v>344</v>
      </c>
      <c r="CL2248" s="1789"/>
      <c r="CR2248" s="345"/>
      <c r="CS2248" s="345"/>
      <c r="CX2248" s="347"/>
      <c r="CY2248" s="347"/>
      <c r="DH2248" s="237"/>
      <c r="DI2248" s="237"/>
      <c r="DN2248" s="347"/>
      <c r="DO2248" s="347"/>
      <c r="DP2248" s="2505"/>
    </row>
    <row r="2249" spans="12:120">
      <c r="L2249" s="347">
        <v>824.1</v>
      </c>
      <c r="M2249" s="347" t="s">
        <v>376</v>
      </c>
      <c r="AB2249" s="347">
        <v>9503.02</v>
      </c>
      <c r="AC2249" s="347" t="s">
        <v>378</v>
      </c>
      <c r="AD2249" s="1138"/>
      <c r="AP2249" s="347">
        <v>79.19</v>
      </c>
      <c r="AQ2249" s="347" t="s">
        <v>361</v>
      </c>
      <c r="BF2249" s="347">
        <v>401.36</v>
      </c>
      <c r="BG2249" s="347" t="s">
        <v>344</v>
      </c>
      <c r="BH2249" s="1790"/>
      <c r="BN2249" s="237">
        <v>8.08</v>
      </c>
      <c r="BO2249" s="237" t="s">
        <v>350</v>
      </c>
      <c r="BT2249" s="347">
        <v>302.04000000000002</v>
      </c>
      <c r="BU2249" s="347" t="s">
        <v>362</v>
      </c>
      <c r="CD2249" s="237">
        <v>123.03</v>
      </c>
      <c r="CE2249" s="237" t="s">
        <v>359</v>
      </c>
      <c r="CJ2249" s="347">
        <v>401.32</v>
      </c>
      <c r="CK2249" s="347" t="s">
        <v>344</v>
      </c>
      <c r="CL2249" s="1789"/>
      <c r="CR2249" s="345"/>
      <c r="CS2249" s="345"/>
      <c r="CX2249" s="347"/>
      <c r="CY2249" s="347"/>
      <c r="DH2249" s="237"/>
      <c r="DI2249" s="237"/>
      <c r="DN2249" s="347"/>
      <c r="DO2249" s="347"/>
      <c r="DP2249" s="2505"/>
    </row>
    <row r="2250" spans="12:120">
      <c r="L2250" s="347">
        <v>824.11</v>
      </c>
      <c r="M2250" s="347" t="s">
        <v>376</v>
      </c>
      <c r="AB2250" s="347">
        <v>9504</v>
      </c>
      <c r="AC2250" s="347" t="s">
        <v>366</v>
      </c>
      <c r="AD2250" s="1138"/>
      <c r="AP2250" s="347">
        <v>302.02</v>
      </c>
      <c r="AQ2250" s="347" t="s">
        <v>362</v>
      </c>
      <c r="BF2250" s="347">
        <v>401.37</v>
      </c>
      <c r="BG2250" s="347" t="s">
        <v>344</v>
      </c>
      <c r="BH2250" s="1790"/>
      <c r="BN2250" s="237">
        <v>8.09</v>
      </c>
      <c r="BO2250" s="237" t="s">
        <v>350</v>
      </c>
      <c r="BT2250" s="347">
        <v>302.05</v>
      </c>
      <c r="BU2250" s="347" t="s">
        <v>362</v>
      </c>
      <c r="CD2250" s="237">
        <v>123.03</v>
      </c>
      <c r="CE2250" s="237" t="s">
        <v>365</v>
      </c>
      <c r="CJ2250" s="347">
        <v>401.33</v>
      </c>
      <c r="CK2250" s="347" t="s">
        <v>344</v>
      </c>
      <c r="CL2250" s="1789"/>
      <c r="CR2250" s="345"/>
      <c r="CS2250" s="345"/>
      <c r="CX2250" s="347"/>
      <c r="CY2250" s="347"/>
      <c r="DH2250" s="237"/>
      <c r="DI2250" s="237"/>
      <c r="DN2250" s="347"/>
      <c r="DO2250" s="347"/>
      <c r="DP2250" s="2505"/>
    </row>
    <row r="2251" spans="12:120">
      <c r="L2251" s="347">
        <v>824.12</v>
      </c>
      <c r="M2251" s="347" t="s">
        <v>376</v>
      </c>
      <c r="AB2251" s="347">
        <v>9504</v>
      </c>
      <c r="AC2251" s="347" t="s">
        <v>374</v>
      </c>
      <c r="AD2251" s="1138"/>
      <c r="AP2251" s="347">
        <v>302.04000000000002</v>
      </c>
      <c r="AQ2251" s="347" t="s">
        <v>362</v>
      </c>
      <c r="BF2251" s="347">
        <v>401.38</v>
      </c>
      <c r="BG2251" s="347" t="s">
        <v>344</v>
      </c>
      <c r="BH2251" s="1790"/>
      <c r="BN2251" s="237">
        <v>8.1</v>
      </c>
      <c r="BO2251" s="237" t="s">
        <v>350</v>
      </c>
      <c r="BT2251" s="347">
        <v>303.02999999999997</v>
      </c>
      <c r="BU2251" s="347" t="s">
        <v>362</v>
      </c>
      <c r="CD2251" s="237">
        <v>123.04</v>
      </c>
      <c r="CE2251" s="237" t="s">
        <v>337</v>
      </c>
      <c r="CJ2251" s="347">
        <v>401.34</v>
      </c>
      <c r="CK2251" s="347" t="s">
        <v>344</v>
      </c>
      <c r="CL2251" s="1789"/>
      <c r="CR2251" s="345"/>
      <c r="CS2251" s="345"/>
      <c r="CX2251" s="347"/>
      <c r="CY2251" s="347"/>
      <c r="DH2251" s="237"/>
      <c r="DI2251" s="237"/>
      <c r="DN2251" s="347"/>
      <c r="DO2251" s="347"/>
      <c r="DP2251" s="2505"/>
    </row>
    <row r="2252" spans="12:120">
      <c r="L2252" s="347">
        <v>824.13</v>
      </c>
      <c r="M2252" s="347" t="s">
        <v>376</v>
      </c>
      <c r="AB2252" s="347">
        <v>9505.02</v>
      </c>
      <c r="AC2252" s="347" t="s">
        <v>378</v>
      </c>
      <c r="AD2252" s="1138"/>
      <c r="AP2252" s="347">
        <v>302.05</v>
      </c>
      <c r="AQ2252" s="347" t="s">
        <v>362</v>
      </c>
      <c r="BF2252" s="347">
        <v>402.02</v>
      </c>
      <c r="BG2252" s="347" t="s">
        <v>302</v>
      </c>
      <c r="BH2252" s="1790"/>
      <c r="BN2252" s="237">
        <v>8.11</v>
      </c>
      <c r="BO2252" s="237" t="s">
        <v>350</v>
      </c>
      <c r="BT2252" s="347">
        <v>303.04000000000002</v>
      </c>
      <c r="BU2252" s="347" t="s">
        <v>362</v>
      </c>
      <c r="CD2252" s="237">
        <v>123.04</v>
      </c>
      <c r="CE2252" s="237" t="s">
        <v>359</v>
      </c>
      <c r="CJ2252" s="347">
        <v>401.35</v>
      </c>
      <c r="CK2252" s="347" t="s">
        <v>344</v>
      </c>
      <c r="CL2252" s="1789"/>
      <c r="CR2252" s="345"/>
      <c r="CS2252" s="345"/>
      <c r="CX2252" s="347"/>
      <c r="CY2252" s="347"/>
      <c r="DH2252" s="237"/>
      <c r="DI2252" s="237"/>
      <c r="DN2252" s="347"/>
      <c r="DO2252" s="347"/>
      <c r="DP2252" s="2505"/>
    </row>
    <row r="2253" spans="12:120">
      <c r="L2253" s="347">
        <v>825.08</v>
      </c>
      <c r="M2253" s="347" t="s">
        <v>376</v>
      </c>
      <c r="AB2253" s="347">
        <v>9506</v>
      </c>
      <c r="AC2253" s="347" t="s">
        <v>366</v>
      </c>
      <c r="AD2253" s="1138"/>
      <c r="AP2253" s="347">
        <v>303.02999999999997</v>
      </c>
      <c r="AQ2253" s="347" t="s">
        <v>362</v>
      </c>
      <c r="BF2253" s="347">
        <v>402.02</v>
      </c>
      <c r="BG2253" s="347" t="s">
        <v>335</v>
      </c>
      <c r="BH2253" s="1790"/>
      <c r="BN2253" s="237">
        <v>9.01</v>
      </c>
      <c r="BO2253" s="237" t="s">
        <v>350</v>
      </c>
      <c r="BT2253" s="347">
        <v>304.04000000000002</v>
      </c>
      <c r="BU2253" s="347" t="s">
        <v>362</v>
      </c>
      <c r="CD2253" s="237">
        <v>123.04</v>
      </c>
      <c r="CE2253" s="237" t="s">
        <v>365</v>
      </c>
      <c r="CJ2253" s="347">
        <v>401.36</v>
      </c>
      <c r="CK2253" s="347" t="s">
        <v>344</v>
      </c>
      <c r="CL2253" s="1789"/>
      <c r="CR2253" s="345"/>
      <c r="CS2253" s="345"/>
      <c r="CX2253" s="347"/>
      <c r="CY2253" s="347"/>
      <c r="DH2253" s="237"/>
      <c r="DI2253" s="237"/>
      <c r="DN2253" s="347"/>
      <c r="DO2253" s="347"/>
      <c r="DP2253" s="2505"/>
    </row>
    <row r="2254" spans="12:120">
      <c r="L2254" s="347">
        <v>825.09</v>
      </c>
      <c r="M2254" s="347" t="s">
        <v>376</v>
      </c>
      <c r="AB2254" s="347">
        <v>9506.01</v>
      </c>
      <c r="AC2254" s="347" t="s">
        <v>378</v>
      </c>
      <c r="AD2254" s="1138"/>
      <c r="AP2254" s="347">
        <v>303.04000000000002</v>
      </c>
      <c r="AQ2254" s="347" t="s">
        <v>362</v>
      </c>
      <c r="BF2254" s="347">
        <v>402.03</v>
      </c>
      <c r="BG2254" s="347" t="s">
        <v>310</v>
      </c>
      <c r="BH2254" s="1790"/>
      <c r="BN2254" s="237">
        <v>9.0299999999999994</v>
      </c>
      <c r="BO2254" s="237" t="s">
        <v>350</v>
      </c>
      <c r="BT2254" s="347">
        <v>304.07</v>
      </c>
      <c r="BU2254" s="347" t="s">
        <v>362</v>
      </c>
      <c r="CD2254" s="237">
        <v>123.05</v>
      </c>
      <c r="CE2254" s="237" t="s">
        <v>359</v>
      </c>
      <c r="CJ2254" s="347">
        <v>401.37</v>
      </c>
      <c r="CK2254" s="347" t="s">
        <v>344</v>
      </c>
      <c r="CL2254" s="1789"/>
      <c r="CR2254" s="345"/>
      <c r="CS2254" s="345"/>
      <c r="CX2254" s="347"/>
      <c r="CY2254" s="347"/>
      <c r="DH2254" s="237"/>
      <c r="DI2254" s="237"/>
      <c r="DN2254" s="347"/>
      <c r="DO2254" s="347"/>
      <c r="DP2254" s="2505"/>
    </row>
    <row r="2255" spans="12:120">
      <c r="L2255" s="347">
        <v>826.04</v>
      </c>
      <c r="M2255" s="347" t="s">
        <v>376</v>
      </c>
      <c r="AB2255" s="347">
        <v>9506.02</v>
      </c>
      <c r="AC2255" s="347" t="s">
        <v>378</v>
      </c>
      <c r="AD2255" s="1138"/>
      <c r="AP2255" s="347">
        <v>304.04000000000002</v>
      </c>
      <c r="AQ2255" s="347" t="s">
        <v>362</v>
      </c>
      <c r="BF2255" s="347">
        <v>402.04</v>
      </c>
      <c r="BG2255" s="347" t="s">
        <v>310</v>
      </c>
      <c r="BH2255" s="1790"/>
      <c r="BN2255" s="237">
        <v>9.0399999999999991</v>
      </c>
      <c r="BO2255" s="237" t="s">
        <v>350</v>
      </c>
      <c r="BT2255" s="347">
        <v>309.01</v>
      </c>
      <c r="BU2255" s="347" t="s">
        <v>362</v>
      </c>
      <c r="CD2255" s="237">
        <v>123.05</v>
      </c>
      <c r="CE2255" s="237" t="s">
        <v>365</v>
      </c>
      <c r="CJ2255" s="347">
        <v>401.38</v>
      </c>
      <c r="CK2255" s="347" t="s">
        <v>344</v>
      </c>
      <c r="CL2255" s="1789"/>
      <c r="CR2255" s="345"/>
      <c r="CS2255" s="345"/>
      <c r="CX2255" s="347"/>
      <c r="CY2255" s="347"/>
      <c r="DH2255" s="237"/>
      <c r="DI2255" s="237"/>
      <c r="DN2255" s="347"/>
      <c r="DO2255" s="347"/>
      <c r="DP2255" s="2505"/>
    </row>
    <row r="2256" spans="12:120">
      <c r="L2256" s="347">
        <v>826.05</v>
      </c>
      <c r="M2256" s="347" t="s">
        <v>376</v>
      </c>
      <c r="AB2256" s="347">
        <v>9506.0300000000007</v>
      </c>
      <c r="AC2256" s="347" t="s">
        <v>378</v>
      </c>
      <c r="AD2256" s="1138"/>
      <c r="AP2256" s="347">
        <v>304.07</v>
      </c>
      <c r="AQ2256" s="347" t="s">
        <v>362</v>
      </c>
      <c r="BF2256" s="347">
        <v>402.05</v>
      </c>
      <c r="BG2256" s="347" t="s">
        <v>310</v>
      </c>
      <c r="BH2256" s="1790"/>
      <c r="BN2256" s="237">
        <v>10.029999999999999</v>
      </c>
      <c r="BO2256" s="237" t="s">
        <v>350</v>
      </c>
      <c r="BT2256" s="347">
        <v>310.14</v>
      </c>
      <c r="BU2256" s="347" t="s">
        <v>362</v>
      </c>
      <c r="CD2256" s="237">
        <v>123.06</v>
      </c>
      <c r="CE2256" s="237" t="s">
        <v>359</v>
      </c>
      <c r="CJ2256" s="347">
        <v>402.02</v>
      </c>
      <c r="CK2256" s="347" t="s">
        <v>302</v>
      </c>
      <c r="CL2256" s="1789"/>
      <c r="CR2256" s="345"/>
      <c r="CS2256" s="345"/>
      <c r="CX2256" s="347"/>
      <c r="CY2256" s="347"/>
      <c r="DH2256" s="237"/>
      <c r="DI2256" s="237"/>
      <c r="DN2256" s="347"/>
      <c r="DO2256" s="347"/>
      <c r="DP2256" s="2505"/>
    </row>
    <row r="2257" spans="12:120">
      <c r="L2257" s="347">
        <v>826.06</v>
      </c>
      <c r="M2257" s="347" t="s">
        <v>376</v>
      </c>
      <c r="AB2257" s="347">
        <v>9509</v>
      </c>
      <c r="AC2257" s="347" t="s">
        <v>366</v>
      </c>
      <c r="AD2257" s="1138"/>
      <c r="AP2257" s="347">
        <v>309.01</v>
      </c>
      <c r="AQ2257" s="347" t="s">
        <v>362</v>
      </c>
      <c r="BF2257" s="347">
        <v>402.05</v>
      </c>
      <c r="BG2257" s="347" t="s">
        <v>344</v>
      </c>
      <c r="BH2257" s="1790"/>
      <c r="BN2257" s="237">
        <v>10.050000000000001</v>
      </c>
      <c r="BO2257" s="237" t="s">
        <v>350</v>
      </c>
      <c r="BT2257" s="347">
        <v>312.04000000000002</v>
      </c>
      <c r="BU2257" s="347" t="s">
        <v>362</v>
      </c>
      <c r="CD2257" s="237">
        <v>123.06</v>
      </c>
      <c r="CE2257" s="237" t="s">
        <v>365</v>
      </c>
      <c r="CJ2257" s="347">
        <v>402.03</v>
      </c>
      <c r="CK2257" s="347" t="s">
        <v>310</v>
      </c>
      <c r="CL2257" s="1789"/>
      <c r="CR2257" s="345"/>
      <c r="CS2257" s="345"/>
      <c r="CX2257" s="347"/>
      <c r="CY2257" s="347"/>
      <c r="DH2257" s="237"/>
      <c r="DI2257" s="237"/>
      <c r="DN2257" s="347"/>
      <c r="DO2257" s="347"/>
      <c r="DP2257" s="2505"/>
    </row>
    <row r="2258" spans="12:120">
      <c r="L2258" s="347">
        <v>826.07</v>
      </c>
      <c r="M2258" s="347" t="s">
        <v>376</v>
      </c>
      <c r="AB2258" s="347">
        <v>9510</v>
      </c>
      <c r="AC2258" s="347" t="s">
        <v>366</v>
      </c>
      <c r="AD2258" s="1138"/>
      <c r="AP2258" s="347">
        <v>312.04000000000002</v>
      </c>
      <c r="AQ2258" s="347" t="s">
        <v>362</v>
      </c>
      <c r="BF2258" s="347">
        <v>402.06</v>
      </c>
      <c r="BG2258" s="347" t="s">
        <v>310</v>
      </c>
      <c r="BH2258" s="1790"/>
      <c r="BN2258" s="237">
        <v>10.07</v>
      </c>
      <c r="BO2258" s="237" t="s">
        <v>350</v>
      </c>
      <c r="BT2258" s="347">
        <v>312.08</v>
      </c>
      <c r="BU2258" s="347" t="s">
        <v>362</v>
      </c>
      <c r="CD2258" s="237">
        <v>123.07</v>
      </c>
      <c r="CE2258" s="237" t="s">
        <v>359</v>
      </c>
      <c r="CJ2258" s="347">
        <v>402.04</v>
      </c>
      <c r="CK2258" s="347" t="s">
        <v>310</v>
      </c>
      <c r="CL2258" s="1789"/>
      <c r="CR2258" s="345"/>
      <c r="CS2258" s="345"/>
      <c r="CX2258" s="347"/>
      <c r="CY2258" s="347"/>
      <c r="DH2258" s="237"/>
      <c r="DI2258" s="237"/>
      <c r="DN2258" s="347"/>
      <c r="DO2258" s="347"/>
      <c r="DP2258" s="2505"/>
    </row>
    <row r="2259" spans="12:120">
      <c r="L2259" s="347">
        <v>827.01</v>
      </c>
      <c r="M2259" s="347" t="s">
        <v>376</v>
      </c>
      <c r="AB2259" s="347">
        <v>9511</v>
      </c>
      <c r="AC2259" s="347" t="s">
        <v>366</v>
      </c>
      <c r="AD2259" s="1138"/>
      <c r="AP2259" s="347">
        <v>312.06</v>
      </c>
      <c r="AQ2259" s="347" t="s">
        <v>362</v>
      </c>
      <c r="BF2259" s="347">
        <v>402.06</v>
      </c>
      <c r="BG2259" s="347" t="s">
        <v>344</v>
      </c>
      <c r="BH2259" s="1790"/>
      <c r="BN2259" s="237">
        <v>10.08</v>
      </c>
      <c r="BO2259" s="237" t="s">
        <v>350</v>
      </c>
      <c r="BT2259" s="347">
        <v>313.02</v>
      </c>
      <c r="BU2259" s="347" t="s">
        <v>362</v>
      </c>
      <c r="CD2259" s="237">
        <v>123.07</v>
      </c>
      <c r="CE2259" s="237" t="s">
        <v>365</v>
      </c>
      <c r="CJ2259" s="347">
        <v>402.05</v>
      </c>
      <c r="CK2259" s="347" t="s">
        <v>310</v>
      </c>
      <c r="CL2259" s="1789"/>
      <c r="CR2259" s="345"/>
      <c r="CS2259" s="345"/>
      <c r="CX2259" s="347"/>
      <c r="CY2259" s="347"/>
      <c r="DH2259" s="237"/>
      <c r="DI2259" s="237"/>
      <c r="DN2259" s="347"/>
      <c r="DO2259" s="347"/>
      <c r="DP2259" s="2505"/>
    </row>
    <row r="2260" spans="12:120">
      <c r="L2260" s="347">
        <v>827.03</v>
      </c>
      <c r="M2260" s="347" t="s">
        <v>376</v>
      </c>
      <c r="AB2260" s="347">
        <v>9513</v>
      </c>
      <c r="AC2260" s="347" t="s">
        <v>366</v>
      </c>
      <c r="AD2260" s="1138"/>
      <c r="AP2260" s="347">
        <v>312.08</v>
      </c>
      <c r="AQ2260" s="347" t="s">
        <v>362</v>
      </c>
      <c r="BF2260" s="347">
        <v>402.09</v>
      </c>
      <c r="BG2260" s="347" t="s">
        <v>344</v>
      </c>
      <c r="BH2260" s="1790"/>
      <c r="BN2260" s="237">
        <v>10.09</v>
      </c>
      <c r="BO2260" s="237" t="s">
        <v>350</v>
      </c>
      <c r="BT2260" s="347">
        <v>314.04000000000002</v>
      </c>
      <c r="BU2260" s="347" t="s">
        <v>362</v>
      </c>
      <c r="CD2260" s="237">
        <v>123.09</v>
      </c>
      <c r="CE2260" s="237" t="s">
        <v>365</v>
      </c>
      <c r="CJ2260" s="347">
        <v>402.06</v>
      </c>
      <c r="CK2260" s="347" t="s">
        <v>310</v>
      </c>
      <c r="CL2260" s="1789"/>
      <c r="CR2260" s="345"/>
      <c r="CS2260" s="345"/>
      <c r="CX2260" s="347"/>
      <c r="CY2260" s="347"/>
      <c r="DH2260" s="237"/>
      <c r="DI2260" s="237"/>
      <c r="DN2260" s="347"/>
      <c r="DO2260" s="347"/>
      <c r="DP2260" s="2505"/>
    </row>
    <row r="2261" spans="12:120">
      <c r="L2261" s="347">
        <v>827.04</v>
      </c>
      <c r="M2261" s="347" t="s">
        <v>376</v>
      </c>
      <c r="AB2261" s="347">
        <v>9601</v>
      </c>
      <c r="AC2261" s="347" t="s">
        <v>375</v>
      </c>
      <c r="AD2261" s="1138"/>
      <c r="AP2261" s="347">
        <v>313.01</v>
      </c>
      <c r="AQ2261" s="347" t="s">
        <v>362</v>
      </c>
      <c r="BF2261" s="347">
        <v>402.12</v>
      </c>
      <c r="BG2261" s="347" t="s">
        <v>344</v>
      </c>
      <c r="BH2261" s="1790"/>
      <c r="BN2261" s="237">
        <v>10.1</v>
      </c>
      <c r="BO2261" s="237" t="s">
        <v>350</v>
      </c>
      <c r="BT2261" s="347">
        <v>314.10000000000002</v>
      </c>
      <c r="BU2261" s="347" t="s">
        <v>362</v>
      </c>
      <c r="CD2261" s="237">
        <v>124</v>
      </c>
      <c r="CE2261" s="237" t="s">
        <v>323</v>
      </c>
      <c r="CJ2261" s="347">
        <v>402.06</v>
      </c>
      <c r="CK2261" s="347" t="s">
        <v>344</v>
      </c>
      <c r="CL2261" s="1789"/>
      <c r="CR2261" s="345"/>
      <c r="CS2261" s="345"/>
      <c r="CX2261" s="347"/>
      <c r="CY2261" s="347"/>
      <c r="DH2261" s="237"/>
      <c r="DI2261" s="237"/>
      <c r="DN2261" s="347"/>
      <c r="DO2261" s="347"/>
      <c r="DP2261" s="2505"/>
    </row>
    <row r="2262" spans="12:120">
      <c r="L2262" s="347">
        <v>827.05</v>
      </c>
      <c r="M2262" s="347" t="s">
        <v>376</v>
      </c>
      <c r="AB2262" s="347">
        <v>9601.01</v>
      </c>
      <c r="AC2262" s="347" t="s">
        <v>336</v>
      </c>
      <c r="AD2262" s="1138"/>
      <c r="AP2262" s="347">
        <v>313.02</v>
      </c>
      <c r="AQ2262" s="347" t="s">
        <v>362</v>
      </c>
      <c r="BF2262" s="347">
        <v>403</v>
      </c>
      <c r="BG2262" s="347" t="s">
        <v>310</v>
      </c>
      <c r="BH2262" s="1790"/>
      <c r="BN2262" s="237">
        <v>10.11</v>
      </c>
      <c r="BO2262" s="237" t="s">
        <v>350</v>
      </c>
      <c r="BT2262" s="347">
        <v>314.11</v>
      </c>
      <c r="BU2262" s="347" t="s">
        <v>362</v>
      </c>
      <c r="CD2262" s="237">
        <v>124.01</v>
      </c>
      <c r="CE2262" s="237" t="s">
        <v>337</v>
      </c>
      <c r="CJ2262" s="347">
        <v>402.09</v>
      </c>
      <c r="CK2262" s="347" t="s">
        <v>344</v>
      </c>
      <c r="CL2262" s="1789"/>
      <c r="CR2262" s="345"/>
      <c r="CS2262" s="345"/>
      <c r="CX2262" s="347"/>
      <c r="CY2262" s="347"/>
      <c r="DH2262" s="237"/>
      <c r="DI2262" s="237"/>
      <c r="DN2262" s="347"/>
      <c r="DO2262" s="347"/>
      <c r="DP2262" s="2505"/>
    </row>
    <row r="2263" spans="12:120">
      <c r="L2263" s="347">
        <v>828.01</v>
      </c>
      <c r="M2263" s="347" t="s">
        <v>376</v>
      </c>
      <c r="AB2263" s="347">
        <v>9602</v>
      </c>
      <c r="AC2263" s="347" t="s">
        <v>331</v>
      </c>
      <c r="AD2263" s="1138"/>
      <c r="AP2263" s="347">
        <v>314.04000000000002</v>
      </c>
      <c r="AQ2263" s="347" t="s">
        <v>362</v>
      </c>
      <c r="BF2263" s="347">
        <v>403.01</v>
      </c>
      <c r="BG2263" s="347" t="s">
        <v>335</v>
      </c>
      <c r="BH2263" s="1790"/>
      <c r="BN2263" s="237">
        <v>10.119999999999999</v>
      </c>
      <c r="BO2263" s="237" t="s">
        <v>350</v>
      </c>
      <c r="BT2263" s="347">
        <v>315.04000000000002</v>
      </c>
      <c r="BU2263" s="347" t="s">
        <v>362</v>
      </c>
      <c r="CD2263" s="237">
        <v>124.01</v>
      </c>
      <c r="CE2263" s="237" t="s">
        <v>352</v>
      </c>
      <c r="CJ2263" s="347">
        <v>403.01</v>
      </c>
      <c r="CK2263" s="347" t="s">
        <v>335</v>
      </c>
      <c r="CL2263" s="1789"/>
      <c r="CR2263" s="345"/>
      <c r="CS2263" s="345"/>
      <c r="CX2263" s="347"/>
      <c r="CY2263" s="347"/>
      <c r="DH2263" s="237"/>
      <c r="DI2263" s="237"/>
      <c r="DN2263" s="347"/>
      <c r="DO2263" s="347"/>
      <c r="DP2263" s="2505"/>
    </row>
    <row r="2264" spans="12:120">
      <c r="L2264" s="347">
        <v>828.02</v>
      </c>
      <c r="M2264" s="347" t="s">
        <v>376</v>
      </c>
      <c r="AB2264" s="347">
        <v>9602</v>
      </c>
      <c r="AC2264" s="347" t="s">
        <v>338</v>
      </c>
      <c r="AD2264" s="1138"/>
      <c r="AP2264" s="347">
        <v>314.11</v>
      </c>
      <c r="AQ2264" s="347" t="s">
        <v>362</v>
      </c>
      <c r="BF2264" s="347">
        <v>403.02</v>
      </c>
      <c r="BG2264" s="347" t="s">
        <v>335</v>
      </c>
      <c r="BH2264" s="1790"/>
      <c r="BN2264" s="237">
        <v>10.130000000000001</v>
      </c>
      <c r="BO2264" s="237" t="s">
        <v>350</v>
      </c>
      <c r="BT2264" s="347">
        <v>315.05</v>
      </c>
      <c r="BU2264" s="347" t="s">
        <v>362</v>
      </c>
      <c r="CD2264" s="237">
        <v>124.02</v>
      </c>
      <c r="CE2264" s="237" t="s">
        <v>337</v>
      </c>
      <c r="CJ2264" s="347">
        <v>403.02</v>
      </c>
      <c r="CK2264" s="347" t="s">
        <v>344</v>
      </c>
      <c r="CL2264" s="1789"/>
      <c r="CR2264" s="345"/>
      <c r="CS2264" s="345"/>
      <c r="CX2264" s="347"/>
      <c r="CY2264" s="347"/>
      <c r="DH2264" s="237"/>
      <c r="DI2264" s="237"/>
      <c r="DN2264" s="347"/>
      <c r="DO2264" s="347"/>
      <c r="DP2264" s="2505"/>
    </row>
    <row r="2265" spans="12:120">
      <c r="L2265" s="347">
        <v>829.02</v>
      </c>
      <c r="M2265" s="347" t="s">
        <v>376</v>
      </c>
      <c r="AB2265" s="347">
        <v>9603</v>
      </c>
      <c r="AC2265" s="347" t="s">
        <v>331</v>
      </c>
      <c r="AD2265" s="1138"/>
      <c r="AP2265" s="347">
        <v>315.02999999999997</v>
      </c>
      <c r="AQ2265" s="347" t="s">
        <v>362</v>
      </c>
      <c r="BF2265" s="347">
        <v>403.02</v>
      </c>
      <c r="BG2265" s="347" t="s">
        <v>344</v>
      </c>
      <c r="BH2265" s="1790"/>
      <c r="BN2265" s="237">
        <v>11.02</v>
      </c>
      <c r="BO2265" s="237" t="s">
        <v>350</v>
      </c>
      <c r="BT2265" s="347">
        <v>315.06</v>
      </c>
      <c r="BU2265" s="347" t="s">
        <v>362</v>
      </c>
      <c r="CD2265" s="237">
        <v>124.02</v>
      </c>
      <c r="CE2265" s="237" t="s">
        <v>352</v>
      </c>
      <c r="CJ2265" s="347">
        <v>403.03</v>
      </c>
      <c r="CK2265" s="347" t="s">
        <v>335</v>
      </c>
      <c r="CL2265" s="1789"/>
      <c r="CR2265" s="345"/>
      <c r="CS2265" s="345"/>
      <c r="CX2265" s="347"/>
      <c r="CY2265" s="347"/>
      <c r="DH2265" s="237"/>
      <c r="DI2265" s="237"/>
      <c r="DN2265" s="347"/>
      <c r="DO2265" s="347"/>
      <c r="DP2265" s="2505"/>
    </row>
    <row r="2266" spans="12:120">
      <c r="L2266" s="347">
        <v>829.04</v>
      </c>
      <c r="M2266" s="347" t="s">
        <v>376</v>
      </c>
      <c r="AB2266" s="347">
        <v>9603</v>
      </c>
      <c r="AC2266" s="347" t="s">
        <v>375</v>
      </c>
      <c r="AD2266" s="1138"/>
      <c r="AP2266" s="347">
        <v>315.04000000000002</v>
      </c>
      <c r="AQ2266" s="347" t="s">
        <v>362</v>
      </c>
      <c r="BF2266" s="347">
        <v>403.03</v>
      </c>
      <c r="BG2266" s="347" t="s">
        <v>335</v>
      </c>
      <c r="BH2266" s="1790"/>
      <c r="BN2266" s="237">
        <v>11.03</v>
      </c>
      <c r="BO2266" s="237" t="s">
        <v>350</v>
      </c>
      <c r="BT2266" s="347">
        <v>315.07</v>
      </c>
      <c r="BU2266" s="347" t="s">
        <v>362</v>
      </c>
      <c r="CD2266" s="237">
        <v>124.02</v>
      </c>
      <c r="CE2266" s="237" t="s">
        <v>359</v>
      </c>
      <c r="CJ2266" s="347">
        <v>403.1</v>
      </c>
      <c r="CK2266" s="347" t="s">
        <v>344</v>
      </c>
      <c r="CL2266" s="1789"/>
      <c r="CR2266" s="345"/>
      <c r="CS2266" s="345"/>
      <c r="CX2266" s="347"/>
      <c r="CY2266" s="347"/>
      <c r="DH2266" s="237"/>
      <c r="DI2266" s="237"/>
      <c r="DN2266" s="347"/>
      <c r="DO2266" s="347"/>
      <c r="DP2266" s="2505"/>
    </row>
    <row r="2267" spans="12:120">
      <c r="L2267" s="347">
        <v>830.05</v>
      </c>
      <c r="M2267" s="347" t="s">
        <v>376</v>
      </c>
      <c r="AB2267" s="347">
        <v>9604</v>
      </c>
      <c r="AC2267" s="347" t="s">
        <v>336</v>
      </c>
      <c r="AD2267" s="1138"/>
      <c r="AP2267" s="347">
        <v>315.05</v>
      </c>
      <c r="AQ2267" s="347" t="s">
        <v>362</v>
      </c>
      <c r="BF2267" s="347">
        <v>403.1</v>
      </c>
      <c r="BG2267" s="347" t="s">
        <v>344</v>
      </c>
      <c r="BH2267" s="1790"/>
      <c r="BN2267" s="237">
        <v>11.05</v>
      </c>
      <c r="BO2267" s="237" t="s">
        <v>350</v>
      </c>
      <c r="BT2267" s="347">
        <v>315.08</v>
      </c>
      <c r="BU2267" s="347" t="s">
        <v>362</v>
      </c>
      <c r="CD2267" s="237">
        <v>124.03</v>
      </c>
      <c r="CE2267" s="237" t="s">
        <v>337</v>
      </c>
      <c r="CJ2267" s="347">
        <v>404</v>
      </c>
      <c r="CK2267" s="347" t="s">
        <v>335</v>
      </c>
      <c r="CL2267" s="1789"/>
      <c r="CR2267" s="345"/>
      <c r="CS2267" s="345"/>
      <c r="CX2267" s="347"/>
      <c r="CY2267" s="347"/>
      <c r="DH2267" s="237"/>
      <c r="DI2267" s="237"/>
      <c r="DN2267" s="347"/>
      <c r="DO2267" s="347"/>
      <c r="DP2267" s="2505"/>
    </row>
    <row r="2268" spans="12:120">
      <c r="L2268" s="347">
        <v>830.06</v>
      </c>
      <c r="M2268" s="347" t="s">
        <v>376</v>
      </c>
      <c r="AB2268" s="347">
        <v>9605.02</v>
      </c>
      <c r="AC2268" s="347" t="s">
        <v>336</v>
      </c>
      <c r="AD2268" s="1138"/>
      <c r="AP2268" s="347">
        <v>315.06</v>
      </c>
      <c r="AQ2268" s="347" t="s">
        <v>362</v>
      </c>
      <c r="BF2268" s="347">
        <v>404.01</v>
      </c>
      <c r="BG2268" s="347" t="s">
        <v>310</v>
      </c>
      <c r="BH2268" s="1790"/>
      <c r="BN2268" s="237">
        <v>11.06</v>
      </c>
      <c r="BO2268" s="237" t="s">
        <v>350</v>
      </c>
      <c r="BT2268" s="347">
        <v>316.01</v>
      </c>
      <c r="BU2268" s="347" t="s">
        <v>362</v>
      </c>
      <c r="CD2268" s="237">
        <v>124.03</v>
      </c>
      <c r="CE2268" s="237" t="s">
        <v>352</v>
      </c>
      <c r="CJ2268" s="347">
        <v>404.01</v>
      </c>
      <c r="CK2268" s="347" t="s">
        <v>310</v>
      </c>
      <c r="CL2268" s="1789"/>
      <c r="CR2268" s="345"/>
      <c r="CS2268" s="345"/>
      <c r="CX2268" s="347"/>
      <c r="CY2268" s="347"/>
      <c r="DH2268" s="237"/>
      <c r="DI2268" s="237"/>
      <c r="DN2268" s="347"/>
      <c r="DO2268" s="347"/>
      <c r="DP2268" s="2505"/>
    </row>
    <row r="2269" spans="12:120">
      <c r="L2269" s="347">
        <v>830.07</v>
      </c>
      <c r="M2269" s="347" t="s">
        <v>376</v>
      </c>
      <c r="AB2269" s="347">
        <v>9606.01</v>
      </c>
      <c r="AC2269" s="347" t="s">
        <v>336</v>
      </c>
      <c r="AD2269" s="1138"/>
      <c r="AP2269" s="347">
        <v>315.07</v>
      </c>
      <c r="AQ2269" s="347" t="s">
        <v>362</v>
      </c>
      <c r="BF2269" s="347">
        <v>404.02</v>
      </c>
      <c r="BG2269" s="347" t="s">
        <v>310</v>
      </c>
      <c r="BH2269" s="1790"/>
      <c r="BN2269" s="237">
        <v>12.04</v>
      </c>
      <c r="BO2269" s="237" t="s">
        <v>350</v>
      </c>
      <c r="BT2269" s="347">
        <v>316.02</v>
      </c>
      <c r="BU2269" s="347" t="s">
        <v>362</v>
      </c>
      <c r="CD2269" s="237">
        <v>124.03</v>
      </c>
      <c r="CE2269" s="237" t="s">
        <v>359</v>
      </c>
      <c r="CJ2269" s="347">
        <v>404.02</v>
      </c>
      <c r="CK2269" s="347" t="s">
        <v>310</v>
      </c>
      <c r="CL2269" s="1789"/>
      <c r="CR2269" s="345"/>
      <c r="CS2269" s="345"/>
      <c r="CX2269" s="347"/>
      <c r="CY2269" s="347"/>
      <c r="DH2269" s="237"/>
      <c r="DI2269" s="237"/>
      <c r="DN2269" s="347"/>
      <c r="DO2269" s="347"/>
      <c r="DP2269" s="2505"/>
    </row>
    <row r="2270" spans="12:120">
      <c r="L2270" s="347">
        <v>830.09</v>
      </c>
      <c r="M2270" s="347" t="s">
        <v>376</v>
      </c>
      <c r="AB2270" s="347">
        <v>9606.02</v>
      </c>
      <c r="AC2270" s="347" t="s">
        <v>336</v>
      </c>
      <c r="AD2270" s="1138"/>
      <c r="AP2270" s="347">
        <v>315.08</v>
      </c>
      <c r="AQ2270" s="347" t="s">
        <v>362</v>
      </c>
      <c r="BF2270" s="347">
        <v>405.02</v>
      </c>
      <c r="BG2270" s="347" t="s">
        <v>310</v>
      </c>
      <c r="BH2270" s="1790"/>
      <c r="BN2270" s="237">
        <v>12.05</v>
      </c>
      <c r="BO2270" s="237" t="s">
        <v>350</v>
      </c>
      <c r="BT2270" s="347">
        <v>316.02999999999997</v>
      </c>
      <c r="BU2270" s="347" t="s">
        <v>362</v>
      </c>
      <c r="CD2270" s="237">
        <v>124.04</v>
      </c>
      <c r="CE2270" s="237" t="s">
        <v>359</v>
      </c>
      <c r="CJ2270" s="347">
        <v>405.02</v>
      </c>
      <c r="CK2270" s="347" t="s">
        <v>310</v>
      </c>
      <c r="CL2270" s="1789"/>
      <c r="CR2270" s="345"/>
      <c r="CS2270" s="345"/>
      <c r="CX2270" s="347"/>
      <c r="CY2270" s="347"/>
      <c r="DH2270" s="237"/>
      <c r="DI2270" s="237"/>
      <c r="DN2270" s="347"/>
      <c r="DO2270" s="347"/>
      <c r="DP2270" s="2505"/>
    </row>
    <row r="2271" spans="12:120">
      <c r="L2271" s="347">
        <v>832.03</v>
      </c>
      <c r="M2271" s="347" t="s">
        <v>376</v>
      </c>
      <c r="AB2271" s="347">
        <v>9607</v>
      </c>
      <c r="AC2271" s="347" t="s">
        <v>336</v>
      </c>
      <c r="AD2271" s="1138"/>
      <c r="AP2271" s="347">
        <v>316.01</v>
      </c>
      <c r="AQ2271" s="347" t="s">
        <v>362</v>
      </c>
      <c r="BF2271" s="347">
        <v>405.05</v>
      </c>
      <c r="BG2271" s="347" t="s">
        <v>310</v>
      </c>
      <c r="BH2271" s="1790"/>
      <c r="BN2271" s="237">
        <v>12.06</v>
      </c>
      <c r="BO2271" s="237" t="s">
        <v>350</v>
      </c>
      <c r="BT2271" s="347">
        <v>316.04000000000002</v>
      </c>
      <c r="BU2271" s="347" t="s">
        <v>362</v>
      </c>
      <c r="CD2271" s="237">
        <v>124.04</v>
      </c>
      <c r="CE2271" s="237" t="s">
        <v>365</v>
      </c>
      <c r="CJ2271" s="347">
        <v>405.03</v>
      </c>
      <c r="CK2271" s="347" t="s">
        <v>310</v>
      </c>
      <c r="CL2271" s="1789"/>
      <c r="CR2271" s="345"/>
      <c r="CS2271" s="345"/>
      <c r="CX2271" s="347"/>
      <c r="CY2271" s="347"/>
      <c r="DH2271" s="237"/>
      <c r="DI2271" s="237"/>
      <c r="DN2271" s="347"/>
      <c r="DO2271" s="347"/>
      <c r="DP2271" s="2505"/>
    </row>
    <row r="2272" spans="12:120">
      <c r="L2272" s="347">
        <v>832.05</v>
      </c>
      <c r="M2272" s="347" t="s">
        <v>376</v>
      </c>
      <c r="AB2272" s="347">
        <v>9610</v>
      </c>
      <c r="AC2272" s="347" t="s">
        <v>336</v>
      </c>
      <c r="AD2272" s="1138"/>
      <c r="AP2272" s="347">
        <v>316.02</v>
      </c>
      <c r="AQ2272" s="347" t="s">
        <v>362</v>
      </c>
      <c r="BF2272" s="347">
        <v>405.06</v>
      </c>
      <c r="BG2272" s="347" t="s">
        <v>310</v>
      </c>
      <c r="BH2272" s="1790"/>
      <c r="BN2272" s="237">
        <v>12.08</v>
      </c>
      <c r="BO2272" s="237" t="s">
        <v>350</v>
      </c>
      <c r="BT2272" s="347">
        <v>316.05</v>
      </c>
      <c r="BU2272" s="347" t="s">
        <v>362</v>
      </c>
      <c r="CD2272" s="237">
        <v>124.05</v>
      </c>
      <c r="CE2272" s="237" t="s">
        <v>359</v>
      </c>
      <c r="CJ2272" s="347">
        <v>405.05</v>
      </c>
      <c r="CK2272" s="347" t="s">
        <v>310</v>
      </c>
      <c r="CL2272" s="1789"/>
      <c r="CR2272" s="345"/>
      <c r="CS2272" s="345"/>
      <c r="CX2272" s="347"/>
      <c r="CY2272" s="347"/>
      <c r="DH2272" s="237"/>
      <c r="DI2272" s="237"/>
      <c r="DN2272" s="347"/>
      <c r="DO2272" s="347"/>
      <c r="DP2272" s="2505"/>
    </row>
    <row r="2273" spans="12:120">
      <c r="L2273" s="347">
        <v>832.07</v>
      </c>
      <c r="M2273" s="347" t="s">
        <v>376</v>
      </c>
      <c r="AB2273" s="347">
        <v>9613.01</v>
      </c>
      <c r="AC2273" s="347" t="s">
        <v>336</v>
      </c>
      <c r="AD2273" s="1138"/>
      <c r="AP2273" s="347">
        <v>316.02999999999997</v>
      </c>
      <c r="AQ2273" s="347" t="s">
        <v>362</v>
      </c>
      <c r="BF2273" s="347">
        <v>406.01</v>
      </c>
      <c r="BG2273" s="347" t="s">
        <v>310</v>
      </c>
      <c r="BH2273" s="1790"/>
      <c r="BN2273" s="237">
        <v>12.09</v>
      </c>
      <c r="BO2273" s="237" t="s">
        <v>350</v>
      </c>
      <c r="BT2273" s="347">
        <v>317.01</v>
      </c>
      <c r="BU2273" s="347" t="s">
        <v>362</v>
      </c>
      <c r="CD2273" s="237">
        <v>124.05</v>
      </c>
      <c r="CE2273" s="237" t="s">
        <v>365</v>
      </c>
      <c r="CJ2273" s="347">
        <v>405.06</v>
      </c>
      <c r="CK2273" s="347" t="s">
        <v>310</v>
      </c>
      <c r="CL2273" s="1789"/>
      <c r="CR2273" s="345"/>
      <c r="CS2273" s="345"/>
      <c r="CX2273" s="347"/>
      <c r="CY2273" s="347"/>
      <c r="DH2273" s="237"/>
      <c r="DI2273" s="237"/>
      <c r="DN2273" s="347"/>
      <c r="DO2273" s="347"/>
      <c r="DP2273" s="2505"/>
    </row>
    <row r="2274" spans="12:120">
      <c r="L2274" s="347">
        <v>832.08</v>
      </c>
      <c r="M2274" s="347" t="s">
        <v>376</v>
      </c>
      <c r="AB2274" s="347">
        <v>9613.02</v>
      </c>
      <c r="AC2274" s="347" t="s">
        <v>336</v>
      </c>
      <c r="AD2274" s="1138"/>
      <c r="AP2274" s="347">
        <v>316.04000000000002</v>
      </c>
      <c r="AQ2274" s="347" t="s">
        <v>362</v>
      </c>
      <c r="BF2274" s="347">
        <v>406.02</v>
      </c>
      <c r="BG2274" s="347" t="s">
        <v>310</v>
      </c>
      <c r="BH2274" s="1790"/>
      <c r="BN2274" s="237">
        <v>12.1</v>
      </c>
      <c r="BO2274" s="237" t="s">
        <v>350</v>
      </c>
      <c r="BT2274" s="347">
        <v>317.04000000000002</v>
      </c>
      <c r="BU2274" s="347" t="s">
        <v>362</v>
      </c>
      <c r="CD2274" s="237">
        <v>124.07</v>
      </c>
      <c r="CE2274" s="237" t="s">
        <v>365</v>
      </c>
      <c r="CJ2274" s="347">
        <v>406.01</v>
      </c>
      <c r="CK2274" s="347" t="s">
        <v>310</v>
      </c>
      <c r="CL2274" s="1789"/>
      <c r="CR2274" s="345"/>
      <c r="CS2274" s="345"/>
      <c r="CX2274" s="347"/>
      <c r="CY2274" s="347"/>
      <c r="DH2274" s="237"/>
      <c r="DI2274" s="237"/>
      <c r="DN2274" s="347"/>
      <c r="DO2274" s="347"/>
      <c r="DP2274" s="2505"/>
    </row>
    <row r="2275" spans="12:120">
      <c r="L2275" s="347">
        <v>832.09</v>
      </c>
      <c r="M2275" s="347" t="s">
        <v>376</v>
      </c>
      <c r="AB2275" s="347">
        <v>9614</v>
      </c>
      <c r="AC2275" s="347" t="s">
        <v>336</v>
      </c>
      <c r="AD2275" s="1138"/>
      <c r="AP2275" s="347">
        <v>316.05</v>
      </c>
      <c r="AQ2275" s="347" t="s">
        <v>362</v>
      </c>
      <c r="BF2275" s="347">
        <v>407.01</v>
      </c>
      <c r="BG2275" s="347" t="s">
        <v>310</v>
      </c>
      <c r="BH2275" s="1790"/>
      <c r="BN2275" s="237">
        <v>12.11</v>
      </c>
      <c r="BO2275" s="237" t="s">
        <v>350</v>
      </c>
      <c r="BT2275" s="347">
        <v>317.05</v>
      </c>
      <c r="BU2275" s="347" t="s">
        <v>362</v>
      </c>
      <c r="CD2275" s="237">
        <v>124.08</v>
      </c>
      <c r="CE2275" s="237" t="s">
        <v>365</v>
      </c>
      <c r="CJ2275" s="347">
        <v>406.02</v>
      </c>
      <c r="CK2275" s="347" t="s">
        <v>310</v>
      </c>
      <c r="CL2275" s="1789"/>
      <c r="CR2275" s="345"/>
      <c r="CS2275" s="345"/>
      <c r="CX2275" s="347"/>
      <c r="CY2275" s="347"/>
      <c r="DH2275" s="237"/>
      <c r="DI2275" s="237"/>
      <c r="DN2275" s="347"/>
      <c r="DO2275" s="347"/>
      <c r="DP2275" s="2505"/>
    </row>
    <row r="2276" spans="12:120">
      <c r="L2276" s="347">
        <v>901.01</v>
      </c>
      <c r="M2276" s="347" t="s">
        <v>376</v>
      </c>
      <c r="AB2276" s="347">
        <v>9616.01</v>
      </c>
      <c r="AC2276" s="347" t="s">
        <v>336</v>
      </c>
      <c r="AD2276" s="1138"/>
      <c r="AP2276" s="347">
        <v>317.01</v>
      </c>
      <c r="AQ2276" s="347" t="s">
        <v>362</v>
      </c>
      <c r="BF2276" s="347">
        <v>407.01</v>
      </c>
      <c r="BG2276" s="347" t="s">
        <v>335</v>
      </c>
      <c r="BH2276" s="1790"/>
      <c r="BN2276" s="237">
        <v>13.01</v>
      </c>
      <c r="BO2276" s="237" t="s">
        <v>350</v>
      </c>
      <c r="BT2276" s="347">
        <v>317.06</v>
      </c>
      <c r="BU2276" s="347" t="s">
        <v>362</v>
      </c>
      <c r="CD2276" s="237">
        <v>124.09</v>
      </c>
      <c r="CE2276" s="237" t="s">
        <v>365</v>
      </c>
      <c r="CJ2276" s="347">
        <v>407.01</v>
      </c>
      <c r="CK2276" s="347" t="s">
        <v>310</v>
      </c>
      <c r="CL2276" s="1789"/>
      <c r="CR2276" s="345"/>
      <c r="CS2276" s="345"/>
      <c r="CX2276" s="347"/>
      <c r="CY2276" s="347"/>
      <c r="DH2276" s="237"/>
      <c r="DI2276" s="237"/>
      <c r="DN2276" s="347"/>
      <c r="DO2276" s="347"/>
      <c r="DP2276" s="2505"/>
    </row>
    <row r="2277" spans="12:120">
      <c r="L2277" s="347">
        <v>902.02</v>
      </c>
      <c r="M2277" s="347" t="s">
        <v>376</v>
      </c>
      <c r="AB2277" s="347">
        <v>9616.02</v>
      </c>
      <c r="AC2277" s="347" t="s">
        <v>336</v>
      </c>
      <c r="AD2277" s="1138"/>
      <c r="AP2277" s="347">
        <v>317.04000000000002</v>
      </c>
      <c r="AQ2277" s="347" t="s">
        <v>362</v>
      </c>
      <c r="BF2277" s="347">
        <v>407.02</v>
      </c>
      <c r="BG2277" s="347" t="s">
        <v>310</v>
      </c>
      <c r="BH2277" s="1790"/>
      <c r="BN2277" s="237">
        <v>13.02</v>
      </c>
      <c r="BO2277" s="237" t="s">
        <v>350</v>
      </c>
      <c r="BT2277" s="347">
        <v>317.07</v>
      </c>
      <c r="BU2277" s="347" t="s">
        <v>362</v>
      </c>
      <c r="CD2277" s="237">
        <v>124.1</v>
      </c>
      <c r="CE2277" s="237" t="s">
        <v>365</v>
      </c>
      <c r="CJ2277" s="347">
        <v>407.01</v>
      </c>
      <c r="CK2277" s="347" t="s">
        <v>335</v>
      </c>
      <c r="CL2277" s="1789"/>
      <c r="CR2277" s="345"/>
      <c r="CS2277" s="345"/>
      <c r="CX2277" s="347"/>
      <c r="CY2277" s="347"/>
      <c r="DH2277" s="237"/>
      <c r="DI2277" s="237"/>
      <c r="DN2277" s="347"/>
      <c r="DO2277" s="347"/>
      <c r="DP2277" s="2505"/>
    </row>
    <row r="2278" spans="12:120">
      <c r="L2278" s="347">
        <v>902.03</v>
      </c>
      <c r="M2278" s="347" t="s">
        <v>376</v>
      </c>
      <c r="AB2278" s="347">
        <v>9701</v>
      </c>
      <c r="AC2278" s="347" t="s">
        <v>373</v>
      </c>
      <c r="AD2278" s="1138"/>
      <c r="AP2278" s="347">
        <v>317.05</v>
      </c>
      <c r="AQ2278" s="347" t="s">
        <v>362</v>
      </c>
      <c r="BF2278" s="347">
        <v>407.02</v>
      </c>
      <c r="BG2278" s="347" t="s">
        <v>335</v>
      </c>
      <c r="BH2278" s="1790"/>
      <c r="BN2278" s="237">
        <v>14.01</v>
      </c>
      <c r="BO2278" s="237" t="s">
        <v>350</v>
      </c>
      <c r="BT2278" s="347">
        <v>317.08</v>
      </c>
      <c r="BU2278" s="347" t="s">
        <v>362</v>
      </c>
      <c r="CD2278" s="237">
        <v>124.11</v>
      </c>
      <c r="CE2278" s="237" t="s">
        <v>365</v>
      </c>
      <c r="CJ2278" s="347">
        <v>407.02</v>
      </c>
      <c r="CK2278" s="347" t="s">
        <v>310</v>
      </c>
      <c r="CL2278" s="1789"/>
      <c r="CR2278" s="345"/>
      <c r="CS2278" s="345"/>
      <c r="CX2278" s="347"/>
      <c r="CY2278" s="347"/>
      <c r="DH2278" s="237"/>
      <c r="DI2278" s="237"/>
      <c r="DN2278" s="347"/>
      <c r="DO2278" s="347"/>
      <c r="DP2278" s="2505"/>
    </row>
    <row r="2279" spans="12:120">
      <c r="L2279" s="347">
        <v>902.04</v>
      </c>
      <c r="M2279" s="347" t="s">
        <v>376</v>
      </c>
      <c r="AB2279" s="347">
        <v>9701.01</v>
      </c>
      <c r="AC2279" s="347" t="s">
        <v>333</v>
      </c>
      <c r="AD2279" s="1138"/>
      <c r="AP2279" s="347">
        <v>317.06</v>
      </c>
      <c r="AQ2279" s="347" t="s">
        <v>362</v>
      </c>
      <c r="BF2279" s="347">
        <v>408.01</v>
      </c>
      <c r="BG2279" s="347" t="s">
        <v>360</v>
      </c>
      <c r="BH2279" s="1790"/>
      <c r="BN2279" s="237">
        <v>14.03</v>
      </c>
      <c r="BO2279" s="237" t="s">
        <v>350</v>
      </c>
      <c r="BT2279" s="347">
        <v>318.04000000000002</v>
      </c>
      <c r="BU2279" s="347" t="s">
        <v>362</v>
      </c>
      <c r="CD2279" s="237">
        <v>124.12</v>
      </c>
      <c r="CE2279" s="237" t="s">
        <v>365</v>
      </c>
      <c r="CJ2279" s="347">
        <v>407.02</v>
      </c>
      <c r="CK2279" s="347" t="s">
        <v>335</v>
      </c>
      <c r="CL2279" s="1789"/>
      <c r="CR2279" s="345"/>
      <c r="CS2279" s="345"/>
      <c r="CX2279" s="347"/>
      <c r="CY2279" s="347"/>
      <c r="DH2279" s="237"/>
      <c r="DI2279" s="237"/>
      <c r="DN2279" s="347"/>
      <c r="DO2279" s="347"/>
      <c r="DP2279" s="2505"/>
    </row>
    <row r="2280" spans="12:120">
      <c r="L2280" s="347">
        <v>903.04</v>
      </c>
      <c r="M2280" s="347" t="s">
        <v>376</v>
      </c>
      <c r="AB2280" s="347">
        <v>9701.01</v>
      </c>
      <c r="AC2280" s="347" t="s">
        <v>346</v>
      </c>
      <c r="AD2280" s="1138"/>
      <c r="AP2280" s="347">
        <v>317.07</v>
      </c>
      <c r="AQ2280" s="347" t="s">
        <v>362</v>
      </c>
      <c r="BF2280" s="347">
        <v>408.02</v>
      </c>
      <c r="BG2280" s="347" t="s">
        <v>310</v>
      </c>
      <c r="BH2280" s="1790"/>
      <c r="BN2280" s="237">
        <v>14.04</v>
      </c>
      <c r="BO2280" s="237" t="s">
        <v>350</v>
      </c>
      <c r="BT2280" s="347">
        <v>318.08</v>
      </c>
      <c r="BU2280" s="347" t="s">
        <v>362</v>
      </c>
      <c r="CD2280" s="237">
        <v>124.13</v>
      </c>
      <c r="CE2280" s="237" t="s">
        <v>365</v>
      </c>
      <c r="CJ2280" s="347">
        <v>408.01</v>
      </c>
      <c r="CK2280" s="347" t="s">
        <v>360</v>
      </c>
      <c r="CL2280" s="1789"/>
      <c r="CR2280" s="345"/>
      <c r="CS2280" s="345"/>
      <c r="CX2280" s="347"/>
      <c r="CY2280" s="347"/>
      <c r="DH2280" s="237"/>
      <c r="DI2280" s="237"/>
      <c r="DN2280" s="347"/>
      <c r="DO2280" s="347"/>
      <c r="DP2280" s="2505"/>
    </row>
    <row r="2281" spans="12:120">
      <c r="L2281" s="347">
        <v>903.05</v>
      </c>
      <c r="M2281" s="347" t="s">
        <v>376</v>
      </c>
      <c r="AB2281" s="347">
        <v>9701.02</v>
      </c>
      <c r="AC2281" s="347" t="s">
        <v>322</v>
      </c>
      <c r="AD2281" s="1138"/>
      <c r="AP2281" s="347">
        <v>317.08</v>
      </c>
      <c r="AQ2281" s="347" t="s">
        <v>362</v>
      </c>
      <c r="BF2281" s="347">
        <v>408.06</v>
      </c>
      <c r="BG2281" s="347" t="s">
        <v>360</v>
      </c>
      <c r="BH2281" s="1790"/>
      <c r="BN2281" s="237">
        <v>15</v>
      </c>
      <c r="BO2281" s="237" t="s">
        <v>350</v>
      </c>
      <c r="BT2281" s="347">
        <v>318.08999999999997</v>
      </c>
      <c r="BU2281" s="347" t="s">
        <v>362</v>
      </c>
      <c r="CD2281" s="237">
        <v>124.14</v>
      </c>
      <c r="CE2281" s="237" t="s">
        <v>365</v>
      </c>
      <c r="CJ2281" s="347">
        <v>408.02</v>
      </c>
      <c r="CK2281" s="347" t="s">
        <v>310</v>
      </c>
      <c r="CL2281" s="1789"/>
      <c r="CR2281" s="345"/>
      <c r="CS2281" s="345"/>
      <c r="CX2281" s="347"/>
      <c r="CY2281" s="347"/>
      <c r="DH2281" s="237"/>
      <c r="DI2281" s="237"/>
      <c r="DN2281" s="347"/>
      <c r="DO2281" s="347"/>
      <c r="DP2281" s="2505"/>
    </row>
    <row r="2282" spans="12:120">
      <c r="L2282" s="347">
        <v>903.06</v>
      </c>
      <c r="M2282" s="347" t="s">
        <v>376</v>
      </c>
      <c r="AB2282" s="347">
        <v>9701.02</v>
      </c>
      <c r="AC2282" s="347" t="s">
        <v>333</v>
      </c>
      <c r="AD2282" s="1138"/>
      <c r="AP2282" s="347">
        <v>318.04000000000002</v>
      </c>
      <c r="AQ2282" s="347" t="s">
        <v>362</v>
      </c>
      <c r="BF2282" s="347">
        <v>408.07</v>
      </c>
      <c r="BG2282" s="347" t="s">
        <v>360</v>
      </c>
      <c r="BH2282" s="1790"/>
      <c r="BN2282" s="237">
        <v>16</v>
      </c>
      <c r="BO2282" s="237" t="s">
        <v>350</v>
      </c>
      <c r="BT2282" s="347">
        <v>319.01</v>
      </c>
      <c r="BU2282" s="347" t="s">
        <v>362</v>
      </c>
      <c r="CD2282" s="237">
        <v>124.15</v>
      </c>
      <c r="CE2282" s="237" t="s">
        <v>365</v>
      </c>
      <c r="CJ2282" s="347">
        <v>408.05</v>
      </c>
      <c r="CK2282" s="347" t="s">
        <v>360</v>
      </c>
      <c r="CL2282" s="1789"/>
      <c r="CR2282" s="345"/>
      <c r="CS2282" s="345"/>
      <c r="CX2282" s="347"/>
      <c r="CY2282" s="347"/>
      <c r="DH2282" s="237"/>
      <c r="DI2282" s="237"/>
      <c r="DN2282" s="347"/>
      <c r="DO2282" s="347"/>
      <c r="DP2282" s="2505"/>
    </row>
    <row r="2283" spans="12:120">
      <c r="L2283" s="347">
        <v>904</v>
      </c>
      <c r="M2283" s="347" t="s">
        <v>376</v>
      </c>
      <c r="AB2283" s="347">
        <v>9701.02</v>
      </c>
      <c r="AC2283" s="347" t="s">
        <v>379</v>
      </c>
      <c r="AD2283" s="1138"/>
      <c r="AP2283" s="347">
        <v>318.05</v>
      </c>
      <c r="AQ2283" s="347" t="s">
        <v>362</v>
      </c>
      <c r="BF2283" s="347">
        <v>408.08</v>
      </c>
      <c r="BG2283" s="347" t="s">
        <v>360</v>
      </c>
      <c r="BH2283" s="1790"/>
      <c r="BN2283" s="237">
        <v>17</v>
      </c>
      <c r="BO2283" s="237" t="s">
        <v>350</v>
      </c>
      <c r="BT2283" s="347">
        <v>319.02</v>
      </c>
      <c r="BU2283" s="347" t="s">
        <v>362</v>
      </c>
      <c r="CD2283" s="237">
        <v>125</v>
      </c>
      <c r="CE2283" s="237" t="s">
        <v>323</v>
      </c>
      <c r="CJ2283" s="347">
        <v>408.06</v>
      </c>
      <c r="CK2283" s="347" t="s">
        <v>360</v>
      </c>
      <c r="CL2283" s="1789"/>
      <c r="CR2283" s="345"/>
      <c r="CS2283" s="345"/>
      <c r="CX2283" s="347"/>
      <c r="CY2283" s="347"/>
      <c r="DH2283" s="237"/>
      <c r="DI2283" s="237"/>
      <c r="DN2283" s="347"/>
      <c r="DO2283" s="347"/>
      <c r="DP2283" s="2505"/>
    </row>
    <row r="2284" spans="12:120">
      <c r="L2284" s="347">
        <v>907.01</v>
      </c>
      <c r="M2284" s="347" t="s">
        <v>376</v>
      </c>
      <c r="AB2284" s="347">
        <v>9701.0400000000009</v>
      </c>
      <c r="AC2284" s="347" t="s">
        <v>379</v>
      </c>
      <c r="AD2284" s="1138"/>
      <c r="AP2284" s="347">
        <v>318.06</v>
      </c>
      <c r="AQ2284" s="347" t="s">
        <v>362</v>
      </c>
      <c r="BF2284" s="347">
        <v>408.09</v>
      </c>
      <c r="BG2284" s="347" t="s">
        <v>360</v>
      </c>
      <c r="BH2284" s="1790"/>
      <c r="BN2284" s="237">
        <v>18</v>
      </c>
      <c r="BO2284" s="237" t="s">
        <v>350</v>
      </c>
      <c r="BT2284" s="347">
        <v>319.02999999999997</v>
      </c>
      <c r="BU2284" s="347" t="s">
        <v>362</v>
      </c>
      <c r="CD2284" s="237">
        <v>125</v>
      </c>
      <c r="CE2284" s="237" t="s">
        <v>359</v>
      </c>
      <c r="CJ2284" s="347">
        <v>408.07</v>
      </c>
      <c r="CK2284" s="347" t="s">
        <v>360</v>
      </c>
      <c r="CL2284" s="1789"/>
      <c r="CR2284" s="345"/>
      <c r="CS2284" s="345"/>
      <c r="CX2284" s="347"/>
      <c r="CY2284" s="347"/>
      <c r="DH2284" s="237"/>
      <c r="DI2284" s="237"/>
      <c r="DN2284" s="347"/>
      <c r="DO2284" s="347"/>
      <c r="DP2284" s="2505"/>
    </row>
    <row r="2285" spans="12:120">
      <c r="L2285" s="347">
        <v>908.03</v>
      </c>
      <c r="M2285" s="347" t="s">
        <v>376</v>
      </c>
      <c r="AB2285" s="347">
        <v>9702</v>
      </c>
      <c r="AC2285" s="347" t="s">
        <v>322</v>
      </c>
      <c r="AD2285" s="1138"/>
      <c r="AP2285" s="347">
        <v>318.08</v>
      </c>
      <c r="AQ2285" s="347" t="s">
        <v>362</v>
      </c>
      <c r="BF2285" s="347">
        <v>408.1</v>
      </c>
      <c r="BG2285" s="347" t="s">
        <v>360</v>
      </c>
      <c r="BH2285" s="1790"/>
      <c r="BN2285" s="237">
        <v>19</v>
      </c>
      <c r="BO2285" s="237" t="s">
        <v>350</v>
      </c>
      <c r="BT2285" s="347">
        <v>320.01</v>
      </c>
      <c r="BU2285" s="347" t="s">
        <v>362</v>
      </c>
      <c r="CD2285" s="237">
        <v>125.01</v>
      </c>
      <c r="CE2285" s="237" t="s">
        <v>337</v>
      </c>
      <c r="CJ2285" s="347">
        <v>408.08</v>
      </c>
      <c r="CK2285" s="347" t="s">
        <v>360</v>
      </c>
      <c r="CL2285" s="1789"/>
      <c r="CR2285" s="345"/>
      <c r="CS2285" s="345"/>
      <c r="CX2285" s="347"/>
      <c r="CY2285" s="347"/>
      <c r="DH2285" s="237"/>
      <c r="DI2285" s="237"/>
      <c r="DN2285" s="347"/>
      <c r="DO2285" s="347"/>
      <c r="DP2285" s="2505"/>
    </row>
    <row r="2286" spans="12:120">
      <c r="L2286" s="347">
        <v>908.05</v>
      </c>
      <c r="M2286" s="347" t="s">
        <v>376</v>
      </c>
      <c r="AB2286" s="347">
        <v>9702</v>
      </c>
      <c r="AC2286" s="347" t="s">
        <v>327</v>
      </c>
      <c r="AD2286" s="1138"/>
      <c r="AP2286" s="347">
        <v>318.08999999999997</v>
      </c>
      <c r="AQ2286" s="347" t="s">
        <v>362</v>
      </c>
      <c r="BF2286" s="347">
        <v>408.11</v>
      </c>
      <c r="BG2286" s="347" t="s">
        <v>360</v>
      </c>
      <c r="BH2286" s="1790"/>
      <c r="BN2286" s="237">
        <v>20.010000000000002</v>
      </c>
      <c r="BO2286" s="237" t="s">
        <v>350</v>
      </c>
      <c r="BT2286" s="347">
        <v>320.05</v>
      </c>
      <c r="BU2286" s="347" t="s">
        <v>362</v>
      </c>
      <c r="CD2286" s="237">
        <v>125.01</v>
      </c>
      <c r="CE2286" s="237" t="s">
        <v>352</v>
      </c>
      <c r="CJ2286" s="347">
        <v>408.09</v>
      </c>
      <c r="CK2286" s="347" t="s">
        <v>360</v>
      </c>
      <c r="CL2286" s="1789"/>
      <c r="CR2286" s="345"/>
      <c r="CS2286" s="345"/>
      <c r="CX2286" s="347"/>
      <c r="CY2286" s="347"/>
      <c r="DH2286" s="237"/>
      <c r="DI2286" s="237"/>
      <c r="DN2286" s="347"/>
      <c r="DO2286" s="347"/>
      <c r="DP2286" s="2505"/>
    </row>
    <row r="2287" spans="12:120">
      <c r="L2287" s="347">
        <v>909.02</v>
      </c>
      <c r="M2287" s="347" t="s">
        <v>376</v>
      </c>
      <c r="AB2287" s="347">
        <v>9702</v>
      </c>
      <c r="AC2287" s="347" t="s">
        <v>354</v>
      </c>
      <c r="AD2287" s="1138"/>
      <c r="AP2287" s="347">
        <v>319.01</v>
      </c>
      <c r="AQ2287" s="347" t="s">
        <v>362</v>
      </c>
      <c r="BF2287" s="347">
        <v>408.12</v>
      </c>
      <c r="BG2287" s="347" t="s">
        <v>360</v>
      </c>
      <c r="BH2287" s="1790"/>
      <c r="BN2287" s="237">
        <v>20.02</v>
      </c>
      <c r="BO2287" s="237" t="s">
        <v>350</v>
      </c>
      <c r="BT2287" s="347">
        <v>320.06</v>
      </c>
      <c r="BU2287" s="347" t="s">
        <v>362</v>
      </c>
      <c r="CD2287" s="237">
        <v>125.02</v>
      </c>
      <c r="CE2287" s="237" t="s">
        <v>352</v>
      </c>
      <c r="CJ2287" s="347">
        <v>408.1</v>
      </c>
      <c r="CK2287" s="347" t="s">
        <v>360</v>
      </c>
      <c r="CL2287" s="1789"/>
      <c r="CR2287" s="345"/>
      <c r="CS2287" s="345"/>
      <c r="CX2287" s="347"/>
      <c r="CY2287" s="347"/>
      <c r="DH2287" s="237"/>
      <c r="DI2287" s="237"/>
      <c r="DN2287" s="347"/>
      <c r="DO2287" s="347"/>
      <c r="DP2287" s="2505"/>
    </row>
    <row r="2288" spans="12:120">
      <c r="L2288" s="347">
        <v>909.03</v>
      </c>
      <c r="M2288" s="347" t="s">
        <v>376</v>
      </c>
      <c r="AB2288" s="347">
        <v>9702.02</v>
      </c>
      <c r="AC2288" s="347" t="s">
        <v>333</v>
      </c>
      <c r="AD2288" s="1138"/>
      <c r="AP2288" s="347">
        <v>319.02</v>
      </c>
      <c r="AQ2288" s="347" t="s">
        <v>362</v>
      </c>
      <c r="BF2288" s="347">
        <v>409.03</v>
      </c>
      <c r="BG2288" s="347" t="s">
        <v>360</v>
      </c>
      <c r="BH2288" s="1790"/>
      <c r="BN2288" s="237">
        <v>21</v>
      </c>
      <c r="BO2288" s="237" t="s">
        <v>350</v>
      </c>
      <c r="BT2288" s="347">
        <v>320.07</v>
      </c>
      <c r="BU2288" s="347" t="s">
        <v>362</v>
      </c>
      <c r="CD2288" s="237">
        <v>125.02</v>
      </c>
      <c r="CE2288" s="237" t="s">
        <v>365</v>
      </c>
      <c r="CJ2288" s="347">
        <v>408.11</v>
      </c>
      <c r="CK2288" s="347" t="s">
        <v>360</v>
      </c>
      <c r="CL2288" s="1789"/>
      <c r="CR2288" s="345"/>
      <c r="CS2288" s="345"/>
      <c r="CX2288" s="347"/>
      <c r="CY2288" s="347"/>
      <c r="DH2288" s="237"/>
      <c r="DI2288" s="237"/>
      <c r="DN2288" s="347"/>
      <c r="DO2288" s="347"/>
      <c r="DP2288" s="2505"/>
    </row>
    <row r="2289" spans="12:120">
      <c r="L2289" s="347">
        <v>909.04</v>
      </c>
      <c r="M2289" s="347" t="s">
        <v>376</v>
      </c>
      <c r="AB2289" s="347">
        <v>9703</v>
      </c>
      <c r="AC2289" s="347" t="s">
        <v>333</v>
      </c>
      <c r="AD2289" s="1138"/>
      <c r="AP2289" s="347">
        <v>319.02999999999997</v>
      </c>
      <c r="AQ2289" s="347" t="s">
        <v>362</v>
      </c>
      <c r="BF2289" s="347">
        <v>409.06</v>
      </c>
      <c r="BG2289" s="347" t="s">
        <v>335</v>
      </c>
      <c r="BH2289" s="1790"/>
      <c r="BN2289" s="237">
        <v>22.01</v>
      </c>
      <c r="BO2289" s="237" t="s">
        <v>350</v>
      </c>
      <c r="BT2289" s="347">
        <v>320.08</v>
      </c>
      <c r="BU2289" s="347" t="s">
        <v>362</v>
      </c>
      <c r="CD2289" s="237">
        <v>125.03</v>
      </c>
      <c r="CE2289" s="237" t="s">
        <v>337</v>
      </c>
      <c r="CJ2289" s="347">
        <v>408.12</v>
      </c>
      <c r="CK2289" s="347" t="s">
        <v>360</v>
      </c>
      <c r="CL2289" s="1789"/>
      <c r="CR2289" s="345"/>
      <c r="CS2289" s="345"/>
      <c r="CX2289" s="347"/>
      <c r="CY2289" s="347"/>
      <c r="DH2289" s="237"/>
      <c r="DI2289" s="237"/>
      <c r="DN2289" s="347"/>
      <c r="DO2289" s="347"/>
      <c r="DP2289" s="2505"/>
    </row>
    <row r="2290" spans="12:120">
      <c r="L2290" s="347">
        <v>910.01</v>
      </c>
      <c r="M2290" s="347" t="s">
        <v>376</v>
      </c>
      <c r="AB2290" s="347">
        <v>9703</v>
      </c>
      <c r="AC2290" s="347" t="s">
        <v>354</v>
      </c>
      <c r="AD2290" s="1138"/>
      <c r="AP2290" s="347">
        <v>320.01</v>
      </c>
      <c r="AQ2290" s="347" t="s">
        <v>362</v>
      </c>
      <c r="BF2290" s="347">
        <v>409.07</v>
      </c>
      <c r="BG2290" s="347" t="s">
        <v>335</v>
      </c>
      <c r="BH2290" s="1790"/>
      <c r="BN2290" s="237">
        <v>22.02</v>
      </c>
      <c r="BO2290" s="237" t="s">
        <v>350</v>
      </c>
      <c r="BT2290" s="347">
        <v>320.08999999999997</v>
      </c>
      <c r="BU2290" s="347" t="s">
        <v>362</v>
      </c>
      <c r="CD2290" s="237">
        <v>125.04</v>
      </c>
      <c r="CE2290" s="237" t="s">
        <v>337</v>
      </c>
      <c r="CJ2290" s="347">
        <v>409.01</v>
      </c>
      <c r="CK2290" s="347" t="s">
        <v>360</v>
      </c>
      <c r="CL2290" s="1789"/>
      <c r="CR2290" s="345"/>
      <c r="CS2290" s="345"/>
      <c r="CX2290" s="347"/>
      <c r="CY2290" s="347"/>
      <c r="DH2290" s="237"/>
      <c r="DI2290" s="237"/>
      <c r="DN2290" s="347"/>
      <c r="DO2290" s="347"/>
      <c r="DP2290" s="2505"/>
    </row>
    <row r="2291" spans="12:120">
      <c r="L2291" s="347">
        <v>910.05</v>
      </c>
      <c r="M2291" s="347" t="s">
        <v>376</v>
      </c>
      <c r="AB2291" s="347">
        <v>9703.01</v>
      </c>
      <c r="AC2291" s="347" t="s">
        <v>346</v>
      </c>
      <c r="AD2291" s="1138"/>
      <c r="AP2291" s="347">
        <v>320.05</v>
      </c>
      <c r="AQ2291" s="347" t="s">
        <v>362</v>
      </c>
      <c r="BF2291" s="347">
        <v>409.08</v>
      </c>
      <c r="BG2291" s="347" t="s">
        <v>335</v>
      </c>
      <c r="BH2291" s="1790"/>
      <c r="BN2291" s="237">
        <v>22.03</v>
      </c>
      <c r="BO2291" s="237" t="s">
        <v>350</v>
      </c>
      <c r="BT2291" s="347">
        <v>320.10000000000002</v>
      </c>
      <c r="BU2291" s="347" t="s">
        <v>362</v>
      </c>
      <c r="CD2291" s="237">
        <v>125.06</v>
      </c>
      <c r="CE2291" s="237" t="s">
        <v>365</v>
      </c>
      <c r="CJ2291" s="347">
        <v>409.06</v>
      </c>
      <c r="CK2291" s="347" t="s">
        <v>335</v>
      </c>
      <c r="CL2291" s="1789"/>
      <c r="CR2291" s="345"/>
      <c r="CS2291" s="345"/>
      <c r="CX2291" s="347"/>
      <c r="CY2291" s="347"/>
      <c r="DH2291" s="237"/>
      <c r="DI2291" s="237"/>
      <c r="DN2291" s="347"/>
      <c r="DO2291" s="347"/>
      <c r="DP2291" s="2505"/>
    </row>
    <row r="2292" spans="12:120">
      <c r="L2292" s="347">
        <v>910.15</v>
      </c>
      <c r="M2292" s="347" t="s">
        <v>376</v>
      </c>
      <c r="AB2292" s="347">
        <v>9703.01</v>
      </c>
      <c r="AC2292" s="347" t="s">
        <v>379</v>
      </c>
      <c r="AD2292" s="1138"/>
      <c r="AP2292" s="347">
        <v>320.06</v>
      </c>
      <c r="AQ2292" s="347" t="s">
        <v>362</v>
      </c>
      <c r="BF2292" s="347">
        <v>409.09</v>
      </c>
      <c r="BG2292" s="347" t="s">
        <v>335</v>
      </c>
      <c r="BH2292" s="1790"/>
      <c r="BN2292" s="237">
        <v>23.02</v>
      </c>
      <c r="BO2292" s="237" t="s">
        <v>350</v>
      </c>
      <c r="BT2292" s="347">
        <v>320.11</v>
      </c>
      <c r="BU2292" s="347" t="s">
        <v>362</v>
      </c>
      <c r="CD2292" s="237">
        <v>125.08</v>
      </c>
      <c r="CE2292" s="237" t="s">
        <v>365</v>
      </c>
      <c r="CJ2292" s="347">
        <v>409.07</v>
      </c>
      <c r="CK2292" s="347" t="s">
        <v>335</v>
      </c>
      <c r="CL2292" s="1789"/>
      <c r="CR2292" s="345"/>
      <c r="CS2292" s="345"/>
      <c r="CX2292" s="347"/>
      <c r="CY2292" s="347"/>
      <c r="DH2292" s="237"/>
      <c r="DI2292" s="237"/>
      <c r="DN2292" s="347"/>
      <c r="DO2292" s="347"/>
      <c r="DP2292" s="2505"/>
    </row>
    <row r="2293" spans="12:120">
      <c r="L2293" s="347">
        <v>910.17</v>
      </c>
      <c r="M2293" s="347" t="s">
        <v>376</v>
      </c>
      <c r="AB2293" s="347">
        <v>9703.02</v>
      </c>
      <c r="AC2293" s="347" t="s">
        <v>373</v>
      </c>
      <c r="AD2293" s="1138"/>
      <c r="AP2293" s="347">
        <v>320.07</v>
      </c>
      <c r="AQ2293" s="347" t="s">
        <v>362</v>
      </c>
      <c r="BF2293" s="347">
        <v>409.1</v>
      </c>
      <c r="BG2293" s="347" t="s">
        <v>335</v>
      </c>
      <c r="BH2293" s="1790"/>
      <c r="BN2293" s="237">
        <v>23.03</v>
      </c>
      <c r="BO2293" s="237" t="s">
        <v>350</v>
      </c>
      <c r="BT2293" s="347">
        <v>320.12</v>
      </c>
      <c r="BU2293" s="347" t="s">
        <v>362</v>
      </c>
      <c r="CD2293" s="237">
        <v>125.09</v>
      </c>
      <c r="CE2293" s="237" t="s">
        <v>365</v>
      </c>
      <c r="CJ2293" s="347">
        <v>409.08</v>
      </c>
      <c r="CK2293" s="347" t="s">
        <v>335</v>
      </c>
      <c r="CL2293" s="1789"/>
      <c r="CR2293" s="345"/>
      <c r="CS2293" s="345"/>
      <c r="CX2293" s="347"/>
      <c r="CY2293" s="347"/>
      <c r="DH2293" s="237"/>
      <c r="DI2293" s="237"/>
      <c r="DN2293" s="347"/>
      <c r="DO2293" s="347"/>
      <c r="DP2293" s="2505"/>
    </row>
    <row r="2294" spans="12:120">
      <c r="L2294" s="347">
        <v>910.19</v>
      </c>
      <c r="M2294" s="347" t="s">
        <v>376</v>
      </c>
      <c r="AB2294" s="347">
        <v>9703.0300000000007</v>
      </c>
      <c r="AC2294" s="347" t="s">
        <v>379</v>
      </c>
      <c r="AD2294" s="1138"/>
      <c r="AP2294" s="347">
        <v>320.08</v>
      </c>
      <c r="AQ2294" s="347" t="s">
        <v>362</v>
      </c>
      <c r="BF2294" s="347">
        <v>409.11</v>
      </c>
      <c r="BG2294" s="347" t="s">
        <v>335</v>
      </c>
      <c r="BH2294" s="1790"/>
      <c r="BN2294" s="237">
        <v>23.04</v>
      </c>
      <c r="BO2294" s="237" t="s">
        <v>350</v>
      </c>
      <c r="BT2294" s="347">
        <v>320.13</v>
      </c>
      <c r="BU2294" s="347" t="s">
        <v>362</v>
      </c>
      <c r="CD2294" s="237">
        <v>125.1</v>
      </c>
      <c r="CE2294" s="237" t="s">
        <v>365</v>
      </c>
      <c r="CJ2294" s="347">
        <v>409.09</v>
      </c>
      <c r="CK2294" s="347" t="s">
        <v>335</v>
      </c>
      <c r="CL2294" s="1789"/>
      <c r="CR2294" s="345"/>
      <c r="CS2294" s="345"/>
      <c r="CX2294" s="347"/>
      <c r="CY2294" s="347"/>
      <c r="DH2294" s="237"/>
      <c r="DI2294" s="237"/>
      <c r="DN2294" s="347"/>
      <c r="DO2294" s="347"/>
      <c r="DP2294" s="2505"/>
    </row>
    <row r="2295" spans="12:120">
      <c r="L2295" s="347">
        <v>910.2</v>
      </c>
      <c r="M2295" s="347" t="s">
        <v>376</v>
      </c>
      <c r="AB2295" s="347">
        <v>9703.0400000000009</v>
      </c>
      <c r="AC2295" s="347" t="s">
        <v>327</v>
      </c>
      <c r="AD2295" s="1138"/>
      <c r="AP2295" s="347">
        <v>320.08999999999997</v>
      </c>
      <c r="AQ2295" s="347" t="s">
        <v>362</v>
      </c>
      <c r="BF2295" s="347">
        <v>409.12</v>
      </c>
      <c r="BG2295" s="347" t="s">
        <v>335</v>
      </c>
      <c r="BH2295" s="1790"/>
      <c r="BN2295" s="237">
        <v>24.01</v>
      </c>
      <c r="BO2295" s="237" t="s">
        <v>350</v>
      </c>
      <c r="BT2295" s="347">
        <v>320.14</v>
      </c>
      <c r="BU2295" s="347" t="s">
        <v>362</v>
      </c>
      <c r="CD2295" s="237">
        <v>125.11</v>
      </c>
      <c r="CE2295" s="237" t="s">
        <v>365</v>
      </c>
      <c r="CJ2295" s="347">
        <v>409.1</v>
      </c>
      <c r="CK2295" s="347" t="s">
        <v>335</v>
      </c>
      <c r="CL2295" s="1789"/>
      <c r="CR2295" s="345"/>
      <c r="CS2295" s="345"/>
      <c r="CX2295" s="347"/>
      <c r="CY2295" s="347"/>
      <c r="DH2295" s="237"/>
      <c r="DI2295" s="237"/>
      <c r="DN2295" s="347"/>
      <c r="DO2295" s="347"/>
      <c r="DP2295" s="2505"/>
    </row>
    <row r="2296" spans="12:120">
      <c r="L2296" s="347">
        <v>910.21</v>
      </c>
      <c r="M2296" s="347" t="s">
        <v>376</v>
      </c>
      <c r="AB2296" s="347">
        <v>9704</v>
      </c>
      <c r="AC2296" s="347" t="s">
        <v>346</v>
      </c>
      <c r="AD2296" s="1138"/>
      <c r="AP2296" s="347">
        <v>320.10000000000002</v>
      </c>
      <c r="AQ2296" s="347" t="s">
        <v>362</v>
      </c>
      <c r="BF2296" s="347">
        <v>409.13</v>
      </c>
      <c r="BG2296" s="347" t="s">
        <v>335</v>
      </c>
      <c r="BH2296" s="1790"/>
      <c r="BN2296" s="237">
        <v>24.02</v>
      </c>
      <c r="BO2296" s="237" t="s">
        <v>350</v>
      </c>
      <c r="BT2296" s="347">
        <v>321.02999999999997</v>
      </c>
      <c r="BU2296" s="347" t="s">
        <v>362</v>
      </c>
      <c r="CD2296" s="237">
        <v>125.12</v>
      </c>
      <c r="CE2296" s="237" t="s">
        <v>365</v>
      </c>
      <c r="CJ2296" s="347">
        <v>409.11</v>
      </c>
      <c r="CK2296" s="347" t="s">
        <v>335</v>
      </c>
      <c r="CL2296" s="1789"/>
      <c r="CR2296" s="345"/>
      <c r="CS2296" s="345"/>
      <c r="CX2296" s="347"/>
      <c r="CY2296" s="347"/>
      <c r="DH2296" s="237"/>
      <c r="DI2296" s="237"/>
      <c r="DN2296" s="347"/>
      <c r="DO2296" s="347"/>
      <c r="DP2296" s="2505"/>
    </row>
    <row r="2297" spans="12:120">
      <c r="L2297" s="347">
        <v>910.22</v>
      </c>
      <c r="M2297" s="347" t="s">
        <v>376</v>
      </c>
      <c r="AB2297" s="347">
        <v>9705</v>
      </c>
      <c r="AC2297" s="347" t="s">
        <v>346</v>
      </c>
      <c r="AD2297" s="1138"/>
      <c r="AP2297" s="347">
        <v>320.11</v>
      </c>
      <c r="AQ2297" s="347" t="s">
        <v>362</v>
      </c>
      <c r="BF2297" s="347">
        <v>410.03</v>
      </c>
      <c r="BG2297" s="347" t="s">
        <v>360</v>
      </c>
      <c r="BH2297" s="1790"/>
      <c r="BN2297" s="237">
        <v>25.03</v>
      </c>
      <c r="BO2297" s="237" t="s">
        <v>350</v>
      </c>
      <c r="BT2297" s="347">
        <v>321.04000000000002</v>
      </c>
      <c r="BU2297" s="347" t="s">
        <v>362</v>
      </c>
      <c r="CD2297" s="237">
        <v>125.13</v>
      </c>
      <c r="CE2297" s="237" t="s">
        <v>365</v>
      </c>
      <c r="CJ2297" s="347">
        <v>409.12</v>
      </c>
      <c r="CK2297" s="347" t="s">
        <v>335</v>
      </c>
      <c r="CL2297" s="1789"/>
      <c r="CR2297" s="345"/>
      <c r="CS2297" s="345"/>
      <c r="CX2297" s="347"/>
      <c r="CY2297" s="347"/>
      <c r="DH2297" s="237"/>
      <c r="DI2297" s="237"/>
      <c r="DN2297" s="347"/>
      <c r="DO2297" s="347"/>
      <c r="DP2297" s="2505"/>
    </row>
    <row r="2298" spans="12:120">
      <c r="L2298" s="347">
        <v>910.23</v>
      </c>
      <c r="M2298" s="347" t="s">
        <v>376</v>
      </c>
      <c r="AB2298" s="347">
        <v>9705</v>
      </c>
      <c r="AC2298" s="347" t="s">
        <v>354</v>
      </c>
      <c r="AD2298" s="1138"/>
      <c r="AP2298" s="347">
        <v>320.12</v>
      </c>
      <c r="AQ2298" s="347" t="s">
        <v>362</v>
      </c>
      <c r="BF2298" s="347">
        <v>410.04</v>
      </c>
      <c r="BG2298" s="347" t="s">
        <v>335</v>
      </c>
      <c r="BH2298" s="1790"/>
      <c r="BN2298" s="237">
        <v>25.04</v>
      </c>
      <c r="BO2298" s="237" t="s">
        <v>350</v>
      </c>
      <c r="BT2298" s="347">
        <v>321.05</v>
      </c>
      <c r="BU2298" s="347" t="s">
        <v>362</v>
      </c>
      <c r="CD2298" s="237">
        <v>125.14</v>
      </c>
      <c r="CE2298" s="237" t="s">
        <v>365</v>
      </c>
      <c r="CJ2298" s="347">
        <v>409.13</v>
      </c>
      <c r="CK2298" s="347" t="s">
        <v>335</v>
      </c>
      <c r="CL2298" s="1789"/>
      <c r="CR2298" s="345"/>
      <c r="CS2298" s="345"/>
      <c r="CX2298" s="347"/>
      <c r="CY2298" s="347"/>
      <c r="DH2298" s="237"/>
      <c r="DI2298" s="237"/>
      <c r="DN2298" s="347"/>
      <c r="DO2298" s="347"/>
      <c r="DP2298" s="2505"/>
    </row>
    <row r="2299" spans="12:120">
      <c r="L2299" s="347">
        <v>910.26</v>
      </c>
      <c r="M2299" s="347" t="s">
        <v>376</v>
      </c>
      <c r="AB2299" s="347">
        <v>9706</v>
      </c>
      <c r="AC2299" s="347" t="s">
        <v>346</v>
      </c>
      <c r="AD2299" s="1138"/>
      <c r="AP2299" s="347">
        <v>320.13</v>
      </c>
      <c r="AQ2299" s="347" t="s">
        <v>362</v>
      </c>
      <c r="BF2299" s="347">
        <v>410.04</v>
      </c>
      <c r="BG2299" s="347" t="s">
        <v>360</v>
      </c>
      <c r="BH2299" s="1790"/>
      <c r="BN2299" s="237">
        <v>25.05</v>
      </c>
      <c r="BO2299" s="237" t="s">
        <v>350</v>
      </c>
      <c r="BT2299" s="347">
        <v>321.06</v>
      </c>
      <c r="BU2299" s="347" t="s">
        <v>362</v>
      </c>
      <c r="CD2299" s="237">
        <v>125.15</v>
      </c>
      <c r="CE2299" s="237" t="s">
        <v>365</v>
      </c>
      <c r="CJ2299" s="347">
        <v>410.03</v>
      </c>
      <c r="CK2299" s="347" t="s">
        <v>360</v>
      </c>
      <c r="CL2299" s="1789"/>
      <c r="CR2299" s="345"/>
      <c r="CS2299" s="345"/>
      <c r="CX2299" s="347"/>
      <c r="CY2299" s="347"/>
      <c r="DH2299" s="237"/>
      <c r="DI2299" s="237"/>
      <c r="DN2299" s="347"/>
      <c r="DO2299" s="347"/>
      <c r="DP2299" s="2505"/>
    </row>
    <row r="2300" spans="12:120">
      <c r="L2300" s="347">
        <v>910.29</v>
      </c>
      <c r="M2300" s="347" t="s">
        <v>376</v>
      </c>
      <c r="AB2300" s="347">
        <v>9706</v>
      </c>
      <c r="AC2300" s="347" t="s">
        <v>354</v>
      </c>
      <c r="AD2300" s="1138"/>
      <c r="AP2300" s="347">
        <v>320.14</v>
      </c>
      <c r="AQ2300" s="347" t="s">
        <v>362</v>
      </c>
      <c r="BF2300" s="347">
        <v>410.05</v>
      </c>
      <c r="BG2300" s="347" t="s">
        <v>335</v>
      </c>
      <c r="BH2300" s="1790"/>
      <c r="BN2300" s="237">
        <v>25.06</v>
      </c>
      <c r="BO2300" s="237" t="s">
        <v>350</v>
      </c>
      <c r="BT2300" s="347">
        <v>321.07</v>
      </c>
      <c r="BU2300" s="347" t="s">
        <v>362</v>
      </c>
      <c r="CD2300" s="237">
        <v>126</v>
      </c>
      <c r="CE2300" s="237" t="s">
        <v>337</v>
      </c>
      <c r="CJ2300" s="347">
        <v>410.04</v>
      </c>
      <c r="CK2300" s="347" t="s">
        <v>335</v>
      </c>
      <c r="CL2300" s="1789"/>
      <c r="CR2300" s="345"/>
      <c r="CS2300" s="345"/>
      <c r="CX2300" s="347"/>
      <c r="CY2300" s="347"/>
      <c r="DH2300" s="237"/>
      <c r="DI2300" s="237"/>
      <c r="DN2300" s="347"/>
      <c r="DO2300" s="347"/>
      <c r="DP2300" s="2505"/>
    </row>
    <row r="2301" spans="12:120">
      <c r="L2301" s="347">
        <v>101</v>
      </c>
      <c r="M2301" s="347" t="s">
        <v>377</v>
      </c>
      <c r="AB2301" s="347">
        <v>9706</v>
      </c>
      <c r="AC2301" s="347" t="s">
        <v>373</v>
      </c>
      <c r="AD2301" s="1138"/>
      <c r="AP2301" s="347">
        <v>321.02999999999997</v>
      </c>
      <c r="AQ2301" s="347" t="s">
        <v>362</v>
      </c>
      <c r="BF2301" s="347">
        <v>410.06</v>
      </c>
      <c r="BG2301" s="347" t="s">
        <v>335</v>
      </c>
      <c r="BH2301" s="1790"/>
      <c r="BN2301" s="237">
        <v>25.07</v>
      </c>
      <c r="BO2301" s="237" t="s">
        <v>350</v>
      </c>
      <c r="BT2301" s="347">
        <v>321.08</v>
      </c>
      <c r="BU2301" s="347" t="s">
        <v>362</v>
      </c>
      <c r="CD2301" s="237">
        <v>126</v>
      </c>
      <c r="CE2301" s="237" t="s">
        <v>359</v>
      </c>
      <c r="CJ2301" s="347">
        <v>410.05</v>
      </c>
      <c r="CK2301" s="347" t="s">
        <v>335</v>
      </c>
      <c r="CL2301" s="1789"/>
      <c r="CR2301" s="345"/>
      <c r="CS2301" s="345"/>
      <c r="CX2301" s="347"/>
      <c r="CY2301" s="347"/>
      <c r="DH2301" s="237"/>
      <c r="DI2301" s="237"/>
      <c r="DN2301" s="347"/>
      <c r="DO2301" s="347"/>
      <c r="DP2301" s="2505"/>
    </row>
    <row r="2302" spans="12:120">
      <c r="L2302" s="347">
        <v>102.01</v>
      </c>
      <c r="M2302" s="347" t="s">
        <v>377</v>
      </c>
      <c r="AB2302" s="347">
        <v>9708</v>
      </c>
      <c r="AC2302" s="347" t="s">
        <v>354</v>
      </c>
      <c r="AD2302" s="1138"/>
      <c r="AP2302" s="347">
        <v>321.04000000000002</v>
      </c>
      <c r="AQ2302" s="347" t="s">
        <v>362</v>
      </c>
      <c r="BF2302" s="347">
        <v>410.06</v>
      </c>
      <c r="BG2302" s="347" t="s">
        <v>360</v>
      </c>
      <c r="BH2302" s="1790"/>
      <c r="BN2302" s="237">
        <v>26.02</v>
      </c>
      <c r="BO2302" s="237" t="s">
        <v>350</v>
      </c>
      <c r="BT2302" s="347">
        <v>321.08999999999997</v>
      </c>
      <c r="BU2302" s="347" t="s">
        <v>362</v>
      </c>
      <c r="CD2302" s="237">
        <v>126.01</v>
      </c>
      <c r="CE2302" s="237" t="s">
        <v>323</v>
      </c>
      <c r="CJ2302" s="347">
        <v>410.06</v>
      </c>
      <c r="CK2302" s="347" t="s">
        <v>335</v>
      </c>
      <c r="CL2302" s="1789"/>
      <c r="CR2302" s="345"/>
      <c r="CS2302" s="345"/>
      <c r="CX2302" s="347"/>
      <c r="CY2302" s="347"/>
      <c r="DH2302" s="237"/>
      <c r="DI2302" s="237"/>
      <c r="DN2302" s="347"/>
      <c r="DO2302" s="347"/>
      <c r="DP2302" s="2505"/>
    </row>
    <row r="2303" spans="12:120">
      <c r="L2303" s="347">
        <v>9501.01</v>
      </c>
      <c r="M2303" s="347" t="s">
        <v>378</v>
      </c>
      <c r="AB2303" s="347">
        <v>9709</v>
      </c>
      <c r="AC2303" s="347" t="s">
        <v>354</v>
      </c>
      <c r="AD2303" s="1138"/>
      <c r="AP2303" s="347">
        <v>321.05</v>
      </c>
      <c r="AQ2303" s="347" t="s">
        <v>362</v>
      </c>
      <c r="BF2303" s="347">
        <v>411.04</v>
      </c>
      <c r="BG2303" s="347" t="s">
        <v>335</v>
      </c>
      <c r="BH2303" s="1790"/>
      <c r="BN2303" s="237">
        <v>26.04</v>
      </c>
      <c r="BO2303" s="237" t="s">
        <v>350</v>
      </c>
      <c r="BT2303" s="347">
        <v>321.10000000000002</v>
      </c>
      <c r="BU2303" s="347" t="s">
        <v>362</v>
      </c>
      <c r="CD2303" s="237">
        <v>126.01</v>
      </c>
      <c r="CE2303" s="237" t="s">
        <v>352</v>
      </c>
      <c r="CJ2303" s="347">
        <v>410.06</v>
      </c>
      <c r="CK2303" s="347" t="s">
        <v>360</v>
      </c>
      <c r="CL2303" s="1789"/>
      <c r="CR2303" s="345"/>
      <c r="CS2303" s="345"/>
      <c r="CX2303" s="347"/>
      <c r="CY2303" s="347"/>
      <c r="DH2303" s="237"/>
      <c r="DI2303" s="237"/>
      <c r="DN2303" s="347"/>
      <c r="DO2303" s="347"/>
      <c r="DP2303" s="2505"/>
    </row>
    <row r="2304" spans="12:120">
      <c r="L2304" s="347">
        <v>9501.02</v>
      </c>
      <c r="M2304" s="347" t="s">
        <v>378</v>
      </c>
      <c r="AB2304" s="347">
        <v>9710.01</v>
      </c>
      <c r="AC2304" s="347" t="s">
        <v>354</v>
      </c>
      <c r="AD2304" s="1138"/>
      <c r="AP2304" s="347">
        <v>321.06</v>
      </c>
      <c r="AQ2304" s="347" t="s">
        <v>362</v>
      </c>
      <c r="BF2304" s="347">
        <v>411.06</v>
      </c>
      <c r="BG2304" s="347" t="s">
        <v>335</v>
      </c>
      <c r="BH2304" s="1790"/>
      <c r="BN2304" s="237">
        <v>26.05</v>
      </c>
      <c r="BO2304" s="237" t="s">
        <v>350</v>
      </c>
      <c r="BT2304" s="347">
        <v>321.11</v>
      </c>
      <c r="BU2304" s="347" t="s">
        <v>362</v>
      </c>
      <c r="CD2304" s="237">
        <v>126.01</v>
      </c>
      <c r="CE2304" s="237" t="s">
        <v>365</v>
      </c>
      <c r="CJ2304" s="347">
        <v>411.04</v>
      </c>
      <c r="CK2304" s="347" t="s">
        <v>335</v>
      </c>
      <c r="CL2304" s="1789"/>
      <c r="CR2304" s="345"/>
      <c r="CS2304" s="345"/>
      <c r="CX2304" s="347"/>
      <c r="CY2304" s="347"/>
      <c r="DH2304" s="237"/>
      <c r="DI2304" s="237"/>
      <c r="DN2304" s="347"/>
      <c r="DO2304" s="347"/>
      <c r="DP2304" s="2505"/>
    </row>
    <row r="2305" spans="12:120">
      <c r="L2305" s="347">
        <v>9503.02</v>
      </c>
      <c r="M2305" s="347" t="s">
        <v>378</v>
      </c>
      <c r="AB2305" s="347">
        <v>9715.01</v>
      </c>
      <c r="AC2305" s="347" t="s">
        <v>354</v>
      </c>
      <c r="AD2305" s="1138"/>
      <c r="AP2305" s="347">
        <v>321.07</v>
      </c>
      <c r="AQ2305" s="347" t="s">
        <v>362</v>
      </c>
      <c r="BF2305" s="347">
        <v>412.03</v>
      </c>
      <c r="BG2305" s="347" t="s">
        <v>335</v>
      </c>
      <c r="BH2305" s="1790"/>
      <c r="BN2305" s="237">
        <v>26.07</v>
      </c>
      <c r="BO2305" s="237" t="s">
        <v>350</v>
      </c>
      <c r="BT2305" s="347">
        <v>321.12</v>
      </c>
      <c r="BU2305" s="347" t="s">
        <v>362</v>
      </c>
      <c r="CD2305" s="237">
        <v>126.02</v>
      </c>
      <c r="CE2305" s="237" t="s">
        <v>323</v>
      </c>
      <c r="CJ2305" s="347">
        <v>412.01</v>
      </c>
      <c r="CK2305" s="347" t="s">
        <v>335</v>
      </c>
      <c r="CL2305" s="1789"/>
      <c r="CR2305" s="345"/>
      <c r="CS2305" s="345"/>
      <c r="CX2305" s="347"/>
      <c r="CY2305" s="347"/>
      <c r="DH2305" s="237"/>
      <c r="DI2305" s="237"/>
      <c r="DN2305" s="347"/>
      <c r="DO2305" s="347"/>
      <c r="DP2305" s="2505"/>
    </row>
    <row r="2306" spans="12:120">
      <c r="L2306" s="347">
        <v>9505.02</v>
      </c>
      <c r="M2306" s="347" t="s">
        <v>378</v>
      </c>
      <c r="AB2306" s="347">
        <v>9715.02</v>
      </c>
      <c r="AC2306" s="347" t="s">
        <v>354</v>
      </c>
      <c r="AD2306" s="1138"/>
      <c r="AP2306" s="347">
        <v>321.08</v>
      </c>
      <c r="AQ2306" s="347" t="s">
        <v>362</v>
      </c>
      <c r="BF2306" s="347">
        <v>413.02</v>
      </c>
      <c r="BG2306" s="347" t="s">
        <v>360</v>
      </c>
      <c r="BH2306" s="1790"/>
      <c r="BN2306" s="237">
        <v>26.08</v>
      </c>
      <c r="BO2306" s="237" t="s">
        <v>350</v>
      </c>
      <c r="BT2306" s="347">
        <v>321.13</v>
      </c>
      <c r="BU2306" s="347" t="s">
        <v>362</v>
      </c>
      <c r="CD2306" s="237">
        <v>126.02</v>
      </c>
      <c r="CE2306" s="237" t="s">
        <v>352</v>
      </c>
      <c r="CJ2306" s="347">
        <v>412.03</v>
      </c>
      <c r="CK2306" s="347" t="s">
        <v>335</v>
      </c>
      <c r="CL2306" s="1789"/>
      <c r="CR2306" s="345"/>
      <c r="CS2306" s="345"/>
      <c r="CX2306" s="347"/>
      <c r="CY2306" s="347"/>
      <c r="DH2306" s="237"/>
      <c r="DI2306" s="237"/>
      <c r="DN2306" s="347"/>
      <c r="DO2306" s="347"/>
      <c r="DP2306" s="2505"/>
    </row>
    <row r="2307" spans="12:120">
      <c r="L2307" s="347">
        <v>9506.01</v>
      </c>
      <c r="M2307" s="347" t="s">
        <v>378</v>
      </c>
      <c r="AB2307" s="347">
        <v>9716</v>
      </c>
      <c r="AC2307" s="347" t="s">
        <v>354</v>
      </c>
      <c r="AD2307" s="1138"/>
      <c r="AP2307" s="347">
        <v>321.08999999999997</v>
      </c>
      <c r="AQ2307" s="347" t="s">
        <v>362</v>
      </c>
      <c r="BF2307" s="347">
        <v>413.03</v>
      </c>
      <c r="BG2307" s="347" t="s">
        <v>335</v>
      </c>
      <c r="BH2307" s="1790"/>
      <c r="BN2307" s="237">
        <v>26.09</v>
      </c>
      <c r="BO2307" s="237" t="s">
        <v>350</v>
      </c>
      <c r="BT2307" s="347">
        <v>322</v>
      </c>
      <c r="BU2307" s="347" t="s">
        <v>362</v>
      </c>
      <c r="CD2307" s="237">
        <v>126.02</v>
      </c>
      <c r="CE2307" s="237" t="s">
        <v>365</v>
      </c>
      <c r="CJ2307" s="347">
        <v>413.02</v>
      </c>
      <c r="CK2307" s="347" t="s">
        <v>360</v>
      </c>
      <c r="CL2307" s="1789"/>
      <c r="CR2307" s="345"/>
      <c r="CS2307" s="345"/>
      <c r="CX2307" s="347"/>
      <c r="CY2307" s="347"/>
      <c r="DH2307" s="237"/>
      <c r="DI2307" s="237"/>
      <c r="DN2307" s="347"/>
      <c r="DO2307" s="347"/>
      <c r="DP2307" s="2505"/>
    </row>
    <row r="2308" spans="12:120">
      <c r="L2308" s="347">
        <v>9506.02</v>
      </c>
      <c r="M2308" s="347" t="s">
        <v>378</v>
      </c>
      <c r="AB2308" s="347">
        <v>9720</v>
      </c>
      <c r="AC2308" s="347" t="s">
        <v>354</v>
      </c>
      <c r="AD2308" s="1138"/>
      <c r="AP2308" s="347">
        <v>321.10000000000002</v>
      </c>
      <c r="AQ2308" s="347" t="s">
        <v>362</v>
      </c>
      <c r="BF2308" s="347">
        <v>414.02</v>
      </c>
      <c r="BG2308" s="347" t="s">
        <v>335</v>
      </c>
      <c r="BH2308" s="1790"/>
      <c r="BN2308" s="237">
        <v>26.1</v>
      </c>
      <c r="BO2308" s="237" t="s">
        <v>350</v>
      </c>
      <c r="BT2308" s="347">
        <v>323</v>
      </c>
      <c r="BU2308" s="347" t="s">
        <v>362</v>
      </c>
      <c r="CD2308" s="237">
        <v>127.01</v>
      </c>
      <c r="CE2308" s="237" t="s">
        <v>337</v>
      </c>
      <c r="CJ2308" s="347">
        <v>413.03</v>
      </c>
      <c r="CK2308" s="347" t="s">
        <v>335</v>
      </c>
      <c r="CL2308" s="1789"/>
      <c r="CR2308" s="345"/>
      <c r="CS2308" s="345"/>
      <c r="CX2308" s="347"/>
      <c r="CY2308" s="347"/>
      <c r="DH2308" s="237"/>
      <c r="DI2308" s="237"/>
      <c r="DN2308" s="347"/>
      <c r="DO2308" s="347"/>
      <c r="DP2308" s="2505"/>
    </row>
    <row r="2309" spans="12:120">
      <c r="L2309" s="347">
        <v>9506.0300000000007</v>
      </c>
      <c r="M2309" s="347" t="s">
        <v>378</v>
      </c>
      <c r="AB2309" s="347">
        <v>9722</v>
      </c>
      <c r="AC2309" s="347" t="s">
        <v>354</v>
      </c>
      <c r="AD2309" s="1138"/>
      <c r="AP2309" s="347">
        <v>321.11</v>
      </c>
      <c r="AQ2309" s="347" t="s">
        <v>362</v>
      </c>
      <c r="BF2309" s="347">
        <v>415.01</v>
      </c>
      <c r="BG2309" s="347" t="s">
        <v>335</v>
      </c>
      <c r="BH2309" s="1790"/>
      <c r="BN2309" s="237">
        <v>27.03</v>
      </c>
      <c r="BO2309" s="237" t="s">
        <v>350</v>
      </c>
      <c r="BT2309" s="347">
        <v>324.01</v>
      </c>
      <c r="BU2309" s="347" t="s">
        <v>362</v>
      </c>
      <c r="CD2309" s="237">
        <v>127.01</v>
      </c>
      <c r="CE2309" s="237" t="s">
        <v>352</v>
      </c>
      <c r="CJ2309" s="347">
        <v>415.01</v>
      </c>
      <c r="CK2309" s="347" t="s">
        <v>335</v>
      </c>
      <c r="CL2309" s="1789"/>
      <c r="CR2309" s="345"/>
      <c r="CS2309" s="345"/>
      <c r="CX2309" s="347"/>
      <c r="CY2309" s="347"/>
      <c r="DH2309" s="237"/>
      <c r="DI2309" s="237"/>
      <c r="DN2309" s="347"/>
      <c r="DO2309" s="347"/>
      <c r="DP2309" s="2505"/>
    </row>
    <row r="2310" spans="12:120">
      <c r="L2310" s="347">
        <v>9701.02</v>
      </c>
      <c r="M2310" s="347" t="s">
        <v>379</v>
      </c>
      <c r="AB2310" s="347">
        <v>9723</v>
      </c>
      <c r="AC2310" s="347" t="s">
        <v>354</v>
      </c>
      <c r="AD2310" s="1138"/>
      <c r="AP2310" s="347">
        <v>321.12</v>
      </c>
      <c r="AQ2310" s="347" t="s">
        <v>362</v>
      </c>
      <c r="BF2310" s="347">
        <v>415.01</v>
      </c>
      <c r="BG2310" s="347" t="s">
        <v>360</v>
      </c>
      <c r="BH2310" s="1790"/>
      <c r="BN2310" s="237">
        <v>27.04</v>
      </c>
      <c r="BO2310" s="237" t="s">
        <v>350</v>
      </c>
      <c r="BT2310" s="347">
        <v>325</v>
      </c>
      <c r="BU2310" s="347" t="s">
        <v>362</v>
      </c>
      <c r="CD2310" s="237">
        <v>127.01</v>
      </c>
      <c r="CE2310" s="237" t="s">
        <v>359</v>
      </c>
      <c r="CJ2310" s="347">
        <v>415.01</v>
      </c>
      <c r="CK2310" s="347" t="s">
        <v>360</v>
      </c>
      <c r="CL2310" s="1789"/>
      <c r="CR2310" s="345"/>
      <c r="CS2310" s="345"/>
      <c r="CX2310" s="347"/>
      <c r="CY2310" s="347"/>
      <c r="DH2310" s="237"/>
      <c r="DI2310" s="237"/>
      <c r="DN2310" s="347"/>
      <c r="DO2310" s="347"/>
      <c r="DP2310" s="2505"/>
    </row>
    <row r="2311" spans="12:120">
      <c r="L2311" s="347">
        <v>9701.0400000000009</v>
      </c>
      <c r="M2311" s="347" t="s">
        <v>379</v>
      </c>
      <c r="AB2311" s="347">
        <v>9724</v>
      </c>
      <c r="AC2311" s="347" t="s">
        <v>354</v>
      </c>
      <c r="AD2311" s="1138"/>
      <c r="AP2311" s="347">
        <v>321.13</v>
      </c>
      <c r="AQ2311" s="347" t="s">
        <v>362</v>
      </c>
      <c r="BF2311" s="347">
        <v>415.02</v>
      </c>
      <c r="BG2311" s="347" t="s">
        <v>360</v>
      </c>
      <c r="BH2311" s="1790"/>
      <c r="BN2311" s="237">
        <v>27.05</v>
      </c>
      <c r="BO2311" s="237" t="s">
        <v>350</v>
      </c>
      <c r="BT2311" s="347">
        <v>326.02</v>
      </c>
      <c r="BU2311" s="347" t="s">
        <v>362</v>
      </c>
      <c r="CD2311" s="237">
        <v>127.01</v>
      </c>
      <c r="CE2311" s="237" t="s">
        <v>365</v>
      </c>
      <c r="CJ2311" s="347">
        <v>415.02</v>
      </c>
      <c r="CK2311" s="347" t="s">
        <v>335</v>
      </c>
      <c r="CL2311" s="1789"/>
      <c r="CR2311" s="345"/>
      <c r="CS2311" s="345"/>
      <c r="CX2311" s="347"/>
      <c r="CY2311" s="347"/>
      <c r="DH2311" s="237"/>
      <c r="DI2311" s="237"/>
      <c r="DN2311" s="347"/>
      <c r="DO2311" s="347"/>
      <c r="DP2311" s="2505"/>
    </row>
    <row r="2312" spans="12:120">
      <c r="L2312" s="347">
        <v>9703.01</v>
      </c>
      <c r="M2312" s="347" t="s">
        <v>379</v>
      </c>
      <c r="AB2312" s="347">
        <v>9725</v>
      </c>
      <c r="AC2312" s="347" t="s">
        <v>354</v>
      </c>
      <c r="AD2312" s="1138"/>
      <c r="AP2312" s="347">
        <v>322</v>
      </c>
      <c r="AQ2312" s="347" t="s">
        <v>362</v>
      </c>
      <c r="BF2312" s="347">
        <v>416.01</v>
      </c>
      <c r="BG2312" s="347" t="s">
        <v>335</v>
      </c>
      <c r="BH2312" s="1790"/>
      <c r="BN2312" s="237">
        <v>27.06</v>
      </c>
      <c r="BO2312" s="237" t="s">
        <v>350</v>
      </c>
      <c r="BT2312" s="347">
        <v>327</v>
      </c>
      <c r="BU2312" s="347" t="s">
        <v>362</v>
      </c>
      <c r="CD2312" s="237">
        <v>127.02</v>
      </c>
      <c r="CE2312" s="237" t="s">
        <v>323</v>
      </c>
      <c r="CJ2312" s="347">
        <v>415.02</v>
      </c>
      <c r="CK2312" s="347" t="s">
        <v>360</v>
      </c>
      <c r="CL2312" s="1789"/>
      <c r="CR2312" s="345"/>
      <c r="CS2312" s="345"/>
      <c r="CX2312" s="347"/>
      <c r="CY2312" s="347"/>
      <c r="DH2312" s="237"/>
      <c r="DI2312" s="237"/>
      <c r="DN2312" s="347"/>
      <c r="DO2312" s="347"/>
      <c r="DP2312" s="2505"/>
    </row>
    <row r="2313" spans="12:120">
      <c r="L2313" s="347">
        <v>9703.0300000000007</v>
      </c>
      <c r="M2313" s="347" t="s">
        <v>379</v>
      </c>
      <c r="AB2313" s="347">
        <v>9726</v>
      </c>
      <c r="AC2313" s="347" t="s">
        <v>354</v>
      </c>
      <c r="AD2313" s="1138"/>
      <c r="AP2313" s="347">
        <v>323</v>
      </c>
      <c r="AQ2313" s="347" t="s">
        <v>362</v>
      </c>
      <c r="BF2313" s="347">
        <v>418.01</v>
      </c>
      <c r="BG2313" s="347" t="s">
        <v>310</v>
      </c>
      <c r="BH2313" s="1790"/>
      <c r="BN2313" s="237">
        <v>9800</v>
      </c>
      <c r="BO2313" s="237" t="s">
        <v>350</v>
      </c>
      <c r="BT2313" s="347">
        <v>328.02</v>
      </c>
      <c r="BU2313" s="347" t="s">
        <v>362</v>
      </c>
      <c r="CD2313" s="237">
        <v>127.02</v>
      </c>
      <c r="CE2313" s="237" t="s">
        <v>337</v>
      </c>
      <c r="CJ2313" s="347">
        <v>416.01</v>
      </c>
      <c r="CK2313" s="347" t="s">
        <v>335</v>
      </c>
      <c r="CL2313" s="1789"/>
      <c r="CR2313" s="345"/>
      <c r="CS2313" s="345"/>
      <c r="CX2313" s="347"/>
      <c r="CY2313" s="347"/>
      <c r="DH2313" s="237"/>
      <c r="DI2313" s="237"/>
      <c r="DN2313" s="347"/>
      <c r="DO2313" s="347"/>
      <c r="DP2313" s="2505"/>
    </row>
    <row r="2314" spans="12:120">
      <c r="L2314" s="2831" t="s">
        <v>2311</v>
      </c>
      <c r="M2314" s="2832"/>
      <c r="AB2314" s="2831" t="s">
        <v>2311</v>
      </c>
      <c r="AC2314" s="2832"/>
      <c r="AD2314" s="1138"/>
      <c r="AP2314" s="347">
        <v>324.01</v>
      </c>
      <c r="AQ2314" s="347" t="s">
        <v>362</v>
      </c>
      <c r="BF2314" s="347">
        <v>419</v>
      </c>
      <c r="BG2314" s="347" t="s">
        <v>310</v>
      </c>
      <c r="BH2314" s="1790"/>
      <c r="BN2314" s="237">
        <v>9801</v>
      </c>
      <c r="BO2314" s="237" t="s">
        <v>350</v>
      </c>
      <c r="BT2314" s="347">
        <v>328.04</v>
      </c>
      <c r="BU2314" s="347" t="s">
        <v>362</v>
      </c>
      <c r="CD2314" s="237">
        <v>127.02</v>
      </c>
      <c r="CE2314" s="237" t="s">
        <v>352</v>
      </c>
      <c r="CJ2314" s="347">
        <v>418.01</v>
      </c>
      <c r="CK2314" s="347" t="s">
        <v>310</v>
      </c>
      <c r="CL2314" s="1789"/>
      <c r="CR2314" s="345"/>
      <c r="CS2314" s="345"/>
      <c r="CX2314" s="347"/>
      <c r="CY2314" s="347"/>
      <c r="DH2314" s="237"/>
      <c r="DI2314" s="237"/>
      <c r="DN2314" s="347"/>
      <c r="DO2314" s="347"/>
      <c r="DP2314" s="2505"/>
    </row>
    <row r="2315" spans="12:120">
      <c r="AD2315" s="1138"/>
      <c r="AP2315" s="347">
        <v>326.02</v>
      </c>
      <c r="AQ2315" s="347" t="s">
        <v>362</v>
      </c>
      <c r="BF2315" s="347">
        <v>420</v>
      </c>
      <c r="BG2315" s="347" t="s">
        <v>310</v>
      </c>
      <c r="BH2315" s="1790"/>
      <c r="BN2315" s="237">
        <v>1</v>
      </c>
      <c r="BO2315" s="237" t="s">
        <v>351</v>
      </c>
      <c r="BT2315" s="347">
        <v>328.05</v>
      </c>
      <c r="BU2315" s="347" t="s">
        <v>362</v>
      </c>
      <c r="CD2315" s="237">
        <v>127.02</v>
      </c>
      <c r="CE2315" s="237" t="s">
        <v>365</v>
      </c>
      <c r="CJ2315" s="347">
        <v>418.02</v>
      </c>
      <c r="CK2315" s="347" t="s">
        <v>310</v>
      </c>
      <c r="CL2315" s="1789"/>
      <c r="CR2315" s="345"/>
      <c r="CS2315" s="345"/>
      <c r="CX2315" s="347"/>
      <c r="CY2315" s="347"/>
      <c r="DH2315" s="237"/>
      <c r="DI2315" s="237"/>
      <c r="DN2315" s="347"/>
      <c r="DO2315" s="347"/>
      <c r="DP2315" s="2505"/>
    </row>
    <row r="2316" spans="12:120">
      <c r="AD2316" s="1138"/>
      <c r="AP2316" s="347">
        <v>327</v>
      </c>
      <c r="AQ2316" s="347" t="s">
        <v>362</v>
      </c>
      <c r="BF2316" s="347">
        <v>421</v>
      </c>
      <c r="BG2316" s="347" t="s">
        <v>310</v>
      </c>
      <c r="BH2316" s="1790"/>
      <c r="BN2316" s="237">
        <v>2</v>
      </c>
      <c r="BO2316" s="237" t="s">
        <v>351</v>
      </c>
      <c r="BT2316" s="347">
        <v>329.01</v>
      </c>
      <c r="BU2316" s="347" t="s">
        <v>362</v>
      </c>
      <c r="CD2316" s="237">
        <v>127.03</v>
      </c>
      <c r="CE2316" s="237" t="s">
        <v>323</v>
      </c>
      <c r="CJ2316" s="347">
        <v>419</v>
      </c>
      <c r="CK2316" s="347" t="s">
        <v>310</v>
      </c>
      <c r="CL2316" s="1789"/>
      <c r="CR2316" s="345"/>
      <c r="CS2316" s="345"/>
      <c r="CX2316" s="347"/>
      <c r="CY2316" s="347"/>
      <c r="DH2316" s="237"/>
      <c r="DI2316" s="237"/>
      <c r="DN2316" s="347"/>
      <c r="DO2316" s="347"/>
      <c r="DP2316" s="2505"/>
    </row>
    <row r="2317" spans="12:120">
      <c r="AD2317" s="1138"/>
      <c r="AP2317" s="347">
        <v>328.02</v>
      </c>
      <c r="AQ2317" s="347" t="s">
        <v>362</v>
      </c>
      <c r="BF2317" s="347">
        <v>422</v>
      </c>
      <c r="BG2317" s="347" t="s">
        <v>310</v>
      </c>
      <c r="BH2317" s="1790"/>
      <c r="BN2317" s="237">
        <v>3</v>
      </c>
      <c r="BO2317" s="237" t="s">
        <v>351</v>
      </c>
      <c r="BT2317" s="347">
        <v>329.02</v>
      </c>
      <c r="BU2317" s="347" t="s">
        <v>362</v>
      </c>
      <c r="CD2317" s="237">
        <v>127.04</v>
      </c>
      <c r="CE2317" s="237" t="s">
        <v>323</v>
      </c>
      <c r="CJ2317" s="347">
        <v>420</v>
      </c>
      <c r="CK2317" s="347" t="s">
        <v>310</v>
      </c>
      <c r="CL2317" s="1789"/>
      <c r="CR2317" s="345"/>
      <c r="CS2317" s="345"/>
      <c r="CX2317" s="347"/>
      <c r="CY2317" s="347"/>
      <c r="DH2317" s="237"/>
      <c r="DI2317" s="237"/>
      <c r="DN2317" s="347"/>
      <c r="DO2317" s="347"/>
      <c r="DP2317" s="2505"/>
    </row>
    <row r="2318" spans="12:120">
      <c r="AD2318" s="1138"/>
      <c r="AP2318" s="347">
        <v>328.04</v>
      </c>
      <c r="AQ2318" s="347" t="s">
        <v>362</v>
      </c>
      <c r="BF2318" s="347">
        <v>423.01</v>
      </c>
      <c r="BG2318" s="347" t="s">
        <v>310</v>
      </c>
      <c r="BH2318" s="1790"/>
      <c r="BN2318" s="237">
        <v>4</v>
      </c>
      <c r="BO2318" s="237" t="s">
        <v>351</v>
      </c>
      <c r="BT2318" s="347">
        <v>330.05</v>
      </c>
      <c r="BU2318" s="347" t="s">
        <v>362</v>
      </c>
      <c r="CD2318" s="237">
        <v>128</v>
      </c>
      <c r="CE2318" s="237" t="s">
        <v>323</v>
      </c>
      <c r="CJ2318" s="347">
        <v>421</v>
      </c>
      <c r="CK2318" s="347" t="s">
        <v>310</v>
      </c>
      <c r="CL2318" s="1789"/>
      <c r="CR2318" s="345"/>
      <c r="CS2318" s="345"/>
      <c r="CX2318" s="347"/>
      <c r="CY2318" s="347"/>
      <c r="DH2318" s="237"/>
      <c r="DI2318" s="237"/>
      <c r="DN2318" s="347"/>
      <c r="DO2318" s="347"/>
      <c r="DP2318" s="2505"/>
    </row>
    <row r="2319" spans="12:120">
      <c r="AD2319" s="1138"/>
      <c r="AP2319" s="347">
        <v>328.05</v>
      </c>
      <c r="AQ2319" s="347" t="s">
        <v>362</v>
      </c>
      <c r="BF2319" s="347">
        <v>423.02</v>
      </c>
      <c r="BG2319" s="347" t="s">
        <v>310</v>
      </c>
      <c r="BH2319" s="1790"/>
      <c r="BN2319" s="237">
        <v>5.01</v>
      </c>
      <c r="BO2319" s="237" t="s">
        <v>351</v>
      </c>
      <c r="BT2319" s="347">
        <v>330.06</v>
      </c>
      <c r="BU2319" s="347" t="s">
        <v>362</v>
      </c>
      <c r="CD2319" s="237">
        <v>128</v>
      </c>
      <c r="CE2319" s="237" t="s">
        <v>337</v>
      </c>
      <c r="CJ2319" s="347">
        <v>422</v>
      </c>
      <c r="CK2319" s="347" t="s">
        <v>310</v>
      </c>
      <c r="CL2319" s="1789"/>
      <c r="CR2319" s="345"/>
      <c r="CS2319" s="345"/>
      <c r="CX2319" s="347"/>
      <c r="CY2319" s="347"/>
      <c r="DH2319" s="237"/>
      <c r="DI2319" s="237"/>
      <c r="DN2319" s="347"/>
      <c r="DO2319" s="347"/>
      <c r="DP2319" s="2505"/>
    </row>
    <row r="2320" spans="12:120">
      <c r="AD2320" s="1138"/>
      <c r="AP2320" s="347">
        <v>329.02</v>
      </c>
      <c r="AQ2320" s="347" t="s">
        <v>362</v>
      </c>
      <c r="BF2320" s="347">
        <v>424</v>
      </c>
      <c r="BG2320" s="347" t="s">
        <v>310</v>
      </c>
      <c r="BH2320" s="1790"/>
      <c r="BN2320" s="237">
        <v>5.0199999999999996</v>
      </c>
      <c r="BO2320" s="237" t="s">
        <v>351</v>
      </c>
      <c r="BT2320" s="347">
        <v>331.02</v>
      </c>
      <c r="BU2320" s="347" t="s">
        <v>362</v>
      </c>
      <c r="CD2320" s="237">
        <v>128</v>
      </c>
      <c r="CE2320" s="237" t="s">
        <v>359</v>
      </c>
      <c r="CJ2320" s="347">
        <v>422.01</v>
      </c>
      <c r="CK2320" s="347" t="s">
        <v>360</v>
      </c>
      <c r="CL2320" s="1789"/>
      <c r="CR2320" s="345"/>
      <c r="CS2320" s="345"/>
      <c r="CX2320" s="347"/>
      <c r="CY2320" s="347"/>
      <c r="DH2320" s="237"/>
      <c r="DI2320" s="237"/>
      <c r="DN2320" s="347"/>
      <c r="DO2320" s="347"/>
      <c r="DP2320" s="2505"/>
    </row>
    <row r="2321" spans="30:120">
      <c r="AD2321" s="1138"/>
      <c r="AP2321" s="347">
        <v>330.05</v>
      </c>
      <c r="AQ2321" s="347" t="s">
        <v>362</v>
      </c>
      <c r="BF2321" s="347">
        <v>424</v>
      </c>
      <c r="BG2321" s="347" t="s">
        <v>360</v>
      </c>
      <c r="BH2321" s="1790"/>
      <c r="BN2321" s="237">
        <v>6.03</v>
      </c>
      <c r="BO2321" s="237" t="s">
        <v>351</v>
      </c>
      <c r="BT2321" s="347">
        <v>201.05</v>
      </c>
      <c r="BU2321" s="347" t="s">
        <v>363</v>
      </c>
      <c r="CD2321" s="237">
        <v>128.01</v>
      </c>
      <c r="CE2321" s="237" t="s">
        <v>352</v>
      </c>
      <c r="CJ2321" s="347">
        <v>423.01</v>
      </c>
      <c r="CK2321" s="347" t="s">
        <v>310</v>
      </c>
      <c r="CL2321" s="1789"/>
      <c r="CR2321" s="345"/>
      <c r="CS2321" s="345"/>
      <c r="CX2321" s="347"/>
      <c r="CY2321" s="347"/>
      <c r="DH2321" s="237"/>
      <c r="DI2321" s="237"/>
      <c r="DN2321" s="347"/>
      <c r="DO2321" s="347"/>
      <c r="DP2321" s="2505"/>
    </row>
    <row r="2322" spans="30:120">
      <c r="AD2322" s="1138"/>
      <c r="AP2322" s="347">
        <v>330.06</v>
      </c>
      <c r="AQ2322" s="347" t="s">
        <v>362</v>
      </c>
      <c r="BF2322" s="347">
        <v>425.01</v>
      </c>
      <c r="BG2322" s="347" t="s">
        <v>310</v>
      </c>
      <c r="BH2322" s="1790"/>
      <c r="BN2322" s="237">
        <v>6.04</v>
      </c>
      <c r="BO2322" s="237" t="s">
        <v>351</v>
      </c>
      <c r="BT2322" s="347">
        <v>201.06</v>
      </c>
      <c r="BU2322" s="347" t="s">
        <v>363</v>
      </c>
      <c r="CD2322" s="237">
        <v>128.02000000000001</v>
      </c>
      <c r="CE2322" s="237" t="s">
        <v>352</v>
      </c>
      <c r="CJ2322" s="347">
        <v>423.02</v>
      </c>
      <c r="CK2322" s="347" t="s">
        <v>310</v>
      </c>
      <c r="CL2322" s="1789"/>
      <c r="CR2322" s="345"/>
      <c r="CS2322" s="345"/>
      <c r="CX2322" s="347"/>
      <c r="CY2322" s="347"/>
      <c r="DH2322" s="237"/>
      <c r="DI2322" s="237"/>
      <c r="DN2322" s="347"/>
      <c r="DO2322" s="347"/>
      <c r="DP2322" s="2505"/>
    </row>
    <row r="2323" spans="30:120">
      <c r="AD2323" s="1138"/>
      <c r="AP2323" s="347">
        <v>330.08</v>
      </c>
      <c r="AQ2323" s="347" t="s">
        <v>362</v>
      </c>
      <c r="BF2323" s="347">
        <v>425.02</v>
      </c>
      <c r="BG2323" s="347" t="s">
        <v>310</v>
      </c>
      <c r="BH2323" s="1790"/>
      <c r="BN2323" s="237">
        <v>6.06</v>
      </c>
      <c r="BO2323" s="237" t="s">
        <v>351</v>
      </c>
      <c r="BT2323" s="347">
        <v>201.07</v>
      </c>
      <c r="BU2323" s="347" t="s">
        <v>363</v>
      </c>
      <c r="CD2323" s="237">
        <v>128.02000000000001</v>
      </c>
      <c r="CE2323" s="237" t="s">
        <v>365</v>
      </c>
      <c r="CJ2323" s="347">
        <v>424</v>
      </c>
      <c r="CK2323" s="347" t="s">
        <v>310</v>
      </c>
      <c r="CL2323" s="1789"/>
      <c r="CR2323" s="345"/>
      <c r="CS2323" s="345"/>
      <c r="CX2323" s="347"/>
      <c r="CY2323" s="347"/>
      <c r="DH2323" s="237"/>
      <c r="DI2323" s="237"/>
      <c r="DN2323" s="347"/>
      <c r="DO2323" s="347"/>
      <c r="DP2323" s="2505"/>
    </row>
    <row r="2324" spans="30:120">
      <c r="AD2324" s="1138"/>
      <c r="AP2324" s="347">
        <v>331.02</v>
      </c>
      <c r="AQ2324" s="347" t="s">
        <v>362</v>
      </c>
      <c r="BF2324" s="347">
        <v>426.01</v>
      </c>
      <c r="BG2324" s="347" t="s">
        <v>310</v>
      </c>
      <c r="BH2324" s="1790"/>
      <c r="BN2324" s="237">
        <v>6.07</v>
      </c>
      <c r="BO2324" s="237" t="s">
        <v>351</v>
      </c>
      <c r="BT2324" s="347">
        <v>201.08</v>
      </c>
      <c r="BU2324" s="347" t="s">
        <v>363</v>
      </c>
      <c r="CD2324" s="237">
        <v>128.03</v>
      </c>
      <c r="CE2324" s="237" t="s">
        <v>365</v>
      </c>
      <c r="CJ2324" s="347">
        <v>424</v>
      </c>
      <c r="CK2324" s="347" t="s">
        <v>360</v>
      </c>
      <c r="CL2324" s="1789"/>
      <c r="CR2324" s="345"/>
      <c r="CS2324" s="345"/>
      <c r="CX2324" s="347"/>
      <c r="CY2324" s="347"/>
      <c r="DH2324" s="237"/>
      <c r="DI2324" s="237"/>
      <c r="DN2324" s="347"/>
      <c r="DO2324" s="347"/>
      <c r="DP2324" s="2505"/>
    </row>
    <row r="2325" spans="30:120">
      <c r="AD2325" s="1138"/>
      <c r="AP2325" s="347">
        <v>201.05</v>
      </c>
      <c r="AQ2325" s="347" t="s">
        <v>363</v>
      </c>
      <c r="BF2325" s="347">
        <v>426.02</v>
      </c>
      <c r="BG2325" s="347" t="s">
        <v>310</v>
      </c>
      <c r="BH2325" s="1790"/>
      <c r="BN2325" s="237">
        <v>6.1</v>
      </c>
      <c r="BO2325" s="237" t="s">
        <v>351</v>
      </c>
      <c r="BT2325" s="347">
        <v>201.1</v>
      </c>
      <c r="BU2325" s="347" t="s">
        <v>363</v>
      </c>
      <c r="CD2325" s="237">
        <v>128.04</v>
      </c>
      <c r="CE2325" s="237" t="s">
        <v>365</v>
      </c>
      <c r="CJ2325" s="347">
        <v>425.01</v>
      </c>
      <c r="CK2325" s="347" t="s">
        <v>310</v>
      </c>
      <c r="CL2325" s="1789"/>
      <c r="CR2325" s="345"/>
      <c r="CS2325" s="345"/>
      <c r="CX2325" s="347"/>
      <c r="CY2325" s="347"/>
      <c r="DH2325" s="237"/>
      <c r="DI2325" s="237"/>
      <c r="DN2325" s="347"/>
      <c r="DO2325" s="347"/>
      <c r="DP2325" s="2505"/>
    </row>
    <row r="2326" spans="30:120">
      <c r="AD2326" s="1138"/>
      <c r="AP2326" s="347">
        <v>201.06</v>
      </c>
      <c r="AQ2326" s="347" t="s">
        <v>363</v>
      </c>
      <c r="BF2326" s="347">
        <v>427.01</v>
      </c>
      <c r="BG2326" s="347" t="s">
        <v>360</v>
      </c>
      <c r="BH2326" s="1790"/>
      <c r="BN2326" s="237">
        <v>7.01</v>
      </c>
      <c r="BO2326" s="237" t="s">
        <v>351</v>
      </c>
      <c r="BT2326" s="347">
        <v>202.01</v>
      </c>
      <c r="BU2326" s="347" t="s">
        <v>363</v>
      </c>
      <c r="CD2326" s="237">
        <v>129</v>
      </c>
      <c r="CE2326" s="237" t="s">
        <v>323</v>
      </c>
      <c r="CJ2326" s="347">
        <v>425.02</v>
      </c>
      <c r="CK2326" s="347" t="s">
        <v>310</v>
      </c>
      <c r="CL2326" s="1789"/>
      <c r="CR2326" s="345"/>
      <c r="CS2326" s="345"/>
      <c r="CX2326" s="347"/>
      <c r="CY2326" s="347"/>
      <c r="DH2326" s="237"/>
      <c r="DI2326" s="237"/>
      <c r="DN2326" s="347"/>
      <c r="DO2326" s="347"/>
      <c r="DP2326" s="2505"/>
    </row>
    <row r="2327" spans="30:120">
      <c r="AD2327" s="1138"/>
      <c r="AP2327" s="347">
        <v>201.07</v>
      </c>
      <c r="AQ2327" s="347" t="s">
        <v>363</v>
      </c>
      <c r="BF2327" s="347">
        <v>428</v>
      </c>
      <c r="BG2327" s="347" t="s">
        <v>360</v>
      </c>
      <c r="BH2327" s="1790"/>
      <c r="BN2327" s="237">
        <v>7.02</v>
      </c>
      <c r="BO2327" s="237" t="s">
        <v>351</v>
      </c>
      <c r="BT2327" s="347">
        <v>202.02</v>
      </c>
      <c r="BU2327" s="347" t="s">
        <v>363</v>
      </c>
      <c r="CD2327" s="237">
        <v>129</v>
      </c>
      <c r="CE2327" s="237" t="s">
        <v>337</v>
      </c>
      <c r="CJ2327" s="347">
        <v>426.01</v>
      </c>
      <c r="CK2327" s="347" t="s">
        <v>310</v>
      </c>
      <c r="CL2327" s="1789"/>
      <c r="CR2327" s="345"/>
      <c r="CS2327" s="345"/>
      <c r="CX2327" s="347"/>
      <c r="CY2327" s="347"/>
      <c r="DH2327" s="237"/>
      <c r="DI2327" s="237"/>
      <c r="DN2327" s="347"/>
      <c r="DO2327" s="347"/>
      <c r="DP2327" s="2505"/>
    </row>
    <row r="2328" spans="30:120">
      <c r="AD2328" s="1138"/>
      <c r="AP2328" s="347">
        <v>201.08</v>
      </c>
      <c r="AQ2328" s="347" t="s">
        <v>363</v>
      </c>
      <c r="BF2328" s="347">
        <v>429.03</v>
      </c>
      <c r="BG2328" s="347" t="s">
        <v>360</v>
      </c>
      <c r="BH2328" s="1790"/>
      <c r="BN2328" s="237">
        <v>8</v>
      </c>
      <c r="BO2328" s="237" t="s">
        <v>351</v>
      </c>
      <c r="BT2328" s="347">
        <v>202.06</v>
      </c>
      <c r="BU2328" s="347" t="s">
        <v>363</v>
      </c>
      <c r="CD2328" s="237">
        <v>129</v>
      </c>
      <c r="CE2328" s="237" t="s">
        <v>352</v>
      </c>
      <c r="CJ2328" s="347">
        <v>426.02</v>
      </c>
      <c r="CK2328" s="347" t="s">
        <v>310</v>
      </c>
      <c r="CL2328" s="1789"/>
      <c r="CR2328" s="345"/>
      <c r="CS2328" s="345"/>
      <c r="CX2328" s="347"/>
      <c r="CY2328" s="347"/>
      <c r="DH2328" s="237"/>
      <c r="DI2328" s="237"/>
      <c r="DN2328" s="347"/>
      <c r="DO2328" s="347"/>
      <c r="DP2328" s="2505"/>
    </row>
    <row r="2329" spans="30:120">
      <c r="AD2329" s="1138"/>
      <c r="AP2329" s="347">
        <v>201.09</v>
      </c>
      <c r="AQ2329" s="347" t="s">
        <v>363</v>
      </c>
      <c r="BF2329" s="347">
        <v>429.04</v>
      </c>
      <c r="BG2329" s="347" t="s">
        <v>360</v>
      </c>
      <c r="BH2329" s="1790"/>
      <c r="BN2329" s="237">
        <v>9.01</v>
      </c>
      <c r="BO2329" s="237" t="s">
        <v>351</v>
      </c>
      <c r="BT2329" s="347">
        <v>202.07</v>
      </c>
      <c r="BU2329" s="347" t="s">
        <v>363</v>
      </c>
      <c r="CD2329" s="237">
        <v>129</v>
      </c>
      <c r="CE2329" s="237" t="s">
        <v>359</v>
      </c>
      <c r="CJ2329" s="347">
        <v>428</v>
      </c>
      <c r="CK2329" s="347" t="s">
        <v>360</v>
      </c>
      <c r="CL2329" s="1789"/>
      <c r="CR2329" s="345"/>
      <c r="CS2329" s="345"/>
      <c r="CX2329" s="347"/>
      <c r="CY2329" s="347"/>
      <c r="DH2329" s="237"/>
      <c r="DI2329" s="237"/>
      <c r="DN2329" s="347"/>
      <c r="DO2329" s="347"/>
      <c r="DP2329" s="2505"/>
    </row>
    <row r="2330" spans="30:120">
      <c r="AD2330" s="1138"/>
      <c r="AP2330" s="347">
        <v>202.01</v>
      </c>
      <c r="AQ2330" s="347" t="s">
        <v>363</v>
      </c>
      <c r="BF2330" s="347">
        <v>430.01</v>
      </c>
      <c r="BG2330" s="347" t="s">
        <v>310</v>
      </c>
      <c r="BH2330" s="1790"/>
      <c r="BN2330" s="237">
        <v>9.02</v>
      </c>
      <c r="BO2330" s="237" t="s">
        <v>351</v>
      </c>
      <c r="BT2330" s="347">
        <v>202.08</v>
      </c>
      <c r="BU2330" s="347" t="s">
        <v>363</v>
      </c>
      <c r="CD2330" s="237">
        <v>129</v>
      </c>
      <c r="CE2330" s="237" t="s">
        <v>365</v>
      </c>
      <c r="CJ2330" s="347">
        <v>429.03</v>
      </c>
      <c r="CK2330" s="347" t="s">
        <v>360</v>
      </c>
      <c r="CL2330" s="1789"/>
      <c r="CR2330" s="345"/>
      <c r="CS2330" s="345"/>
      <c r="CX2330" s="347"/>
      <c r="CY2330" s="347"/>
      <c r="DH2330" s="237"/>
      <c r="DI2330" s="237"/>
      <c r="DN2330" s="347"/>
      <c r="DO2330" s="347"/>
      <c r="DP2330" s="2505"/>
    </row>
    <row r="2331" spans="30:120">
      <c r="AD2331" s="1138"/>
      <c r="AP2331" s="347">
        <v>202.02</v>
      </c>
      <c r="AQ2331" s="347" t="s">
        <v>363</v>
      </c>
      <c r="BF2331" s="347">
        <v>431</v>
      </c>
      <c r="BG2331" s="347" t="s">
        <v>310</v>
      </c>
      <c r="BH2331" s="1790"/>
      <c r="BN2331" s="237">
        <v>10</v>
      </c>
      <c r="BO2331" s="237" t="s">
        <v>351</v>
      </c>
      <c r="BT2331" s="347">
        <v>202.09</v>
      </c>
      <c r="BU2331" s="347" t="s">
        <v>363</v>
      </c>
      <c r="CD2331" s="237">
        <v>130</v>
      </c>
      <c r="CE2331" s="237" t="s">
        <v>323</v>
      </c>
      <c r="CJ2331" s="347">
        <v>429.04</v>
      </c>
      <c r="CK2331" s="347" t="s">
        <v>360</v>
      </c>
      <c r="CL2331" s="1789"/>
      <c r="CR2331" s="345"/>
      <c r="CS2331" s="345"/>
      <c r="CX2331" s="347"/>
      <c r="CY2331" s="347"/>
      <c r="DH2331" s="237"/>
      <c r="DI2331" s="237"/>
      <c r="DN2331" s="347"/>
      <c r="DO2331" s="347"/>
      <c r="DP2331" s="2505"/>
    </row>
    <row r="2332" spans="30:120">
      <c r="AD2332" s="1138"/>
      <c r="AP2332" s="347">
        <v>202.06</v>
      </c>
      <c r="AQ2332" s="347" t="s">
        <v>363</v>
      </c>
      <c r="BF2332" s="347">
        <v>431</v>
      </c>
      <c r="BG2332" s="347" t="s">
        <v>360</v>
      </c>
      <c r="BH2332" s="1790"/>
      <c r="BN2332" s="237">
        <v>11.03</v>
      </c>
      <c r="BO2332" s="237" t="s">
        <v>351</v>
      </c>
      <c r="BT2332" s="347">
        <v>203.01</v>
      </c>
      <c r="BU2332" s="347" t="s">
        <v>363</v>
      </c>
      <c r="CD2332" s="237">
        <v>130</v>
      </c>
      <c r="CE2332" s="237" t="s">
        <v>352</v>
      </c>
      <c r="CJ2332" s="347">
        <v>430.01</v>
      </c>
      <c r="CK2332" s="347" t="s">
        <v>310</v>
      </c>
      <c r="CL2332" s="1789"/>
      <c r="CR2332" s="345"/>
      <c r="CS2332" s="345"/>
      <c r="CX2332" s="347"/>
      <c r="CY2332" s="347"/>
      <c r="DH2332" s="237"/>
      <c r="DI2332" s="237"/>
      <c r="DN2332" s="347"/>
      <c r="DO2332" s="347"/>
      <c r="DP2332" s="2505"/>
    </row>
    <row r="2333" spans="30:120">
      <c r="AD2333" s="1138"/>
      <c r="AP2333" s="347">
        <v>202.07</v>
      </c>
      <c r="AQ2333" s="347" t="s">
        <v>363</v>
      </c>
      <c r="BF2333" s="347">
        <v>432.07</v>
      </c>
      <c r="BG2333" s="347" t="s">
        <v>360</v>
      </c>
      <c r="BH2333" s="1790"/>
      <c r="BN2333" s="237">
        <v>11.05</v>
      </c>
      <c r="BO2333" s="237" t="s">
        <v>351</v>
      </c>
      <c r="BT2333" s="347">
        <v>203.02</v>
      </c>
      <c r="BU2333" s="347" t="s">
        <v>363</v>
      </c>
      <c r="CD2333" s="237">
        <v>130.01</v>
      </c>
      <c r="CE2333" s="237" t="s">
        <v>337</v>
      </c>
      <c r="CJ2333" s="347">
        <v>430.02</v>
      </c>
      <c r="CK2333" s="347" t="s">
        <v>310</v>
      </c>
      <c r="CL2333" s="1789"/>
      <c r="CR2333" s="345"/>
      <c r="CS2333" s="345"/>
      <c r="CX2333" s="347"/>
      <c r="CY2333" s="347"/>
      <c r="DH2333" s="237"/>
      <c r="DI2333" s="237"/>
      <c r="DN2333" s="347"/>
      <c r="DO2333" s="347"/>
      <c r="DP2333" s="2505"/>
    </row>
    <row r="2334" spans="30:120">
      <c r="AD2334" s="1138"/>
      <c r="AP2334" s="347">
        <v>202.09</v>
      </c>
      <c r="AQ2334" s="347" t="s">
        <v>363</v>
      </c>
      <c r="BF2334" s="347">
        <v>432.08</v>
      </c>
      <c r="BG2334" s="347" t="s">
        <v>360</v>
      </c>
      <c r="BH2334" s="1790"/>
      <c r="BN2334" s="237">
        <v>11.06</v>
      </c>
      <c r="BO2334" s="237" t="s">
        <v>351</v>
      </c>
      <c r="BT2334" s="347">
        <v>204</v>
      </c>
      <c r="BU2334" s="347" t="s">
        <v>363</v>
      </c>
      <c r="CD2334" s="237">
        <v>130.01</v>
      </c>
      <c r="CE2334" s="237" t="s">
        <v>365</v>
      </c>
      <c r="CJ2334" s="347">
        <v>431</v>
      </c>
      <c r="CK2334" s="347" t="s">
        <v>360</v>
      </c>
      <c r="CL2334" s="1789"/>
      <c r="CR2334" s="345"/>
      <c r="CS2334" s="345"/>
      <c r="CX2334" s="347"/>
      <c r="CY2334" s="347"/>
      <c r="DH2334" s="237"/>
      <c r="DI2334" s="237"/>
      <c r="DN2334" s="347"/>
      <c r="DO2334" s="347"/>
      <c r="DP2334" s="2505"/>
    </row>
    <row r="2335" spans="30:120">
      <c r="AD2335" s="1138"/>
      <c r="AP2335" s="347">
        <v>203.02</v>
      </c>
      <c r="AQ2335" s="347" t="s">
        <v>363</v>
      </c>
      <c r="BF2335" s="347">
        <v>432.09</v>
      </c>
      <c r="BG2335" s="347" t="s">
        <v>360</v>
      </c>
      <c r="BH2335" s="1790"/>
      <c r="BN2335" s="237">
        <v>11.07</v>
      </c>
      <c r="BO2335" s="237" t="s">
        <v>351</v>
      </c>
      <c r="BT2335" s="347">
        <v>215.01</v>
      </c>
      <c r="BU2335" s="347" t="s">
        <v>363</v>
      </c>
      <c r="CD2335" s="237">
        <v>130.02000000000001</v>
      </c>
      <c r="CE2335" s="237" t="s">
        <v>337</v>
      </c>
      <c r="CJ2335" s="347">
        <v>432.07</v>
      </c>
      <c r="CK2335" s="347" t="s">
        <v>360</v>
      </c>
      <c r="CL2335" s="1789"/>
      <c r="CR2335" s="345"/>
      <c r="CS2335" s="345"/>
      <c r="CX2335" s="347"/>
      <c r="CY2335" s="347"/>
      <c r="DH2335" s="237"/>
      <c r="DI2335" s="237"/>
      <c r="DN2335" s="347"/>
      <c r="DO2335" s="347"/>
      <c r="DP2335" s="2505"/>
    </row>
    <row r="2336" spans="30:120">
      <c r="AD2336" s="1138"/>
      <c r="AP2336" s="347">
        <v>204</v>
      </c>
      <c r="AQ2336" s="347" t="s">
        <v>363</v>
      </c>
      <c r="BF2336" s="347">
        <v>433.01</v>
      </c>
      <c r="BG2336" s="347" t="s">
        <v>310</v>
      </c>
      <c r="BH2336" s="1790"/>
      <c r="BN2336" s="237">
        <v>11.08</v>
      </c>
      <c r="BO2336" s="237" t="s">
        <v>351</v>
      </c>
      <c r="BT2336" s="347">
        <v>215.02</v>
      </c>
      <c r="BU2336" s="347" t="s">
        <v>363</v>
      </c>
      <c r="CD2336" s="237">
        <v>130.02000000000001</v>
      </c>
      <c r="CE2336" s="237" t="s">
        <v>365</v>
      </c>
      <c r="CJ2336" s="347">
        <v>432.08</v>
      </c>
      <c r="CK2336" s="347" t="s">
        <v>360</v>
      </c>
      <c r="CL2336" s="1789"/>
      <c r="CR2336" s="345"/>
      <c r="CS2336" s="345"/>
      <c r="CX2336" s="347"/>
      <c r="CY2336" s="347"/>
      <c r="DH2336" s="237"/>
      <c r="DI2336" s="237"/>
      <c r="DN2336" s="347"/>
      <c r="DO2336" s="347"/>
      <c r="DP2336" s="2505"/>
    </row>
    <row r="2337" spans="30:120">
      <c r="AD2337" s="1138"/>
      <c r="AP2337" s="347">
        <v>215.01</v>
      </c>
      <c r="AQ2337" s="347" t="s">
        <v>363</v>
      </c>
      <c r="BF2337" s="347">
        <v>433.01</v>
      </c>
      <c r="BG2337" s="347" t="s">
        <v>360</v>
      </c>
      <c r="BH2337" s="1790"/>
      <c r="BN2337" s="237">
        <v>12</v>
      </c>
      <c r="BO2337" s="237" t="s">
        <v>351</v>
      </c>
      <c r="BT2337" s="347">
        <v>218</v>
      </c>
      <c r="BU2337" s="347" t="s">
        <v>363</v>
      </c>
      <c r="CD2337" s="237">
        <v>130.03</v>
      </c>
      <c r="CE2337" s="237" t="s">
        <v>337</v>
      </c>
      <c r="CJ2337" s="347">
        <v>432.09</v>
      </c>
      <c r="CK2337" s="347" t="s">
        <v>360</v>
      </c>
      <c r="CL2337" s="1789"/>
      <c r="CR2337" s="345"/>
      <c r="CS2337" s="345"/>
      <c r="CX2337" s="347"/>
      <c r="CY2337" s="347"/>
      <c r="DH2337" s="237"/>
      <c r="DI2337" s="237"/>
      <c r="DN2337" s="347"/>
      <c r="DO2337" s="347"/>
      <c r="DP2337" s="2505"/>
    </row>
    <row r="2338" spans="30:120">
      <c r="AD2338" s="1138"/>
      <c r="AP2338" s="347">
        <v>215.02</v>
      </c>
      <c r="AQ2338" s="347" t="s">
        <v>363</v>
      </c>
      <c r="BF2338" s="347">
        <v>433.03</v>
      </c>
      <c r="BG2338" s="347" t="s">
        <v>360</v>
      </c>
      <c r="BH2338" s="1790"/>
      <c r="BN2338" s="237">
        <v>13.01</v>
      </c>
      <c r="BO2338" s="237" t="s">
        <v>351</v>
      </c>
      <c r="BT2338" s="347">
        <v>219</v>
      </c>
      <c r="BU2338" s="347" t="s">
        <v>363</v>
      </c>
      <c r="CD2338" s="237">
        <v>130.04</v>
      </c>
      <c r="CE2338" s="237" t="s">
        <v>337</v>
      </c>
      <c r="CJ2338" s="347">
        <v>433.01</v>
      </c>
      <c r="CK2338" s="347" t="s">
        <v>310</v>
      </c>
      <c r="CL2338" s="1789"/>
      <c r="CR2338" s="345"/>
      <c r="CS2338" s="345"/>
      <c r="CX2338" s="347"/>
      <c r="CY2338" s="347"/>
      <c r="DH2338" s="237"/>
      <c r="DI2338" s="237"/>
      <c r="DN2338" s="347"/>
      <c r="DO2338" s="347"/>
      <c r="DP2338" s="2505"/>
    </row>
    <row r="2339" spans="30:120">
      <c r="AD2339" s="1138"/>
      <c r="AP2339" s="347">
        <v>218</v>
      </c>
      <c r="AQ2339" s="347" t="s">
        <v>363</v>
      </c>
      <c r="BF2339" s="347">
        <v>433.04</v>
      </c>
      <c r="BG2339" s="347" t="s">
        <v>360</v>
      </c>
      <c r="BH2339" s="1790"/>
      <c r="BN2339" s="237">
        <v>13.02</v>
      </c>
      <c r="BO2339" s="237" t="s">
        <v>351</v>
      </c>
      <c r="BT2339" s="347">
        <v>221.01</v>
      </c>
      <c r="BU2339" s="347" t="s">
        <v>363</v>
      </c>
      <c r="CD2339" s="237">
        <v>131</v>
      </c>
      <c r="CE2339" s="237" t="s">
        <v>323</v>
      </c>
      <c r="CJ2339" s="347">
        <v>433.01</v>
      </c>
      <c r="CK2339" s="347" t="s">
        <v>360</v>
      </c>
      <c r="CL2339" s="1789"/>
      <c r="CR2339" s="345"/>
      <c r="CS2339" s="345"/>
      <c r="CX2339" s="347"/>
      <c r="CY2339" s="347"/>
      <c r="DH2339" s="237"/>
      <c r="DI2339" s="237"/>
      <c r="DN2339" s="347"/>
      <c r="DO2339" s="347"/>
      <c r="DP2339" s="2505"/>
    </row>
    <row r="2340" spans="30:120">
      <c r="AD2340" s="1138"/>
      <c r="AP2340" s="347">
        <v>219</v>
      </c>
      <c r="AQ2340" s="347" t="s">
        <v>363</v>
      </c>
      <c r="BF2340" s="347">
        <v>435</v>
      </c>
      <c r="BG2340" s="347" t="s">
        <v>360</v>
      </c>
      <c r="BH2340" s="1790"/>
      <c r="BN2340" s="237">
        <v>14.04</v>
      </c>
      <c r="BO2340" s="237" t="s">
        <v>351</v>
      </c>
      <c r="BT2340" s="347">
        <v>221.02</v>
      </c>
      <c r="BU2340" s="347" t="s">
        <v>363</v>
      </c>
      <c r="CD2340" s="237">
        <v>131</v>
      </c>
      <c r="CE2340" s="237" t="s">
        <v>337</v>
      </c>
      <c r="CJ2340" s="347">
        <v>433.03</v>
      </c>
      <c r="CK2340" s="347" t="s">
        <v>360</v>
      </c>
      <c r="CL2340" s="1789"/>
      <c r="CR2340" s="345"/>
      <c r="CS2340" s="345"/>
      <c r="CX2340" s="347"/>
      <c r="CY2340" s="347"/>
      <c r="DH2340" s="237"/>
      <c r="DI2340" s="237"/>
      <c r="DN2340" s="347"/>
      <c r="DO2340" s="347"/>
      <c r="DP2340" s="2505"/>
    </row>
    <row r="2341" spans="30:120">
      <c r="AD2341" s="1138"/>
      <c r="AP2341" s="347">
        <v>221.02</v>
      </c>
      <c r="AQ2341" s="347" t="s">
        <v>363</v>
      </c>
      <c r="BF2341" s="347">
        <v>436</v>
      </c>
      <c r="BG2341" s="347" t="s">
        <v>360</v>
      </c>
      <c r="BH2341" s="1790"/>
      <c r="BN2341" s="237">
        <v>14.06</v>
      </c>
      <c r="BO2341" s="237" t="s">
        <v>351</v>
      </c>
      <c r="BT2341" s="347">
        <v>222</v>
      </c>
      <c r="BU2341" s="347" t="s">
        <v>363</v>
      </c>
      <c r="CD2341" s="237">
        <v>131</v>
      </c>
      <c r="CE2341" s="237" t="s">
        <v>352</v>
      </c>
      <c r="CJ2341" s="347">
        <v>433.04</v>
      </c>
      <c r="CK2341" s="347" t="s">
        <v>360</v>
      </c>
      <c r="CL2341" s="1789"/>
      <c r="CR2341" s="345"/>
      <c r="CS2341" s="345"/>
      <c r="CX2341" s="347"/>
      <c r="CY2341" s="347"/>
      <c r="DH2341" s="237"/>
      <c r="DI2341" s="237"/>
      <c r="DN2341" s="347"/>
      <c r="DO2341" s="347"/>
      <c r="DP2341" s="2505"/>
    </row>
    <row r="2342" spans="30:120">
      <c r="AD2342" s="1138"/>
      <c r="AP2342" s="347">
        <v>222</v>
      </c>
      <c r="AQ2342" s="347" t="s">
        <v>363</v>
      </c>
      <c r="BF2342" s="347">
        <v>437</v>
      </c>
      <c r="BG2342" s="347" t="s">
        <v>360</v>
      </c>
      <c r="BH2342" s="1790"/>
      <c r="BN2342" s="237">
        <v>14.07</v>
      </c>
      <c r="BO2342" s="237" t="s">
        <v>351</v>
      </c>
      <c r="BT2342" s="347">
        <v>223.01</v>
      </c>
      <c r="BU2342" s="347" t="s">
        <v>363</v>
      </c>
      <c r="CD2342" s="237">
        <v>131.01</v>
      </c>
      <c r="CE2342" s="237" t="s">
        <v>365</v>
      </c>
      <c r="CJ2342" s="347">
        <v>436</v>
      </c>
      <c r="CK2342" s="347" t="s">
        <v>360</v>
      </c>
      <c r="CL2342" s="1789"/>
      <c r="CR2342" s="345"/>
      <c r="CS2342" s="345"/>
      <c r="CX2342" s="347"/>
      <c r="CY2342" s="347"/>
      <c r="DH2342" s="237"/>
      <c r="DI2342" s="237"/>
      <c r="DN2342" s="347"/>
      <c r="DO2342" s="347"/>
      <c r="DP2342" s="2505"/>
    </row>
    <row r="2343" spans="30:120">
      <c r="AD2343" s="1138"/>
      <c r="AP2343" s="347">
        <v>223.01</v>
      </c>
      <c r="AQ2343" s="347" t="s">
        <v>363</v>
      </c>
      <c r="BF2343" s="347">
        <v>438.01</v>
      </c>
      <c r="BG2343" s="347" t="s">
        <v>360</v>
      </c>
      <c r="BH2343" s="1790"/>
      <c r="BN2343" s="237">
        <v>14.08</v>
      </c>
      <c r="BO2343" s="237" t="s">
        <v>351</v>
      </c>
      <c r="BT2343" s="347">
        <v>223.02</v>
      </c>
      <c r="BU2343" s="347" t="s">
        <v>363</v>
      </c>
      <c r="CD2343" s="237">
        <v>131.02000000000001</v>
      </c>
      <c r="CE2343" s="237" t="s">
        <v>365</v>
      </c>
      <c r="CJ2343" s="347">
        <v>437</v>
      </c>
      <c r="CK2343" s="347" t="s">
        <v>360</v>
      </c>
      <c r="CL2343" s="1789"/>
      <c r="CR2343" s="345"/>
      <c r="CS2343" s="345"/>
      <c r="CX2343" s="347"/>
      <c r="CY2343" s="347"/>
      <c r="DH2343" s="237"/>
      <c r="DI2343" s="237"/>
      <c r="DN2343" s="347"/>
      <c r="DO2343" s="347"/>
      <c r="DP2343" s="2505"/>
    </row>
    <row r="2344" spans="30:120">
      <c r="AD2344" s="1138"/>
      <c r="AP2344" s="347">
        <v>223.02</v>
      </c>
      <c r="AQ2344" s="347" t="s">
        <v>363</v>
      </c>
      <c r="BF2344" s="347">
        <v>501.02</v>
      </c>
      <c r="BG2344" s="347" t="s">
        <v>339</v>
      </c>
      <c r="BH2344" s="1790"/>
      <c r="BN2344" s="237">
        <v>14.09</v>
      </c>
      <c r="BO2344" s="237" t="s">
        <v>351</v>
      </c>
      <c r="BT2344" s="347">
        <v>224.01</v>
      </c>
      <c r="BU2344" s="347" t="s">
        <v>363</v>
      </c>
      <c r="CD2344" s="237">
        <v>131.03</v>
      </c>
      <c r="CE2344" s="237" t="s">
        <v>365</v>
      </c>
      <c r="CJ2344" s="347">
        <v>438.01</v>
      </c>
      <c r="CK2344" s="347" t="s">
        <v>360</v>
      </c>
      <c r="CL2344" s="1789"/>
      <c r="CR2344" s="345"/>
      <c r="CS2344" s="345"/>
      <c r="CX2344" s="347"/>
      <c r="CY2344" s="347"/>
      <c r="DH2344" s="237"/>
      <c r="DI2344" s="237"/>
      <c r="DN2344" s="347"/>
      <c r="DO2344" s="347"/>
      <c r="DP2344" s="2505"/>
    </row>
    <row r="2345" spans="30:120">
      <c r="AD2345" s="1138"/>
      <c r="AP2345" s="347">
        <v>224.01</v>
      </c>
      <c r="AQ2345" s="347" t="s">
        <v>363</v>
      </c>
      <c r="BF2345" s="347">
        <v>501.02</v>
      </c>
      <c r="BG2345" s="347" t="s">
        <v>356</v>
      </c>
      <c r="BH2345" s="1790"/>
      <c r="BN2345" s="237">
        <v>14.1</v>
      </c>
      <c r="BO2345" s="237" t="s">
        <v>351</v>
      </c>
      <c r="BT2345" s="347">
        <v>224.02</v>
      </c>
      <c r="BU2345" s="347" t="s">
        <v>363</v>
      </c>
      <c r="CD2345" s="237">
        <v>132</v>
      </c>
      <c r="CE2345" s="237" t="s">
        <v>323</v>
      </c>
      <c r="CJ2345" s="347">
        <v>501.02</v>
      </c>
      <c r="CK2345" s="347" t="s">
        <v>356</v>
      </c>
      <c r="CL2345" s="1789"/>
      <c r="CR2345" s="345"/>
      <c r="CS2345" s="345"/>
      <c r="CX2345" s="347"/>
      <c r="CY2345" s="347"/>
      <c r="DH2345" s="237"/>
      <c r="DI2345" s="237"/>
      <c r="DN2345" s="347"/>
      <c r="DO2345" s="347"/>
      <c r="DP2345" s="2505"/>
    </row>
    <row r="2346" spans="30:120">
      <c r="AD2346" s="1138"/>
      <c r="AP2346" s="347">
        <v>224.02</v>
      </c>
      <c r="AQ2346" s="347" t="s">
        <v>363</v>
      </c>
      <c r="BF2346" s="347">
        <v>501.03</v>
      </c>
      <c r="BG2346" s="347" t="s">
        <v>344</v>
      </c>
      <c r="BH2346" s="1790"/>
      <c r="BN2346" s="237">
        <v>15</v>
      </c>
      <c r="BO2346" s="237" t="s">
        <v>351</v>
      </c>
      <c r="BT2346" s="347">
        <v>225.01</v>
      </c>
      <c r="BU2346" s="347" t="s">
        <v>363</v>
      </c>
      <c r="CD2346" s="237">
        <v>132</v>
      </c>
      <c r="CE2346" s="237" t="s">
        <v>365</v>
      </c>
      <c r="CJ2346" s="347">
        <v>501.03</v>
      </c>
      <c r="CK2346" s="347" t="s">
        <v>344</v>
      </c>
      <c r="CL2346" s="1789"/>
      <c r="CR2346" s="345"/>
      <c r="CS2346" s="345"/>
      <c r="CX2346" s="347"/>
      <c r="CY2346" s="347"/>
      <c r="DH2346" s="237"/>
      <c r="DI2346" s="237"/>
      <c r="DN2346" s="347"/>
      <c r="DO2346" s="347"/>
      <c r="DP2346" s="2505"/>
    </row>
    <row r="2347" spans="30:120">
      <c r="AD2347" s="1138"/>
      <c r="AP2347" s="347">
        <v>225.01</v>
      </c>
      <c r="AQ2347" s="347" t="s">
        <v>363</v>
      </c>
      <c r="BF2347" s="347">
        <v>501.03</v>
      </c>
      <c r="BG2347" s="347" t="s">
        <v>356</v>
      </c>
      <c r="BH2347" s="1790"/>
      <c r="BN2347" s="237">
        <v>16.010000000000002</v>
      </c>
      <c r="BO2347" s="237" t="s">
        <v>351</v>
      </c>
      <c r="BT2347" s="347">
        <v>225.02</v>
      </c>
      <c r="BU2347" s="347" t="s">
        <v>363</v>
      </c>
      <c r="CD2347" s="237">
        <v>132.01</v>
      </c>
      <c r="CE2347" s="237" t="s">
        <v>352</v>
      </c>
      <c r="CJ2347" s="347">
        <v>501.03</v>
      </c>
      <c r="CK2347" s="347" t="s">
        <v>356</v>
      </c>
      <c r="CL2347" s="1789"/>
      <c r="CR2347" s="345"/>
      <c r="CS2347" s="345"/>
      <c r="CX2347" s="347"/>
      <c r="CY2347" s="347"/>
      <c r="DH2347" s="237"/>
      <c r="DI2347" s="237"/>
      <c r="DN2347" s="347"/>
      <c r="DO2347" s="347"/>
      <c r="DP2347" s="2505"/>
    </row>
    <row r="2348" spans="30:120">
      <c r="AD2348" s="1138"/>
      <c r="AP2348" s="347">
        <v>225.03</v>
      </c>
      <c r="AQ2348" s="347" t="s">
        <v>363</v>
      </c>
      <c r="BF2348" s="347">
        <v>501.04</v>
      </c>
      <c r="BG2348" s="347" t="s">
        <v>344</v>
      </c>
      <c r="BH2348" s="1790"/>
      <c r="BN2348" s="237">
        <v>16.02</v>
      </c>
      <c r="BO2348" s="237" t="s">
        <v>351</v>
      </c>
      <c r="BT2348" s="347">
        <v>225.03</v>
      </c>
      <c r="BU2348" s="347" t="s">
        <v>363</v>
      </c>
      <c r="CD2348" s="237">
        <v>132.01</v>
      </c>
      <c r="CE2348" s="237" t="s">
        <v>359</v>
      </c>
      <c r="CJ2348" s="347">
        <v>501.04</v>
      </c>
      <c r="CK2348" s="347" t="s">
        <v>344</v>
      </c>
      <c r="CL2348" s="1789"/>
      <c r="CR2348" s="345"/>
      <c r="CS2348" s="345"/>
      <c r="CX2348" s="347"/>
      <c r="CY2348" s="347"/>
      <c r="DH2348" s="237"/>
      <c r="DI2348" s="237"/>
      <c r="DN2348" s="347"/>
      <c r="DO2348" s="347"/>
      <c r="DP2348" s="2505"/>
    </row>
    <row r="2349" spans="30:120">
      <c r="AD2349" s="1138"/>
      <c r="AP2349" s="347">
        <v>226.01</v>
      </c>
      <c r="AQ2349" s="347" t="s">
        <v>363</v>
      </c>
      <c r="BF2349" s="347">
        <v>501.04</v>
      </c>
      <c r="BG2349" s="347" t="s">
        <v>356</v>
      </c>
      <c r="BH2349" s="1790"/>
      <c r="BN2349" s="237">
        <v>17.010000000000002</v>
      </c>
      <c r="BO2349" s="237" t="s">
        <v>351</v>
      </c>
      <c r="BT2349" s="347">
        <v>226.01</v>
      </c>
      <c r="BU2349" s="347" t="s">
        <v>363</v>
      </c>
      <c r="CD2349" s="237">
        <v>132.02000000000001</v>
      </c>
      <c r="CE2349" s="237" t="s">
        <v>352</v>
      </c>
      <c r="CJ2349" s="347">
        <v>501.04</v>
      </c>
      <c r="CK2349" s="347" t="s">
        <v>356</v>
      </c>
      <c r="CL2349" s="1789"/>
      <c r="CR2349" s="345"/>
      <c r="CS2349" s="345"/>
      <c r="CX2349" s="347"/>
      <c r="CY2349" s="347"/>
      <c r="DH2349" s="237"/>
      <c r="DI2349" s="237"/>
      <c r="DN2349" s="347"/>
      <c r="DO2349" s="347"/>
      <c r="DP2349" s="2505"/>
    </row>
    <row r="2350" spans="30:120">
      <c r="AD2350" s="1138"/>
      <c r="AP2350" s="347">
        <v>226.02</v>
      </c>
      <c r="AQ2350" s="347" t="s">
        <v>363</v>
      </c>
      <c r="BF2350" s="347">
        <v>501.06</v>
      </c>
      <c r="BG2350" s="347" t="s">
        <v>344</v>
      </c>
      <c r="BH2350" s="1790"/>
      <c r="BN2350" s="237">
        <v>17.02</v>
      </c>
      <c r="BO2350" s="237" t="s">
        <v>351</v>
      </c>
      <c r="BT2350" s="347">
        <v>226.02</v>
      </c>
      <c r="BU2350" s="347" t="s">
        <v>363</v>
      </c>
      <c r="CD2350" s="237">
        <v>132.02000000000001</v>
      </c>
      <c r="CE2350" s="237" t="s">
        <v>359</v>
      </c>
      <c r="CJ2350" s="347">
        <v>501.05</v>
      </c>
      <c r="CK2350" s="347" t="s">
        <v>344</v>
      </c>
      <c r="CL2350" s="1789"/>
      <c r="CR2350" s="345"/>
      <c r="CS2350" s="345"/>
      <c r="CX2350" s="347"/>
      <c r="CY2350" s="347"/>
      <c r="DH2350" s="237"/>
      <c r="DI2350" s="237"/>
      <c r="DN2350" s="347"/>
      <c r="DO2350" s="347"/>
      <c r="DP2350" s="2505"/>
    </row>
    <row r="2351" spans="30:120">
      <c r="AD2351" s="1138"/>
      <c r="AP2351" s="347">
        <v>227</v>
      </c>
      <c r="AQ2351" s="347" t="s">
        <v>363</v>
      </c>
      <c r="BF2351" s="347">
        <v>502.01</v>
      </c>
      <c r="BG2351" s="347" t="s">
        <v>339</v>
      </c>
      <c r="BH2351" s="1790"/>
      <c r="BN2351" s="237">
        <v>17.03</v>
      </c>
      <c r="BO2351" s="237" t="s">
        <v>351</v>
      </c>
      <c r="BT2351" s="347">
        <v>227</v>
      </c>
      <c r="BU2351" s="347" t="s">
        <v>363</v>
      </c>
      <c r="CD2351" s="237">
        <v>132.03</v>
      </c>
      <c r="CE2351" s="237" t="s">
        <v>337</v>
      </c>
      <c r="CJ2351" s="347">
        <v>501.06</v>
      </c>
      <c r="CK2351" s="347" t="s">
        <v>344</v>
      </c>
      <c r="CL2351" s="1789"/>
      <c r="CR2351" s="345"/>
      <c r="CS2351" s="345"/>
      <c r="CX2351" s="347"/>
      <c r="CY2351" s="347"/>
      <c r="DH2351" s="237"/>
      <c r="DI2351" s="237"/>
      <c r="DN2351" s="347"/>
      <c r="DO2351" s="347"/>
      <c r="DP2351" s="2505"/>
    </row>
    <row r="2352" spans="30:120">
      <c r="AD2352" s="1138"/>
      <c r="AP2352" s="347">
        <v>228.02</v>
      </c>
      <c r="AQ2352" s="347" t="s">
        <v>363</v>
      </c>
      <c r="BF2352" s="347">
        <v>502.01</v>
      </c>
      <c r="BG2352" s="347" t="s">
        <v>356</v>
      </c>
      <c r="BH2352" s="1790"/>
      <c r="BN2352" s="237">
        <v>18.03</v>
      </c>
      <c r="BO2352" s="237" t="s">
        <v>351</v>
      </c>
      <c r="BT2352" s="347">
        <v>228.02</v>
      </c>
      <c r="BU2352" s="347" t="s">
        <v>363</v>
      </c>
      <c r="CD2352" s="237">
        <v>132.04</v>
      </c>
      <c r="CE2352" s="237" t="s">
        <v>337</v>
      </c>
      <c r="CJ2352" s="347">
        <v>502.01</v>
      </c>
      <c r="CK2352" s="347" t="s">
        <v>339</v>
      </c>
      <c r="CL2352" s="1789"/>
      <c r="CR2352" s="345"/>
      <c r="CS2352" s="345"/>
      <c r="CX2352" s="347"/>
      <c r="CY2352" s="347"/>
      <c r="DH2352" s="237"/>
      <c r="DI2352" s="237"/>
      <c r="DN2352" s="347"/>
      <c r="DO2352" s="347"/>
      <c r="DP2352" s="2505"/>
    </row>
    <row r="2353" spans="30:120">
      <c r="AD2353" s="1138"/>
      <c r="AP2353" s="347">
        <v>229.01</v>
      </c>
      <c r="AQ2353" s="347" t="s">
        <v>363</v>
      </c>
      <c r="BF2353" s="347">
        <v>502.02</v>
      </c>
      <c r="BG2353" s="347" t="s">
        <v>339</v>
      </c>
      <c r="BH2353" s="1790"/>
      <c r="BN2353" s="237">
        <v>18.04</v>
      </c>
      <c r="BO2353" s="237" t="s">
        <v>351</v>
      </c>
      <c r="BT2353" s="347">
        <v>229.01</v>
      </c>
      <c r="BU2353" s="347" t="s">
        <v>363</v>
      </c>
      <c r="CD2353" s="237">
        <v>132.05000000000001</v>
      </c>
      <c r="CE2353" s="237" t="s">
        <v>337</v>
      </c>
      <c r="CJ2353" s="347">
        <v>502.01</v>
      </c>
      <c r="CK2353" s="347" t="s">
        <v>356</v>
      </c>
      <c r="CL2353" s="1789"/>
      <c r="CR2353" s="345"/>
      <c r="CS2353" s="345"/>
      <c r="CX2353" s="347"/>
      <c r="CY2353" s="347"/>
      <c r="DH2353" s="237"/>
      <c r="DI2353" s="237"/>
      <c r="DN2353" s="347"/>
      <c r="DO2353" s="347"/>
      <c r="DP2353" s="2505"/>
    </row>
    <row r="2354" spans="30:120">
      <c r="AD2354" s="1138"/>
      <c r="AP2354" s="347">
        <v>232</v>
      </c>
      <c r="AQ2354" s="347" t="s">
        <v>363</v>
      </c>
      <c r="BF2354" s="347">
        <v>502.03</v>
      </c>
      <c r="BG2354" s="347" t="s">
        <v>356</v>
      </c>
      <c r="BH2354" s="1790"/>
      <c r="BN2354" s="237">
        <v>18.05</v>
      </c>
      <c r="BO2354" s="237" t="s">
        <v>351</v>
      </c>
      <c r="BT2354" s="347">
        <v>232</v>
      </c>
      <c r="BU2354" s="347" t="s">
        <v>363</v>
      </c>
      <c r="CD2354" s="237">
        <v>132.06</v>
      </c>
      <c r="CE2354" s="237" t="s">
        <v>337</v>
      </c>
      <c r="CJ2354" s="347">
        <v>502.03</v>
      </c>
      <c r="CK2354" s="347" t="s">
        <v>356</v>
      </c>
      <c r="CL2354" s="1789"/>
      <c r="CR2354" s="345"/>
      <c r="CS2354" s="345"/>
      <c r="CX2354" s="347"/>
      <c r="CY2354" s="347"/>
      <c r="DH2354" s="237"/>
      <c r="DI2354" s="237"/>
      <c r="DN2354" s="347"/>
      <c r="DO2354" s="347"/>
      <c r="DP2354" s="2505"/>
    </row>
    <row r="2355" spans="30:120">
      <c r="AD2355" s="1138"/>
      <c r="AP2355" s="347">
        <v>233</v>
      </c>
      <c r="AQ2355" s="347" t="s">
        <v>363</v>
      </c>
      <c r="BF2355" s="347">
        <v>502.04</v>
      </c>
      <c r="BG2355" s="347" t="s">
        <v>344</v>
      </c>
      <c r="BH2355" s="1790"/>
      <c r="BN2355" s="237">
        <v>18.059999999999999</v>
      </c>
      <c r="BO2355" s="237" t="s">
        <v>351</v>
      </c>
      <c r="BT2355" s="347">
        <v>233</v>
      </c>
      <c r="BU2355" s="347" t="s">
        <v>363</v>
      </c>
      <c r="CD2355" s="237">
        <v>132.07</v>
      </c>
      <c r="CE2355" s="237" t="s">
        <v>337</v>
      </c>
      <c r="CJ2355" s="347">
        <v>502.04</v>
      </c>
      <c r="CK2355" s="347" t="s">
        <v>344</v>
      </c>
      <c r="CL2355" s="1789"/>
      <c r="CR2355" s="345"/>
      <c r="CS2355" s="345"/>
      <c r="CX2355" s="347"/>
      <c r="CY2355" s="347"/>
      <c r="DH2355" s="237"/>
      <c r="DI2355" s="237"/>
      <c r="DN2355" s="347"/>
      <c r="DO2355" s="347"/>
      <c r="DP2355" s="2505"/>
    </row>
    <row r="2356" spans="30:120">
      <c r="AD2356" s="1138"/>
      <c r="AP2356" s="347">
        <v>234</v>
      </c>
      <c r="AQ2356" s="347" t="s">
        <v>363</v>
      </c>
      <c r="BF2356" s="347">
        <v>502.04</v>
      </c>
      <c r="BG2356" s="347" t="s">
        <v>356</v>
      </c>
      <c r="BH2356" s="1790"/>
      <c r="BN2356" s="237">
        <v>9900</v>
      </c>
      <c r="BO2356" s="237" t="s">
        <v>351</v>
      </c>
      <c r="BT2356" s="347">
        <v>234</v>
      </c>
      <c r="BU2356" s="347" t="s">
        <v>363</v>
      </c>
      <c r="CD2356" s="237">
        <v>132.08000000000001</v>
      </c>
      <c r="CE2356" s="237" t="s">
        <v>337</v>
      </c>
      <c r="CJ2356" s="347">
        <v>502.04</v>
      </c>
      <c r="CK2356" s="347" t="s">
        <v>356</v>
      </c>
      <c r="CL2356" s="1789"/>
      <c r="CR2356" s="345"/>
      <c r="CS2356" s="345"/>
      <c r="CX2356" s="347"/>
      <c r="CY2356" s="347"/>
      <c r="DH2356" s="237"/>
      <c r="DI2356" s="237"/>
      <c r="DN2356" s="347"/>
      <c r="DO2356" s="347"/>
      <c r="DP2356" s="2505"/>
    </row>
    <row r="2357" spans="30:120">
      <c r="AD2357" s="1138"/>
      <c r="AP2357" s="347">
        <v>235.01</v>
      </c>
      <c r="AQ2357" s="347" t="s">
        <v>363</v>
      </c>
      <c r="BF2357" s="347">
        <v>502.05</v>
      </c>
      <c r="BG2357" s="347" t="s">
        <v>310</v>
      </c>
      <c r="BH2357" s="1790"/>
      <c r="BN2357" s="237">
        <v>9901</v>
      </c>
      <c r="BO2357" s="237" t="s">
        <v>351</v>
      </c>
      <c r="BT2357" s="347">
        <v>235.01</v>
      </c>
      <c r="BU2357" s="347" t="s">
        <v>363</v>
      </c>
      <c r="CD2357" s="237">
        <v>133</v>
      </c>
      <c r="CE2357" s="237" t="s">
        <v>359</v>
      </c>
      <c r="CJ2357" s="347">
        <v>502.05</v>
      </c>
      <c r="CK2357" s="347" t="s">
        <v>310</v>
      </c>
      <c r="CL2357" s="1789"/>
      <c r="CR2357" s="345"/>
      <c r="CS2357" s="345"/>
      <c r="CX2357" s="347"/>
      <c r="CY2357" s="347"/>
      <c r="DH2357" s="237"/>
      <c r="DI2357" s="237"/>
      <c r="DN2357" s="347"/>
      <c r="DO2357" s="347"/>
      <c r="DP2357" s="2505"/>
    </row>
    <row r="2358" spans="30:120">
      <c r="AD2358" s="1138"/>
      <c r="AP2358" s="347">
        <v>235.02</v>
      </c>
      <c r="AQ2358" s="347" t="s">
        <v>363</v>
      </c>
      <c r="BF2358" s="347">
        <v>502.05</v>
      </c>
      <c r="BG2358" s="347" t="s">
        <v>356</v>
      </c>
      <c r="BH2358" s="1790"/>
      <c r="BN2358" s="237">
        <v>1.07</v>
      </c>
      <c r="BO2358" s="237" t="s">
        <v>352</v>
      </c>
      <c r="BT2358" s="347">
        <v>235.02</v>
      </c>
      <c r="BU2358" s="347" t="s">
        <v>363</v>
      </c>
      <c r="CD2358" s="237">
        <v>133</v>
      </c>
      <c r="CE2358" s="237" t="s">
        <v>365</v>
      </c>
      <c r="CJ2358" s="347">
        <v>502.05</v>
      </c>
      <c r="CK2358" s="347" t="s">
        <v>356</v>
      </c>
      <c r="CL2358" s="1789"/>
      <c r="CR2358" s="345"/>
      <c r="CS2358" s="345"/>
      <c r="CX2358" s="347"/>
      <c r="CY2358" s="347"/>
      <c r="DH2358" s="237"/>
      <c r="DI2358" s="237"/>
      <c r="DN2358" s="347"/>
      <c r="DO2358" s="347"/>
      <c r="DP2358" s="2505"/>
    </row>
    <row r="2359" spans="30:120">
      <c r="AD2359" s="1138"/>
      <c r="AP2359" s="347">
        <v>236.01</v>
      </c>
      <c r="AQ2359" s="347" t="s">
        <v>363</v>
      </c>
      <c r="BF2359" s="347">
        <v>502.06</v>
      </c>
      <c r="BG2359" s="347" t="s">
        <v>310</v>
      </c>
      <c r="BH2359" s="1790"/>
      <c r="BN2359" s="237">
        <v>1.0900000000000001</v>
      </c>
      <c r="BO2359" s="237" t="s">
        <v>352</v>
      </c>
      <c r="BT2359" s="347">
        <v>236.01</v>
      </c>
      <c r="BU2359" s="347" t="s">
        <v>363</v>
      </c>
      <c r="CD2359" s="237">
        <v>133.01</v>
      </c>
      <c r="CE2359" s="237" t="s">
        <v>323</v>
      </c>
      <c r="CJ2359" s="347">
        <v>502.06</v>
      </c>
      <c r="CK2359" s="347" t="s">
        <v>310</v>
      </c>
      <c r="CL2359" s="1789"/>
      <c r="CR2359" s="345"/>
      <c r="CS2359" s="345"/>
      <c r="CX2359" s="347"/>
      <c r="CY2359" s="347"/>
      <c r="DH2359" s="237"/>
      <c r="DI2359" s="237"/>
      <c r="DN2359" s="347"/>
      <c r="DO2359" s="347"/>
      <c r="DP2359" s="2505"/>
    </row>
    <row r="2360" spans="30:120">
      <c r="AD2360" s="1138"/>
      <c r="AP2360" s="347">
        <v>236.02</v>
      </c>
      <c r="AQ2360" s="347" t="s">
        <v>363</v>
      </c>
      <c r="BF2360" s="347">
        <v>502.06</v>
      </c>
      <c r="BG2360" s="347" t="s">
        <v>344</v>
      </c>
      <c r="BH2360" s="1790"/>
      <c r="BN2360" s="237">
        <v>1.1499999999999999</v>
      </c>
      <c r="BO2360" s="237" t="s">
        <v>352</v>
      </c>
      <c r="BT2360" s="347">
        <v>236.02</v>
      </c>
      <c r="BU2360" s="347" t="s">
        <v>363</v>
      </c>
      <c r="CD2360" s="237">
        <v>133.01</v>
      </c>
      <c r="CE2360" s="237" t="s">
        <v>352</v>
      </c>
      <c r="CJ2360" s="347">
        <v>502.06</v>
      </c>
      <c r="CK2360" s="347" t="s">
        <v>344</v>
      </c>
      <c r="CL2360" s="1789"/>
      <c r="CR2360" s="345"/>
      <c r="CS2360" s="345"/>
      <c r="CX2360" s="347"/>
      <c r="CY2360" s="347"/>
      <c r="DH2360" s="237"/>
      <c r="DI2360" s="237"/>
      <c r="DN2360" s="347"/>
      <c r="DO2360" s="347"/>
      <c r="DP2360" s="2505"/>
    </row>
    <row r="2361" spans="30:120">
      <c r="AD2361" s="1138"/>
      <c r="AP2361" s="347">
        <v>237</v>
      </c>
      <c r="AQ2361" s="347" t="s">
        <v>363</v>
      </c>
      <c r="BF2361" s="347">
        <v>502.07</v>
      </c>
      <c r="BG2361" s="347" t="s">
        <v>344</v>
      </c>
      <c r="BH2361" s="1790"/>
      <c r="BN2361" s="237">
        <v>1.18</v>
      </c>
      <c r="BO2361" s="237" t="s">
        <v>352</v>
      </c>
      <c r="BT2361" s="347">
        <v>237</v>
      </c>
      <c r="BU2361" s="347" t="s">
        <v>363</v>
      </c>
      <c r="CD2361" s="237">
        <v>133.02000000000001</v>
      </c>
      <c r="CE2361" s="237" t="s">
        <v>323</v>
      </c>
      <c r="CJ2361" s="347">
        <v>502.07</v>
      </c>
      <c r="CK2361" s="347" t="s">
        <v>344</v>
      </c>
      <c r="CL2361" s="1789"/>
      <c r="CR2361" s="345"/>
      <c r="CS2361" s="345"/>
      <c r="CX2361" s="347"/>
      <c r="CY2361" s="347"/>
      <c r="DH2361" s="237"/>
      <c r="DI2361" s="237"/>
      <c r="DN2361" s="347"/>
      <c r="DO2361" s="347"/>
      <c r="DP2361" s="2505"/>
    </row>
    <row r="2362" spans="30:120">
      <c r="AD2362" s="1138"/>
      <c r="AP2362" s="347">
        <v>238</v>
      </c>
      <c r="AQ2362" s="347" t="s">
        <v>363</v>
      </c>
      <c r="BF2362" s="347">
        <v>502.08</v>
      </c>
      <c r="BG2362" s="347" t="s">
        <v>344</v>
      </c>
      <c r="BH2362" s="1790"/>
      <c r="BN2362" s="237">
        <v>1.2</v>
      </c>
      <c r="BO2362" s="237" t="s">
        <v>352</v>
      </c>
      <c r="BT2362" s="347">
        <v>238</v>
      </c>
      <c r="BU2362" s="347" t="s">
        <v>363</v>
      </c>
      <c r="CD2362" s="237">
        <v>133.02000000000001</v>
      </c>
      <c r="CE2362" s="237" t="s">
        <v>352</v>
      </c>
      <c r="CJ2362" s="347">
        <v>502.08</v>
      </c>
      <c r="CK2362" s="347" t="s">
        <v>344</v>
      </c>
      <c r="CL2362" s="1789"/>
      <c r="CR2362" s="345"/>
      <c r="CS2362" s="345"/>
      <c r="CX2362" s="347"/>
      <c r="CY2362" s="347"/>
      <c r="DH2362" s="237"/>
      <c r="DI2362" s="237"/>
      <c r="DN2362" s="347"/>
      <c r="DO2362" s="347"/>
      <c r="DP2362" s="2505"/>
    </row>
    <row r="2363" spans="30:120">
      <c r="AD2363" s="1138"/>
      <c r="AP2363" s="347">
        <v>239</v>
      </c>
      <c r="AQ2363" s="347" t="s">
        <v>363</v>
      </c>
      <c r="BF2363" s="347">
        <v>502.1</v>
      </c>
      <c r="BG2363" s="347" t="s">
        <v>344</v>
      </c>
      <c r="BH2363" s="1790"/>
      <c r="BN2363" s="237">
        <v>1.21</v>
      </c>
      <c r="BO2363" s="237" t="s">
        <v>352</v>
      </c>
      <c r="BT2363" s="347">
        <v>239</v>
      </c>
      <c r="BU2363" s="347" t="s">
        <v>363</v>
      </c>
      <c r="CD2363" s="237">
        <v>133.05000000000001</v>
      </c>
      <c r="CE2363" s="237" t="s">
        <v>337</v>
      </c>
      <c r="CJ2363" s="347">
        <v>502.1</v>
      </c>
      <c r="CK2363" s="347" t="s">
        <v>344</v>
      </c>
      <c r="CL2363" s="1789"/>
      <c r="CR2363" s="345"/>
      <c r="CS2363" s="345"/>
      <c r="CX2363" s="347"/>
      <c r="CY2363" s="347"/>
      <c r="DH2363" s="237"/>
      <c r="DI2363" s="237"/>
      <c r="DN2363" s="347"/>
      <c r="DO2363" s="347"/>
      <c r="DP2363" s="2505"/>
    </row>
    <row r="2364" spans="30:120">
      <c r="AD2364" s="1138"/>
      <c r="AP2364" s="347">
        <v>240.01</v>
      </c>
      <c r="AQ2364" s="347" t="s">
        <v>363</v>
      </c>
      <c r="BF2364" s="347">
        <v>502.11</v>
      </c>
      <c r="BG2364" s="347" t="s">
        <v>344</v>
      </c>
      <c r="BH2364" s="1790"/>
      <c r="BN2364" s="237">
        <v>1.22</v>
      </c>
      <c r="BO2364" s="237" t="s">
        <v>352</v>
      </c>
      <c r="BT2364" s="347">
        <v>240.01</v>
      </c>
      <c r="BU2364" s="347" t="s">
        <v>363</v>
      </c>
      <c r="CD2364" s="237">
        <v>133.07</v>
      </c>
      <c r="CE2364" s="237" t="s">
        <v>337</v>
      </c>
      <c r="CJ2364" s="347">
        <v>502.11</v>
      </c>
      <c r="CK2364" s="347" t="s">
        <v>344</v>
      </c>
      <c r="CL2364" s="1789"/>
      <c r="CR2364" s="345"/>
      <c r="CS2364" s="345"/>
      <c r="CX2364" s="347"/>
      <c r="CY2364" s="347"/>
      <c r="DH2364" s="237"/>
      <c r="DI2364" s="237"/>
      <c r="DN2364" s="347"/>
      <c r="DO2364" s="347"/>
      <c r="DP2364" s="2505"/>
    </row>
    <row r="2365" spans="30:120">
      <c r="AD2365" s="1138"/>
      <c r="AP2365" s="347">
        <v>240.02</v>
      </c>
      <c r="AQ2365" s="347" t="s">
        <v>363</v>
      </c>
      <c r="BF2365" s="347">
        <v>502.12</v>
      </c>
      <c r="BG2365" s="347" t="s">
        <v>344</v>
      </c>
      <c r="BH2365" s="1790"/>
      <c r="BN2365" s="237">
        <v>1.23</v>
      </c>
      <c r="BO2365" s="237" t="s">
        <v>352</v>
      </c>
      <c r="BT2365" s="347">
        <v>240.02</v>
      </c>
      <c r="BU2365" s="347" t="s">
        <v>363</v>
      </c>
      <c r="CD2365" s="237">
        <v>133.1</v>
      </c>
      <c r="CE2365" s="237" t="s">
        <v>337</v>
      </c>
      <c r="CJ2365" s="347">
        <v>502.12</v>
      </c>
      <c r="CK2365" s="347" t="s">
        <v>344</v>
      </c>
      <c r="CL2365" s="1789"/>
      <c r="CR2365" s="345"/>
      <c r="CS2365" s="345"/>
      <c r="CX2365" s="347"/>
      <c r="CY2365" s="347"/>
      <c r="DH2365" s="237"/>
      <c r="DI2365" s="237"/>
      <c r="DN2365" s="347"/>
      <c r="DO2365" s="347"/>
      <c r="DP2365" s="2505"/>
    </row>
    <row r="2366" spans="30:120">
      <c r="AD2366" s="1138"/>
      <c r="AP2366" s="347">
        <v>240.04</v>
      </c>
      <c r="AQ2366" s="347" t="s">
        <v>363</v>
      </c>
      <c r="BF2366" s="347">
        <v>502.13</v>
      </c>
      <c r="BG2366" s="347" t="s">
        <v>344</v>
      </c>
      <c r="BH2366" s="1790"/>
      <c r="BN2366" s="237">
        <v>1.24</v>
      </c>
      <c r="BO2366" s="237" t="s">
        <v>352</v>
      </c>
      <c r="BT2366" s="347">
        <v>240.04</v>
      </c>
      <c r="BU2366" s="347" t="s">
        <v>363</v>
      </c>
      <c r="CD2366" s="237">
        <v>133.11000000000001</v>
      </c>
      <c r="CE2366" s="237" t="s">
        <v>337</v>
      </c>
      <c r="CJ2366" s="347">
        <v>502.13</v>
      </c>
      <c r="CK2366" s="347" t="s">
        <v>344</v>
      </c>
      <c r="CL2366" s="1789"/>
      <c r="CR2366" s="345"/>
      <c r="CS2366" s="345"/>
      <c r="CX2366" s="347"/>
      <c r="CY2366" s="347"/>
      <c r="DH2366" s="237"/>
      <c r="DI2366" s="237"/>
      <c r="DN2366" s="347"/>
      <c r="DO2366" s="347"/>
      <c r="DP2366" s="2505"/>
    </row>
    <row r="2367" spans="30:120">
      <c r="AD2367" s="1138"/>
      <c r="AP2367" s="347">
        <v>240.05</v>
      </c>
      <c r="AQ2367" s="347" t="s">
        <v>363</v>
      </c>
      <c r="BF2367" s="347">
        <v>503.05</v>
      </c>
      <c r="BG2367" s="347" t="s">
        <v>344</v>
      </c>
      <c r="BH2367" s="1790"/>
      <c r="BN2367" s="237">
        <v>1.25</v>
      </c>
      <c r="BO2367" s="237" t="s">
        <v>352</v>
      </c>
      <c r="BT2367" s="347">
        <v>240.05</v>
      </c>
      <c r="BU2367" s="347" t="s">
        <v>363</v>
      </c>
      <c r="CD2367" s="237">
        <v>133.12</v>
      </c>
      <c r="CE2367" s="237" t="s">
        <v>337</v>
      </c>
      <c r="CJ2367" s="347">
        <v>503.04</v>
      </c>
      <c r="CK2367" s="347" t="s">
        <v>356</v>
      </c>
      <c r="CL2367" s="1789"/>
      <c r="CR2367" s="345"/>
      <c r="CS2367" s="345"/>
      <c r="CX2367" s="347"/>
      <c r="CY2367" s="347"/>
      <c r="DH2367" s="237"/>
      <c r="DI2367" s="237"/>
      <c r="DN2367" s="347"/>
      <c r="DO2367" s="347"/>
      <c r="DP2367" s="2505"/>
    </row>
    <row r="2368" spans="30:120">
      <c r="AD2368" s="1138"/>
      <c r="AP2368" s="347">
        <v>241</v>
      </c>
      <c r="AQ2368" s="347" t="s">
        <v>363</v>
      </c>
      <c r="BF2368" s="347">
        <v>503.06</v>
      </c>
      <c r="BG2368" s="347" t="s">
        <v>339</v>
      </c>
      <c r="BH2368" s="1790"/>
      <c r="BN2368" s="237">
        <v>1.26</v>
      </c>
      <c r="BO2368" s="237" t="s">
        <v>352</v>
      </c>
      <c r="BT2368" s="347">
        <v>241</v>
      </c>
      <c r="BU2368" s="347" t="s">
        <v>363</v>
      </c>
      <c r="CD2368" s="237">
        <v>133.13</v>
      </c>
      <c r="CE2368" s="237" t="s">
        <v>337</v>
      </c>
      <c r="CJ2368" s="347">
        <v>503.05</v>
      </c>
      <c r="CK2368" s="347" t="s">
        <v>344</v>
      </c>
      <c r="CL2368" s="1789"/>
      <c r="CR2368" s="345"/>
      <c r="CS2368" s="345"/>
      <c r="CX2368" s="347"/>
      <c r="CY2368" s="347"/>
      <c r="DH2368" s="237"/>
      <c r="DI2368" s="237"/>
      <c r="DN2368" s="347"/>
      <c r="DO2368" s="347"/>
      <c r="DP2368" s="2505"/>
    </row>
    <row r="2369" spans="30:120">
      <c r="AD2369" s="1138"/>
      <c r="AP2369" s="347">
        <v>242.01</v>
      </c>
      <c r="AQ2369" s="347" t="s">
        <v>363</v>
      </c>
      <c r="BF2369" s="347">
        <v>503.06</v>
      </c>
      <c r="BG2369" s="347" t="s">
        <v>344</v>
      </c>
      <c r="BH2369" s="1790"/>
      <c r="BN2369" s="237">
        <v>1.27</v>
      </c>
      <c r="BO2369" s="237" t="s">
        <v>352</v>
      </c>
      <c r="BT2369" s="347">
        <v>242.01</v>
      </c>
      <c r="BU2369" s="347" t="s">
        <v>363</v>
      </c>
      <c r="CD2369" s="237">
        <v>133.13999999999999</v>
      </c>
      <c r="CE2369" s="237" t="s">
        <v>337</v>
      </c>
      <c r="CJ2369" s="347">
        <v>503.06</v>
      </c>
      <c r="CK2369" s="347" t="s">
        <v>339</v>
      </c>
      <c r="CL2369" s="1789"/>
      <c r="CR2369" s="345"/>
      <c r="CS2369" s="345"/>
      <c r="CX2369" s="347"/>
      <c r="CY2369" s="347"/>
      <c r="DH2369" s="237"/>
      <c r="DI2369" s="237"/>
      <c r="DN2369" s="347"/>
      <c r="DO2369" s="347"/>
      <c r="DP2369" s="2505"/>
    </row>
    <row r="2370" spans="30:120">
      <c r="AD2370" s="1138"/>
      <c r="AP2370" s="347">
        <v>242.02</v>
      </c>
      <c r="AQ2370" s="347" t="s">
        <v>363</v>
      </c>
      <c r="BF2370" s="347">
        <v>503.06</v>
      </c>
      <c r="BG2370" s="347" t="s">
        <v>356</v>
      </c>
      <c r="BH2370" s="1790"/>
      <c r="BN2370" s="237">
        <v>1.28</v>
      </c>
      <c r="BO2370" s="237" t="s">
        <v>352</v>
      </c>
      <c r="BT2370" s="347">
        <v>242.02</v>
      </c>
      <c r="BU2370" s="347" t="s">
        <v>363</v>
      </c>
      <c r="CD2370" s="237">
        <v>133.15</v>
      </c>
      <c r="CE2370" s="237" t="s">
        <v>337</v>
      </c>
      <c r="CJ2370" s="347">
        <v>503.06</v>
      </c>
      <c r="CK2370" s="347" t="s">
        <v>344</v>
      </c>
      <c r="CL2370" s="1789"/>
      <c r="CR2370" s="345"/>
      <c r="CS2370" s="345"/>
      <c r="CX2370" s="347"/>
      <c r="CY2370" s="347"/>
      <c r="DH2370" s="237"/>
      <c r="DI2370" s="237"/>
      <c r="DN2370" s="347"/>
      <c r="DO2370" s="347"/>
      <c r="DP2370" s="2505"/>
    </row>
    <row r="2371" spans="30:120">
      <c r="AD2371" s="1138"/>
      <c r="AP2371" s="347">
        <v>243.01</v>
      </c>
      <c r="AQ2371" s="347" t="s">
        <v>363</v>
      </c>
      <c r="BF2371" s="347">
        <v>503.07</v>
      </c>
      <c r="BG2371" s="347" t="s">
        <v>356</v>
      </c>
      <c r="BH2371" s="1790"/>
      <c r="BN2371" s="237">
        <v>1.29</v>
      </c>
      <c r="BO2371" s="237" t="s">
        <v>352</v>
      </c>
      <c r="BT2371" s="347">
        <v>244.06</v>
      </c>
      <c r="BU2371" s="347" t="s">
        <v>363</v>
      </c>
      <c r="CD2371" s="237">
        <v>133.16</v>
      </c>
      <c r="CE2371" s="237" t="s">
        <v>337</v>
      </c>
      <c r="CJ2371" s="347">
        <v>503.06</v>
      </c>
      <c r="CK2371" s="347" t="s">
        <v>356</v>
      </c>
      <c r="CL2371" s="1789"/>
      <c r="CR2371" s="345"/>
      <c r="CS2371" s="345"/>
      <c r="CX2371" s="347"/>
      <c r="CY2371" s="347"/>
      <c r="DH2371" s="237"/>
      <c r="DI2371" s="237"/>
      <c r="DN2371" s="347"/>
      <c r="DO2371" s="347"/>
      <c r="DP2371" s="2505"/>
    </row>
    <row r="2372" spans="30:120">
      <c r="AD2372" s="1138"/>
      <c r="AP2372" s="347">
        <v>244.06</v>
      </c>
      <c r="AQ2372" s="347" t="s">
        <v>363</v>
      </c>
      <c r="BF2372" s="347">
        <v>503.08</v>
      </c>
      <c r="BG2372" s="347" t="s">
        <v>356</v>
      </c>
      <c r="BH2372" s="1790"/>
      <c r="BN2372" s="237">
        <v>1.3</v>
      </c>
      <c r="BO2372" s="237" t="s">
        <v>352</v>
      </c>
      <c r="BT2372" s="347">
        <v>244.09</v>
      </c>
      <c r="BU2372" s="347" t="s">
        <v>363</v>
      </c>
      <c r="CD2372" s="237">
        <v>133.16999999999999</v>
      </c>
      <c r="CE2372" s="237" t="s">
        <v>337</v>
      </c>
      <c r="CJ2372" s="347">
        <v>503.07</v>
      </c>
      <c r="CK2372" s="347" t="s">
        <v>356</v>
      </c>
      <c r="CL2372" s="1789"/>
      <c r="CR2372" s="345"/>
      <c r="CS2372" s="345"/>
      <c r="CX2372" s="347"/>
      <c r="CY2372" s="347"/>
      <c r="DH2372" s="237"/>
      <c r="DI2372" s="237"/>
      <c r="DN2372" s="347"/>
      <c r="DO2372" s="347"/>
      <c r="DP2372" s="2505"/>
    </row>
    <row r="2373" spans="30:120">
      <c r="AD2373" s="1138"/>
      <c r="AP2373" s="347">
        <v>244.08</v>
      </c>
      <c r="AQ2373" s="347" t="s">
        <v>363</v>
      </c>
      <c r="BF2373" s="347">
        <v>503.09</v>
      </c>
      <c r="BG2373" s="347" t="s">
        <v>356</v>
      </c>
      <c r="BH2373" s="1790"/>
      <c r="BN2373" s="237">
        <v>1.31</v>
      </c>
      <c r="BO2373" s="237" t="s">
        <v>352</v>
      </c>
      <c r="BT2373" s="347">
        <v>244.11</v>
      </c>
      <c r="BU2373" s="347" t="s">
        <v>363</v>
      </c>
      <c r="CD2373" s="237">
        <v>133.19</v>
      </c>
      <c r="CE2373" s="237" t="s">
        <v>337</v>
      </c>
      <c r="CJ2373" s="347">
        <v>503.08</v>
      </c>
      <c r="CK2373" s="347" t="s">
        <v>356</v>
      </c>
      <c r="CL2373" s="1789"/>
      <c r="CR2373" s="345"/>
      <c r="CS2373" s="345"/>
      <c r="CX2373" s="347"/>
      <c r="CY2373" s="347"/>
      <c r="DH2373" s="237"/>
      <c r="DI2373" s="237"/>
      <c r="DN2373" s="347"/>
      <c r="DO2373" s="347"/>
      <c r="DP2373" s="2505"/>
    </row>
    <row r="2374" spans="30:120">
      <c r="AD2374" s="1138"/>
      <c r="AP2374" s="347">
        <v>244.09</v>
      </c>
      <c r="AQ2374" s="347" t="s">
        <v>363</v>
      </c>
      <c r="BF2374" s="347">
        <v>503.1</v>
      </c>
      <c r="BG2374" s="347" t="s">
        <v>356</v>
      </c>
      <c r="BH2374" s="1790"/>
      <c r="BN2374" s="237">
        <v>1.32</v>
      </c>
      <c r="BO2374" s="237" t="s">
        <v>352</v>
      </c>
      <c r="BT2374" s="347">
        <v>244.12</v>
      </c>
      <c r="BU2374" s="347" t="s">
        <v>363</v>
      </c>
      <c r="CD2374" s="237">
        <v>133.19999999999999</v>
      </c>
      <c r="CE2374" s="237" t="s">
        <v>337</v>
      </c>
      <c r="CJ2374" s="347">
        <v>503.09</v>
      </c>
      <c r="CK2374" s="347" t="s">
        <v>356</v>
      </c>
      <c r="CL2374" s="1789"/>
      <c r="CR2374" s="345"/>
      <c r="CS2374" s="345"/>
      <c r="CX2374" s="347"/>
      <c r="CY2374" s="347"/>
      <c r="DH2374" s="237"/>
      <c r="DI2374" s="237"/>
      <c r="DN2374" s="347"/>
      <c r="DO2374" s="347"/>
      <c r="DP2374" s="2505"/>
    </row>
    <row r="2375" spans="30:120">
      <c r="AD2375" s="1138"/>
      <c r="AP2375" s="347">
        <v>244.11</v>
      </c>
      <c r="AQ2375" s="347" t="s">
        <v>363</v>
      </c>
      <c r="BF2375" s="347">
        <v>503.11</v>
      </c>
      <c r="BG2375" s="347" t="s">
        <v>344</v>
      </c>
      <c r="BH2375" s="1790"/>
      <c r="BN2375" s="237">
        <v>1.34</v>
      </c>
      <c r="BO2375" s="237" t="s">
        <v>352</v>
      </c>
      <c r="BT2375" s="347">
        <v>244.13</v>
      </c>
      <c r="BU2375" s="347" t="s">
        <v>363</v>
      </c>
      <c r="CD2375" s="237">
        <v>133.22</v>
      </c>
      <c r="CE2375" s="237" t="s">
        <v>337</v>
      </c>
      <c r="CJ2375" s="347">
        <v>503.1</v>
      </c>
      <c r="CK2375" s="347" t="s">
        <v>356</v>
      </c>
      <c r="CL2375" s="1789"/>
      <c r="CR2375" s="345"/>
      <c r="CS2375" s="345"/>
      <c r="CX2375" s="347"/>
      <c r="CY2375" s="347"/>
      <c r="DH2375" s="237"/>
      <c r="DI2375" s="237"/>
      <c r="DN2375" s="347"/>
      <c r="DO2375" s="347"/>
      <c r="DP2375" s="2505"/>
    </row>
    <row r="2376" spans="30:120">
      <c r="AD2376" s="1138"/>
      <c r="AP2376" s="347">
        <v>244.12</v>
      </c>
      <c r="AQ2376" s="347" t="s">
        <v>363</v>
      </c>
      <c r="BF2376" s="347">
        <v>503.12</v>
      </c>
      <c r="BG2376" s="347" t="s">
        <v>344</v>
      </c>
      <c r="BH2376" s="1790"/>
      <c r="BN2376" s="237">
        <v>1.4</v>
      </c>
      <c r="BO2376" s="237" t="s">
        <v>352</v>
      </c>
      <c r="BT2376" s="347">
        <v>245.05</v>
      </c>
      <c r="BU2376" s="347" t="s">
        <v>363</v>
      </c>
      <c r="CD2376" s="237">
        <v>133.22999999999999</v>
      </c>
      <c r="CE2376" s="237" t="s">
        <v>337</v>
      </c>
      <c r="CJ2376" s="347">
        <v>503.11</v>
      </c>
      <c r="CK2376" s="347" t="s">
        <v>344</v>
      </c>
      <c r="CL2376" s="1789"/>
      <c r="CR2376" s="345"/>
      <c r="CS2376" s="345"/>
      <c r="CX2376" s="347"/>
      <c r="CY2376" s="347"/>
      <c r="DH2376" s="237"/>
      <c r="DI2376" s="237"/>
      <c r="DN2376" s="347"/>
      <c r="DO2376" s="347"/>
      <c r="DP2376" s="2505"/>
    </row>
    <row r="2377" spans="30:120">
      <c r="AD2377" s="1138"/>
      <c r="AP2377" s="347">
        <v>244.13</v>
      </c>
      <c r="AQ2377" s="347" t="s">
        <v>363</v>
      </c>
      <c r="BF2377" s="347">
        <v>503.15</v>
      </c>
      <c r="BG2377" s="347" t="s">
        <v>344</v>
      </c>
      <c r="BH2377" s="1790"/>
      <c r="BN2377" s="237">
        <v>1.41</v>
      </c>
      <c r="BO2377" s="237" t="s">
        <v>352</v>
      </c>
      <c r="BT2377" s="347">
        <v>245.07</v>
      </c>
      <c r="BU2377" s="347" t="s">
        <v>363</v>
      </c>
      <c r="CD2377" s="237">
        <v>134</v>
      </c>
      <c r="CE2377" s="237" t="s">
        <v>352</v>
      </c>
      <c r="CJ2377" s="347">
        <v>503.12</v>
      </c>
      <c r="CK2377" s="347" t="s">
        <v>344</v>
      </c>
      <c r="CL2377" s="1789"/>
      <c r="CR2377" s="345"/>
      <c r="CS2377" s="345"/>
      <c r="CX2377" s="347"/>
      <c r="CY2377" s="347"/>
      <c r="DH2377" s="237"/>
      <c r="DI2377" s="237"/>
      <c r="DN2377" s="347"/>
      <c r="DO2377" s="347"/>
      <c r="DP2377" s="2505"/>
    </row>
    <row r="2378" spans="30:120">
      <c r="AD2378" s="1138"/>
      <c r="AP2378" s="347">
        <v>245.05</v>
      </c>
      <c r="AQ2378" s="347" t="s">
        <v>363</v>
      </c>
      <c r="BF2378" s="347">
        <v>503.16</v>
      </c>
      <c r="BG2378" s="347" t="s">
        <v>344</v>
      </c>
      <c r="BH2378" s="1790"/>
      <c r="BN2378" s="237">
        <v>1.42</v>
      </c>
      <c r="BO2378" s="237" t="s">
        <v>352</v>
      </c>
      <c r="BT2378" s="347">
        <v>245.09</v>
      </c>
      <c r="BU2378" s="347" t="s">
        <v>363</v>
      </c>
      <c r="CD2378" s="237">
        <v>134</v>
      </c>
      <c r="CE2378" s="237" t="s">
        <v>365</v>
      </c>
      <c r="CJ2378" s="347">
        <v>503.15</v>
      </c>
      <c r="CK2378" s="347" t="s">
        <v>344</v>
      </c>
      <c r="CL2378" s="1789"/>
      <c r="CR2378" s="345"/>
      <c r="CS2378" s="345"/>
      <c r="CX2378" s="347"/>
      <c r="CY2378" s="347"/>
      <c r="DH2378" s="237"/>
      <c r="DI2378" s="237"/>
      <c r="DN2378" s="347"/>
      <c r="DO2378" s="347"/>
      <c r="DP2378" s="2505"/>
    </row>
    <row r="2379" spans="30:120">
      <c r="AD2379" s="1138"/>
      <c r="AP2379" s="347">
        <v>245.07</v>
      </c>
      <c r="AQ2379" s="347" t="s">
        <v>363</v>
      </c>
      <c r="BF2379" s="347">
        <v>503.17</v>
      </c>
      <c r="BG2379" s="347" t="s">
        <v>344</v>
      </c>
      <c r="BH2379" s="1790"/>
      <c r="BN2379" s="237">
        <v>1.43</v>
      </c>
      <c r="BO2379" s="237" t="s">
        <v>352</v>
      </c>
      <c r="BT2379" s="347">
        <v>245.17</v>
      </c>
      <c r="BU2379" s="347" t="s">
        <v>363</v>
      </c>
      <c r="CD2379" s="237">
        <v>134.02000000000001</v>
      </c>
      <c r="CE2379" s="237" t="s">
        <v>323</v>
      </c>
      <c r="CJ2379" s="347">
        <v>503.16</v>
      </c>
      <c r="CK2379" s="347" t="s">
        <v>344</v>
      </c>
      <c r="CL2379" s="1789"/>
      <c r="CR2379" s="345"/>
      <c r="CS2379" s="345"/>
      <c r="CX2379" s="347"/>
      <c r="CY2379" s="347"/>
      <c r="DH2379" s="237"/>
      <c r="DI2379" s="237"/>
      <c r="DN2379" s="347"/>
      <c r="DO2379" s="347"/>
      <c r="DP2379" s="2505"/>
    </row>
    <row r="2380" spans="30:120">
      <c r="AD2380" s="1138"/>
      <c r="AP2380" s="347">
        <v>245.09</v>
      </c>
      <c r="AQ2380" s="347" t="s">
        <v>363</v>
      </c>
      <c r="BF2380" s="347">
        <v>503.18</v>
      </c>
      <c r="BG2380" s="347" t="s">
        <v>344</v>
      </c>
      <c r="BH2380" s="1790"/>
      <c r="BN2380" s="237">
        <v>1.44</v>
      </c>
      <c r="BO2380" s="237" t="s">
        <v>352</v>
      </c>
      <c r="BT2380" s="347">
        <v>245.19</v>
      </c>
      <c r="BU2380" s="347" t="s">
        <v>363</v>
      </c>
      <c r="CD2380" s="237">
        <v>134.02000000000001</v>
      </c>
      <c r="CE2380" s="237" t="s">
        <v>359</v>
      </c>
      <c r="CJ2380" s="347">
        <v>503.17</v>
      </c>
      <c r="CK2380" s="347" t="s">
        <v>344</v>
      </c>
      <c r="CL2380" s="1789"/>
      <c r="CR2380" s="345"/>
      <c r="CS2380" s="345"/>
      <c r="CX2380" s="347"/>
      <c r="CY2380" s="347"/>
      <c r="DH2380" s="237"/>
      <c r="DI2380" s="237"/>
      <c r="DN2380" s="347"/>
      <c r="DO2380" s="347"/>
      <c r="DP2380" s="2505"/>
    </row>
    <row r="2381" spans="30:120">
      <c r="AD2381" s="1138"/>
      <c r="AP2381" s="347">
        <v>245.14</v>
      </c>
      <c r="AQ2381" s="347" t="s">
        <v>363</v>
      </c>
      <c r="BF2381" s="347">
        <v>503.19</v>
      </c>
      <c r="BG2381" s="347" t="s">
        <v>344</v>
      </c>
      <c r="BH2381" s="1790"/>
      <c r="BN2381" s="237">
        <v>1.45</v>
      </c>
      <c r="BO2381" s="237" t="s">
        <v>352</v>
      </c>
      <c r="BT2381" s="347">
        <v>249.05</v>
      </c>
      <c r="BU2381" s="347" t="s">
        <v>363</v>
      </c>
      <c r="CD2381" s="237">
        <v>134.03</v>
      </c>
      <c r="CE2381" s="237" t="s">
        <v>323</v>
      </c>
      <c r="CJ2381" s="347">
        <v>503.18</v>
      </c>
      <c r="CK2381" s="347" t="s">
        <v>344</v>
      </c>
      <c r="CL2381" s="1789"/>
      <c r="CR2381" s="345"/>
      <c r="CS2381" s="345"/>
      <c r="CX2381" s="347"/>
      <c r="CY2381" s="347"/>
      <c r="DH2381" s="237"/>
      <c r="DI2381" s="237"/>
      <c r="DN2381" s="347"/>
      <c r="DO2381" s="347"/>
      <c r="DP2381" s="2505"/>
    </row>
    <row r="2382" spans="30:120">
      <c r="AD2382" s="1138"/>
      <c r="AP2382" s="347">
        <v>245.17</v>
      </c>
      <c r="AQ2382" s="347" t="s">
        <v>363</v>
      </c>
      <c r="BF2382" s="347">
        <v>503.2</v>
      </c>
      <c r="BG2382" s="347" t="s">
        <v>344</v>
      </c>
      <c r="BH2382" s="1790"/>
      <c r="BN2382" s="237">
        <v>1.46</v>
      </c>
      <c r="BO2382" s="237" t="s">
        <v>352</v>
      </c>
      <c r="BT2382" s="347">
        <v>249.08</v>
      </c>
      <c r="BU2382" s="347" t="s">
        <v>363</v>
      </c>
      <c r="CD2382" s="237">
        <v>134.03</v>
      </c>
      <c r="CE2382" s="237" t="s">
        <v>359</v>
      </c>
      <c r="CJ2382" s="347">
        <v>503.19</v>
      </c>
      <c r="CK2382" s="347" t="s">
        <v>344</v>
      </c>
      <c r="CL2382" s="1789"/>
      <c r="CR2382" s="345"/>
      <c r="CS2382" s="345"/>
      <c r="CX2382" s="347"/>
      <c r="CY2382" s="347"/>
      <c r="DH2382" s="237"/>
      <c r="DI2382" s="237"/>
      <c r="DN2382" s="347"/>
      <c r="DO2382" s="347"/>
      <c r="DP2382" s="2505"/>
    </row>
    <row r="2383" spans="30:120">
      <c r="AD2383" s="1138"/>
      <c r="AP2383" s="347">
        <v>245.19</v>
      </c>
      <c r="AQ2383" s="347" t="s">
        <v>363</v>
      </c>
      <c r="BF2383" s="347">
        <v>503.21</v>
      </c>
      <c r="BG2383" s="347" t="s">
        <v>344</v>
      </c>
      <c r="BH2383" s="1790"/>
      <c r="BN2383" s="237">
        <v>2.04</v>
      </c>
      <c r="BO2383" s="237" t="s">
        <v>352</v>
      </c>
      <c r="BT2383" s="347">
        <v>250.07</v>
      </c>
      <c r="BU2383" s="347" t="s">
        <v>363</v>
      </c>
      <c r="CD2383" s="237">
        <v>134.04</v>
      </c>
      <c r="CE2383" s="237" t="s">
        <v>323</v>
      </c>
      <c r="CJ2383" s="347">
        <v>503.2</v>
      </c>
      <c r="CK2383" s="347" t="s">
        <v>344</v>
      </c>
      <c r="CL2383" s="1789"/>
      <c r="CR2383" s="345"/>
      <c r="CS2383" s="345"/>
      <c r="CX2383" s="347"/>
      <c r="CY2383" s="347"/>
      <c r="DH2383" s="237"/>
      <c r="DI2383" s="237"/>
      <c r="DN2383" s="347"/>
      <c r="DO2383" s="347"/>
      <c r="DP2383" s="2505"/>
    </row>
    <row r="2384" spans="30:120">
      <c r="AD2384" s="1138"/>
      <c r="AP2384" s="347">
        <v>248.05</v>
      </c>
      <c r="AQ2384" s="347" t="s">
        <v>363</v>
      </c>
      <c r="BF2384" s="347">
        <v>503.22</v>
      </c>
      <c r="BG2384" s="347" t="s">
        <v>344</v>
      </c>
      <c r="BH2384" s="1790"/>
      <c r="BN2384" s="237">
        <v>2.06</v>
      </c>
      <c r="BO2384" s="237" t="s">
        <v>352</v>
      </c>
      <c r="BT2384" s="347">
        <v>250.11</v>
      </c>
      <c r="BU2384" s="347" t="s">
        <v>363</v>
      </c>
      <c r="CD2384" s="237">
        <v>134.05000000000001</v>
      </c>
      <c r="CE2384" s="237" t="s">
        <v>359</v>
      </c>
      <c r="CJ2384" s="347">
        <v>503.21</v>
      </c>
      <c r="CK2384" s="347" t="s">
        <v>344</v>
      </c>
      <c r="CL2384" s="1789"/>
      <c r="CR2384" s="345"/>
      <c r="CS2384" s="345"/>
      <c r="CX2384" s="347"/>
      <c r="CY2384" s="347"/>
      <c r="DH2384" s="237"/>
      <c r="DI2384" s="237"/>
      <c r="DN2384" s="347"/>
      <c r="DO2384" s="347"/>
      <c r="DP2384" s="2505"/>
    </row>
    <row r="2385" spans="30:120">
      <c r="AD2385" s="1138"/>
      <c r="AP2385" s="347">
        <v>249.04</v>
      </c>
      <c r="AQ2385" s="347" t="s">
        <v>363</v>
      </c>
      <c r="BF2385" s="347">
        <v>503.23</v>
      </c>
      <c r="BG2385" s="347" t="s">
        <v>344</v>
      </c>
      <c r="BH2385" s="1790"/>
      <c r="BN2385" s="237">
        <v>2.11</v>
      </c>
      <c r="BO2385" s="237" t="s">
        <v>352</v>
      </c>
      <c r="BT2385" s="347">
        <v>250.12</v>
      </c>
      <c r="BU2385" s="347" t="s">
        <v>363</v>
      </c>
      <c r="CD2385" s="237">
        <v>134.06</v>
      </c>
      <c r="CE2385" s="237" t="s">
        <v>337</v>
      </c>
      <c r="CJ2385" s="347">
        <v>503.22</v>
      </c>
      <c r="CK2385" s="347" t="s">
        <v>344</v>
      </c>
      <c r="CL2385" s="1789"/>
      <c r="CR2385" s="345"/>
      <c r="CS2385" s="345"/>
      <c r="CX2385" s="347"/>
      <c r="CY2385" s="347"/>
      <c r="DH2385" s="237"/>
      <c r="DI2385" s="237"/>
      <c r="DN2385" s="347"/>
      <c r="DO2385" s="347"/>
      <c r="DP2385" s="2505"/>
    </row>
    <row r="2386" spans="30:120">
      <c r="AD2386" s="1138"/>
      <c r="AP2386" s="347">
        <v>249.08</v>
      </c>
      <c r="AQ2386" s="347" t="s">
        <v>363</v>
      </c>
      <c r="BF2386" s="347">
        <v>503.24</v>
      </c>
      <c r="BG2386" s="347" t="s">
        <v>344</v>
      </c>
      <c r="BH2386" s="1790"/>
      <c r="BN2386" s="237">
        <v>2.12</v>
      </c>
      <c r="BO2386" s="237" t="s">
        <v>352</v>
      </c>
      <c r="BT2386" s="347">
        <v>250.13</v>
      </c>
      <c r="BU2386" s="347" t="s">
        <v>363</v>
      </c>
      <c r="CD2386" s="237">
        <v>134.06</v>
      </c>
      <c r="CE2386" s="237" t="s">
        <v>359</v>
      </c>
      <c r="CJ2386" s="347">
        <v>503.23</v>
      </c>
      <c r="CK2386" s="347" t="s">
        <v>344</v>
      </c>
      <c r="CL2386" s="1789"/>
      <c r="CR2386" s="345"/>
      <c r="CS2386" s="345"/>
      <c r="CX2386" s="347"/>
      <c r="CY2386" s="347"/>
      <c r="DH2386" s="237"/>
      <c r="DI2386" s="237"/>
      <c r="DN2386" s="347"/>
      <c r="DO2386" s="347"/>
      <c r="DP2386" s="2505"/>
    </row>
    <row r="2387" spans="30:120">
      <c r="AD2387" s="1138"/>
      <c r="AP2387" s="347">
        <v>250.07</v>
      </c>
      <c r="AQ2387" s="347" t="s">
        <v>363</v>
      </c>
      <c r="BF2387" s="347">
        <v>503.25</v>
      </c>
      <c r="BG2387" s="347" t="s">
        <v>344</v>
      </c>
      <c r="BH2387" s="1790"/>
      <c r="BN2387" s="237">
        <v>2.13</v>
      </c>
      <c r="BO2387" s="237" t="s">
        <v>352</v>
      </c>
      <c r="BT2387" s="347">
        <v>250.14</v>
      </c>
      <c r="BU2387" s="347" t="s">
        <v>363</v>
      </c>
      <c r="CD2387" s="237">
        <v>134.07</v>
      </c>
      <c r="CE2387" s="237" t="s">
        <v>337</v>
      </c>
      <c r="CJ2387" s="347">
        <v>503.24</v>
      </c>
      <c r="CK2387" s="347" t="s">
        <v>344</v>
      </c>
      <c r="CL2387" s="1789"/>
      <c r="CR2387" s="345"/>
      <c r="CS2387" s="345"/>
      <c r="CX2387" s="347"/>
      <c r="CY2387" s="347"/>
      <c r="DH2387" s="237"/>
      <c r="DI2387" s="237"/>
      <c r="DN2387" s="347"/>
      <c r="DO2387" s="347"/>
      <c r="DP2387" s="2505"/>
    </row>
    <row r="2388" spans="30:120">
      <c r="AD2388" s="1138"/>
      <c r="AP2388" s="347">
        <v>250.11</v>
      </c>
      <c r="AQ2388" s="347" t="s">
        <v>363</v>
      </c>
      <c r="BF2388" s="347">
        <v>504.01</v>
      </c>
      <c r="BG2388" s="347" t="s">
        <v>310</v>
      </c>
      <c r="BH2388" s="1790"/>
      <c r="BN2388" s="237">
        <v>2.15</v>
      </c>
      <c r="BO2388" s="237" t="s">
        <v>352</v>
      </c>
      <c r="BT2388" s="347">
        <v>250.16</v>
      </c>
      <c r="BU2388" s="347" t="s">
        <v>363</v>
      </c>
      <c r="CD2388" s="237">
        <v>134.09</v>
      </c>
      <c r="CE2388" s="237" t="s">
        <v>337</v>
      </c>
      <c r="CJ2388" s="347">
        <v>503.25</v>
      </c>
      <c r="CK2388" s="347" t="s">
        <v>344</v>
      </c>
      <c r="CL2388" s="1789"/>
      <c r="CR2388" s="345"/>
      <c r="CS2388" s="345"/>
      <c r="CX2388" s="347"/>
      <c r="CY2388" s="347"/>
      <c r="DH2388" s="237"/>
      <c r="DI2388" s="237"/>
      <c r="DN2388" s="347"/>
      <c r="DO2388" s="347"/>
      <c r="DP2388" s="2505"/>
    </row>
    <row r="2389" spans="30:120">
      <c r="AD2389" s="1138"/>
      <c r="AP2389" s="347">
        <v>250.12</v>
      </c>
      <c r="AQ2389" s="347" t="s">
        <v>363</v>
      </c>
      <c r="BF2389" s="347">
        <v>504.02</v>
      </c>
      <c r="BG2389" s="347" t="s">
        <v>339</v>
      </c>
      <c r="BH2389" s="1790"/>
      <c r="BN2389" s="237">
        <v>2.16</v>
      </c>
      <c r="BO2389" s="237" t="s">
        <v>352</v>
      </c>
      <c r="BT2389" s="347">
        <v>250.2</v>
      </c>
      <c r="BU2389" s="347" t="s">
        <v>363</v>
      </c>
      <c r="CD2389" s="237">
        <v>134.1</v>
      </c>
      <c r="CE2389" s="237" t="s">
        <v>337</v>
      </c>
      <c r="CJ2389" s="347">
        <v>504.01</v>
      </c>
      <c r="CK2389" s="347" t="s">
        <v>310</v>
      </c>
      <c r="CL2389" s="1789"/>
      <c r="CR2389" s="345"/>
      <c r="CS2389" s="345"/>
      <c r="CX2389" s="347"/>
      <c r="CY2389" s="347"/>
      <c r="DH2389" s="237"/>
      <c r="DI2389" s="237"/>
      <c r="DN2389" s="347"/>
      <c r="DO2389" s="347"/>
      <c r="DP2389" s="2505"/>
    </row>
    <row r="2390" spans="30:120">
      <c r="AD2390" s="1138"/>
      <c r="AP2390" s="347">
        <v>250.13</v>
      </c>
      <c r="AQ2390" s="347" t="s">
        <v>363</v>
      </c>
      <c r="BF2390" s="347">
        <v>504.02</v>
      </c>
      <c r="BG2390" s="347" t="s">
        <v>344</v>
      </c>
      <c r="BH2390" s="1790"/>
      <c r="BN2390" s="237">
        <v>2.1800000000000002</v>
      </c>
      <c r="BO2390" s="237" t="s">
        <v>352</v>
      </c>
      <c r="BT2390" s="347">
        <v>250.21</v>
      </c>
      <c r="BU2390" s="347" t="s">
        <v>363</v>
      </c>
      <c r="CD2390" s="237">
        <v>134.11000000000001</v>
      </c>
      <c r="CE2390" s="237" t="s">
        <v>337</v>
      </c>
      <c r="CJ2390" s="347">
        <v>504.02</v>
      </c>
      <c r="CK2390" s="347" t="s">
        <v>339</v>
      </c>
      <c r="CL2390" s="1789"/>
      <c r="CR2390" s="345"/>
      <c r="CS2390" s="345"/>
      <c r="CX2390" s="347"/>
      <c r="CY2390" s="347"/>
      <c r="DH2390" s="237"/>
      <c r="DI2390" s="237"/>
      <c r="DN2390" s="347"/>
      <c r="DO2390" s="347"/>
      <c r="DP2390" s="2505"/>
    </row>
    <row r="2391" spans="30:120">
      <c r="AD2391" s="1138"/>
      <c r="AP2391" s="347">
        <v>250.14</v>
      </c>
      <c r="AQ2391" s="347" t="s">
        <v>363</v>
      </c>
      <c r="BF2391" s="347">
        <v>504.02</v>
      </c>
      <c r="BG2391" s="347" t="s">
        <v>356</v>
      </c>
      <c r="BH2391" s="1790"/>
      <c r="BN2391" s="237">
        <v>2.19</v>
      </c>
      <c r="BO2391" s="237" t="s">
        <v>352</v>
      </c>
      <c r="BT2391" s="347">
        <v>251.06</v>
      </c>
      <c r="BU2391" s="347" t="s">
        <v>363</v>
      </c>
      <c r="CD2391" s="237">
        <v>134.12</v>
      </c>
      <c r="CE2391" s="237" t="s">
        <v>337</v>
      </c>
      <c r="CJ2391" s="347">
        <v>504.02</v>
      </c>
      <c r="CK2391" s="347" t="s">
        <v>344</v>
      </c>
      <c r="CL2391" s="1789"/>
      <c r="CR2391" s="345"/>
      <c r="CS2391" s="345"/>
      <c r="CX2391" s="347"/>
      <c r="CY2391" s="347"/>
      <c r="DH2391" s="237"/>
      <c r="DI2391" s="237"/>
      <c r="DN2391" s="347"/>
      <c r="DO2391" s="347"/>
      <c r="DP2391" s="2505"/>
    </row>
    <row r="2392" spans="30:120">
      <c r="AD2392" s="1138"/>
      <c r="AP2392" s="347">
        <v>250.16</v>
      </c>
      <c r="AQ2392" s="347" t="s">
        <v>363</v>
      </c>
      <c r="BF2392" s="347">
        <v>505.01</v>
      </c>
      <c r="BG2392" s="347" t="s">
        <v>344</v>
      </c>
      <c r="BH2392" s="1790"/>
      <c r="BN2392" s="237">
        <v>2.2000000000000002</v>
      </c>
      <c r="BO2392" s="237" t="s">
        <v>352</v>
      </c>
      <c r="BT2392" s="347">
        <v>251.07</v>
      </c>
      <c r="BU2392" s="347" t="s">
        <v>363</v>
      </c>
      <c r="CD2392" s="237">
        <v>134.13</v>
      </c>
      <c r="CE2392" s="237" t="s">
        <v>337</v>
      </c>
      <c r="CJ2392" s="347">
        <v>504.02</v>
      </c>
      <c r="CK2392" s="347" t="s">
        <v>356</v>
      </c>
      <c r="CL2392" s="1789"/>
      <c r="CR2392" s="345"/>
      <c r="CS2392" s="345"/>
      <c r="CX2392" s="347"/>
      <c r="CY2392" s="347"/>
      <c r="DH2392" s="237"/>
      <c r="DI2392" s="237"/>
      <c r="DN2392" s="347"/>
      <c r="DO2392" s="347"/>
      <c r="DP2392" s="2505"/>
    </row>
    <row r="2393" spans="30:120">
      <c r="AD2393" s="1138"/>
      <c r="AP2393" s="347">
        <v>250.2</v>
      </c>
      <c r="AQ2393" s="347" t="s">
        <v>363</v>
      </c>
      <c r="BF2393" s="347">
        <v>505.02</v>
      </c>
      <c r="BG2393" s="347" t="s">
        <v>344</v>
      </c>
      <c r="BH2393" s="1790"/>
      <c r="BN2393" s="237">
        <v>2.21</v>
      </c>
      <c r="BO2393" s="237" t="s">
        <v>352</v>
      </c>
      <c r="BT2393" s="347">
        <v>251.08</v>
      </c>
      <c r="BU2393" s="347" t="s">
        <v>363</v>
      </c>
      <c r="CD2393" s="237">
        <v>134.13999999999999</v>
      </c>
      <c r="CE2393" s="237" t="s">
        <v>337</v>
      </c>
      <c r="CJ2393" s="347">
        <v>505.02</v>
      </c>
      <c r="CK2393" s="347" t="s">
        <v>310</v>
      </c>
      <c r="CL2393" s="1789"/>
      <c r="CR2393" s="345"/>
      <c r="CS2393" s="345"/>
      <c r="CX2393" s="347"/>
      <c r="CY2393" s="347"/>
      <c r="DH2393" s="237"/>
      <c r="DI2393" s="237"/>
      <c r="DN2393" s="347"/>
      <c r="DO2393" s="347"/>
      <c r="DP2393" s="2505"/>
    </row>
    <row r="2394" spans="30:120">
      <c r="AD2394" s="1138"/>
      <c r="AP2394" s="347">
        <v>250.21</v>
      </c>
      <c r="AQ2394" s="347" t="s">
        <v>363</v>
      </c>
      <c r="BF2394" s="347">
        <v>505.04</v>
      </c>
      <c r="BG2394" s="347" t="s">
        <v>339</v>
      </c>
      <c r="BH2394" s="1790"/>
      <c r="BN2394" s="237">
        <v>2.2200000000000002</v>
      </c>
      <c r="BO2394" s="237" t="s">
        <v>352</v>
      </c>
      <c r="BT2394" s="347">
        <v>251.09</v>
      </c>
      <c r="BU2394" s="347" t="s">
        <v>363</v>
      </c>
      <c r="CD2394" s="237">
        <v>134.15</v>
      </c>
      <c r="CE2394" s="237" t="s">
        <v>337</v>
      </c>
      <c r="CJ2394" s="347">
        <v>505.02</v>
      </c>
      <c r="CK2394" s="347" t="s">
        <v>344</v>
      </c>
      <c r="CL2394" s="1789"/>
      <c r="CR2394" s="345"/>
      <c r="CS2394" s="345"/>
      <c r="CX2394" s="347"/>
      <c r="CY2394" s="347"/>
      <c r="DH2394" s="237"/>
      <c r="DI2394" s="237"/>
      <c r="DN2394" s="347"/>
      <c r="DO2394" s="347"/>
      <c r="DP2394" s="2505"/>
    </row>
    <row r="2395" spans="30:120">
      <c r="AD2395" s="1138"/>
      <c r="AP2395" s="347">
        <v>251.06</v>
      </c>
      <c r="AQ2395" s="347" t="s">
        <v>363</v>
      </c>
      <c r="BF2395" s="347">
        <v>505.05</v>
      </c>
      <c r="BG2395" s="347" t="s">
        <v>339</v>
      </c>
      <c r="BH2395" s="1790"/>
      <c r="BN2395" s="237">
        <v>2.23</v>
      </c>
      <c r="BO2395" s="237" t="s">
        <v>352</v>
      </c>
      <c r="BT2395" s="347">
        <v>251.1</v>
      </c>
      <c r="BU2395" s="347" t="s">
        <v>363</v>
      </c>
      <c r="CD2395" s="237">
        <v>135</v>
      </c>
      <c r="CE2395" s="237" t="s">
        <v>352</v>
      </c>
      <c r="CJ2395" s="347">
        <v>505.04</v>
      </c>
      <c r="CK2395" s="347" t="s">
        <v>339</v>
      </c>
      <c r="CL2395" s="1789"/>
      <c r="CR2395" s="345"/>
      <c r="CS2395" s="345"/>
      <c r="CX2395" s="347"/>
      <c r="CY2395" s="347"/>
      <c r="DH2395" s="237"/>
      <c r="DI2395" s="237"/>
      <c r="DN2395" s="347"/>
      <c r="DO2395" s="347"/>
      <c r="DP2395" s="2505"/>
    </row>
    <row r="2396" spans="30:120">
      <c r="AD2396" s="1138"/>
      <c r="AP2396" s="347">
        <v>251.07</v>
      </c>
      <c r="AQ2396" s="347" t="s">
        <v>363</v>
      </c>
      <c r="BF2396" s="347">
        <v>505.06</v>
      </c>
      <c r="BG2396" s="347" t="s">
        <v>339</v>
      </c>
      <c r="BH2396" s="1790"/>
      <c r="BN2396" s="237">
        <v>2.2400000000000002</v>
      </c>
      <c r="BO2396" s="237" t="s">
        <v>352</v>
      </c>
      <c r="BT2396" s="347">
        <v>251.12</v>
      </c>
      <c r="BU2396" s="347" t="s">
        <v>363</v>
      </c>
      <c r="CD2396" s="237">
        <v>135</v>
      </c>
      <c r="CE2396" s="237" t="s">
        <v>365</v>
      </c>
      <c r="CJ2396" s="347">
        <v>505.05</v>
      </c>
      <c r="CK2396" s="347" t="s">
        <v>339</v>
      </c>
      <c r="CL2396" s="1789"/>
      <c r="CR2396" s="345"/>
      <c r="CS2396" s="345"/>
      <c r="CX2396" s="347"/>
      <c r="CY2396" s="347"/>
      <c r="DH2396" s="237"/>
      <c r="DI2396" s="237"/>
      <c r="DN2396" s="347"/>
      <c r="DO2396" s="347"/>
      <c r="DP2396" s="2505"/>
    </row>
    <row r="2397" spans="30:120">
      <c r="AD2397" s="1138"/>
      <c r="AP2397" s="347">
        <v>251.08</v>
      </c>
      <c r="AQ2397" s="347" t="s">
        <v>363</v>
      </c>
      <c r="BF2397" s="347">
        <v>505.06</v>
      </c>
      <c r="BG2397" s="347" t="s">
        <v>356</v>
      </c>
      <c r="BH2397" s="1790"/>
      <c r="BN2397" s="237">
        <v>2.25</v>
      </c>
      <c r="BO2397" s="237" t="s">
        <v>352</v>
      </c>
      <c r="BT2397" s="347">
        <v>251.13</v>
      </c>
      <c r="BU2397" s="347" t="s">
        <v>363</v>
      </c>
      <c r="CD2397" s="237">
        <v>135.01</v>
      </c>
      <c r="CE2397" s="237" t="s">
        <v>337</v>
      </c>
      <c r="CJ2397" s="347">
        <v>505.06</v>
      </c>
      <c r="CK2397" s="347" t="s">
        <v>339</v>
      </c>
      <c r="CL2397" s="1789"/>
      <c r="CR2397" s="345"/>
      <c r="CS2397" s="345"/>
      <c r="CX2397" s="347"/>
      <c r="CY2397" s="347"/>
      <c r="DH2397" s="237"/>
      <c r="DI2397" s="237"/>
      <c r="DN2397" s="347"/>
      <c r="DO2397" s="347"/>
      <c r="DP2397" s="2505"/>
    </row>
    <row r="2398" spans="30:120">
      <c r="AD2398" s="1138"/>
      <c r="AP2398" s="347">
        <v>251.1</v>
      </c>
      <c r="AQ2398" s="347" t="s">
        <v>363</v>
      </c>
      <c r="BF2398" s="347">
        <v>505.07</v>
      </c>
      <c r="BG2398" s="347" t="s">
        <v>339</v>
      </c>
      <c r="BH2398" s="1790"/>
      <c r="BN2398" s="237">
        <v>2.2599999999999998</v>
      </c>
      <c r="BO2398" s="237" t="s">
        <v>352</v>
      </c>
      <c r="BT2398" s="347">
        <v>251.19</v>
      </c>
      <c r="BU2398" s="347" t="s">
        <v>363</v>
      </c>
      <c r="CD2398" s="237">
        <v>135.02000000000001</v>
      </c>
      <c r="CE2398" s="237" t="s">
        <v>323</v>
      </c>
      <c r="CJ2398" s="347">
        <v>505.06</v>
      </c>
      <c r="CK2398" s="347" t="s">
        <v>356</v>
      </c>
      <c r="CL2398" s="1789"/>
      <c r="CR2398" s="345"/>
      <c r="CS2398" s="345"/>
      <c r="CX2398" s="347"/>
      <c r="CY2398" s="347"/>
      <c r="DH2398" s="237"/>
      <c r="DI2398" s="237"/>
      <c r="DN2398" s="347"/>
      <c r="DO2398" s="347"/>
      <c r="DP2398" s="2505"/>
    </row>
    <row r="2399" spans="30:120">
      <c r="AD2399" s="1138"/>
      <c r="AP2399" s="347">
        <v>251.12</v>
      </c>
      <c r="AQ2399" s="347" t="s">
        <v>363</v>
      </c>
      <c r="BF2399" s="347">
        <v>505.08</v>
      </c>
      <c r="BG2399" s="347" t="s">
        <v>339</v>
      </c>
      <c r="BH2399" s="1790"/>
      <c r="BN2399" s="237">
        <v>2.27</v>
      </c>
      <c r="BO2399" s="237" t="s">
        <v>352</v>
      </c>
      <c r="BT2399" s="347">
        <v>251.2</v>
      </c>
      <c r="BU2399" s="347" t="s">
        <v>363</v>
      </c>
      <c r="CD2399" s="237">
        <v>135.03</v>
      </c>
      <c r="CE2399" s="237" t="s">
        <v>337</v>
      </c>
      <c r="CJ2399" s="347">
        <v>505.07</v>
      </c>
      <c r="CK2399" s="347" t="s">
        <v>339</v>
      </c>
      <c r="CL2399" s="1789"/>
      <c r="CR2399" s="345"/>
      <c r="CS2399" s="345"/>
      <c r="CX2399" s="347"/>
      <c r="CY2399" s="347"/>
      <c r="DH2399" s="237"/>
      <c r="DI2399" s="237"/>
      <c r="DN2399" s="347"/>
      <c r="DO2399" s="347"/>
      <c r="DP2399" s="2505"/>
    </row>
    <row r="2400" spans="30:120">
      <c r="AD2400" s="1138"/>
      <c r="AP2400" s="347">
        <v>251.13</v>
      </c>
      <c r="AQ2400" s="347" t="s">
        <v>363</v>
      </c>
      <c r="BF2400" s="347">
        <v>505.09</v>
      </c>
      <c r="BG2400" s="347" t="s">
        <v>339</v>
      </c>
      <c r="BH2400" s="1790"/>
      <c r="BN2400" s="237">
        <v>2.2799999999999998</v>
      </c>
      <c r="BO2400" s="237" t="s">
        <v>352</v>
      </c>
      <c r="BT2400" s="347">
        <v>251.21</v>
      </c>
      <c r="BU2400" s="347" t="s">
        <v>363</v>
      </c>
      <c r="CD2400" s="237">
        <v>135.03</v>
      </c>
      <c r="CE2400" s="237" t="s">
        <v>359</v>
      </c>
      <c r="CJ2400" s="347">
        <v>505.08</v>
      </c>
      <c r="CK2400" s="347" t="s">
        <v>339</v>
      </c>
      <c r="CL2400" s="1789"/>
      <c r="CR2400" s="345"/>
      <c r="CS2400" s="345"/>
      <c r="CX2400" s="347"/>
      <c r="CY2400" s="347"/>
      <c r="DH2400" s="237"/>
      <c r="DI2400" s="237"/>
      <c r="DN2400" s="347"/>
      <c r="DO2400" s="347"/>
      <c r="DP2400" s="2505"/>
    </row>
    <row r="2401" spans="30:120">
      <c r="AD2401" s="1138"/>
      <c r="AP2401" s="347">
        <v>251.19</v>
      </c>
      <c r="AQ2401" s="347" t="s">
        <v>363</v>
      </c>
      <c r="BF2401" s="347">
        <v>505.09</v>
      </c>
      <c r="BG2401" s="347" t="s">
        <v>356</v>
      </c>
      <c r="BH2401" s="1790"/>
      <c r="BN2401" s="237">
        <v>3.02</v>
      </c>
      <c r="BO2401" s="237" t="s">
        <v>352</v>
      </c>
      <c r="BT2401" s="347">
        <v>251.22</v>
      </c>
      <c r="BU2401" s="347" t="s">
        <v>363</v>
      </c>
      <c r="CD2401" s="237">
        <v>135.04</v>
      </c>
      <c r="CE2401" s="237" t="s">
        <v>323</v>
      </c>
      <c r="CJ2401" s="347">
        <v>505.09</v>
      </c>
      <c r="CK2401" s="347" t="s">
        <v>339</v>
      </c>
      <c r="CL2401" s="1789"/>
      <c r="CR2401" s="345"/>
      <c r="CS2401" s="345"/>
      <c r="CX2401" s="347"/>
      <c r="CY2401" s="347"/>
      <c r="DH2401" s="237"/>
      <c r="DI2401" s="237"/>
      <c r="DN2401" s="347"/>
      <c r="DO2401" s="347"/>
      <c r="DP2401" s="2505"/>
    </row>
    <row r="2402" spans="30:120">
      <c r="AD2402" s="1138"/>
      <c r="AP2402" s="347">
        <v>251.2</v>
      </c>
      <c r="AQ2402" s="347" t="s">
        <v>363</v>
      </c>
      <c r="BF2402" s="347">
        <v>506.01</v>
      </c>
      <c r="BG2402" s="347" t="s">
        <v>310</v>
      </c>
      <c r="BH2402" s="1790"/>
      <c r="BN2402" s="237">
        <v>3.06</v>
      </c>
      <c r="BO2402" s="237" t="s">
        <v>352</v>
      </c>
      <c r="BT2402" s="347">
        <v>251.23</v>
      </c>
      <c r="BU2402" s="347" t="s">
        <v>363</v>
      </c>
      <c r="CD2402" s="237">
        <v>135.04</v>
      </c>
      <c r="CE2402" s="237" t="s">
        <v>337</v>
      </c>
      <c r="CJ2402" s="347">
        <v>506.01</v>
      </c>
      <c r="CK2402" s="347" t="s">
        <v>310</v>
      </c>
      <c r="CL2402" s="1789"/>
      <c r="CR2402" s="345"/>
      <c r="CS2402" s="345"/>
      <c r="CX2402" s="347"/>
      <c r="CY2402" s="347"/>
      <c r="DH2402" s="237"/>
      <c r="DI2402" s="237"/>
      <c r="DN2402" s="347"/>
      <c r="DO2402" s="347"/>
      <c r="DP2402" s="2505"/>
    </row>
    <row r="2403" spans="30:120">
      <c r="AD2403" s="1138"/>
      <c r="AP2403" s="347">
        <v>251.21</v>
      </c>
      <c r="AQ2403" s="347" t="s">
        <v>363</v>
      </c>
      <c r="BF2403" s="347">
        <v>506.01</v>
      </c>
      <c r="BG2403" s="347" t="s">
        <v>344</v>
      </c>
      <c r="BH2403" s="1790"/>
      <c r="BN2403" s="237">
        <v>3.07</v>
      </c>
      <c r="BO2403" s="237" t="s">
        <v>352</v>
      </c>
      <c r="BT2403" s="347">
        <v>252.05</v>
      </c>
      <c r="BU2403" s="347" t="s">
        <v>363</v>
      </c>
      <c r="CD2403" s="237">
        <v>135.05000000000001</v>
      </c>
      <c r="CE2403" s="237" t="s">
        <v>337</v>
      </c>
      <c r="CJ2403" s="347">
        <v>506.01</v>
      </c>
      <c r="CK2403" s="347" t="s">
        <v>339</v>
      </c>
      <c r="CL2403" s="1789"/>
      <c r="CR2403" s="345"/>
      <c r="CS2403" s="345"/>
      <c r="CX2403" s="347"/>
      <c r="CY2403" s="347"/>
      <c r="DH2403" s="237"/>
      <c r="DI2403" s="237"/>
      <c r="DN2403" s="347"/>
      <c r="DO2403" s="347"/>
      <c r="DP2403" s="2505"/>
    </row>
    <row r="2404" spans="30:120">
      <c r="AD2404" s="1138"/>
      <c r="AP2404" s="347">
        <v>251.22</v>
      </c>
      <c r="AQ2404" s="347" t="s">
        <v>363</v>
      </c>
      <c r="BF2404" s="347">
        <v>506.02</v>
      </c>
      <c r="BG2404" s="347" t="s">
        <v>339</v>
      </c>
      <c r="BH2404" s="1790"/>
      <c r="BN2404" s="237">
        <v>3.08</v>
      </c>
      <c r="BO2404" s="237" t="s">
        <v>352</v>
      </c>
      <c r="BT2404" s="347">
        <v>252.08</v>
      </c>
      <c r="BU2404" s="347" t="s">
        <v>363</v>
      </c>
      <c r="CD2404" s="237">
        <v>135.05000000000001</v>
      </c>
      <c r="CE2404" s="237" t="s">
        <v>359</v>
      </c>
      <c r="CJ2404" s="347">
        <v>506.01</v>
      </c>
      <c r="CK2404" s="347" t="s">
        <v>344</v>
      </c>
      <c r="CL2404" s="1789"/>
      <c r="CR2404" s="345"/>
      <c r="CS2404" s="345"/>
      <c r="CX2404" s="347"/>
      <c r="CY2404" s="347"/>
      <c r="DH2404" s="237"/>
      <c r="DI2404" s="237"/>
      <c r="DN2404" s="347"/>
      <c r="DO2404" s="347"/>
      <c r="DP2404" s="2505"/>
    </row>
    <row r="2405" spans="30:120">
      <c r="AD2405" s="1138"/>
      <c r="AP2405" s="347">
        <v>251.23</v>
      </c>
      <c r="AQ2405" s="347" t="s">
        <v>363</v>
      </c>
      <c r="BF2405" s="347">
        <v>506.03</v>
      </c>
      <c r="BG2405" s="347" t="s">
        <v>339</v>
      </c>
      <c r="BH2405" s="1790"/>
      <c r="BN2405" s="237">
        <v>3.09</v>
      </c>
      <c r="BO2405" s="237" t="s">
        <v>352</v>
      </c>
      <c r="BT2405" s="347">
        <v>252.09</v>
      </c>
      <c r="BU2405" s="347" t="s">
        <v>363</v>
      </c>
      <c r="CD2405" s="237">
        <v>135.07</v>
      </c>
      <c r="CE2405" s="237" t="s">
        <v>359</v>
      </c>
      <c r="CJ2405" s="347">
        <v>506.02</v>
      </c>
      <c r="CK2405" s="347" t="s">
        <v>339</v>
      </c>
      <c r="CL2405" s="1789"/>
      <c r="CR2405" s="345"/>
      <c r="CS2405" s="345"/>
      <c r="CX2405" s="347"/>
      <c r="CY2405" s="347"/>
      <c r="DH2405" s="237"/>
      <c r="DI2405" s="237"/>
      <c r="DN2405" s="347"/>
      <c r="DO2405" s="347"/>
      <c r="DP2405" s="2505"/>
    </row>
    <row r="2406" spans="30:120">
      <c r="AD2406" s="1138"/>
      <c r="AP2406" s="347">
        <v>252.05</v>
      </c>
      <c r="AQ2406" s="347" t="s">
        <v>363</v>
      </c>
      <c r="BF2406" s="347">
        <v>506.04</v>
      </c>
      <c r="BG2406" s="347" t="s">
        <v>339</v>
      </c>
      <c r="BH2406" s="1790"/>
      <c r="BN2406" s="237">
        <v>3.1</v>
      </c>
      <c r="BO2406" s="237" t="s">
        <v>352</v>
      </c>
      <c r="BT2406" s="347">
        <v>252.1</v>
      </c>
      <c r="BU2406" s="347" t="s">
        <v>363</v>
      </c>
      <c r="CD2406" s="237">
        <v>135.1</v>
      </c>
      <c r="CE2406" s="237" t="s">
        <v>359</v>
      </c>
      <c r="CJ2406" s="347">
        <v>506.04</v>
      </c>
      <c r="CK2406" s="347" t="s">
        <v>344</v>
      </c>
      <c r="CL2406" s="1789"/>
      <c r="CR2406" s="345"/>
      <c r="CS2406" s="345"/>
      <c r="CX2406" s="347"/>
      <c r="CY2406" s="347"/>
      <c r="DH2406" s="237"/>
      <c r="DI2406" s="237"/>
      <c r="DN2406" s="347"/>
      <c r="DO2406" s="347"/>
      <c r="DP2406" s="2505"/>
    </row>
    <row r="2407" spans="30:120">
      <c r="AD2407" s="1138"/>
      <c r="AP2407" s="347">
        <v>252.09</v>
      </c>
      <c r="AQ2407" s="347" t="s">
        <v>363</v>
      </c>
      <c r="BF2407" s="347">
        <v>506.04</v>
      </c>
      <c r="BG2407" s="347" t="s">
        <v>344</v>
      </c>
      <c r="BH2407" s="1790"/>
      <c r="BN2407" s="237">
        <v>3.11</v>
      </c>
      <c r="BO2407" s="237" t="s">
        <v>352</v>
      </c>
      <c r="BT2407" s="347">
        <v>253.03</v>
      </c>
      <c r="BU2407" s="347" t="s">
        <v>363</v>
      </c>
      <c r="CD2407" s="237">
        <v>135.11000000000001</v>
      </c>
      <c r="CE2407" s="237" t="s">
        <v>359</v>
      </c>
      <c r="CJ2407" s="347">
        <v>506.05</v>
      </c>
      <c r="CK2407" s="347" t="s">
        <v>339</v>
      </c>
      <c r="CL2407" s="1789"/>
      <c r="CR2407" s="345"/>
      <c r="CS2407" s="345"/>
      <c r="CX2407" s="347"/>
      <c r="CY2407" s="347"/>
      <c r="DH2407" s="237"/>
      <c r="DI2407" s="237"/>
      <c r="DN2407" s="347"/>
      <c r="DO2407" s="347"/>
      <c r="DP2407" s="2505"/>
    </row>
    <row r="2408" spans="30:120">
      <c r="AD2408" s="1138"/>
      <c r="AP2408" s="347">
        <v>252.1</v>
      </c>
      <c r="AQ2408" s="347" t="s">
        <v>363</v>
      </c>
      <c r="BF2408" s="347">
        <v>506.05</v>
      </c>
      <c r="BG2408" s="347" t="s">
        <v>339</v>
      </c>
      <c r="BH2408" s="1790"/>
      <c r="BN2408" s="237">
        <v>3.12</v>
      </c>
      <c r="BO2408" s="237" t="s">
        <v>352</v>
      </c>
      <c r="BT2408" s="347">
        <v>253.07</v>
      </c>
      <c r="BU2408" s="347" t="s">
        <v>363</v>
      </c>
      <c r="CD2408" s="237">
        <v>135.12</v>
      </c>
      <c r="CE2408" s="237" t="s">
        <v>359</v>
      </c>
      <c r="CJ2408" s="347">
        <v>506.08</v>
      </c>
      <c r="CK2408" s="347" t="s">
        <v>339</v>
      </c>
      <c r="CL2408" s="1789"/>
      <c r="CR2408" s="345"/>
      <c r="CS2408" s="345"/>
      <c r="CX2408" s="347"/>
      <c r="CY2408" s="347"/>
      <c r="DH2408" s="237"/>
      <c r="DI2408" s="237"/>
      <c r="DN2408" s="347"/>
      <c r="DO2408" s="347"/>
      <c r="DP2408" s="2505"/>
    </row>
    <row r="2409" spans="30:120">
      <c r="AD2409" s="1138"/>
      <c r="AP2409" s="347">
        <v>252.11</v>
      </c>
      <c r="AQ2409" s="347" t="s">
        <v>363</v>
      </c>
      <c r="BF2409" s="347">
        <v>506.08</v>
      </c>
      <c r="BG2409" s="347" t="s">
        <v>339</v>
      </c>
      <c r="BH2409" s="1790"/>
      <c r="BN2409" s="237">
        <v>4.0199999999999996</v>
      </c>
      <c r="BO2409" s="237" t="s">
        <v>352</v>
      </c>
      <c r="BT2409" s="347">
        <v>254.01</v>
      </c>
      <c r="BU2409" s="347" t="s">
        <v>363</v>
      </c>
      <c r="CD2409" s="237">
        <v>135.13</v>
      </c>
      <c r="CE2409" s="237" t="s">
        <v>359</v>
      </c>
      <c r="CJ2409" s="347">
        <v>507.02</v>
      </c>
      <c r="CK2409" s="347" t="s">
        <v>339</v>
      </c>
      <c r="CL2409" s="1789"/>
      <c r="CR2409" s="345"/>
      <c r="CS2409" s="345"/>
      <c r="CX2409" s="347"/>
      <c r="CY2409" s="347"/>
      <c r="DH2409" s="237"/>
      <c r="DI2409" s="237"/>
      <c r="DN2409" s="347"/>
      <c r="DO2409" s="347"/>
      <c r="DP2409" s="2505"/>
    </row>
    <row r="2410" spans="30:120">
      <c r="AD2410" s="1138"/>
      <c r="AP2410" s="347">
        <v>253.07</v>
      </c>
      <c r="AQ2410" s="347" t="s">
        <v>363</v>
      </c>
      <c r="BF2410" s="347">
        <v>507.02</v>
      </c>
      <c r="BG2410" s="347" t="s">
        <v>339</v>
      </c>
      <c r="BH2410" s="1790"/>
      <c r="BN2410" s="237">
        <v>4.05</v>
      </c>
      <c r="BO2410" s="237" t="s">
        <v>352</v>
      </c>
      <c r="BT2410" s="347">
        <v>254.07</v>
      </c>
      <c r="BU2410" s="347" t="s">
        <v>363</v>
      </c>
      <c r="CD2410" s="237">
        <v>135.22</v>
      </c>
      <c r="CE2410" s="237" t="s">
        <v>323</v>
      </c>
      <c r="CJ2410" s="347">
        <v>507.04</v>
      </c>
      <c r="CK2410" s="347" t="s">
        <v>339</v>
      </c>
      <c r="CL2410" s="1789"/>
      <c r="CR2410" s="345"/>
      <c r="CS2410" s="345"/>
      <c r="CX2410" s="347"/>
      <c r="CY2410" s="347"/>
      <c r="DH2410" s="237"/>
      <c r="DI2410" s="237"/>
      <c r="DN2410" s="347"/>
      <c r="DO2410" s="347"/>
      <c r="DP2410" s="2505"/>
    </row>
    <row r="2411" spans="30:120">
      <c r="AD2411" s="1138"/>
      <c r="AP2411" s="347">
        <v>253.09</v>
      </c>
      <c r="AQ2411" s="347" t="s">
        <v>363</v>
      </c>
      <c r="BF2411" s="347">
        <v>507.04</v>
      </c>
      <c r="BG2411" s="347" t="s">
        <v>339</v>
      </c>
      <c r="BH2411" s="1790"/>
      <c r="BN2411" s="237">
        <v>4.08</v>
      </c>
      <c r="BO2411" s="237" t="s">
        <v>352</v>
      </c>
      <c r="BT2411" s="347">
        <v>254.11</v>
      </c>
      <c r="BU2411" s="347" t="s">
        <v>363</v>
      </c>
      <c r="CD2411" s="237">
        <v>135.22999999999999</v>
      </c>
      <c r="CE2411" s="237" t="s">
        <v>323</v>
      </c>
      <c r="CJ2411" s="347">
        <v>507.06</v>
      </c>
      <c r="CK2411" s="347" t="s">
        <v>339</v>
      </c>
      <c r="CL2411" s="1789"/>
      <c r="CR2411" s="345"/>
      <c r="CS2411" s="345"/>
      <c r="CX2411" s="347"/>
      <c r="CY2411" s="347"/>
      <c r="DH2411" s="237"/>
      <c r="DI2411" s="237"/>
      <c r="DN2411" s="347"/>
      <c r="DO2411" s="347"/>
      <c r="DP2411" s="2505"/>
    </row>
    <row r="2412" spans="30:120">
      <c r="AD2412" s="1138"/>
      <c r="AP2412" s="347">
        <v>254.01</v>
      </c>
      <c r="AQ2412" s="347" t="s">
        <v>363</v>
      </c>
      <c r="BF2412" s="347">
        <v>507.06</v>
      </c>
      <c r="BG2412" s="347" t="s">
        <v>339</v>
      </c>
      <c r="BH2412" s="1790"/>
      <c r="BN2412" s="237">
        <v>4.09</v>
      </c>
      <c r="BO2412" s="237" t="s">
        <v>352</v>
      </c>
      <c r="BT2412" s="347">
        <v>254.12</v>
      </c>
      <c r="BU2412" s="347" t="s">
        <v>363</v>
      </c>
      <c r="CD2412" s="237">
        <v>135.24</v>
      </c>
      <c r="CE2412" s="237" t="s">
        <v>323</v>
      </c>
      <c r="CJ2412" s="347">
        <v>507.07</v>
      </c>
      <c r="CK2412" s="347" t="s">
        <v>339</v>
      </c>
      <c r="CL2412" s="1789"/>
      <c r="CR2412" s="345"/>
      <c r="CS2412" s="345"/>
      <c r="CX2412" s="347"/>
      <c r="CY2412" s="347"/>
      <c r="DH2412" s="237"/>
      <c r="DI2412" s="237"/>
      <c r="DN2412" s="347"/>
      <c r="DO2412" s="347"/>
      <c r="DP2412" s="2505"/>
    </row>
    <row r="2413" spans="30:120">
      <c r="AD2413" s="1138"/>
      <c r="AP2413" s="347">
        <v>254.07</v>
      </c>
      <c r="AQ2413" s="347" t="s">
        <v>363</v>
      </c>
      <c r="BF2413" s="347">
        <v>507.07</v>
      </c>
      <c r="BG2413" s="347" t="s">
        <v>339</v>
      </c>
      <c r="BH2413" s="1790"/>
      <c r="BN2413" s="237">
        <v>4.0999999999999996</v>
      </c>
      <c r="BO2413" s="237" t="s">
        <v>352</v>
      </c>
      <c r="BT2413" s="347">
        <v>255.01</v>
      </c>
      <c r="BU2413" s="347" t="s">
        <v>363</v>
      </c>
      <c r="CD2413" s="237">
        <v>135.25</v>
      </c>
      <c r="CE2413" s="237" t="s">
        <v>323</v>
      </c>
      <c r="CJ2413" s="347">
        <v>507.08</v>
      </c>
      <c r="CK2413" s="347" t="s">
        <v>339</v>
      </c>
      <c r="CL2413" s="1789"/>
      <c r="CR2413" s="345"/>
      <c r="CS2413" s="345"/>
      <c r="CX2413" s="347"/>
      <c r="CY2413" s="347"/>
      <c r="DH2413" s="237"/>
      <c r="DI2413" s="237"/>
      <c r="DN2413" s="347"/>
      <c r="DO2413" s="347"/>
      <c r="DP2413" s="2505"/>
    </row>
    <row r="2414" spans="30:120">
      <c r="AD2414" s="1138"/>
      <c r="AP2414" s="347">
        <v>254.11</v>
      </c>
      <c r="AQ2414" s="347" t="s">
        <v>363</v>
      </c>
      <c r="BF2414" s="347">
        <v>507.08</v>
      </c>
      <c r="BG2414" s="347" t="s">
        <v>339</v>
      </c>
      <c r="BH2414" s="1790"/>
      <c r="BN2414" s="237">
        <v>4.1100000000000003</v>
      </c>
      <c r="BO2414" s="237" t="s">
        <v>352</v>
      </c>
      <c r="BT2414" s="347">
        <v>255.1</v>
      </c>
      <c r="BU2414" s="347" t="s">
        <v>363</v>
      </c>
      <c r="CD2414" s="237">
        <v>135.26</v>
      </c>
      <c r="CE2414" s="237" t="s">
        <v>323</v>
      </c>
      <c r="CJ2414" s="347">
        <v>507.09</v>
      </c>
      <c r="CK2414" s="347" t="s">
        <v>339</v>
      </c>
      <c r="CL2414" s="1789"/>
      <c r="CR2414" s="345"/>
      <c r="CS2414" s="345"/>
      <c r="CX2414" s="347"/>
      <c r="CY2414" s="347"/>
      <c r="DH2414" s="237"/>
      <c r="DI2414" s="237"/>
      <c r="DN2414" s="347"/>
      <c r="DO2414" s="347"/>
      <c r="DP2414" s="2505"/>
    </row>
    <row r="2415" spans="30:120">
      <c r="AD2415" s="1138"/>
      <c r="AP2415" s="347">
        <v>254.12</v>
      </c>
      <c r="AQ2415" s="347" t="s">
        <v>363</v>
      </c>
      <c r="BF2415" s="347">
        <v>508.1</v>
      </c>
      <c r="BG2415" s="347" t="s">
        <v>339</v>
      </c>
      <c r="BH2415" s="1790"/>
      <c r="BN2415" s="237">
        <v>4.13</v>
      </c>
      <c r="BO2415" s="237" t="s">
        <v>352</v>
      </c>
      <c r="BT2415" s="347">
        <v>257</v>
      </c>
      <c r="BU2415" s="347" t="s">
        <v>363</v>
      </c>
      <c r="CD2415" s="237">
        <v>136</v>
      </c>
      <c r="CE2415" s="237" t="s">
        <v>352</v>
      </c>
      <c r="CJ2415" s="347">
        <v>508.07</v>
      </c>
      <c r="CK2415" s="347" t="s">
        <v>339</v>
      </c>
      <c r="CL2415" s="1789"/>
      <c r="CR2415" s="345"/>
      <c r="CS2415" s="345"/>
      <c r="CX2415" s="347"/>
      <c r="CY2415" s="347"/>
      <c r="DH2415" s="237"/>
      <c r="DI2415" s="237"/>
      <c r="DN2415" s="347"/>
      <c r="DO2415" s="347"/>
      <c r="DP2415" s="2505"/>
    </row>
    <row r="2416" spans="30:120">
      <c r="AD2416" s="1138"/>
      <c r="AP2416" s="347">
        <v>254.17</v>
      </c>
      <c r="AQ2416" s="347" t="s">
        <v>363</v>
      </c>
      <c r="BF2416" s="347">
        <v>508.11</v>
      </c>
      <c r="BG2416" s="347" t="s">
        <v>339</v>
      </c>
      <c r="BH2416" s="1790"/>
      <c r="BN2416" s="237">
        <v>4.1399999999999997</v>
      </c>
      <c r="BO2416" s="237" t="s">
        <v>352</v>
      </c>
      <c r="BT2416" s="347">
        <v>260.01</v>
      </c>
      <c r="BU2416" s="347" t="s">
        <v>363</v>
      </c>
      <c r="CD2416" s="237">
        <v>136.01</v>
      </c>
      <c r="CE2416" s="237" t="s">
        <v>365</v>
      </c>
      <c r="CJ2416" s="347">
        <v>508.09</v>
      </c>
      <c r="CK2416" s="347" t="s">
        <v>339</v>
      </c>
      <c r="CL2416" s="1789"/>
      <c r="CR2416" s="345"/>
      <c r="CS2416" s="345"/>
      <c r="CX2416" s="347"/>
      <c r="CY2416" s="347"/>
      <c r="DH2416" s="237"/>
      <c r="DI2416" s="237"/>
      <c r="DN2416" s="347"/>
      <c r="DO2416" s="347"/>
      <c r="DP2416" s="2505"/>
    </row>
    <row r="2417" spans="30:120">
      <c r="AD2417" s="1138"/>
      <c r="AP2417" s="347">
        <v>255.01</v>
      </c>
      <c r="AQ2417" s="347" t="s">
        <v>363</v>
      </c>
      <c r="BF2417" s="347">
        <v>509</v>
      </c>
      <c r="BG2417" s="347" t="s">
        <v>310</v>
      </c>
      <c r="BH2417" s="1790"/>
      <c r="BN2417" s="237">
        <v>4.1500000000000004</v>
      </c>
      <c r="BO2417" s="237" t="s">
        <v>352</v>
      </c>
      <c r="BT2417" s="347">
        <v>260.02999999999997</v>
      </c>
      <c r="BU2417" s="347" t="s">
        <v>363</v>
      </c>
      <c r="CD2417" s="237">
        <v>136.02000000000001</v>
      </c>
      <c r="CE2417" s="237" t="s">
        <v>337</v>
      </c>
      <c r="CJ2417" s="347">
        <v>508.11</v>
      </c>
      <c r="CK2417" s="347" t="s">
        <v>339</v>
      </c>
      <c r="CL2417" s="1789"/>
      <c r="CR2417" s="345"/>
      <c r="CS2417" s="345"/>
      <c r="CX2417" s="347"/>
      <c r="CY2417" s="347"/>
      <c r="DH2417" s="237"/>
      <c r="DI2417" s="237"/>
      <c r="DN2417" s="347"/>
      <c r="DO2417" s="347"/>
      <c r="DP2417" s="2505"/>
    </row>
    <row r="2418" spans="30:120">
      <c r="AD2418" s="1138"/>
      <c r="AP2418" s="347">
        <v>255.09</v>
      </c>
      <c r="AQ2418" s="347" t="s">
        <v>363</v>
      </c>
      <c r="BF2418" s="347">
        <v>509.03</v>
      </c>
      <c r="BG2418" s="347" t="s">
        <v>339</v>
      </c>
      <c r="BH2418" s="1790"/>
      <c r="BN2418" s="237">
        <v>4.16</v>
      </c>
      <c r="BO2418" s="237" t="s">
        <v>352</v>
      </c>
      <c r="BT2418" s="347">
        <v>260.04000000000002</v>
      </c>
      <c r="BU2418" s="347" t="s">
        <v>363</v>
      </c>
      <c r="CD2418" s="237">
        <v>136.02000000000001</v>
      </c>
      <c r="CE2418" s="237" t="s">
        <v>365</v>
      </c>
      <c r="CJ2418" s="347">
        <v>508.12</v>
      </c>
      <c r="CK2418" s="347" t="s">
        <v>339</v>
      </c>
      <c r="CL2418" s="1789"/>
      <c r="CR2418" s="345"/>
      <c r="CS2418" s="345"/>
      <c r="CX2418" s="347"/>
      <c r="CY2418" s="347"/>
      <c r="DH2418" s="237"/>
      <c r="DI2418" s="237"/>
      <c r="DN2418" s="347"/>
      <c r="DO2418" s="347"/>
      <c r="DP2418" s="2505"/>
    </row>
    <row r="2419" spans="30:120">
      <c r="AD2419" s="1138"/>
      <c r="AP2419" s="347">
        <v>255.1</v>
      </c>
      <c r="AQ2419" s="347" t="s">
        <v>363</v>
      </c>
      <c r="BF2419" s="347">
        <v>509.05</v>
      </c>
      <c r="BG2419" s="347" t="s">
        <v>339</v>
      </c>
      <c r="BH2419" s="1790"/>
      <c r="BN2419" s="237">
        <v>4.17</v>
      </c>
      <c r="BO2419" s="237" t="s">
        <v>352</v>
      </c>
      <c r="BT2419" s="347">
        <v>264.01</v>
      </c>
      <c r="BU2419" s="347" t="s">
        <v>363</v>
      </c>
      <c r="CD2419" s="237">
        <v>136.03</v>
      </c>
      <c r="CE2419" s="237" t="s">
        <v>359</v>
      </c>
      <c r="CJ2419" s="347">
        <v>509</v>
      </c>
      <c r="CK2419" s="347" t="s">
        <v>310</v>
      </c>
      <c r="CL2419" s="1789"/>
      <c r="CR2419" s="345"/>
      <c r="CS2419" s="345"/>
      <c r="CX2419" s="347"/>
      <c r="CY2419" s="347"/>
      <c r="DH2419" s="237"/>
      <c r="DI2419" s="237"/>
      <c r="DN2419" s="347"/>
      <c r="DO2419" s="347"/>
      <c r="DP2419" s="2505"/>
    </row>
    <row r="2420" spans="30:120">
      <c r="AD2420" s="1138"/>
      <c r="AP2420" s="347">
        <v>257</v>
      </c>
      <c r="AQ2420" s="347" t="s">
        <v>363</v>
      </c>
      <c r="BF2420" s="347">
        <v>510.01</v>
      </c>
      <c r="BG2420" s="347" t="s">
        <v>310</v>
      </c>
      <c r="BH2420" s="1790"/>
      <c r="BN2420" s="237">
        <v>4.18</v>
      </c>
      <c r="BO2420" s="237" t="s">
        <v>352</v>
      </c>
      <c r="BT2420" s="347">
        <v>266.01</v>
      </c>
      <c r="BU2420" s="347" t="s">
        <v>363</v>
      </c>
      <c r="CD2420" s="237">
        <v>136.04</v>
      </c>
      <c r="CE2420" s="237" t="s">
        <v>337</v>
      </c>
      <c r="CJ2420" s="347">
        <v>509.03</v>
      </c>
      <c r="CK2420" s="347" t="s">
        <v>339</v>
      </c>
      <c r="CL2420" s="1789"/>
      <c r="CR2420" s="345"/>
      <c r="CS2420" s="345"/>
      <c r="CX2420" s="347"/>
      <c r="CY2420" s="347"/>
      <c r="DH2420" s="237"/>
      <c r="DI2420" s="237"/>
      <c r="DN2420" s="347"/>
      <c r="DO2420" s="347"/>
      <c r="DP2420" s="2505"/>
    </row>
    <row r="2421" spans="30:120">
      <c r="AD2421" s="1138"/>
      <c r="AP2421" s="347">
        <v>260.01</v>
      </c>
      <c r="AQ2421" s="347" t="s">
        <v>363</v>
      </c>
      <c r="BF2421" s="347">
        <v>510.02</v>
      </c>
      <c r="BG2421" s="347" t="s">
        <v>310</v>
      </c>
      <c r="BH2421" s="1790"/>
      <c r="BN2421" s="237">
        <v>4.1900000000000004</v>
      </c>
      <c r="BO2421" s="237" t="s">
        <v>352</v>
      </c>
      <c r="BT2421" s="347">
        <v>266.02</v>
      </c>
      <c r="BU2421" s="347" t="s">
        <v>363</v>
      </c>
      <c r="CD2421" s="237">
        <v>136.04</v>
      </c>
      <c r="CE2421" s="237" t="s">
        <v>359</v>
      </c>
      <c r="CJ2421" s="347">
        <v>509.05</v>
      </c>
      <c r="CK2421" s="347" t="s">
        <v>339</v>
      </c>
      <c r="CL2421" s="1789"/>
      <c r="CR2421" s="345"/>
      <c r="CS2421" s="345"/>
      <c r="CX2421" s="347"/>
      <c r="CY2421" s="347"/>
      <c r="DH2421" s="237"/>
      <c r="DI2421" s="237"/>
      <c r="DN2421" s="347"/>
      <c r="DO2421" s="347"/>
      <c r="DP2421" s="2505"/>
    </row>
    <row r="2422" spans="30:120">
      <c r="AD2422" s="1138"/>
      <c r="AP2422" s="347">
        <v>260.02999999999997</v>
      </c>
      <c r="AQ2422" s="347" t="s">
        <v>363</v>
      </c>
      <c r="BF2422" s="347">
        <v>601.02</v>
      </c>
      <c r="BG2422" s="347" t="s">
        <v>344</v>
      </c>
      <c r="BH2422" s="1790"/>
      <c r="BN2422" s="237">
        <v>4.2</v>
      </c>
      <c r="BO2422" s="237" t="s">
        <v>352</v>
      </c>
      <c r="BT2422" s="347">
        <v>267.04000000000002</v>
      </c>
      <c r="BU2422" s="347" t="s">
        <v>363</v>
      </c>
      <c r="CD2422" s="237">
        <v>136.05000000000001</v>
      </c>
      <c r="CE2422" s="237" t="s">
        <v>359</v>
      </c>
      <c r="CJ2422" s="347">
        <v>509.09</v>
      </c>
      <c r="CK2422" s="347" t="s">
        <v>339</v>
      </c>
      <c r="CL2422" s="1789"/>
      <c r="CR2422" s="345"/>
      <c r="CS2422" s="345"/>
      <c r="CX2422" s="347"/>
      <c r="CY2422" s="347"/>
      <c r="DH2422" s="237"/>
      <c r="DI2422" s="237"/>
      <c r="DN2422" s="347"/>
      <c r="DO2422" s="347"/>
      <c r="DP2422" s="2505"/>
    </row>
    <row r="2423" spans="30:120">
      <c r="AD2423" s="1138"/>
      <c r="AP2423" s="347">
        <v>264.01</v>
      </c>
      <c r="AQ2423" s="347" t="s">
        <v>363</v>
      </c>
      <c r="BF2423" s="347">
        <v>601.04</v>
      </c>
      <c r="BG2423" s="347" t="s">
        <v>326</v>
      </c>
      <c r="BH2423" s="1790"/>
      <c r="BN2423" s="237">
        <v>5.04</v>
      </c>
      <c r="BO2423" s="237" t="s">
        <v>352</v>
      </c>
      <c r="BT2423" s="347">
        <v>267.05</v>
      </c>
      <c r="BU2423" s="347" t="s">
        <v>363</v>
      </c>
      <c r="CD2423" s="237">
        <v>136.06</v>
      </c>
      <c r="CE2423" s="237" t="s">
        <v>359</v>
      </c>
      <c r="CJ2423" s="347">
        <v>510.01</v>
      </c>
      <c r="CK2423" s="347" t="s">
        <v>310</v>
      </c>
      <c r="CL2423" s="1789"/>
      <c r="CR2423" s="345"/>
      <c r="CS2423" s="345"/>
      <c r="CX2423" s="347"/>
      <c r="CY2423" s="347"/>
      <c r="DH2423" s="237"/>
      <c r="DI2423" s="237"/>
      <c r="DN2423" s="347"/>
      <c r="DO2423" s="347"/>
      <c r="DP2423" s="2505"/>
    </row>
    <row r="2424" spans="30:120">
      <c r="AD2424" s="1138"/>
      <c r="AP2424" s="347">
        <v>266.01</v>
      </c>
      <c r="AQ2424" s="347" t="s">
        <v>363</v>
      </c>
      <c r="BF2424" s="347">
        <v>601.04999999999995</v>
      </c>
      <c r="BG2424" s="347" t="s">
        <v>326</v>
      </c>
      <c r="BH2424" s="1790"/>
      <c r="BN2424" s="237">
        <v>5.05</v>
      </c>
      <c r="BO2424" s="237" t="s">
        <v>352</v>
      </c>
      <c r="BT2424" s="347">
        <v>268.08999999999997</v>
      </c>
      <c r="BU2424" s="347" t="s">
        <v>363</v>
      </c>
      <c r="CD2424" s="237">
        <v>136.07</v>
      </c>
      <c r="CE2424" s="237" t="s">
        <v>359</v>
      </c>
      <c r="CJ2424" s="347">
        <v>510.02</v>
      </c>
      <c r="CK2424" s="347" t="s">
        <v>310</v>
      </c>
      <c r="CL2424" s="1789"/>
      <c r="CR2424" s="345"/>
      <c r="CS2424" s="345"/>
      <c r="CX2424" s="347"/>
      <c r="CY2424" s="347"/>
      <c r="DH2424" s="237"/>
      <c r="DI2424" s="237"/>
      <c r="DN2424" s="347"/>
      <c r="DO2424" s="347"/>
      <c r="DP2424" s="2505"/>
    </row>
    <row r="2425" spans="30:120">
      <c r="AD2425" s="1138"/>
      <c r="AP2425" s="347">
        <v>267.04000000000002</v>
      </c>
      <c r="AQ2425" s="347" t="s">
        <v>363</v>
      </c>
      <c r="BF2425" s="347">
        <v>601.05999999999995</v>
      </c>
      <c r="BG2425" s="347" t="s">
        <v>309</v>
      </c>
      <c r="BH2425" s="1790"/>
      <c r="BN2425" s="237">
        <v>5.0599999999999996</v>
      </c>
      <c r="BO2425" s="237" t="s">
        <v>352</v>
      </c>
      <c r="BT2425" s="347">
        <v>268.11</v>
      </c>
      <c r="BU2425" s="347" t="s">
        <v>363</v>
      </c>
      <c r="CD2425" s="237">
        <v>137</v>
      </c>
      <c r="CE2425" s="237" t="s">
        <v>352</v>
      </c>
      <c r="CJ2425" s="347">
        <v>601.02</v>
      </c>
      <c r="CK2425" s="347" t="s">
        <v>344</v>
      </c>
      <c r="CL2425" s="1789"/>
      <c r="CR2425" s="345"/>
      <c r="CS2425" s="345"/>
      <c r="CX2425" s="347"/>
      <c r="CY2425" s="347"/>
      <c r="DH2425" s="237"/>
      <c r="DI2425" s="237"/>
      <c r="DN2425" s="347"/>
      <c r="DO2425" s="347"/>
      <c r="DP2425" s="2505"/>
    </row>
    <row r="2426" spans="30:120">
      <c r="AD2426" s="1138"/>
      <c r="AP2426" s="347">
        <v>268.04000000000002</v>
      </c>
      <c r="AQ2426" s="347" t="s">
        <v>363</v>
      </c>
      <c r="BF2426" s="347">
        <v>601.05999999999995</v>
      </c>
      <c r="BG2426" s="347" t="s">
        <v>326</v>
      </c>
      <c r="BH2426" s="1790"/>
      <c r="BN2426" s="237">
        <v>5.07</v>
      </c>
      <c r="BO2426" s="237" t="s">
        <v>352</v>
      </c>
      <c r="BT2426" s="347">
        <v>268.12</v>
      </c>
      <c r="BU2426" s="347" t="s">
        <v>363</v>
      </c>
      <c r="CD2426" s="237">
        <v>137.01</v>
      </c>
      <c r="CE2426" s="237" t="s">
        <v>359</v>
      </c>
      <c r="CJ2426" s="347">
        <v>601.04999999999995</v>
      </c>
      <c r="CK2426" s="347" t="s">
        <v>326</v>
      </c>
      <c r="CL2426" s="1789"/>
      <c r="CR2426" s="345"/>
      <c r="CS2426" s="345"/>
      <c r="CX2426" s="347"/>
      <c r="CY2426" s="347"/>
      <c r="DH2426" s="237"/>
      <c r="DI2426" s="237"/>
      <c r="DN2426" s="347"/>
      <c r="DO2426" s="347"/>
      <c r="DP2426" s="2505"/>
    </row>
    <row r="2427" spans="30:120">
      <c r="AD2427" s="1138"/>
      <c r="AP2427" s="347">
        <v>268.08999999999997</v>
      </c>
      <c r="AQ2427" s="347" t="s">
        <v>363</v>
      </c>
      <c r="BF2427" s="347">
        <v>601.07000000000005</v>
      </c>
      <c r="BG2427" s="347" t="s">
        <v>326</v>
      </c>
      <c r="BH2427" s="1790"/>
      <c r="BN2427" s="237">
        <v>5.08</v>
      </c>
      <c r="BO2427" s="237" t="s">
        <v>352</v>
      </c>
      <c r="BT2427" s="347">
        <v>268.14999999999998</v>
      </c>
      <c r="BU2427" s="347" t="s">
        <v>363</v>
      </c>
      <c r="CD2427" s="237">
        <v>137.01</v>
      </c>
      <c r="CE2427" s="237" t="s">
        <v>365</v>
      </c>
      <c r="CJ2427" s="347">
        <v>601.05999999999995</v>
      </c>
      <c r="CK2427" s="347" t="s">
        <v>309</v>
      </c>
      <c r="CL2427" s="1789"/>
      <c r="CR2427" s="345"/>
      <c r="CS2427" s="345"/>
      <c r="CX2427" s="347"/>
      <c r="CY2427" s="347"/>
      <c r="DH2427" s="237"/>
      <c r="DI2427" s="237"/>
      <c r="DN2427" s="347"/>
      <c r="DO2427" s="347"/>
      <c r="DP2427" s="2505"/>
    </row>
    <row r="2428" spans="30:120">
      <c r="AD2428" s="1138"/>
      <c r="AP2428" s="347">
        <v>268.11</v>
      </c>
      <c r="AQ2428" s="347" t="s">
        <v>363</v>
      </c>
      <c r="BF2428" s="347">
        <v>601.09</v>
      </c>
      <c r="BG2428" s="347" t="s">
        <v>310</v>
      </c>
      <c r="BH2428" s="1790"/>
      <c r="BN2428" s="237">
        <v>5.09</v>
      </c>
      <c r="BO2428" s="237" t="s">
        <v>352</v>
      </c>
      <c r="BT2428" s="347">
        <v>268.16000000000003</v>
      </c>
      <c r="BU2428" s="347" t="s">
        <v>363</v>
      </c>
      <c r="CD2428" s="237">
        <v>137.02000000000001</v>
      </c>
      <c r="CE2428" s="237" t="s">
        <v>337</v>
      </c>
      <c r="CJ2428" s="347">
        <v>601.05999999999995</v>
      </c>
      <c r="CK2428" s="347" t="s">
        <v>326</v>
      </c>
      <c r="CL2428" s="1789"/>
      <c r="CR2428" s="345"/>
      <c r="CS2428" s="345"/>
      <c r="CX2428" s="347"/>
      <c r="CY2428" s="347"/>
      <c r="DH2428" s="237"/>
      <c r="DI2428" s="237"/>
      <c r="DN2428" s="347"/>
      <c r="DO2428" s="347"/>
      <c r="DP2428" s="2505"/>
    </row>
    <row r="2429" spans="30:120">
      <c r="AD2429" s="1138"/>
      <c r="AP2429" s="347">
        <v>268.12</v>
      </c>
      <c r="AQ2429" s="347" t="s">
        <v>363</v>
      </c>
      <c r="BF2429" s="347">
        <v>601.11</v>
      </c>
      <c r="BG2429" s="347" t="s">
        <v>310</v>
      </c>
      <c r="BH2429" s="1790"/>
      <c r="BN2429" s="237">
        <v>6.01</v>
      </c>
      <c r="BO2429" s="237" t="s">
        <v>352</v>
      </c>
      <c r="BT2429" s="347">
        <v>268.17</v>
      </c>
      <c r="BU2429" s="347" t="s">
        <v>363</v>
      </c>
      <c r="CD2429" s="237">
        <v>137.02000000000001</v>
      </c>
      <c r="CE2429" s="237" t="s">
        <v>359</v>
      </c>
      <c r="CJ2429" s="347">
        <v>601.07000000000005</v>
      </c>
      <c r="CK2429" s="347" t="s">
        <v>326</v>
      </c>
      <c r="CL2429" s="1789"/>
      <c r="CR2429" s="345"/>
      <c r="CS2429" s="345"/>
      <c r="CX2429" s="347"/>
      <c r="CY2429" s="347"/>
      <c r="DH2429" s="237"/>
      <c r="DI2429" s="237"/>
      <c r="DN2429" s="347"/>
      <c r="DO2429" s="347"/>
      <c r="DP2429" s="2505"/>
    </row>
    <row r="2430" spans="30:120">
      <c r="AD2430" s="1138"/>
      <c r="AP2430" s="347">
        <v>268.14</v>
      </c>
      <c r="AQ2430" s="347" t="s">
        <v>363</v>
      </c>
      <c r="BF2430" s="347">
        <v>601.14</v>
      </c>
      <c r="BG2430" s="347" t="s">
        <v>310</v>
      </c>
      <c r="BH2430" s="1790"/>
      <c r="BN2430" s="237">
        <v>6.02</v>
      </c>
      <c r="BO2430" s="237" t="s">
        <v>352</v>
      </c>
      <c r="BT2430" s="347">
        <v>268.20999999999998</v>
      </c>
      <c r="BU2430" s="347" t="s">
        <v>363</v>
      </c>
      <c r="CD2430" s="237">
        <v>137.02000000000001</v>
      </c>
      <c r="CE2430" s="237" t="s">
        <v>365</v>
      </c>
      <c r="CJ2430" s="347">
        <v>601.09</v>
      </c>
      <c r="CK2430" s="347" t="s">
        <v>310</v>
      </c>
      <c r="CL2430" s="1789"/>
      <c r="CR2430" s="345"/>
      <c r="CS2430" s="345"/>
      <c r="CX2430" s="347"/>
      <c r="CY2430" s="347"/>
      <c r="DH2430" s="237"/>
      <c r="DI2430" s="237"/>
      <c r="DN2430" s="347"/>
      <c r="DO2430" s="347"/>
      <c r="DP2430" s="2505"/>
    </row>
    <row r="2431" spans="30:120">
      <c r="AD2431" s="1138"/>
      <c r="AP2431" s="347">
        <v>268.14999999999998</v>
      </c>
      <c r="AQ2431" s="347" t="s">
        <v>363</v>
      </c>
      <c r="BF2431" s="347">
        <v>601.15</v>
      </c>
      <c r="BG2431" s="347" t="s">
        <v>310</v>
      </c>
      <c r="BH2431" s="1790"/>
      <c r="BN2431" s="237">
        <v>6.03</v>
      </c>
      <c r="BO2431" s="237" t="s">
        <v>352</v>
      </c>
      <c r="BT2431" s="347">
        <v>269.08</v>
      </c>
      <c r="BU2431" s="347" t="s">
        <v>363</v>
      </c>
      <c r="CD2431" s="237">
        <v>137.03</v>
      </c>
      <c r="CE2431" s="237" t="s">
        <v>337</v>
      </c>
      <c r="CJ2431" s="347">
        <v>601.13</v>
      </c>
      <c r="CK2431" s="347" t="s">
        <v>310</v>
      </c>
      <c r="CL2431" s="1789"/>
      <c r="CR2431" s="345"/>
      <c r="CS2431" s="345"/>
      <c r="CX2431" s="347"/>
      <c r="CY2431" s="347"/>
      <c r="DH2431" s="237"/>
      <c r="DI2431" s="237"/>
      <c r="DN2431" s="347"/>
      <c r="DO2431" s="347"/>
      <c r="DP2431" s="2505"/>
    </row>
    <row r="2432" spans="30:120">
      <c r="AD2432" s="1138"/>
      <c r="AP2432" s="347">
        <v>268.16000000000003</v>
      </c>
      <c r="AQ2432" s="347" t="s">
        <v>363</v>
      </c>
      <c r="BF2432" s="347">
        <v>601.16</v>
      </c>
      <c r="BG2432" s="347" t="s">
        <v>310</v>
      </c>
      <c r="BH2432" s="1790"/>
      <c r="BN2432" s="237">
        <v>6.05</v>
      </c>
      <c r="BO2432" s="237" t="s">
        <v>352</v>
      </c>
      <c r="BT2432" s="347">
        <v>269.14</v>
      </c>
      <c r="BU2432" s="347" t="s">
        <v>363</v>
      </c>
      <c r="CD2432" s="237">
        <v>137.05000000000001</v>
      </c>
      <c r="CE2432" s="237" t="s">
        <v>337</v>
      </c>
      <c r="CJ2432" s="347">
        <v>601.14</v>
      </c>
      <c r="CK2432" s="347" t="s">
        <v>310</v>
      </c>
      <c r="CL2432" s="1789"/>
      <c r="CR2432" s="345"/>
      <c r="CS2432" s="345"/>
      <c r="CX2432" s="347"/>
      <c r="CY2432" s="347"/>
      <c r="DH2432" s="237"/>
      <c r="DI2432" s="237"/>
      <c r="DN2432" s="347"/>
      <c r="DO2432" s="347"/>
      <c r="DP2432" s="2505"/>
    </row>
    <row r="2433" spans="30:120">
      <c r="AD2433" s="1138"/>
      <c r="AP2433" s="347">
        <v>268.17</v>
      </c>
      <c r="AQ2433" s="347" t="s">
        <v>363</v>
      </c>
      <c r="BF2433" s="347">
        <v>601.19000000000005</v>
      </c>
      <c r="BG2433" s="347" t="s">
        <v>310</v>
      </c>
      <c r="BH2433" s="1790"/>
      <c r="BN2433" s="237">
        <v>6.07</v>
      </c>
      <c r="BO2433" s="237" t="s">
        <v>352</v>
      </c>
      <c r="BT2433" s="347">
        <v>269.14999999999998</v>
      </c>
      <c r="BU2433" s="347" t="s">
        <v>363</v>
      </c>
      <c r="CD2433" s="237">
        <v>137.06</v>
      </c>
      <c r="CE2433" s="237" t="s">
        <v>337</v>
      </c>
      <c r="CJ2433" s="347">
        <v>601.16</v>
      </c>
      <c r="CK2433" s="347" t="s">
        <v>310</v>
      </c>
      <c r="CL2433" s="1789"/>
      <c r="CR2433" s="345"/>
      <c r="CS2433" s="345"/>
      <c r="CX2433" s="347"/>
      <c r="CY2433" s="347"/>
      <c r="DH2433" s="237"/>
      <c r="DI2433" s="237"/>
      <c r="DN2433" s="347"/>
      <c r="DO2433" s="347"/>
      <c r="DP2433" s="2505"/>
    </row>
    <row r="2434" spans="30:120">
      <c r="AD2434" s="1138"/>
      <c r="AP2434" s="347">
        <v>268.20999999999998</v>
      </c>
      <c r="AQ2434" s="347" t="s">
        <v>363</v>
      </c>
      <c r="BF2434" s="347">
        <v>601.20000000000005</v>
      </c>
      <c r="BG2434" s="347" t="s">
        <v>310</v>
      </c>
      <c r="BH2434" s="1790"/>
      <c r="BN2434" s="237">
        <v>6.09</v>
      </c>
      <c r="BO2434" s="237" t="s">
        <v>352</v>
      </c>
      <c r="BT2434" s="347">
        <v>269.16000000000003</v>
      </c>
      <c r="BU2434" s="347" t="s">
        <v>363</v>
      </c>
      <c r="CD2434" s="237">
        <v>137.22999999999999</v>
      </c>
      <c r="CE2434" s="237" t="s">
        <v>323</v>
      </c>
      <c r="CJ2434" s="347">
        <v>601.17999999999995</v>
      </c>
      <c r="CK2434" s="347" t="s">
        <v>310</v>
      </c>
      <c r="CL2434" s="1789"/>
      <c r="CR2434" s="345"/>
      <c r="CS2434" s="345"/>
      <c r="CX2434" s="347"/>
      <c r="CY2434" s="347"/>
      <c r="DH2434" s="237"/>
      <c r="DI2434" s="237"/>
      <c r="DN2434" s="347"/>
      <c r="DO2434" s="347"/>
      <c r="DP2434" s="2505"/>
    </row>
    <row r="2435" spans="30:120">
      <c r="AD2435" s="1138"/>
      <c r="AP2435" s="347">
        <v>269.08</v>
      </c>
      <c r="AQ2435" s="347" t="s">
        <v>363</v>
      </c>
      <c r="BF2435" s="347">
        <v>601.21</v>
      </c>
      <c r="BG2435" s="347" t="s">
        <v>310</v>
      </c>
      <c r="BH2435" s="1790"/>
      <c r="BN2435" s="237">
        <v>6.1</v>
      </c>
      <c r="BO2435" s="237" t="s">
        <v>352</v>
      </c>
      <c r="BT2435" s="347">
        <v>270</v>
      </c>
      <c r="BU2435" s="347" t="s">
        <v>363</v>
      </c>
      <c r="CD2435" s="237">
        <v>137.28</v>
      </c>
      <c r="CE2435" s="237" t="s">
        <v>323</v>
      </c>
      <c r="CJ2435" s="347">
        <v>601.19000000000005</v>
      </c>
      <c r="CK2435" s="347" t="s">
        <v>310</v>
      </c>
      <c r="CL2435" s="1789"/>
      <c r="CR2435" s="345"/>
      <c r="CS2435" s="345"/>
      <c r="CX2435" s="347"/>
      <c r="CY2435" s="347"/>
      <c r="DH2435" s="237"/>
      <c r="DI2435" s="237"/>
      <c r="DN2435" s="347"/>
      <c r="DO2435" s="347"/>
      <c r="DP2435" s="2505"/>
    </row>
    <row r="2436" spans="30:120">
      <c r="AD2436" s="1138"/>
      <c r="AP2436" s="347">
        <v>269.11</v>
      </c>
      <c r="AQ2436" s="347" t="s">
        <v>363</v>
      </c>
      <c r="BF2436" s="347">
        <v>601.22</v>
      </c>
      <c r="BG2436" s="347" t="s">
        <v>310</v>
      </c>
      <c r="BH2436" s="1790"/>
      <c r="BN2436" s="237">
        <v>6.11</v>
      </c>
      <c r="BO2436" s="237" t="s">
        <v>352</v>
      </c>
      <c r="BT2436" s="347">
        <v>271.05</v>
      </c>
      <c r="BU2436" s="347" t="s">
        <v>363</v>
      </c>
      <c r="CD2436" s="237">
        <v>137.29</v>
      </c>
      <c r="CE2436" s="237" t="s">
        <v>323</v>
      </c>
      <c r="CJ2436" s="347">
        <v>601.20000000000005</v>
      </c>
      <c r="CK2436" s="347" t="s">
        <v>310</v>
      </c>
      <c r="CL2436" s="1789"/>
      <c r="CR2436" s="345"/>
      <c r="CS2436" s="345"/>
      <c r="CX2436" s="347"/>
      <c r="CY2436" s="347"/>
      <c r="DH2436" s="237"/>
      <c r="DI2436" s="237"/>
      <c r="DN2436" s="347"/>
      <c r="DO2436" s="347"/>
      <c r="DP2436" s="2505"/>
    </row>
    <row r="2437" spans="30:120">
      <c r="AD2437" s="1138"/>
      <c r="AP2437" s="347">
        <v>269.14999999999998</v>
      </c>
      <c r="AQ2437" s="347" t="s">
        <v>363</v>
      </c>
      <c r="BF2437" s="347">
        <v>601.23</v>
      </c>
      <c r="BG2437" s="347" t="s">
        <v>310</v>
      </c>
      <c r="BH2437" s="1790"/>
      <c r="BN2437" s="237">
        <v>6.12</v>
      </c>
      <c r="BO2437" s="237" t="s">
        <v>352</v>
      </c>
      <c r="BT2437" s="347">
        <v>271.06</v>
      </c>
      <c r="BU2437" s="347" t="s">
        <v>363</v>
      </c>
      <c r="CD2437" s="237">
        <v>137.30000000000001</v>
      </c>
      <c r="CE2437" s="237" t="s">
        <v>323</v>
      </c>
      <c r="CJ2437" s="347">
        <v>601.21</v>
      </c>
      <c r="CK2437" s="347" t="s">
        <v>310</v>
      </c>
      <c r="CL2437" s="1789"/>
      <c r="CR2437" s="345"/>
      <c r="CS2437" s="345"/>
      <c r="CX2437" s="347"/>
      <c r="CY2437" s="347"/>
      <c r="DH2437" s="237"/>
      <c r="DI2437" s="237"/>
      <c r="DN2437" s="347"/>
      <c r="DO2437" s="347"/>
      <c r="DP2437" s="2505"/>
    </row>
    <row r="2438" spans="30:120">
      <c r="AD2438" s="1138"/>
      <c r="AP2438" s="347">
        <v>269.16000000000003</v>
      </c>
      <c r="AQ2438" s="347" t="s">
        <v>363</v>
      </c>
      <c r="BF2438" s="347">
        <v>601.26</v>
      </c>
      <c r="BG2438" s="347" t="s">
        <v>310</v>
      </c>
      <c r="BH2438" s="1790"/>
      <c r="BN2438" s="237">
        <v>7.05</v>
      </c>
      <c r="BO2438" s="237" t="s">
        <v>352</v>
      </c>
      <c r="BT2438" s="347">
        <v>272.02</v>
      </c>
      <c r="BU2438" s="347" t="s">
        <v>363</v>
      </c>
      <c r="CD2438" s="237">
        <v>137.31</v>
      </c>
      <c r="CE2438" s="237" t="s">
        <v>323</v>
      </c>
      <c r="CJ2438" s="347">
        <v>601.22</v>
      </c>
      <c r="CK2438" s="347" t="s">
        <v>310</v>
      </c>
      <c r="CL2438" s="1789"/>
      <c r="CR2438" s="345"/>
      <c r="CS2438" s="345"/>
      <c r="CX2438" s="347"/>
      <c r="CY2438" s="347"/>
      <c r="DH2438" s="237"/>
      <c r="DI2438" s="237"/>
      <c r="DN2438" s="347"/>
      <c r="DO2438" s="347"/>
      <c r="DP2438" s="2505"/>
    </row>
    <row r="2439" spans="30:120">
      <c r="AD2439" s="1138"/>
      <c r="AP2439" s="347">
        <v>270</v>
      </c>
      <c r="AQ2439" s="347" t="s">
        <v>363</v>
      </c>
      <c r="BF2439" s="347">
        <v>601.29</v>
      </c>
      <c r="BG2439" s="347" t="s">
        <v>310</v>
      </c>
      <c r="BH2439" s="1790"/>
      <c r="BN2439" s="237">
        <v>7.1</v>
      </c>
      <c r="BO2439" s="237" t="s">
        <v>352</v>
      </c>
      <c r="BT2439" s="347">
        <v>272.04000000000002</v>
      </c>
      <c r="BU2439" s="347" t="s">
        <v>363</v>
      </c>
      <c r="CD2439" s="237">
        <v>137.32</v>
      </c>
      <c r="CE2439" s="237" t="s">
        <v>323</v>
      </c>
      <c r="CJ2439" s="347">
        <v>601.23</v>
      </c>
      <c r="CK2439" s="347" t="s">
        <v>310</v>
      </c>
      <c r="CL2439" s="1789"/>
      <c r="CR2439" s="345"/>
      <c r="CS2439" s="345"/>
      <c r="CX2439" s="347"/>
      <c r="CY2439" s="347"/>
      <c r="DH2439" s="237"/>
      <c r="DI2439" s="237"/>
      <c r="DN2439" s="347"/>
      <c r="DO2439" s="347"/>
      <c r="DP2439" s="2505"/>
    </row>
    <row r="2440" spans="30:120">
      <c r="AD2440" s="1138"/>
      <c r="AP2440" s="347">
        <v>271.05</v>
      </c>
      <c r="AQ2440" s="347" t="s">
        <v>363</v>
      </c>
      <c r="BF2440" s="347">
        <v>602.01</v>
      </c>
      <c r="BG2440" s="347" t="s">
        <v>309</v>
      </c>
      <c r="BH2440" s="1790"/>
      <c r="BN2440" s="237">
        <v>7.11</v>
      </c>
      <c r="BO2440" s="237" t="s">
        <v>352</v>
      </c>
      <c r="BT2440" s="347">
        <v>272.06</v>
      </c>
      <c r="BU2440" s="347" t="s">
        <v>363</v>
      </c>
      <c r="CD2440" s="237">
        <v>137.33000000000001</v>
      </c>
      <c r="CE2440" s="237" t="s">
        <v>323</v>
      </c>
      <c r="CJ2440" s="347">
        <v>601.26</v>
      </c>
      <c r="CK2440" s="347" t="s">
        <v>310</v>
      </c>
      <c r="CL2440" s="1789"/>
      <c r="CR2440" s="345"/>
      <c r="CS2440" s="345"/>
      <c r="CX2440" s="347"/>
      <c r="CY2440" s="347"/>
      <c r="DH2440" s="237"/>
      <c r="DI2440" s="237"/>
      <c r="DN2440" s="347"/>
      <c r="DO2440" s="347"/>
      <c r="DP2440" s="2505"/>
    </row>
    <row r="2441" spans="30:120">
      <c r="AD2441" s="1138"/>
      <c r="AP2441" s="347">
        <v>271.06</v>
      </c>
      <c r="AQ2441" s="347" t="s">
        <v>363</v>
      </c>
      <c r="BF2441" s="347">
        <v>602.01</v>
      </c>
      <c r="BG2441" s="347" t="s">
        <v>344</v>
      </c>
      <c r="BH2441" s="1790"/>
      <c r="BN2441" s="237">
        <v>7.12</v>
      </c>
      <c r="BO2441" s="237" t="s">
        <v>352</v>
      </c>
      <c r="BT2441" s="347">
        <v>272.07</v>
      </c>
      <c r="BU2441" s="347" t="s">
        <v>363</v>
      </c>
      <c r="CD2441" s="237">
        <v>138</v>
      </c>
      <c r="CE2441" s="237" t="s">
        <v>323</v>
      </c>
      <c r="CJ2441" s="347">
        <v>602.01</v>
      </c>
      <c r="CK2441" s="347" t="s">
        <v>309</v>
      </c>
      <c r="CL2441" s="1789"/>
      <c r="CR2441" s="345"/>
      <c r="CS2441" s="345"/>
      <c r="CX2441" s="347"/>
      <c r="CY2441" s="347"/>
      <c r="DH2441" s="237"/>
      <c r="DI2441" s="237"/>
      <c r="DN2441" s="347"/>
      <c r="DO2441" s="347"/>
      <c r="DP2441" s="2505"/>
    </row>
    <row r="2442" spans="30:120">
      <c r="AD2442" s="1138"/>
      <c r="AP2442" s="347">
        <v>272.02</v>
      </c>
      <c r="AQ2442" s="347" t="s">
        <v>363</v>
      </c>
      <c r="BF2442" s="347">
        <v>602.02</v>
      </c>
      <c r="BG2442" s="347" t="s">
        <v>344</v>
      </c>
      <c r="BH2442" s="1790"/>
      <c r="BN2442" s="237">
        <v>7.13</v>
      </c>
      <c r="BO2442" s="237" t="s">
        <v>352</v>
      </c>
      <c r="BT2442" s="347">
        <v>272.08</v>
      </c>
      <c r="BU2442" s="347" t="s">
        <v>363</v>
      </c>
      <c r="CD2442" s="237">
        <v>138.01</v>
      </c>
      <c r="CE2442" s="237" t="s">
        <v>337</v>
      </c>
      <c r="CJ2442" s="347">
        <v>602.01</v>
      </c>
      <c r="CK2442" s="347" t="s">
        <v>344</v>
      </c>
      <c r="CL2442" s="1789"/>
      <c r="CR2442" s="345"/>
      <c r="CS2442" s="345"/>
      <c r="CX2442" s="347"/>
      <c r="CY2442" s="347"/>
      <c r="DH2442" s="237"/>
      <c r="DI2442" s="237"/>
      <c r="DN2442" s="347"/>
      <c r="DO2442" s="347"/>
      <c r="DP2442" s="2505"/>
    </row>
    <row r="2443" spans="30:120">
      <c r="AD2443" s="1138"/>
      <c r="AP2443" s="347">
        <v>272.04000000000002</v>
      </c>
      <c r="AQ2443" s="347" t="s">
        <v>363</v>
      </c>
      <c r="BF2443" s="347">
        <v>602.07000000000005</v>
      </c>
      <c r="BG2443" s="347" t="s">
        <v>326</v>
      </c>
      <c r="BH2443" s="1790"/>
      <c r="BN2443" s="237">
        <v>7.14</v>
      </c>
      <c r="BO2443" s="237" t="s">
        <v>352</v>
      </c>
      <c r="BT2443" s="347">
        <v>272.10000000000002</v>
      </c>
      <c r="BU2443" s="347" t="s">
        <v>363</v>
      </c>
      <c r="CD2443" s="237">
        <v>138.01</v>
      </c>
      <c r="CE2443" s="237" t="s">
        <v>352</v>
      </c>
      <c r="CJ2443" s="347">
        <v>602.02</v>
      </c>
      <c r="CK2443" s="347" t="s">
        <v>344</v>
      </c>
      <c r="CL2443" s="1789"/>
      <c r="CR2443" s="345"/>
      <c r="CS2443" s="345"/>
      <c r="CX2443" s="347"/>
      <c r="CY2443" s="347"/>
      <c r="DH2443" s="237"/>
      <c r="DI2443" s="237"/>
      <c r="DN2443" s="347"/>
      <c r="DO2443" s="347"/>
      <c r="DP2443" s="2505"/>
    </row>
    <row r="2444" spans="30:120">
      <c r="AD2444" s="1138"/>
      <c r="AP2444" s="347">
        <v>272.06</v>
      </c>
      <c r="AQ2444" s="347" t="s">
        <v>363</v>
      </c>
      <c r="BF2444" s="347">
        <v>602.08000000000004</v>
      </c>
      <c r="BG2444" s="347" t="s">
        <v>326</v>
      </c>
      <c r="BH2444" s="1790"/>
      <c r="BN2444" s="237">
        <v>7.15</v>
      </c>
      <c r="BO2444" s="237" t="s">
        <v>352</v>
      </c>
      <c r="BT2444" s="347">
        <v>272.11</v>
      </c>
      <c r="BU2444" s="347" t="s">
        <v>363</v>
      </c>
      <c r="CD2444" s="237">
        <v>138.01</v>
      </c>
      <c r="CE2444" s="237" t="s">
        <v>359</v>
      </c>
      <c r="CJ2444" s="347">
        <v>602.03</v>
      </c>
      <c r="CK2444" s="347" t="s">
        <v>344</v>
      </c>
      <c r="CL2444" s="1789"/>
      <c r="CR2444" s="345"/>
      <c r="CS2444" s="345"/>
      <c r="CX2444" s="347"/>
      <c r="CY2444" s="347"/>
      <c r="DH2444" s="237"/>
      <c r="DI2444" s="237"/>
      <c r="DN2444" s="347"/>
      <c r="DO2444" s="347"/>
      <c r="DP2444" s="2505"/>
    </row>
    <row r="2445" spans="30:120">
      <c r="AD2445" s="1138"/>
      <c r="AP2445" s="347">
        <v>272.07</v>
      </c>
      <c r="AQ2445" s="347" t="s">
        <v>363</v>
      </c>
      <c r="BF2445" s="347">
        <v>602.1</v>
      </c>
      <c r="BG2445" s="347" t="s">
        <v>310</v>
      </c>
      <c r="BH2445" s="1790"/>
      <c r="BN2445" s="237">
        <v>7.16</v>
      </c>
      <c r="BO2445" s="237" t="s">
        <v>352</v>
      </c>
      <c r="BT2445" s="347">
        <v>272.12</v>
      </c>
      <c r="BU2445" s="347" t="s">
        <v>363</v>
      </c>
      <c r="CD2445" s="237">
        <v>138.01</v>
      </c>
      <c r="CE2445" s="237" t="s">
        <v>365</v>
      </c>
      <c r="CJ2445" s="347">
        <v>602.07000000000005</v>
      </c>
      <c r="CK2445" s="347" t="s">
        <v>326</v>
      </c>
      <c r="CL2445" s="1789"/>
      <c r="CR2445" s="345"/>
      <c r="CS2445" s="345"/>
      <c r="CX2445" s="347"/>
      <c r="CY2445" s="347"/>
      <c r="DH2445" s="237"/>
      <c r="DI2445" s="237"/>
      <c r="DN2445" s="347"/>
      <c r="DO2445" s="347"/>
      <c r="DP2445" s="2505"/>
    </row>
    <row r="2446" spans="30:120">
      <c r="AD2446" s="1138"/>
      <c r="AP2446" s="347">
        <v>272.08</v>
      </c>
      <c r="AQ2446" s="347" t="s">
        <v>363</v>
      </c>
      <c r="BF2446" s="347">
        <v>602.12</v>
      </c>
      <c r="BG2446" s="347" t="s">
        <v>310</v>
      </c>
      <c r="BH2446" s="1790"/>
      <c r="BN2446" s="237">
        <v>7.17</v>
      </c>
      <c r="BO2446" s="237" t="s">
        <v>352</v>
      </c>
      <c r="BT2446" s="347">
        <v>273.08</v>
      </c>
      <c r="BU2446" s="347" t="s">
        <v>363</v>
      </c>
      <c r="CD2446" s="237">
        <v>138.02000000000001</v>
      </c>
      <c r="CE2446" s="237" t="s">
        <v>337</v>
      </c>
      <c r="CJ2446" s="347">
        <v>602.08000000000004</v>
      </c>
      <c r="CK2446" s="347" t="s">
        <v>326</v>
      </c>
      <c r="CL2446" s="1789"/>
      <c r="CR2446" s="345"/>
      <c r="CS2446" s="345"/>
      <c r="CX2446" s="347"/>
      <c r="CY2446" s="347"/>
      <c r="DH2446" s="237"/>
      <c r="DI2446" s="237"/>
      <c r="DN2446" s="347"/>
      <c r="DO2446" s="347"/>
      <c r="DP2446" s="2505"/>
    </row>
    <row r="2447" spans="30:120">
      <c r="AD2447" s="1138"/>
      <c r="AP2447" s="347">
        <v>272.11</v>
      </c>
      <c r="AQ2447" s="347" t="s">
        <v>363</v>
      </c>
      <c r="BF2447" s="347">
        <v>602.14</v>
      </c>
      <c r="BG2447" s="347" t="s">
        <v>326</v>
      </c>
      <c r="BH2447" s="1790"/>
      <c r="BN2447" s="237">
        <v>7.18</v>
      </c>
      <c r="BO2447" s="237" t="s">
        <v>352</v>
      </c>
      <c r="BT2447" s="347">
        <v>273.08999999999997</v>
      </c>
      <c r="BU2447" s="347" t="s">
        <v>363</v>
      </c>
      <c r="CD2447" s="237">
        <v>138.02000000000001</v>
      </c>
      <c r="CE2447" s="237" t="s">
        <v>352</v>
      </c>
      <c r="CJ2447" s="347">
        <v>602.1</v>
      </c>
      <c r="CK2447" s="347" t="s">
        <v>310</v>
      </c>
      <c r="CL2447" s="1789"/>
      <c r="CR2447" s="345"/>
      <c r="CS2447" s="345"/>
      <c r="CX2447" s="347"/>
      <c r="CY2447" s="347"/>
      <c r="DH2447" s="237"/>
      <c r="DI2447" s="237"/>
      <c r="DN2447" s="347"/>
      <c r="DO2447" s="347"/>
      <c r="DP2447" s="2505"/>
    </row>
    <row r="2448" spans="30:120">
      <c r="AD2448" s="1138"/>
      <c r="AP2448" s="347">
        <v>273.08</v>
      </c>
      <c r="AQ2448" s="347" t="s">
        <v>363</v>
      </c>
      <c r="BF2448" s="347">
        <v>602.16</v>
      </c>
      <c r="BG2448" s="347" t="s">
        <v>326</v>
      </c>
      <c r="BH2448" s="1790"/>
      <c r="BN2448" s="237">
        <v>7.19</v>
      </c>
      <c r="BO2448" s="237" t="s">
        <v>352</v>
      </c>
      <c r="BT2448" s="347">
        <v>273.14</v>
      </c>
      <c r="BU2448" s="347" t="s">
        <v>363</v>
      </c>
      <c r="CD2448" s="237">
        <v>138.02000000000001</v>
      </c>
      <c r="CE2448" s="237" t="s">
        <v>359</v>
      </c>
      <c r="CJ2448" s="347">
        <v>602.12</v>
      </c>
      <c r="CK2448" s="347" t="s">
        <v>310</v>
      </c>
      <c r="CL2448" s="1789"/>
      <c r="CR2448" s="345"/>
      <c r="CS2448" s="345"/>
      <c r="CX2448" s="347"/>
      <c r="CY2448" s="347"/>
      <c r="DH2448" s="237"/>
      <c r="DI2448" s="237"/>
      <c r="DN2448" s="347"/>
      <c r="DO2448" s="347"/>
      <c r="DP2448" s="2505"/>
    </row>
    <row r="2449" spans="30:120">
      <c r="AD2449" s="1138"/>
      <c r="AP2449" s="347">
        <v>273.08999999999997</v>
      </c>
      <c r="AQ2449" s="347" t="s">
        <v>363</v>
      </c>
      <c r="BF2449" s="347">
        <v>602.16999999999996</v>
      </c>
      <c r="BG2449" s="347" t="s">
        <v>326</v>
      </c>
      <c r="BH2449" s="1790"/>
      <c r="BN2449" s="237">
        <v>7.2</v>
      </c>
      <c r="BO2449" s="237" t="s">
        <v>352</v>
      </c>
      <c r="BT2449" s="347">
        <v>273.16000000000003</v>
      </c>
      <c r="BU2449" s="347" t="s">
        <v>363</v>
      </c>
      <c r="CD2449" s="237">
        <v>138.02000000000001</v>
      </c>
      <c r="CE2449" s="237" t="s">
        <v>365</v>
      </c>
      <c r="CJ2449" s="347">
        <v>602.14</v>
      </c>
      <c r="CK2449" s="347" t="s">
        <v>326</v>
      </c>
      <c r="CL2449" s="1789"/>
      <c r="CR2449" s="345"/>
      <c r="CS2449" s="345"/>
      <c r="CX2449" s="347"/>
      <c r="CY2449" s="347"/>
      <c r="DH2449" s="237"/>
      <c r="DI2449" s="237"/>
      <c r="DN2449" s="347"/>
      <c r="DO2449" s="347"/>
      <c r="DP2449" s="2505"/>
    </row>
    <row r="2450" spans="30:120">
      <c r="AD2450" s="1138"/>
      <c r="AP2450" s="347">
        <v>273.14</v>
      </c>
      <c r="AQ2450" s="347" t="s">
        <v>363</v>
      </c>
      <c r="BF2450" s="347">
        <v>602.17999999999995</v>
      </c>
      <c r="BG2450" s="347" t="s">
        <v>326</v>
      </c>
      <c r="BH2450" s="1790"/>
      <c r="BN2450" s="237">
        <v>8.0399999999999991</v>
      </c>
      <c r="BO2450" s="237" t="s">
        <v>352</v>
      </c>
      <c r="BT2450" s="347">
        <v>273.17</v>
      </c>
      <c r="BU2450" s="347" t="s">
        <v>363</v>
      </c>
      <c r="CD2450" s="237">
        <v>138.03</v>
      </c>
      <c r="CE2450" s="237" t="s">
        <v>337</v>
      </c>
      <c r="CJ2450" s="347">
        <v>602.15</v>
      </c>
      <c r="CK2450" s="347" t="s">
        <v>326</v>
      </c>
      <c r="CL2450" s="1789"/>
      <c r="CR2450" s="345"/>
      <c r="CS2450" s="345"/>
      <c r="CX2450" s="347"/>
      <c r="CY2450" s="347"/>
      <c r="DH2450" s="237"/>
      <c r="DI2450" s="237"/>
      <c r="DN2450" s="347"/>
      <c r="DO2450" s="347"/>
      <c r="DP2450" s="2505"/>
    </row>
    <row r="2451" spans="30:120">
      <c r="AD2451" s="1138"/>
      <c r="AP2451" s="347">
        <v>273.16000000000003</v>
      </c>
      <c r="AQ2451" s="347" t="s">
        <v>363</v>
      </c>
      <c r="BF2451" s="347">
        <v>602.19000000000005</v>
      </c>
      <c r="BG2451" s="347" t="s">
        <v>326</v>
      </c>
      <c r="BH2451" s="1790"/>
      <c r="BN2451" s="237">
        <v>8.0500000000000007</v>
      </c>
      <c r="BO2451" s="237" t="s">
        <v>352</v>
      </c>
      <c r="BT2451" s="347">
        <v>273.18</v>
      </c>
      <c r="BU2451" s="347" t="s">
        <v>363</v>
      </c>
      <c r="CD2451" s="237">
        <v>138.03</v>
      </c>
      <c r="CE2451" s="237" t="s">
        <v>359</v>
      </c>
      <c r="CJ2451" s="347">
        <v>602.16</v>
      </c>
      <c r="CK2451" s="347" t="s">
        <v>326</v>
      </c>
      <c r="CL2451" s="1789"/>
      <c r="CR2451" s="345"/>
      <c r="CS2451" s="345"/>
      <c r="CX2451" s="347"/>
      <c r="CY2451" s="347"/>
      <c r="DH2451" s="237"/>
      <c r="DI2451" s="237"/>
      <c r="DN2451" s="347"/>
      <c r="DO2451" s="347"/>
      <c r="DP2451" s="2505"/>
    </row>
    <row r="2452" spans="30:120">
      <c r="AD2452" s="1138"/>
      <c r="AP2452" s="347">
        <v>273.17</v>
      </c>
      <c r="AQ2452" s="347" t="s">
        <v>363</v>
      </c>
      <c r="BF2452" s="347">
        <v>603</v>
      </c>
      <c r="BG2452" s="347" t="s">
        <v>344</v>
      </c>
      <c r="BH2452" s="1790"/>
      <c r="BN2452" s="237">
        <v>8.06</v>
      </c>
      <c r="BO2452" s="237" t="s">
        <v>352</v>
      </c>
      <c r="BT2452" s="347">
        <v>273.19</v>
      </c>
      <c r="BU2452" s="347" t="s">
        <v>363</v>
      </c>
      <c r="CD2452" s="237">
        <v>138.04</v>
      </c>
      <c r="CE2452" s="237" t="s">
        <v>337</v>
      </c>
      <c r="CJ2452" s="347">
        <v>602.20000000000005</v>
      </c>
      <c r="CK2452" s="347" t="s">
        <v>326</v>
      </c>
      <c r="CL2452" s="1789"/>
      <c r="CR2452" s="345"/>
      <c r="CS2452" s="345"/>
      <c r="CX2452" s="347"/>
      <c r="CY2452" s="347"/>
      <c r="DH2452" s="237"/>
      <c r="DI2452" s="237"/>
      <c r="DN2452" s="347"/>
      <c r="DO2452" s="347"/>
      <c r="DP2452" s="2505"/>
    </row>
    <row r="2453" spans="30:120">
      <c r="AD2453" s="1138"/>
      <c r="AP2453" s="347">
        <v>273.18</v>
      </c>
      <c r="AQ2453" s="347" t="s">
        <v>363</v>
      </c>
      <c r="BF2453" s="347">
        <v>603.01</v>
      </c>
      <c r="BG2453" s="347" t="s">
        <v>326</v>
      </c>
      <c r="BH2453" s="1790"/>
      <c r="BN2453" s="237">
        <v>8.07</v>
      </c>
      <c r="BO2453" s="237" t="s">
        <v>352</v>
      </c>
      <c r="BT2453" s="347">
        <v>273.2</v>
      </c>
      <c r="BU2453" s="347" t="s">
        <v>363</v>
      </c>
      <c r="CD2453" s="237">
        <v>138.06</v>
      </c>
      <c r="CE2453" s="237" t="s">
        <v>337</v>
      </c>
      <c r="CJ2453" s="347">
        <v>603</v>
      </c>
      <c r="CK2453" s="347" t="s">
        <v>344</v>
      </c>
      <c r="CL2453" s="1789"/>
      <c r="CR2453" s="345"/>
      <c r="CS2453" s="345"/>
      <c r="CX2453" s="347"/>
      <c r="CY2453" s="347"/>
      <c r="DH2453" s="237"/>
      <c r="DI2453" s="237"/>
      <c r="DN2453" s="347"/>
      <c r="DO2453" s="347"/>
      <c r="DP2453" s="2505"/>
    </row>
    <row r="2454" spans="30:120">
      <c r="AD2454" s="1138"/>
      <c r="AP2454" s="347">
        <v>273.19</v>
      </c>
      <c r="AQ2454" s="347" t="s">
        <v>363</v>
      </c>
      <c r="BF2454" s="347">
        <v>603.02</v>
      </c>
      <c r="BG2454" s="347" t="s">
        <v>326</v>
      </c>
      <c r="BH2454" s="1790"/>
      <c r="BN2454" s="237">
        <v>8.08</v>
      </c>
      <c r="BO2454" s="237" t="s">
        <v>352</v>
      </c>
      <c r="BT2454" s="347">
        <v>273.20999999999998</v>
      </c>
      <c r="BU2454" s="347" t="s">
        <v>363</v>
      </c>
      <c r="CD2454" s="237">
        <v>138.07</v>
      </c>
      <c r="CE2454" s="237" t="s">
        <v>337</v>
      </c>
      <c r="CJ2454" s="347">
        <v>603.01</v>
      </c>
      <c r="CK2454" s="347" t="s">
        <v>326</v>
      </c>
      <c r="CL2454" s="1789"/>
      <c r="CR2454" s="345"/>
      <c r="CS2454" s="345"/>
      <c r="CX2454" s="347"/>
      <c r="CY2454" s="347"/>
      <c r="DH2454" s="237"/>
      <c r="DI2454" s="237"/>
      <c r="DN2454" s="347"/>
      <c r="DO2454" s="347"/>
      <c r="DP2454" s="2505"/>
    </row>
    <row r="2455" spans="30:120">
      <c r="AD2455" s="1138"/>
      <c r="AP2455" s="347">
        <v>273.2</v>
      </c>
      <c r="AQ2455" s="347" t="s">
        <v>363</v>
      </c>
      <c r="BF2455" s="347">
        <v>603.03</v>
      </c>
      <c r="BG2455" s="347" t="s">
        <v>326</v>
      </c>
      <c r="BH2455" s="1790"/>
      <c r="BN2455" s="237">
        <v>9.0299999999999994</v>
      </c>
      <c r="BO2455" s="237" t="s">
        <v>352</v>
      </c>
      <c r="BT2455" s="347">
        <v>273.23</v>
      </c>
      <c r="BU2455" s="347" t="s">
        <v>363</v>
      </c>
      <c r="CD2455" s="237">
        <v>139</v>
      </c>
      <c r="CE2455" s="237" t="s">
        <v>352</v>
      </c>
      <c r="CJ2455" s="347">
        <v>603.02</v>
      </c>
      <c r="CK2455" s="347" t="s">
        <v>326</v>
      </c>
      <c r="CL2455" s="1789"/>
      <c r="CR2455" s="345"/>
      <c r="CS2455" s="345"/>
      <c r="CX2455" s="347"/>
      <c r="CY2455" s="347"/>
      <c r="DH2455" s="237"/>
      <c r="DI2455" s="237"/>
      <c r="DN2455" s="347"/>
      <c r="DO2455" s="347"/>
      <c r="DP2455" s="2505"/>
    </row>
    <row r="2456" spans="30:120">
      <c r="AD2456" s="1138"/>
      <c r="AP2456" s="347">
        <v>273.20999999999998</v>
      </c>
      <c r="AQ2456" s="347" t="s">
        <v>363</v>
      </c>
      <c r="BF2456" s="347">
        <v>603.04</v>
      </c>
      <c r="BG2456" s="347" t="s">
        <v>326</v>
      </c>
      <c r="BH2456" s="1790"/>
      <c r="BN2456" s="237">
        <v>9.0399999999999991</v>
      </c>
      <c r="BO2456" s="237" t="s">
        <v>352</v>
      </c>
      <c r="BT2456" s="347">
        <v>273.24</v>
      </c>
      <c r="BU2456" s="347" t="s">
        <v>363</v>
      </c>
      <c r="CD2456" s="237">
        <v>139</v>
      </c>
      <c r="CE2456" s="237" t="s">
        <v>359</v>
      </c>
      <c r="CJ2456" s="347">
        <v>603.03</v>
      </c>
      <c r="CK2456" s="347" t="s">
        <v>326</v>
      </c>
      <c r="CL2456" s="1789"/>
      <c r="CR2456" s="345"/>
      <c r="CS2456" s="345"/>
      <c r="CX2456" s="347"/>
      <c r="CY2456" s="347"/>
      <c r="DH2456" s="237"/>
      <c r="DI2456" s="237"/>
      <c r="DN2456" s="347"/>
      <c r="DO2456" s="347"/>
      <c r="DP2456" s="2505"/>
    </row>
    <row r="2457" spans="30:120">
      <c r="AD2457" s="1138"/>
      <c r="AP2457" s="347">
        <v>273.24</v>
      </c>
      <c r="AQ2457" s="347" t="s">
        <v>363</v>
      </c>
      <c r="BF2457" s="347">
        <v>603.05999999999995</v>
      </c>
      <c r="BG2457" s="347" t="s">
        <v>310</v>
      </c>
      <c r="BH2457" s="1790"/>
      <c r="BN2457" s="237">
        <v>9.0500000000000007</v>
      </c>
      <c r="BO2457" s="237" t="s">
        <v>352</v>
      </c>
      <c r="BT2457" s="347">
        <v>273.25</v>
      </c>
      <c r="BU2457" s="347" t="s">
        <v>363</v>
      </c>
      <c r="CD2457" s="237">
        <v>139.01</v>
      </c>
      <c r="CE2457" s="237" t="s">
        <v>323</v>
      </c>
      <c r="CJ2457" s="347">
        <v>603.04</v>
      </c>
      <c r="CK2457" s="347" t="s">
        <v>326</v>
      </c>
      <c r="CL2457" s="1789"/>
      <c r="CR2457" s="345"/>
      <c r="CS2457" s="345"/>
      <c r="CX2457" s="347"/>
      <c r="CY2457" s="347"/>
      <c r="DH2457" s="237"/>
      <c r="DI2457" s="237"/>
      <c r="DN2457" s="347"/>
      <c r="DO2457" s="347"/>
      <c r="DP2457" s="2505"/>
    </row>
    <row r="2458" spans="30:120">
      <c r="AD2458" s="1138"/>
      <c r="AP2458" s="347">
        <v>273.25</v>
      </c>
      <c r="AQ2458" s="347" t="s">
        <v>363</v>
      </c>
      <c r="BF2458" s="347">
        <v>605.01</v>
      </c>
      <c r="BG2458" s="347" t="s">
        <v>310</v>
      </c>
      <c r="BH2458" s="1790"/>
      <c r="BN2458" s="237">
        <v>9.06</v>
      </c>
      <c r="BO2458" s="237" t="s">
        <v>352</v>
      </c>
      <c r="BT2458" s="347">
        <v>273.27</v>
      </c>
      <c r="BU2458" s="347" t="s">
        <v>363</v>
      </c>
      <c r="CD2458" s="237">
        <v>139.01</v>
      </c>
      <c r="CE2458" s="237" t="s">
        <v>365</v>
      </c>
      <c r="CJ2458" s="347">
        <v>605.03</v>
      </c>
      <c r="CK2458" s="347" t="s">
        <v>310</v>
      </c>
      <c r="CL2458" s="1789"/>
      <c r="CR2458" s="345"/>
      <c r="CS2458" s="345"/>
      <c r="CX2458" s="347"/>
      <c r="CY2458" s="347"/>
      <c r="DH2458" s="237"/>
      <c r="DI2458" s="237"/>
      <c r="DN2458" s="347"/>
      <c r="DO2458" s="347"/>
      <c r="DP2458" s="2505"/>
    </row>
    <row r="2459" spans="30:120">
      <c r="AD2459" s="1138"/>
      <c r="AP2459" s="347">
        <v>273.27</v>
      </c>
      <c r="AQ2459" s="347" t="s">
        <v>363</v>
      </c>
      <c r="BF2459" s="347">
        <v>605.03</v>
      </c>
      <c r="BG2459" s="347" t="s">
        <v>310</v>
      </c>
      <c r="BH2459" s="1790"/>
      <c r="BN2459" s="237">
        <v>9.07</v>
      </c>
      <c r="BO2459" s="237" t="s">
        <v>352</v>
      </c>
      <c r="BT2459" s="347">
        <v>273.27999999999997</v>
      </c>
      <c r="BU2459" s="347" t="s">
        <v>363</v>
      </c>
      <c r="CD2459" s="237">
        <v>139.02000000000001</v>
      </c>
      <c r="CE2459" s="237" t="s">
        <v>323</v>
      </c>
      <c r="CJ2459" s="347">
        <v>605.04</v>
      </c>
      <c r="CK2459" s="347" t="s">
        <v>310</v>
      </c>
      <c r="CL2459" s="1789"/>
      <c r="CR2459" s="345"/>
      <c r="CS2459" s="345"/>
      <c r="CX2459" s="347"/>
      <c r="CY2459" s="347"/>
      <c r="DH2459" s="237"/>
      <c r="DI2459" s="237"/>
      <c r="DN2459" s="347"/>
      <c r="DO2459" s="347"/>
      <c r="DP2459" s="2505"/>
    </row>
    <row r="2460" spans="30:120">
      <c r="AD2460" s="1138"/>
      <c r="AP2460" s="347">
        <v>273.27999999999997</v>
      </c>
      <c r="AQ2460" s="347" t="s">
        <v>363</v>
      </c>
      <c r="BF2460" s="347">
        <v>605.04</v>
      </c>
      <c r="BG2460" s="347" t="s">
        <v>310</v>
      </c>
      <c r="BH2460" s="1790"/>
      <c r="BN2460" s="237">
        <v>9.08</v>
      </c>
      <c r="BO2460" s="237" t="s">
        <v>352</v>
      </c>
      <c r="BT2460" s="347">
        <v>273.29000000000002</v>
      </c>
      <c r="BU2460" s="347" t="s">
        <v>363</v>
      </c>
      <c r="CD2460" s="237">
        <v>139.02000000000001</v>
      </c>
      <c r="CE2460" s="237" t="s">
        <v>365</v>
      </c>
      <c r="CJ2460" s="347">
        <v>605.04999999999995</v>
      </c>
      <c r="CK2460" s="347" t="s">
        <v>310</v>
      </c>
      <c r="CL2460" s="1789"/>
      <c r="CR2460" s="345"/>
      <c r="CS2460" s="345"/>
      <c r="CX2460" s="347"/>
      <c r="CY2460" s="347"/>
      <c r="DH2460" s="237"/>
      <c r="DI2460" s="237"/>
      <c r="DN2460" s="347"/>
      <c r="DO2460" s="347"/>
      <c r="DP2460" s="2505"/>
    </row>
    <row r="2461" spans="30:120">
      <c r="AD2461" s="1138"/>
      <c r="AP2461" s="347">
        <v>273.29000000000002</v>
      </c>
      <c r="AQ2461" s="347" t="s">
        <v>363</v>
      </c>
      <c r="BF2461" s="347">
        <v>606.03</v>
      </c>
      <c r="BG2461" s="347" t="s">
        <v>310</v>
      </c>
      <c r="BH2461" s="1790"/>
      <c r="BN2461" s="237">
        <v>10.029999999999999</v>
      </c>
      <c r="BO2461" s="237" t="s">
        <v>352</v>
      </c>
      <c r="BT2461" s="347">
        <v>273.32</v>
      </c>
      <c r="BU2461" s="347" t="s">
        <v>363</v>
      </c>
      <c r="CD2461" s="237">
        <v>139.03</v>
      </c>
      <c r="CE2461" s="237" t="s">
        <v>337</v>
      </c>
      <c r="CJ2461" s="347">
        <v>606.03</v>
      </c>
      <c r="CK2461" s="347" t="s">
        <v>310</v>
      </c>
      <c r="CL2461" s="1789"/>
      <c r="CR2461" s="345"/>
      <c r="CS2461" s="345"/>
      <c r="CX2461" s="347"/>
      <c r="CY2461" s="347"/>
      <c r="DH2461" s="237"/>
      <c r="DI2461" s="237"/>
      <c r="DN2461" s="347"/>
      <c r="DO2461" s="347"/>
      <c r="DP2461" s="2505"/>
    </row>
    <row r="2462" spans="30:120">
      <c r="AD2462" s="1138"/>
      <c r="AP2462" s="347">
        <v>273.32</v>
      </c>
      <c r="AQ2462" s="347" t="s">
        <v>363</v>
      </c>
      <c r="BF2462" s="347">
        <v>606.04999999999995</v>
      </c>
      <c r="BG2462" s="347" t="s">
        <v>310</v>
      </c>
      <c r="BH2462" s="1790"/>
      <c r="BN2462" s="237">
        <v>10.039999999999999</v>
      </c>
      <c r="BO2462" s="237" t="s">
        <v>352</v>
      </c>
      <c r="BT2462" s="347">
        <v>275.01</v>
      </c>
      <c r="BU2462" s="347" t="s">
        <v>363</v>
      </c>
      <c r="CD2462" s="237">
        <v>139.04</v>
      </c>
      <c r="CE2462" s="237" t="s">
        <v>323</v>
      </c>
      <c r="CJ2462" s="347">
        <v>606.04999999999995</v>
      </c>
      <c r="CK2462" s="347" t="s">
        <v>310</v>
      </c>
      <c r="CL2462" s="1789"/>
      <c r="CR2462" s="345"/>
      <c r="CS2462" s="345"/>
      <c r="CX2462" s="347"/>
      <c r="CY2462" s="347"/>
      <c r="DH2462" s="237"/>
      <c r="DI2462" s="237"/>
      <c r="DN2462" s="347"/>
      <c r="DO2462" s="347"/>
      <c r="DP2462" s="2505"/>
    </row>
    <row r="2463" spans="30:120">
      <c r="AD2463" s="1138"/>
      <c r="AP2463" s="347">
        <v>275.01</v>
      </c>
      <c r="AQ2463" s="347" t="s">
        <v>363</v>
      </c>
      <c r="BF2463" s="347">
        <v>606.07000000000005</v>
      </c>
      <c r="BG2463" s="347" t="s">
        <v>310</v>
      </c>
      <c r="BH2463" s="1790"/>
      <c r="BN2463" s="237">
        <v>10.050000000000001</v>
      </c>
      <c r="BO2463" s="237" t="s">
        <v>352</v>
      </c>
      <c r="BT2463" s="347">
        <v>275.02999999999997</v>
      </c>
      <c r="BU2463" s="347" t="s">
        <v>363</v>
      </c>
      <c r="CD2463" s="237">
        <v>139.05000000000001</v>
      </c>
      <c r="CE2463" s="237" t="s">
        <v>323</v>
      </c>
      <c r="CJ2463" s="347">
        <v>606.05999999999995</v>
      </c>
      <c r="CK2463" s="347" t="s">
        <v>310</v>
      </c>
      <c r="CL2463" s="1789"/>
      <c r="CR2463" s="345"/>
      <c r="CS2463" s="345"/>
      <c r="CX2463" s="347"/>
      <c r="CY2463" s="347"/>
      <c r="DH2463" s="237"/>
      <c r="DI2463" s="237"/>
      <c r="DN2463" s="347"/>
      <c r="DO2463" s="347"/>
      <c r="DP2463" s="2505"/>
    </row>
    <row r="2464" spans="30:120">
      <c r="AD2464" s="1138"/>
      <c r="AP2464" s="347">
        <v>275.02999999999997</v>
      </c>
      <c r="AQ2464" s="347" t="s">
        <v>363</v>
      </c>
      <c r="BF2464" s="347">
        <v>606.08000000000004</v>
      </c>
      <c r="BG2464" s="347" t="s">
        <v>310</v>
      </c>
      <c r="BH2464" s="1790"/>
      <c r="BN2464" s="237">
        <v>10.06</v>
      </c>
      <c r="BO2464" s="237" t="s">
        <v>352</v>
      </c>
      <c r="BT2464" s="347">
        <v>275.04000000000002</v>
      </c>
      <c r="BU2464" s="347" t="s">
        <v>363</v>
      </c>
      <c r="CD2464" s="237">
        <v>139.06</v>
      </c>
      <c r="CE2464" s="237" t="s">
        <v>323</v>
      </c>
      <c r="CJ2464" s="347">
        <v>606.07000000000005</v>
      </c>
      <c r="CK2464" s="347" t="s">
        <v>310</v>
      </c>
      <c r="CL2464" s="1789"/>
      <c r="CR2464" s="345"/>
      <c r="CS2464" s="345"/>
      <c r="CX2464" s="347"/>
      <c r="CY2464" s="347"/>
      <c r="DH2464" s="237"/>
      <c r="DI2464" s="237"/>
      <c r="DN2464" s="347"/>
      <c r="DO2464" s="347"/>
      <c r="DP2464" s="2505"/>
    </row>
    <row r="2465" spans="30:120">
      <c r="AD2465" s="1138"/>
      <c r="AP2465" s="347">
        <v>275.04000000000002</v>
      </c>
      <c r="AQ2465" s="347" t="s">
        <v>363</v>
      </c>
      <c r="BF2465" s="347">
        <v>606.09</v>
      </c>
      <c r="BG2465" s="347" t="s">
        <v>310</v>
      </c>
      <c r="BH2465" s="1790"/>
      <c r="BN2465" s="237">
        <v>10.07</v>
      </c>
      <c r="BO2465" s="237" t="s">
        <v>352</v>
      </c>
      <c r="BT2465" s="347">
        <v>276.02999999999997</v>
      </c>
      <c r="BU2465" s="347" t="s">
        <v>363</v>
      </c>
      <c r="CD2465" s="237">
        <v>139.07</v>
      </c>
      <c r="CE2465" s="237" t="s">
        <v>337</v>
      </c>
      <c r="CJ2465" s="347">
        <v>606.08000000000004</v>
      </c>
      <c r="CK2465" s="347" t="s">
        <v>310</v>
      </c>
      <c r="CL2465" s="1789"/>
      <c r="CR2465" s="345"/>
      <c r="CS2465" s="345"/>
      <c r="CX2465" s="347"/>
      <c r="CY2465" s="347"/>
      <c r="DH2465" s="237"/>
      <c r="DI2465" s="237"/>
      <c r="DN2465" s="347"/>
      <c r="DO2465" s="347"/>
      <c r="DP2465" s="2505"/>
    </row>
    <row r="2466" spans="30:120">
      <c r="AD2466" s="1138"/>
      <c r="AP2466" s="347">
        <v>276.02999999999997</v>
      </c>
      <c r="AQ2466" s="347" t="s">
        <v>363</v>
      </c>
      <c r="BF2466" s="347">
        <v>607</v>
      </c>
      <c r="BG2466" s="347" t="s">
        <v>310</v>
      </c>
      <c r="BH2466" s="1790"/>
      <c r="BN2466" s="237">
        <v>10.08</v>
      </c>
      <c r="BO2466" s="237" t="s">
        <v>352</v>
      </c>
      <c r="BT2466" s="347">
        <v>276.04000000000002</v>
      </c>
      <c r="BU2466" s="347" t="s">
        <v>363</v>
      </c>
      <c r="CD2466" s="237">
        <v>139.12</v>
      </c>
      <c r="CE2466" s="237" t="s">
        <v>337</v>
      </c>
      <c r="CJ2466" s="347">
        <v>606.09</v>
      </c>
      <c r="CK2466" s="347" t="s">
        <v>310</v>
      </c>
      <c r="CL2466" s="1789"/>
      <c r="CR2466" s="345"/>
      <c r="CS2466" s="345"/>
      <c r="CX2466" s="347"/>
      <c r="CY2466" s="347"/>
      <c r="DH2466" s="237"/>
      <c r="DI2466" s="237"/>
      <c r="DN2466" s="347"/>
      <c r="DO2466" s="347"/>
      <c r="DP2466" s="2505"/>
    </row>
    <row r="2467" spans="30:120">
      <c r="AD2467" s="1138"/>
      <c r="AP2467" s="347">
        <v>276.04000000000002</v>
      </c>
      <c r="AQ2467" s="347" t="s">
        <v>363</v>
      </c>
      <c r="BF2467" s="347">
        <v>608.01</v>
      </c>
      <c r="BG2467" s="347" t="s">
        <v>310</v>
      </c>
      <c r="BH2467" s="1790"/>
      <c r="BN2467" s="237">
        <v>11.01</v>
      </c>
      <c r="BO2467" s="237" t="s">
        <v>352</v>
      </c>
      <c r="BT2467" s="347">
        <v>276.05</v>
      </c>
      <c r="BU2467" s="347" t="s">
        <v>363</v>
      </c>
      <c r="CD2467" s="237">
        <v>139.13</v>
      </c>
      <c r="CE2467" s="237" t="s">
        <v>337</v>
      </c>
      <c r="CJ2467" s="347">
        <v>607</v>
      </c>
      <c r="CK2467" s="347" t="s">
        <v>310</v>
      </c>
      <c r="CL2467" s="1789"/>
      <c r="CR2467" s="345"/>
      <c r="CS2467" s="345"/>
      <c r="CX2467" s="347"/>
      <c r="CY2467" s="347"/>
      <c r="DH2467" s="237"/>
      <c r="DI2467" s="237"/>
      <c r="DN2467" s="347"/>
      <c r="DO2467" s="347"/>
      <c r="DP2467" s="2505"/>
    </row>
    <row r="2468" spans="30:120">
      <c r="AD2468" s="1138"/>
      <c r="AP2468" s="347">
        <v>276.05</v>
      </c>
      <c r="AQ2468" s="347" t="s">
        <v>363</v>
      </c>
      <c r="BF2468" s="347">
        <v>609</v>
      </c>
      <c r="BG2468" s="347" t="s">
        <v>310</v>
      </c>
      <c r="BH2468" s="1790"/>
      <c r="BN2468" s="237">
        <v>11.02</v>
      </c>
      <c r="BO2468" s="237" t="s">
        <v>352</v>
      </c>
      <c r="BT2468" s="347">
        <v>276.06</v>
      </c>
      <c r="BU2468" s="347" t="s">
        <v>363</v>
      </c>
      <c r="CD2468" s="237">
        <v>139.13999999999999</v>
      </c>
      <c r="CE2468" s="237" t="s">
        <v>337</v>
      </c>
      <c r="CJ2468" s="347">
        <v>608.01</v>
      </c>
      <c r="CK2468" s="347" t="s">
        <v>310</v>
      </c>
      <c r="CL2468" s="1789"/>
      <c r="CR2468" s="345"/>
      <c r="CS2468" s="345"/>
      <c r="CX2468" s="347"/>
      <c r="CY2468" s="347"/>
      <c r="DH2468" s="237"/>
      <c r="DI2468" s="237"/>
      <c r="DN2468" s="347"/>
      <c r="DO2468" s="347"/>
      <c r="DP2468" s="2505"/>
    </row>
    <row r="2469" spans="30:120">
      <c r="AD2469" s="1138"/>
      <c r="AP2469" s="347">
        <v>276.06</v>
      </c>
      <c r="AQ2469" s="347" t="s">
        <v>363</v>
      </c>
      <c r="BF2469" s="347">
        <v>610.01</v>
      </c>
      <c r="BG2469" s="347" t="s">
        <v>310</v>
      </c>
      <c r="BH2469" s="1790"/>
      <c r="BN2469" s="237">
        <v>11.03</v>
      </c>
      <c r="BO2469" s="237" t="s">
        <v>352</v>
      </c>
      <c r="BT2469" s="347">
        <v>277.01</v>
      </c>
      <c r="BU2469" s="347" t="s">
        <v>363</v>
      </c>
      <c r="CD2469" s="237">
        <v>139.15</v>
      </c>
      <c r="CE2469" s="237" t="s">
        <v>337</v>
      </c>
      <c r="CJ2469" s="347">
        <v>609</v>
      </c>
      <c r="CK2469" s="347" t="s">
        <v>310</v>
      </c>
      <c r="CL2469" s="1789"/>
      <c r="CR2469" s="345"/>
      <c r="CS2469" s="345"/>
      <c r="CX2469" s="347"/>
      <c r="CY2469" s="347"/>
      <c r="DH2469" s="237"/>
      <c r="DI2469" s="237"/>
      <c r="DN2469" s="347"/>
      <c r="DO2469" s="347"/>
      <c r="DP2469" s="2505"/>
    </row>
    <row r="2470" spans="30:120">
      <c r="AD2470" s="1138"/>
      <c r="AP2470" s="347">
        <v>277.01</v>
      </c>
      <c r="AQ2470" s="347" t="s">
        <v>363</v>
      </c>
      <c r="BF2470" s="347">
        <v>610.04</v>
      </c>
      <c r="BG2470" s="347" t="s">
        <v>310</v>
      </c>
      <c r="BH2470" s="1790"/>
      <c r="BN2470" s="237">
        <v>11.04</v>
      </c>
      <c r="BO2470" s="237" t="s">
        <v>352</v>
      </c>
      <c r="BT2470" s="347">
        <v>277.02999999999997</v>
      </c>
      <c r="BU2470" s="347" t="s">
        <v>363</v>
      </c>
      <c r="CD2470" s="237">
        <v>139.16</v>
      </c>
      <c r="CE2470" s="237" t="s">
        <v>337</v>
      </c>
      <c r="CJ2470" s="347">
        <v>610.01</v>
      </c>
      <c r="CK2470" s="347" t="s">
        <v>310</v>
      </c>
      <c r="CL2470" s="1789"/>
      <c r="CR2470" s="345"/>
      <c r="CS2470" s="345"/>
      <c r="CX2470" s="347"/>
      <c r="CY2470" s="347"/>
      <c r="DH2470" s="237"/>
      <c r="DI2470" s="237"/>
      <c r="DN2470" s="347"/>
      <c r="DO2470" s="347"/>
      <c r="DP2470" s="2505"/>
    </row>
    <row r="2471" spans="30:120">
      <c r="AD2471" s="1138"/>
      <c r="AP2471" s="347">
        <v>277.02999999999997</v>
      </c>
      <c r="AQ2471" s="347" t="s">
        <v>363</v>
      </c>
      <c r="BF2471" s="347">
        <v>611</v>
      </c>
      <c r="BG2471" s="347" t="s">
        <v>309</v>
      </c>
      <c r="BH2471" s="1790"/>
      <c r="BN2471" s="237">
        <v>12.04</v>
      </c>
      <c r="BO2471" s="237" t="s">
        <v>352</v>
      </c>
      <c r="BT2471" s="347">
        <v>277.04000000000002</v>
      </c>
      <c r="BU2471" s="347" t="s">
        <v>363</v>
      </c>
      <c r="CD2471" s="237">
        <v>139.16999999999999</v>
      </c>
      <c r="CE2471" s="237" t="s">
        <v>337</v>
      </c>
      <c r="CJ2471" s="347">
        <v>610.03</v>
      </c>
      <c r="CK2471" s="347" t="s">
        <v>310</v>
      </c>
      <c r="CL2471" s="1789"/>
      <c r="CR2471" s="345"/>
      <c r="CS2471" s="345"/>
      <c r="CX2471" s="347"/>
      <c r="CY2471" s="347"/>
      <c r="DH2471" s="237"/>
      <c r="DI2471" s="237"/>
      <c r="DN2471" s="347"/>
      <c r="DO2471" s="347"/>
      <c r="DP2471" s="2505"/>
    </row>
    <row r="2472" spans="30:120">
      <c r="AD2472" s="1138"/>
      <c r="AP2472" s="347">
        <v>277.04000000000002</v>
      </c>
      <c r="AQ2472" s="347" t="s">
        <v>363</v>
      </c>
      <c r="BF2472" s="347">
        <v>612.01</v>
      </c>
      <c r="BG2472" s="347" t="s">
        <v>309</v>
      </c>
      <c r="BH2472" s="1790"/>
      <c r="BN2472" s="237">
        <v>12.05</v>
      </c>
      <c r="BO2472" s="237" t="s">
        <v>352</v>
      </c>
      <c r="BT2472" s="347">
        <v>278.01</v>
      </c>
      <c r="BU2472" s="347" t="s">
        <v>363</v>
      </c>
      <c r="CD2472" s="237">
        <v>139.18</v>
      </c>
      <c r="CE2472" s="237" t="s">
        <v>337</v>
      </c>
      <c r="CJ2472" s="347">
        <v>610.04</v>
      </c>
      <c r="CK2472" s="347" t="s">
        <v>310</v>
      </c>
      <c r="CL2472" s="1789"/>
      <c r="CR2472" s="345"/>
      <c r="CS2472" s="345"/>
      <c r="CX2472" s="347"/>
      <c r="CY2472" s="347"/>
      <c r="DH2472" s="237"/>
      <c r="DI2472" s="237"/>
      <c r="DN2472" s="347"/>
      <c r="DO2472" s="347"/>
      <c r="DP2472" s="2505"/>
    </row>
    <row r="2473" spans="30:120">
      <c r="AD2473" s="1138"/>
      <c r="AP2473" s="347">
        <v>278.01</v>
      </c>
      <c r="AQ2473" s="347" t="s">
        <v>363</v>
      </c>
      <c r="BF2473" s="347">
        <v>612.02</v>
      </c>
      <c r="BG2473" s="347" t="s">
        <v>309</v>
      </c>
      <c r="BH2473" s="1790"/>
      <c r="BN2473" s="237">
        <v>12.06</v>
      </c>
      <c r="BO2473" s="237" t="s">
        <v>352</v>
      </c>
      <c r="BT2473" s="347">
        <v>278.02</v>
      </c>
      <c r="BU2473" s="347" t="s">
        <v>363</v>
      </c>
      <c r="CD2473" s="237">
        <v>139.19</v>
      </c>
      <c r="CE2473" s="237" t="s">
        <v>337</v>
      </c>
      <c r="CJ2473" s="347">
        <v>611</v>
      </c>
      <c r="CK2473" s="347" t="s">
        <v>309</v>
      </c>
      <c r="CL2473" s="1789"/>
      <c r="CR2473" s="345"/>
      <c r="CS2473" s="345"/>
      <c r="CX2473" s="347"/>
      <c r="CY2473" s="347"/>
      <c r="DH2473" s="237"/>
      <c r="DI2473" s="237"/>
      <c r="DN2473" s="347"/>
      <c r="DO2473" s="347"/>
      <c r="DP2473" s="2505"/>
    </row>
    <row r="2474" spans="30:120">
      <c r="AD2474" s="1138"/>
      <c r="AP2474" s="347">
        <v>278.02</v>
      </c>
      <c r="AQ2474" s="347" t="s">
        <v>363</v>
      </c>
      <c r="BF2474" s="347">
        <v>621.08000000000004</v>
      </c>
      <c r="BG2474" s="347" t="s">
        <v>309</v>
      </c>
      <c r="BH2474" s="1790"/>
      <c r="BN2474" s="237">
        <v>12.07</v>
      </c>
      <c r="BO2474" s="237" t="s">
        <v>352</v>
      </c>
      <c r="BT2474" s="347">
        <v>279.01</v>
      </c>
      <c r="BU2474" s="347" t="s">
        <v>363</v>
      </c>
      <c r="CD2474" s="237">
        <v>139.22</v>
      </c>
      <c r="CE2474" s="237" t="s">
        <v>337</v>
      </c>
      <c r="CJ2474" s="347">
        <v>612.01</v>
      </c>
      <c r="CK2474" s="347" t="s">
        <v>309</v>
      </c>
      <c r="CL2474" s="1789"/>
      <c r="CR2474" s="345"/>
      <c r="CS2474" s="345"/>
      <c r="CX2474" s="347"/>
      <c r="CY2474" s="347"/>
      <c r="DH2474" s="237"/>
      <c r="DI2474" s="237"/>
      <c r="DN2474" s="347"/>
      <c r="DO2474" s="347"/>
      <c r="DP2474" s="2505"/>
    </row>
    <row r="2475" spans="30:120">
      <c r="AD2475" s="1138"/>
      <c r="AP2475" s="347">
        <v>279.01</v>
      </c>
      <c r="AQ2475" s="347" t="s">
        <v>363</v>
      </c>
      <c r="BF2475" s="347">
        <v>621.1</v>
      </c>
      <c r="BG2475" s="347" t="s">
        <v>309</v>
      </c>
      <c r="BH2475" s="1790"/>
      <c r="BN2475" s="237">
        <v>12.08</v>
      </c>
      <c r="BO2475" s="237" t="s">
        <v>352</v>
      </c>
      <c r="BT2475" s="347">
        <v>279.05</v>
      </c>
      <c r="BU2475" s="347" t="s">
        <v>363</v>
      </c>
      <c r="CD2475" s="237">
        <v>139.22999999999999</v>
      </c>
      <c r="CE2475" s="237" t="s">
        <v>337</v>
      </c>
      <c r="CJ2475" s="347">
        <v>612.02</v>
      </c>
      <c r="CK2475" s="347" t="s">
        <v>309</v>
      </c>
      <c r="CL2475" s="1789"/>
      <c r="CR2475" s="345"/>
      <c r="CS2475" s="345"/>
      <c r="CX2475" s="347"/>
      <c r="CY2475" s="347"/>
      <c r="DH2475" s="237"/>
      <c r="DI2475" s="237"/>
      <c r="DN2475" s="347"/>
      <c r="DO2475" s="347"/>
      <c r="DP2475" s="2505"/>
    </row>
    <row r="2476" spans="30:120">
      <c r="AD2476" s="1138"/>
      <c r="AP2476" s="347">
        <v>279.05</v>
      </c>
      <c r="AQ2476" s="347" t="s">
        <v>363</v>
      </c>
      <c r="BF2476" s="347">
        <v>628</v>
      </c>
      <c r="BG2476" s="347" t="s">
        <v>309</v>
      </c>
      <c r="BH2476" s="1790"/>
      <c r="BN2476" s="237">
        <v>12.09</v>
      </c>
      <c r="BO2476" s="237" t="s">
        <v>352</v>
      </c>
      <c r="BT2476" s="347">
        <v>280.02</v>
      </c>
      <c r="BU2476" s="347" t="s">
        <v>363</v>
      </c>
      <c r="CD2476" s="237">
        <v>139.24</v>
      </c>
      <c r="CE2476" s="237" t="s">
        <v>337</v>
      </c>
      <c r="CJ2476" s="347">
        <v>621.08000000000004</v>
      </c>
      <c r="CK2476" s="347" t="s">
        <v>309</v>
      </c>
      <c r="CL2476" s="1789"/>
      <c r="CR2476" s="345"/>
      <c r="CS2476" s="345"/>
      <c r="CX2476" s="347"/>
      <c r="CY2476" s="347"/>
      <c r="DH2476" s="237"/>
      <c r="DI2476" s="237"/>
      <c r="DN2476" s="347"/>
      <c r="DO2476" s="347"/>
      <c r="DP2476" s="2505"/>
    </row>
    <row r="2477" spans="30:120">
      <c r="AD2477" s="1138"/>
      <c r="AP2477" s="347">
        <v>280.02</v>
      </c>
      <c r="AQ2477" s="347" t="s">
        <v>363</v>
      </c>
      <c r="BF2477" s="347">
        <v>630</v>
      </c>
      <c r="BG2477" s="347" t="s">
        <v>309</v>
      </c>
      <c r="BH2477" s="1790"/>
      <c r="BN2477" s="237">
        <v>13.01</v>
      </c>
      <c r="BO2477" s="237" t="s">
        <v>352</v>
      </c>
      <c r="BT2477" s="347">
        <v>280.04000000000002</v>
      </c>
      <c r="BU2477" s="347" t="s">
        <v>363</v>
      </c>
      <c r="CD2477" s="237">
        <v>139.25</v>
      </c>
      <c r="CE2477" s="237" t="s">
        <v>337</v>
      </c>
      <c r="CJ2477" s="347">
        <v>621.1</v>
      </c>
      <c r="CK2477" s="347" t="s">
        <v>309</v>
      </c>
      <c r="CL2477" s="1789"/>
      <c r="CR2477" s="345"/>
      <c r="CS2477" s="345"/>
      <c r="CX2477" s="347"/>
      <c r="CY2477" s="347"/>
      <c r="DH2477" s="237"/>
      <c r="DI2477" s="237"/>
      <c r="DN2477" s="347"/>
      <c r="DO2477" s="347"/>
      <c r="DP2477" s="2505"/>
    </row>
    <row r="2478" spans="30:120">
      <c r="AD2478" s="1138"/>
      <c r="AP2478" s="347">
        <v>280.04000000000002</v>
      </c>
      <c r="AQ2478" s="347" t="s">
        <v>363</v>
      </c>
      <c r="BF2478" s="347">
        <v>631.02</v>
      </c>
      <c r="BG2478" s="347" t="s">
        <v>309</v>
      </c>
      <c r="BH2478" s="1790"/>
      <c r="BN2478" s="237">
        <v>13.02</v>
      </c>
      <c r="BO2478" s="237" t="s">
        <v>352</v>
      </c>
      <c r="BT2478" s="347">
        <v>280.05</v>
      </c>
      <c r="BU2478" s="347" t="s">
        <v>363</v>
      </c>
      <c r="CD2478" s="237">
        <v>139.26</v>
      </c>
      <c r="CE2478" s="237" t="s">
        <v>337</v>
      </c>
      <c r="CJ2478" s="347">
        <v>621.12</v>
      </c>
      <c r="CK2478" s="347" t="s">
        <v>309</v>
      </c>
      <c r="CL2478" s="1789"/>
      <c r="CR2478" s="345"/>
      <c r="CS2478" s="345"/>
      <c r="CX2478" s="347"/>
      <c r="CY2478" s="347"/>
      <c r="DH2478" s="237"/>
      <c r="DI2478" s="237"/>
      <c r="DN2478" s="347"/>
      <c r="DO2478" s="347"/>
      <c r="DP2478" s="2505"/>
    </row>
    <row r="2479" spans="30:120">
      <c r="AD2479" s="1138"/>
      <c r="AP2479" s="347">
        <v>280.05</v>
      </c>
      <c r="AQ2479" s="347" t="s">
        <v>363</v>
      </c>
      <c r="BF2479" s="347">
        <v>631.04</v>
      </c>
      <c r="BG2479" s="347" t="s">
        <v>309</v>
      </c>
      <c r="BH2479" s="1790"/>
      <c r="BN2479" s="237">
        <v>14.01</v>
      </c>
      <c r="BO2479" s="237" t="s">
        <v>352</v>
      </c>
      <c r="BT2479" s="347">
        <v>280.06</v>
      </c>
      <c r="BU2479" s="347" t="s">
        <v>363</v>
      </c>
      <c r="CD2479" s="237">
        <v>140</v>
      </c>
      <c r="CE2479" s="237" t="s">
        <v>359</v>
      </c>
      <c r="CJ2479" s="347">
        <v>628</v>
      </c>
      <c r="CK2479" s="347" t="s">
        <v>309</v>
      </c>
      <c r="CL2479" s="1789"/>
      <c r="CR2479" s="345"/>
      <c r="CS2479" s="345"/>
      <c r="CX2479" s="347"/>
      <c r="CY2479" s="347"/>
      <c r="DH2479" s="237"/>
      <c r="DI2479" s="237"/>
      <c r="DN2479" s="347"/>
      <c r="DO2479" s="347"/>
      <c r="DP2479" s="2505"/>
    </row>
    <row r="2480" spans="30:120">
      <c r="AD2480" s="1138"/>
      <c r="AP2480" s="347">
        <v>280.06</v>
      </c>
      <c r="AQ2480" s="347" t="s">
        <v>363</v>
      </c>
      <c r="BF2480" s="347">
        <v>631.04999999999995</v>
      </c>
      <c r="BG2480" s="347" t="s">
        <v>309</v>
      </c>
      <c r="BH2480" s="1790"/>
      <c r="BN2480" s="237">
        <v>14.02</v>
      </c>
      <c r="BO2480" s="237" t="s">
        <v>352</v>
      </c>
      <c r="BT2480" s="347">
        <v>281.02</v>
      </c>
      <c r="BU2480" s="347" t="s">
        <v>363</v>
      </c>
      <c r="CD2480" s="237">
        <v>140.01</v>
      </c>
      <c r="CE2480" s="237" t="s">
        <v>323</v>
      </c>
      <c r="CJ2480" s="347">
        <v>630</v>
      </c>
      <c r="CK2480" s="347" t="s">
        <v>309</v>
      </c>
      <c r="CL2480" s="1789"/>
      <c r="CR2480" s="345"/>
      <c r="CS2480" s="345"/>
      <c r="CX2480" s="347"/>
      <c r="CY2480" s="347"/>
      <c r="DH2480" s="237"/>
      <c r="DI2480" s="237"/>
      <c r="DN2480" s="347"/>
      <c r="DO2480" s="347"/>
      <c r="DP2480" s="2505"/>
    </row>
    <row r="2481" spans="30:120">
      <c r="AD2481" s="1138"/>
      <c r="AP2481" s="347">
        <v>281.02</v>
      </c>
      <c r="AQ2481" s="347" t="s">
        <v>363</v>
      </c>
      <c r="BF2481" s="347">
        <v>631.05999999999995</v>
      </c>
      <c r="BG2481" s="347" t="s">
        <v>309</v>
      </c>
      <c r="BH2481" s="1790"/>
      <c r="BN2481" s="237">
        <v>15.01</v>
      </c>
      <c r="BO2481" s="237" t="s">
        <v>352</v>
      </c>
      <c r="BT2481" s="347">
        <v>282</v>
      </c>
      <c r="BU2481" s="347" t="s">
        <v>363</v>
      </c>
      <c r="CD2481" s="237">
        <v>140.01</v>
      </c>
      <c r="CE2481" s="237" t="s">
        <v>365</v>
      </c>
      <c r="CJ2481" s="347">
        <v>631.02</v>
      </c>
      <c r="CK2481" s="347" t="s">
        <v>309</v>
      </c>
      <c r="CL2481" s="1789"/>
      <c r="CR2481" s="345"/>
      <c r="CS2481" s="345"/>
      <c r="CX2481" s="347"/>
      <c r="CY2481" s="347"/>
      <c r="DH2481" s="237"/>
      <c r="DI2481" s="237"/>
      <c r="DN2481" s="347"/>
      <c r="DO2481" s="347"/>
      <c r="DP2481" s="2505"/>
    </row>
    <row r="2482" spans="30:120">
      <c r="AD2482" s="1138"/>
      <c r="AP2482" s="347">
        <v>282</v>
      </c>
      <c r="AQ2482" s="347" t="s">
        <v>363</v>
      </c>
      <c r="BF2482" s="347">
        <v>631.08000000000004</v>
      </c>
      <c r="BG2482" s="347" t="s">
        <v>309</v>
      </c>
      <c r="BH2482" s="1790"/>
      <c r="BN2482" s="237">
        <v>15.02</v>
      </c>
      <c r="BO2482" s="237" t="s">
        <v>352</v>
      </c>
      <c r="BT2482" s="347">
        <v>285</v>
      </c>
      <c r="BU2482" s="347" t="s">
        <v>363</v>
      </c>
      <c r="CD2482" s="237">
        <v>140.02000000000001</v>
      </c>
      <c r="CE2482" s="237" t="s">
        <v>323</v>
      </c>
      <c r="CJ2482" s="347">
        <v>631.04</v>
      </c>
      <c r="CK2482" s="347" t="s">
        <v>309</v>
      </c>
      <c r="CL2482" s="1789"/>
      <c r="CR2482" s="345"/>
      <c r="CS2482" s="345"/>
      <c r="CX2482" s="347"/>
      <c r="CY2482" s="347"/>
      <c r="DH2482" s="237"/>
      <c r="DI2482" s="237"/>
      <c r="DN2482" s="347"/>
      <c r="DO2482" s="347"/>
      <c r="DP2482" s="2505"/>
    </row>
    <row r="2483" spans="30:120">
      <c r="AD2483" s="1138"/>
      <c r="AP2483" s="347">
        <v>285</v>
      </c>
      <c r="AQ2483" s="347" t="s">
        <v>363</v>
      </c>
      <c r="BF2483" s="347">
        <v>631.09</v>
      </c>
      <c r="BG2483" s="347" t="s">
        <v>309</v>
      </c>
      <c r="BH2483" s="1790"/>
      <c r="BN2483" s="237">
        <v>16.03</v>
      </c>
      <c r="BO2483" s="237" t="s">
        <v>352</v>
      </c>
      <c r="BT2483" s="347">
        <v>286.01</v>
      </c>
      <c r="BU2483" s="347" t="s">
        <v>363</v>
      </c>
      <c r="CD2483" s="237">
        <v>140.02000000000001</v>
      </c>
      <c r="CE2483" s="237" t="s">
        <v>337</v>
      </c>
      <c r="CJ2483" s="347">
        <v>631.04999999999995</v>
      </c>
      <c r="CK2483" s="347" t="s">
        <v>309</v>
      </c>
      <c r="CL2483" s="1789"/>
      <c r="CR2483" s="345"/>
      <c r="CS2483" s="345"/>
      <c r="CX2483" s="347"/>
      <c r="CY2483" s="347"/>
      <c r="DH2483" s="237"/>
      <c r="DI2483" s="237"/>
      <c r="DN2483" s="347"/>
      <c r="DO2483" s="347"/>
      <c r="DP2483" s="2505"/>
    </row>
    <row r="2484" spans="30:120">
      <c r="AD2484" s="1138"/>
      <c r="AP2484" s="347">
        <v>286.02</v>
      </c>
      <c r="AQ2484" s="347" t="s">
        <v>363</v>
      </c>
      <c r="BF2484" s="347">
        <v>641.02</v>
      </c>
      <c r="BG2484" s="347" t="s">
        <v>309</v>
      </c>
      <c r="BH2484" s="1790"/>
      <c r="BN2484" s="237">
        <v>16.05</v>
      </c>
      <c r="BO2484" s="237" t="s">
        <v>352</v>
      </c>
      <c r="BT2484" s="347">
        <v>286.02</v>
      </c>
      <c r="BU2484" s="347" t="s">
        <v>363</v>
      </c>
      <c r="CD2484" s="237">
        <v>140.03</v>
      </c>
      <c r="CE2484" s="237" t="s">
        <v>337</v>
      </c>
      <c r="CJ2484" s="347">
        <v>631.05999999999995</v>
      </c>
      <c r="CK2484" s="347" t="s">
        <v>309</v>
      </c>
      <c r="CL2484" s="1789"/>
      <c r="CR2484" s="345"/>
      <c r="CS2484" s="345"/>
      <c r="CX2484" s="347"/>
      <c r="CY2484" s="347"/>
      <c r="DH2484" s="237"/>
      <c r="DI2484" s="237"/>
      <c r="DN2484" s="347"/>
      <c r="DO2484" s="347"/>
      <c r="DP2484" s="2505"/>
    </row>
    <row r="2485" spans="30:120">
      <c r="AD2485" s="1138"/>
      <c r="AP2485" s="347">
        <v>104.01</v>
      </c>
      <c r="AQ2485" s="347" t="s">
        <v>365</v>
      </c>
      <c r="BF2485" s="347">
        <v>641.23</v>
      </c>
      <c r="BG2485" s="347" t="s">
        <v>309</v>
      </c>
      <c r="BH2485" s="1790"/>
      <c r="BN2485" s="237">
        <v>16.059999999999999</v>
      </c>
      <c r="BO2485" s="237" t="s">
        <v>352</v>
      </c>
      <c r="BT2485" s="347">
        <v>104.01</v>
      </c>
      <c r="BU2485" s="347" t="s">
        <v>365</v>
      </c>
      <c r="CD2485" s="237">
        <v>140.03</v>
      </c>
      <c r="CE2485" s="237" t="s">
        <v>365</v>
      </c>
      <c r="CJ2485" s="347">
        <v>631.08000000000004</v>
      </c>
      <c r="CK2485" s="347" t="s">
        <v>309</v>
      </c>
      <c r="CL2485" s="1789"/>
      <c r="CR2485" s="345"/>
      <c r="CS2485" s="345"/>
      <c r="CX2485" s="347"/>
      <c r="CY2485" s="347"/>
      <c r="DH2485" s="237"/>
      <c r="DI2485" s="237"/>
      <c r="DN2485" s="347"/>
      <c r="DO2485" s="347"/>
      <c r="DP2485" s="2505"/>
    </row>
    <row r="2486" spans="30:120">
      <c r="AD2486" s="1138"/>
      <c r="AP2486" s="347">
        <v>104.02</v>
      </c>
      <c r="AQ2486" s="347" t="s">
        <v>365</v>
      </c>
      <c r="BF2486" s="347">
        <v>641.26</v>
      </c>
      <c r="BG2486" s="347" t="s">
        <v>309</v>
      </c>
      <c r="BH2486" s="1790"/>
      <c r="BN2486" s="237">
        <v>16.07</v>
      </c>
      <c r="BO2486" s="237" t="s">
        <v>352</v>
      </c>
      <c r="BT2486" s="347">
        <v>104.02</v>
      </c>
      <c r="BU2486" s="347" t="s">
        <v>365</v>
      </c>
      <c r="CD2486" s="237">
        <v>140.05000000000001</v>
      </c>
      <c r="CE2486" s="237" t="s">
        <v>365</v>
      </c>
      <c r="CJ2486" s="347">
        <v>631.09</v>
      </c>
      <c r="CK2486" s="347" t="s">
        <v>309</v>
      </c>
      <c r="CL2486" s="1789"/>
      <c r="CR2486" s="345"/>
      <c r="CS2486" s="345"/>
      <c r="CX2486" s="347"/>
      <c r="CY2486" s="347"/>
      <c r="DH2486" s="237"/>
      <c r="DI2486" s="237"/>
      <c r="DN2486" s="347"/>
      <c r="DO2486" s="347"/>
      <c r="DP2486" s="2505"/>
    </row>
    <row r="2487" spans="30:120">
      <c r="AD2487" s="1138"/>
      <c r="AP2487" s="347">
        <v>105.01</v>
      </c>
      <c r="AQ2487" s="347" t="s">
        <v>365</v>
      </c>
      <c r="BF2487" s="347">
        <v>641.27</v>
      </c>
      <c r="BG2487" s="347" t="s">
        <v>309</v>
      </c>
      <c r="BH2487" s="1790"/>
      <c r="BN2487" s="237">
        <v>16.079999999999998</v>
      </c>
      <c r="BO2487" s="237" t="s">
        <v>352</v>
      </c>
      <c r="BT2487" s="347">
        <v>105.01</v>
      </c>
      <c r="BU2487" s="347" t="s">
        <v>365</v>
      </c>
      <c r="CD2487" s="237">
        <v>140.06</v>
      </c>
      <c r="CE2487" s="237" t="s">
        <v>365</v>
      </c>
      <c r="CJ2487" s="347">
        <v>641.02</v>
      </c>
      <c r="CK2487" s="347" t="s">
        <v>309</v>
      </c>
      <c r="CL2487" s="1789"/>
      <c r="CR2487" s="345"/>
      <c r="CS2487" s="345"/>
      <c r="CX2487" s="347"/>
      <c r="CY2487" s="347"/>
      <c r="DH2487" s="237"/>
      <c r="DI2487" s="237"/>
      <c r="DN2487" s="347"/>
      <c r="DO2487" s="347"/>
      <c r="DP2487" s="2505"/>
    </row>
    <row r="2488" spans="30:120">
      <c r="AD2488" s="1138"/>
      <c r="AP2488" s="347">
        <v>105.02</v>
      </c>
      <c r="AQ2488" s="347" t="s">
        <v>365</v>
      </c>
      <c r="BF2488" s="347">
        <v>641.28</v>
      </c>
      <c r="BG2488" s="347" t="s">
        <v>309</v>
      </c>
      <c r="BH2488" s="1790"/>
      <c r="BN2488" s="237">
        <v>17.010000000000002</v>
      </c>
      <c r="BO2488" s="237" t="s">
        <v>352</v>
      </c>
      <c r="BT2488" s="347">
        <v>105.02</v>
      </c>
      <c r="BU2488" s="347" t="s">
        <v>365</v>
      </c>
      <c r="CD2488" s="237">
        <v>140.07</v>
      </c>
      <c r="CE2488" s="237" t="s">
        <v>337</v>
      </c>
      <c r="CJ2488" s="347">
        <v>641.23</v>
      </c>
      <c r="CK2488" s="347" t="s">
        <v>309</v>
      </c>
      <c r="CL2488" s="1789"/>
      <c r="CR2488" s="345"/>
      <c r="CS2488" s="345"/>
      <c r="CX2488" s="347"/>
      <c r="CY2488" s="347"/>
      <c r="DH2488" s="237"/>
      <c r="DI2488" s="237"/>
      <c r="DN2488" s="347"/>
      <c r="DO2488" s="347"/>
      <c r="DP2488" s="2505"/>
    </row>
    <row r="2489" spans="30:120">
      <c r="AD2489" s="1138"/>
      <c r="AP2489" s="347">
        <v>106.01</v>
      </c>
      <c r="AQ2489" s="347" t="s">
        <v>365</v>
      </c>
      <c r="BF2489" s="347">
        <v>641.29999999999995</v>
      </c>
      <c r="BG2489" s="347" t="s">
        <v>309</v>
      </c>
      <c r="BH2489" s="1790"/>
      <c r="BN2489" s="237">
        <v>17.02</v>
      </c>
      <c r="BO2489" s="237" t="s">
        <v>352</v>
      </c>
      <c r="BT2489" s="347">
        <v>106.01</v>
      </c>
      <c r="BU2489" s="347" t="s">
        <v>365</v>
      </c>
      <c r="CD2489" s="237">
        <v>140.08000000000001</v>
      </c>
      <c r="CE2489" s="237" t="s">
        <v>337</v>
      </c>
      <c r="CJ2489" s="347">
        <v>641.26</v>
      </c>
      <c r="CK2489" s="347" t="s">
        <v>309</v>
      </c>
      <c r="CL2489" s="1789"/>
      <c r="CR2489" s="345"/>
      <c r="CS2489" s="345"/>
      <c r="CX2489" s="347"/>
      <c r="CY2489" s="347"/>
      <c r="DH2489" s="237"/>
      <c r="DI2489" s="237"/>
      <c r="DN2489" s="347"/>
      <c r="DO2489" s="347"/>
      <c r="DP2489" s="2505"/>
    </row>
    <row r="2490" spans="30:120">
      <c r="AD2490" s="1138"/>
      <c r="AP2490" s="347">
        <v>106.03</v>
      </c>
      <c r="AQ2490" s="347" t="s">
        <v>365</v>
      </c>
      <c r="BF2490" s="347">
        <v>643.02</v>
      </c>
      <c r="BG2490" s="347" t="s">
        <v>309</v>
      </c>
      <c r="BH2490" s="1790"/>
      <c r="BN2490" s="237">
        <v>17.04</v>
      </c>
      <c r="BO2490" s="237" t="s">
        <v>352</v>
      </c>
      <c r="BT2490" s="347">
        <v>106.03</v>
      </c>
      <c r="BU2490" s="347" t="s">
        <v>365</v>
      </c>
      <c r="CD2490" s="237">
        <v>140.09</v>
      </c>
      <c r="CE2490" s="237" t="s">
        <v>337</v>
      </c>
      <c r="CJ2490" s="347">
        <v>641.27</v>
      </c>
      <c r="CK2490" s="347" t="s">
        <v>309</v>
      </c>
      <c r="CL2490" s="1789"/>
      <c r="CR2490" s="345"/>
      <c r="CS2490" s="345"/>
      <c r="CX2490" s="347"/>
      <c r="CY2490" s="347"/>
      <c r="DH2490" s="237"/>
      <c r="DI2490" s="237"/>
      <c r="DN2490" s="347"/>
      <c r="DO2490" s="347"/>
      <c r="DP2490" s="2505"/>
    </row>
    <row r="2491" spans="30:120">
      <c r="AD2491" s="1138"/>
      <c r="AP2491" s="347">
        <v>106.04</v>
      </c>
      <c r="AQ2491" s="347" t="s">
        <v>365</v>
      </c>
      <c r="BF2491" s="347">
        <v>644</v>
      </c>
      <c r="BG2491" s="347" t="s">
        <v>309</v>
      </c>
      <c r="BH2491" s="1790"/>
      <c r="BN2491" s="237">
        <v>17.05</v>
      </c>
      <c r="BO2491" s="237" t="s">
        <v>352</v>
      </c>
      <c r="BT2491" s="347">
        <v>106.04</v>
      </c>
      <c r="BU2491" s="347" t="s">
        <v>365</v>
      </c>
      <c r="CD2491" s="237">
        <v>140.1</v>
      </c>
      <c r="CE2491" s="237" t="s">
        <v>337</v>
      </c>
      <c r="CJ2491" s="347">
        <v>641.28</v>
      </c>
      <c r="CK2491" s="347" t="s">
        <v>309</v>
      </c>
      <c r="CL2491" s="1789"/>
      <c r="CR2491" s="345"/>
      <c r="CS2491" s="345"/>
      <c r="CX2491" s="347"/>
      <c r="CY2491" s="347"/>
      <c r="DH2491" s="237"/>
      <c r="DI2491" s="237"/>
      <c r="DN2491" s="347"/>
      <c r="DO2491" s="347"/>
      <c r="DP2491" s="2505"/>
    </row>
    <row r="2492" spans="30:120">
      <c r="AD2492" s="1138"/>
      <c r="AP2492" s="347">
        <v>107.01</v>
      </c>
      <c r="AQ2492" s="347" t="s">
        <v>365</v>
      </c>
      <c r="BF2492" s="347">
        <v>646.01</v>
      </c>
      <c r="BG2492" s="347" t="s">
        <v>309</v>
      </c>
      <c r="BH2492" s="1790"/>
      <c r="BN2492" s="237">
        <v>18.010000000000002</v>
      </c>
      <c r="BO2492" s="237" t="s">
        <v>352</v>
      </c>
      <c r="BT2492" s="347">
        <v>107.01</v>
      </c>
      <c r="BU2492" s="347" t="s">
        <v>365</v>
      </c>
      <c r="CD2492" s="237">
        <v>140.11000000000001</v>
      </c>
      <c r="CE2492" s="237" t="s">
        <v>337</v>
      </c>
      <c r="CJ2492" s="347">
        <v>641.29999999999995</v>
      </c>
      <c r="CK2492" s="347" t="s">
        <v>309</v>
      </c>
      <c r="CL2492" s="1789"/>
      <c r="CR2492" s="345"/>
      <c r="CS2492" s="345"/>
      <c r="CX2492" s="347"/>
      <c r="CY2492" s="347"/>
      <c r="DH2492" s="237"/>
      <c r="DI2492" s="237"/>
      <c r="DN2492" s="347"/>
      <c r="DO2492" s="347"/>
      <c r="DP2492" s="2505"/>
    </row>
    <row r="2493" spans="30:120">
      <c r="AD2493" s="1138"/>
      <c r="AP2493" s="347">
        <v>107.02</v>
      </c>
      <c r="AQ2493" s="347" t="s">
        <v>365</v>
      </c>
      <c r="BF2493" s="347">
        <v>647.02</v>
      </c>
      <c r="BG2493" s="347" t="s">
        <v>309</v>
      </c>
      <c r="BH2493" s="1790"/>
      <c r="BN2493" s="237">
        <v>18.02</v>
      </c>
      <c r="BO2493" s="237" t="s">
        <v>352</v>
      </c>
      <c r="BT2493" s="347">
        <v>107.02</v>
      </c>
      <c r="BU2493" s="347" t="s">
        <v>365</v>
      </c>
      <c r="CD2493" s="237">
        <v>140.12</v>
      </c>
      <c r="CE2493" s="237" t="s">
        <v>337</v>
      </c>
      <c r="CJ2493" s="347">
        <v>644</v>
      </c>
      <c r="CK2493" s="347" t="s">
        <v>309</v>
      </c>
      <c r="CL2493" s="1789"/>
      <c r="CR2493" s="345"/>
      <c r="CS2493" s="345"/>
      <c r="CX2493" s="347"/>
      <c r="CY2493" s="347"/>
      <c r="DH2493" s="237"/>
      <c r="DI2493" s="237"/>
      <c r="DN2493" s="347"/>
      <c r="DO2493" s="347"/>
      <c r="DP2493" s="2505"/>
    </row>
    <row r="2494" spans="30:120">
      <c r="AD2494" s="1138"/>
      <c r="AP2494" s="347">
        <v>108</v>
      </c>
      <c r="AQ2494" s="347" t="s">
        <v>365</v>
      </c>
      <c r="BF2494" s="347">
        <v>648</v>
      </c>
      <c r="BG2494" s="347" t="s">
        <v>309</v>
      </c>
      <c r="BH2494" s="1790"/>
      <c r="BN2494" s="237">
        <v>18.03</v>
      </c>
      <c r="BO2494" s="237" t="s">
        <v>352</v>
      </c>
      <c r="BT2494" s="347">
        <v>108</v>
      </c>
      <c r="BU2494" s="347" t="s">
        <v>365</v>
      </c>
      <c r="CD2494" s="237">
        <v>140.13</v>
      </c>
      <c r="CE2494" s="237" t="s">
        <v>337</v>
      </c>
      <c r="CJ2494" s="347">
        <v>646.01</v>
      </c>
      <c r="CK2494" s="347" t="s">
        <v>309</v>
      </c>
      <c r="CL2494" s="1789"/>
      <c r="CR2494" s="345"/>
      <c r="CS2494" s="345"/>
      <c r="CX2494" s="347"/>
      <c r="CY2494" s="347"/>
      <c r="DH2494" s="237"/>
      <c r="DI2494" s="237"/>
      <c r="DN2494" s="347"/>
      <c r="DO2494" s="347"/>
      <c r="DP2494" s="2505"/>
    </row>
    <row r="2495" spans="30:120">
      <c r="AD2495" s="1138"/>
      <c r="AP2495" s="347">
        <v>115.02</v>
      </c>
      <c r="AQ2495" s="347" t="s">
        <v>365</v>
      </c>
      <c r="BF2495" s="347">
        <v>649.01</v>
      </c>
      <c r="BG2495" s="347" t="s">
        <v>309</v>
      </c>
      <c r="BH2495" s="1790"/>
      <c r="BN2495" s="237">
        <v>19.010000000000002</v>
      </c>
      <c r="BO2495" s="237" t="s">
        <v>352</v>
      </c>
      <c r="BT2495" s="347">
        <v>115.02</v>
      </c>
      <c r="BU2495" s="347" t="s">
        <v>365</v>
      </c>
      <c r="CD2495" s="237">
        <v>140.13999999999999</v>
      </c>
      <c r="CE2495" s="237" t="s">
        <v>337</v>
      </c>
      <c r="CJ2495" s="347">
        <v>649.01</v>
      </c>
      <c r="CK2495" s="347" t="s">
        <v>309</v>
      </c>
      <c r="CL2495" s="1789"/>
      <c r="CR2495" s="345"/>
      <c r="CS2495" s="345"/>
      <c r="CX2495" s="347"/>
      <c r="CY2495" s="347"/>
      <c r="DH2495" s="237"/>
      <c r="DI2495" s="237"/>
      <c r="DN2495" s="347"/>
      <c r="DO2495" s="347"/>
      <c r="DP2495" s="2505"/>
    </row>
    <row r="2496" spans="30:120">
      <c r="AD2496" s="1138"/>
      <c r="AP2496" s="347">
        <v>116.05</v>
      </c>
      <c r="AQ2496" s="347" t="s">
        <v>365</v>
      </c>
      <c r="BF2496" s="347">
        <v>650.01</v>
      </c>
      <c r="BG2496" s="347" t="s">
        <v>309</v>
      </c>
      <c r="BH2496" s="1790"/>
      <c r="BN2496" s="237">
        <v>19.03</v>
      </c>
      <c r="BO2496" s="237" t="s">
        <v>352</v>
      </c>
      <c r="BT2496" s="347">
        <v>116.05</v>
      </c>
      <c r="BU2496" s="347" t="s">
        <v>365</v>
      </c>
      <c r="CD2496" s="237">
        <v>140.16999999999999</v>
      </c>
      <c r="CE2496" s="237" t="s">
        <v>337</v>
      </c>
      <c r="CJ2496" s="347">
        <v>650.01</v>
      </c>
      <c r="CK2496" s="347" t="s">
        <v>309</v>
      </c>
      <c r="CL2496" s="1789"/>
      <c r="CR2496" s="345"/>
      <c r="CS2496" s="345"/>
      <c r="CX2496" s="347"/>
      <c r="CY2496" s="347"/>
      <c r="DH2496" s="237"/>
      <c r="DI2496" s="237"/>
      <c r="DN2496" s="347"/>
      <c r="DO2496" s="347"/>
      <c r="DP2496" s="2505"/>
    </row>
    <row r="2497" spans="30:120">
      <c r="AD2497" s="1138"/>
      <c r="AP2497" s="347">
        <v>116.06</v>
      </c>
      <c r="AQ2497" s="347" t="s">
        <v>365</v>
      </c>
      <c r="BF2497" s="347">
        <v>650.22</v>
      </c>
      <c r="BG2497" s="347" t="s">
        <v>309</v>
      </c>
      <c r="BH2497" s="1790"/>
      <c r="BN2497" s="237">
        <v>19.04</v>
      </c>
      <c r="BO2497" s="237" t="s">
        <v>352</v>
      </c>
      <c r="BT2497" s="347">
        <v>117.31</v>
      </c>
      <c r="BU2497" s="347" t="s">
        <v>365</v>
      </c>
      <c r="CD2497" s="237">
        <v>141</v>
      </c>
      <c r="CE2497" s="237" t="s">
        <v>352</v>
      </c>
      <c r="CJ2497" s="347">
        <v>650.22</v>
      </c>
      <c r="CK2497" s="347" t="s">
        <v>309</v>
      </c>
      <c r="CL2497" s="1789"/>
      <c r="CR2497" s="345"/>
      <c r="CS2497" s="345"/>
      <c r="CX2497" s="347"/>
      <c r="CY2497" s="347"/>
      <c r="DH2497" s="237"/>
      <c r="DI2497" s="237"/>
      <c r="DN2497" s="347"/>
      <c r="DO2497" s="347"/>
      <c r="DP2497" s="2505"/>
    </row>
    <row r="2498" spans="30:120">
      <c r="AD2498" s="1138"/>
      <c r="AP2498" s="347">
        <v>117.21</v>
      </c>
      <c r="AQ2498" s="347" t="s">
        <v>365</v>
      </c>
      <c r="BF2498" s="347">
        <v>650.23</v>
      </c>
      <c r="BG2498" s="347" t="s">
        <v>309</v>
      </c>
      <c r="BH2498" s="1790"/>
      <c r="BN2498" s="237">
        <v>20.010000000000002</v>
      </c>
      <c r="BO2498" s="237" t="s">
        <v>352</v>
      </c>
      <c r="BT2498" s="347">
        <v>118.21</v>
      </c>
      <c r="BU2498" s="347" t="s">
        <v>365</v>
      </c>
      <c r="CD2498" s="237">
        <v>141</v>
      </c>
      <c r="CE2498" s="237" t="s">
        <v>359</v>
      </c>
      <c r="CJ2498" s="347">
        <v>650.23</v>
      </c>
      <c r="CK2498" s="347" t="s">
        <v>309</v>
      </c>
      <c r="CL2498" s="1789"/>
      <c r="CR2498" s="345"/>
      <c r="CS2498" s="345"/>
      <c r="CX2498" s="347"/>
      <c r="CY2498" s="347"/>
      <c r="DH2498" s="237"/>
      <c r="DI2498" s="237"/>
      <c r="DN2498" s="347"/>
      <c r="DO2498" s="347"/>
      <c r="DP2498" s="2505"/>
    </row>
    <row r="2499" spans="30:120">
      <c r="AD2499" s="1138"/>
      <c r="AP2499" s="347">
        <v>118.21</v>
      </c>
      <c r="AQ2499" s="347" t="s">
        <v>365</v>
      </c>
      <c r="BF2499" s="347">
        <v>650.24</v>
      </c>
      <c r="BG2499" s="347" t="s">
        <v>309</v>
      </c>
      <c r="BH2499" s="1790"/>
      <c r="BN2499" s="237">
        <v>20.03</v>
      </c>
      <c r="BO2499" s="237" t="s">
        <v>352</v>
      </c>
      <c r="BT2499" s="347">
        <v>118.22</v>
      </c>
      <c r="BU2499" s="347" t="s">
        <v>365</v>
      </c>
      <c r="CD2499" s="237">
        <v>141.01</v>
      </c>
      <c r="CE2499" s="237" t="s">
        <v>323</v>
      </c>
      <c r="CJ2499" s="347">
        <v>650.24</v>
      </c>
      <c r="CK2499" s="347" t="s">
        <v>309</v>
      </c>
      <c r="CL2499" s="1789"/>
      <c r="CR2499" s="345"/>
      <c r="CS2499" s="345"/>
      <c r="CX2499" s="347"/>
      <c r="CY2499" s="347"/>
      <c r="DH2499" s="237"/>
      <c r="DI2499" s="237"/>
      <c r="DN2499" s="347"/>
      <c r="DO2499" s="347"/>
      <c r="DP2499" s="2505"/>
    </row>
    <row r="2500" spans="30:120">
      <c r="AD2500" s="1138"/>
      <c r="AP2500" s="347">
        <v>118.22</v>
      </c>
      <c r="AQ2500" s="347" t="s">
        <v>365</v>
      </c>
      <c r="BF2500" s="347">
        <v>651.29</v>
      </c>
      <c r="BG2500" s="347" t="s">
        <v>309</v>
      </c>
      <c r="BH2500" s="1790"/>
      <c r="BN2500" s="237">
        <v>20.04</v>
      </c>
      <c r="BO2500" s="237" t="s">
        <v>352</v>
      </c>
      <c r="BT2500" s="347">
        <v>118.32</v>
      </c>
      <c r="BU2500" s="347" t="s">
        <v>365</v>
      </c>
      <c r="CD2500" s="237">
        <v>141.03</v>
      </c>
      <c r="CE2500" s="237" t="s">
        <v>323</v>
      </c>
      <c r="CJ2500" s="347">
        <v>650.25</v>
      </c>
      <c r="CK2500" s="347" t="s">
        <v>309</v>
      </c>
      <c r="CL2500" s="1789"/>
      <c r="CR2500" s="345"/>
      <c r="CS2500" s="345"/>
      <c r="CX2500" s="347"/>
      <c r="CY2500" s="347"/>
      <c r="DH2500" s="237"/>
      <c r="DI2500" s="237"/>
      <c r="DN2500" s="347"/>
      <c r="DO2500" s="347"/>
      <c r="DP2500" s="2505"/>
    </row>
    <row r="2501" spans="30:120">
      <c r="AD2501" s="1138"/>
      <c r="AP2501" s="347">
        <v>118.32</v>
      </c>
      <c r="AQ2501" s="347" t="s">
        <v>365</v>
      </c>
      <c r="BF2501" s="347">
        <v>651.29999999999995</v>
      </c>
      <c r="BG2501" s="347" t="s">
        <v>309</v>
      </c>
      <c r="BH2501" s="1790"/>
      <c r="BN2501" s="237">
        <v>21</v>
      </c>
      <c r="BO2501" s="237" t="s">
        <v>352</v>
      </c>
      <c r="BT2501" s="347">
        <v>118.34</v>
      </c>
      <c r="BU2501" s="347" t="s">
        <v>365</v>
      </c>
      <c r="CD2501" s="237">
        <v>141.04</v>
      </c>
      <c r="CE2501" s="237" t="s">
        <v>323</v>
      </c>
      <c r="CJ2501" s="347">
        <v>651.27</v>
      </c>
      <c r="CK2501" s="347" t="s">
        <v>309</v>
      </c>
      <c r="CL2501" s="1789"/>
      <c r="CR2501" s="345"/>
      <c r="CS2501" s="345"/>
      <c r="CX2501" s="347"/>
      <c r="CY2501" s="347"/>
      <c r="DH2501" s="237"/>
      <c r="DI2501" s="237"/>
      <c r="DN2501" s="347"/>
      <c r="DO2501" s="347"/>
      <c r="DP2501" s="2505"/>
    </row>
    <row r="2502" spans="30:120">
      <c r="AD2502" s="1138"/>
      <c r="AP2502" s="347">
        <v>118.34</v>
      </c>
      <c r="AQ2502" s="347" t="s">
        <v>365</v>
      </c>
      <c r="BF2502" s="347">
        <v>651.30999999999995</v>
      </c>
      <c r="BG2502" s="347" t="s">
        <v>309</v>
      </c>
      <c r="BH2502" s="1790"/>
      <c r="BN2502" s="237">
        <v>22.01</v>
      </c>
      <c r="BO2502" s="237" t="s">
        <v>352</v>
      </c>
      <c r="BT2502" s="347">
        <v>118.35</v>
      </c>
      <c r="BU2502" s="347" t="s">
        <v>365</v>
      </c>
      <c r="CD2502" s="237">
        <v>141.04</v>
      </c>
      <c r="CE2502" s="237" t="s">
        <v>337</v>
      </c>
      <c r="CJ2502" s="347">
        <v>651.29</v>
      </c>
      <c r="CK2502" s="347" t="s">
        <v>309</v>
      </c>
      <c r="CL2502" s="1789"/>
      <c r="CR2502" s="345"/>
      <c r="CS2502" s="345"/>
      <c r="CX2502" s="347"/>
      <c r="CY2502" s="347"/>
      <c r="DH2502" s="237"/>
      <c r="DI2502" s="237"/>
      <c r="DN2502" s="347"/>
      <c r="DO2502" s="347"/>
      <c r="DP2502" s="2505"/>
    </row>
    <row r="2503" spans="30:120">
      <c r="AD2503" s="1138"/>
      <c r="AP2503" s="347">
        <v>118.35</v>
      </c>
      <c r="AQ2503" s="347" t="s">
        <v>365</v>
      </c>
      <c r="BF2503" s="347">
        <v>652.30999999999995</v>
      </c>
      <c r="BG2503" s="347" t="s">
        <v>309</v>
      </c>
      <c r="BH2503" s="1790"/>
      <c r="BN2503" s="237">
        <v>22.02</v>
      </c>
      <c r="BO2503" s="237" t="s">
        <v>352</v>
      </c>
      <c r="BT2503" s="347">
        <v>118.36</v>
      </c>
      <c r="BU2503" s="347" t="s">
        <v>365</v>
      </c>
      <c r="CD2503" s="237">
        <v>141.04</v>
      </c>
      <c r="CE2503" s="237" t="s">
        <v>365</v>
      </c>
      <c r="CJ2503" s="347">
        <v>651.30999999999995</v>
      </c>
      <c r="CK2503" s="347" t="s">
        <v>309</v>
      </c>
      <c r="CL2503" s="1789"/>
      <c r="CR2503" s="345"/>
      <c r="CS2503" s="345"/>
      <c r="CX2503" s="347"/>
      <c r="CY2503" s="347"/>
      <c r="DH2503" s="237"/>
      <c r="DI2503" s="237"/>
      <c r="DN2503" s="347"/>
      <c r="DO2503" s="347"/>
      <c r="DP2503" s="2505"/>
    </row>
    <row r="2504" spans="30:120">
      <c r="AD2504" s="1138"/>
      <c r="AP2504" s="347">
        <v>118.36</v>
      </c>
      <c r="AQ2504" s="347" t="s">
        <v>365</v>
      </c>
      <c r="BF2504" s="347">
        <v>652.36</v>
      </c>
      <c r="BG2504" s="347" t="s">
        <v>309</v>
      </c>
      <c r="BH2504" s="1790"/>
      <c r="BN2504" s="237">
        <v>23</v>
      </c>
      <c r="BO2504" s="237" t="s">
        <v>352</v>
      </c>
      <c r="BT2504" s="347">
        <v>118.37</v>
      </c>
      <c r="BU2504" s="347" t="s">
        <v>365</v>
      </c>
      <c r="CD2504" s="237">
        <v>141.06</v>
      </c>
      <c r="CE2504" s="237" t="s">
        <v>337</v>
      </c>
      <c r="CJ2504" s="347">
        <v>652.30999999999995</v>
      </c>
      <c r="CK2504" s="347" t="s">
        <v>309</v>
      </c>
      <c r="CL2504" s="1789"/>
      <c r="CR2504" s="345"/>
      <c r="CS2504" s="345"/>
      <c r="CX2504" s="347"/>
      <c r="CY2504" s="347"/>
      <c r="DH2504" s="237"/>
      <c r="DI2504" s="237"/>
      <c r="DN2504" s="347"/>
      <c r="DO2504" s="347"/>
      <c r="DP2504" s="2505"/>
    </row>
    <row r="2505" spans="30:120">
      <c r="AD2505" s="1138"/>
      <c r="AP2505" s="347">
        <v>118.37</v>
      </c>
      <c r="AQ2505" s="347" t="s">
        <v>365</v>
      </c>
      <c r="BF2505" s="347">
        <v>661.01</v>
      </c>
      <c r="BG2505" s="347" t="s">
        <v>309</v>
      </c>
      <c r="BH2505" s="1790"/>
      <c r="BN2505" s="237">
        <v>24.02</v>
      </c>
      <c r="BO2505" s="237" t="s">
        <v>352</v>
      </c>
      <c r="BT2505" s="347">
        <v>118.38</v>
      </c>
      <c r="BU2505" s="347" t="s">
        <v>365</v>
      </c>
      <c r="CD2505" s="237">
        <v>141.08000000000001</v>
      </c>
      <c r="CE2505" s="237" t="s">
        <v>337</v>
      </c>
      <c r="CJ2505" s="347">
        <v>652.36</v>
      </c>
      <c r="CK2505" s="347" t="s">
        <v>309</v>
      </c>
      <c r="CL2505" s="1789"/>
      <c r="CR2505" s="345"/>
      <c r="CS2505" s="345"/>
      <c r="CX2505" s="347"/>
      <c r="CY2505" s="347"/>
      <c r="DH2505" s="237"/>
      <c r="DI2505" s="237"/>
      <c r="DN2505" s="347"/>
      <c r="DO2505" s="347"/>
      <c r="DP2505" s="2505"/>
    </row>
    <row r="2506" spans="30:120">
      <c r="AD2506" s="1138"/>
      <c r="AP2506" s="347">
        <v>118.38</v>
      </c>
      <c r="AQ2506" s="347" t="s">
        <v>365</v>
      </c>
      <c r="BF2506" s="347">
        <v>661.03</v>
      </c>
      <c r="BG2506" s="347" t="s">
        <v>309</v>
      </c>
      <c r="BH2506" s="1790"/>
      <c r="BN2506" s="237">
        <v>24.03</v>
      </c>
      <c r="BO2506" s="237" t="s">
        <v>352</v>
      </c>
      <c r="BT2506" s="347">
        <v>119.01</v>
      </c>
      <c r="BU2506" s="347" t="s">
        <v>365</v>
      </c>
      <c r="CD2506" s="237">
        <v>141.09</v>
      </c>
      <c r="CE2506" s="237" t="s">
        <v>337</v>
      </c>
      <c r="CJ2506" s="347">
        <v>652.38</v>
      </c>
      <c r="CK2506" s="347" t="s">
        <v>309</v>
      </c>
      <c r="CL2506" s="1789"/>
      <c r="CR2506" s="345"/>
      <c r="CS2506" s="345"/>
      <c r="CX2506" s="347"/>
      <c r="CY2506" s="347"/>
      <c r="DH2506" s="237"/>
      <c r="DI2506" s="237"/>
      <c r="DN2506" s="347"/>
      <c r="DO2506" s="347"/>
      <c r="DP2506" s="2505"/>
    </row>
    <row r="2507" spans="30:120">
      <c r="AD2507" s="1138"/>
      <c r="AP2507" s="347">
        <v>119.01</v>
      </c>
      <c r="AQ2507" s="347" t="s">
        <v>365</v>
      </c>
      <c r="BF2507" s="347">
        <v>661.04</v>
      </c>
      <c r="BG2507" s="347" t="s">
        <v>309</v>
      </c>
      <c r="BH2507" s="1790"/>
      <c r="BN2507" s="237">
        <v>24.04</v>
      </c>
      <c r="BO2507" s="237" t="s">
        <v>352</v>
      </c>
      <c r="BT2507" s="347">
        <v>119.02</v>
      </c>
      <c r="BU2507" s="347" t="s">
        <v>365</v>
      </c>
      <c r="CD2507" s="237">
        <v>141.16999999999999</v>
      </c>
      <c r="CE2507" s="237" t="s">
        <v>337</v>
      </c>
      <c r="CJ2507" s="347">
        <v>661.01</v>
      </c>
      <c r="CK2507" s="347" t="s">
        <v>309</v>
      </c>
      <c r="CL2507" s="1789"/>
      <c r="CR2507" s="345"/>
      <c r="CS2507" s="345"/>
      <c r="CX2507" s="347"/>
      <c r="CY2507" s="347"/>
      <c r="DH2507" s="237"/>
      <c r="DI2507" s="237"/>
      <c r="DN2507" s="347"/>
      <c r="DO2507" s="347"/>
      <c r="DP2507" s="2505"/>
    </row>
    <row r="2508" spans="30:120">
      <c r="AD2508" s="1138"/>
      <c r="AP2508" s="347">
        <v>119.02</v>
      </c>
      <c r="AQ2508" s="347" t="s">
        <v>365</v>
      </c>
      <c r="BF2508" s="347">
        <v>662</v>
      </c>
      <c r="BG2508" s="347" t="s">
        <v>309</v>
      </c>
      <c r="BH2508" s="1790"/>
      <c r="BN2508" s="237">
        <v>25.01</v>
      </c>
      <c r="BO2508" s="237" t="s">
        <v>352</v>
      </c>
      <c r="BT2508" s="347">
        <v>119.08</v>
      </c>
      <c r="BU2508" s="347" t="s">
        <v>365</v>
      </c>
      <c r="CD2508" s="237">
        <v>141.18</v>
      </c>
      <c r="CE2508" s="237" t="s">
        <v>337</v>
      </c>
      <c r="CJ2508" s="347">
        <v>661.03</v>
      </c>
      <c r="CK2508" s="347" t="s">
        <v>309</v>
      </c>
      <c r="CL2508" s="1789"/>
      <c r="CR2508" s="345"/>
      <c r="CS2508" s="345"/>
      <c r="CX2508" s="347"/>
      <c r="CY2508" s="347"/>
      <c r="DH2508" s="237"/>
      <c r="DI2508" s="237"/>
      <c r="DN2508" s="347"/>
      <c r="DO2508" s="347"/>
      <c r="DP2508" s="2505"/>
    </row>
    <row r="2509" spans="30:120">
      <c r="AD2509" s="1138"/>
      <c r="AP2509" s="347">
        <v>119.08</v>
      </c>
      <c r="AQ2509" s="347" t="s">
        <v>365</v>
      </c>
      <c r="BF2509" s="347">
        <v>663.01</v>
      </c>
      <c r="BG2509" s="347" t="s">
        <v>309</v>
      </c>
      <c r="BH2509" s="1790"/>
      <c r="BN2509" s="237">
        <v>25.02</v>
      </c>
      <c r="BO2509" s="237" t="s">
        <v>352</v>
      </c>
      <c r="BT2509" s="347">
        <v>119.09</v>
      </c>
      <c r="BU2509" s="347" t="s">
        <v>365</v>
      </c>
      <c r="CD2509" s="237">
        <v>141.19</v>
      </c>
      <c r="CE2509" s="237" t="s">
        <v>337</v>
      </c>
      <c r="CJ2509" s="347">
        <v>661.04</v>
      </c>
      <c r="CK2509" s="347" t="s">
        <v>309</v>
      </c>
      <c r="CL2509" s="1789"/>
      <c r="CR2509" s="345"/>
      <c r="CS2509" s="345"/>
      <c r="CX2509" s="347"/>
      <c r="CY2509" s="347"/>
      <c r="DH2509" s="237"/>
      <c r="DI2509" s="237"/>
      <c r="DN2509" s="347"/>
      <c r="DO2509" s="347"/>
      <c r="DP2509" s="2505"/>
    </row>
    <row r="2510" spans="30:120">
      <c r="AD2510" s="1138"/>
      <c r="AP2510" s="347">
        <v>119.09</v>
      </c>
      <c r="AQ2510" s="347" t="s">
        <v>365</v>
      </c>
      <c r="BF2510" s="347">
        <v>663.02</v>
      </c>
      <c r="BG2510" s="347" t="s">
        <v>309</v>
      </c>
      <c r="BH2510" s="1790"/>
      <c r="BN2510" s="237">
        <v>26</v>
      </c>
      <c r="BO2510" s="237" t="s">
        <v>352</v>
      </c>
      <c r="BT2510" s="347">
        <v>119.11</v>
      </c>
      <c r="BU2510" s="347" t="s">
        <v>365</v>
      </c>
      <c r="CD2510" s="237">
        <v>141.21</v>
      </c>
      <c r="CE2510" s="237" t="s">
        <v>337</v>
      </c>
      <c r="CJ2510" s="347">
        <v>662</v>
      </c>
      <c r="CK2510" s="347" t="s">
        <v>309</v>
      </c>
      <c r="CL2510" s="1789"/>
      <c r="CR2510" s="345"/>
      <c r="CS2510" s="345"/>
      <c r="CX2510" s="347"/>
      <c r="CY2510" s="347"/>
      <c r="DH2510" s="237"/>
      <c r="DI2510" s="237"/>
      <c r="DN2510" s="347"/>
      <c r="DO2510" s="347"/>
      <c r="DP2510" s="2505"/>
    </row>
    <row r="2511" spans="30:120">
      <c r="AD2511" s="1138"/>
      <c r="AP2511" s="347">
        <v>119.1</v>
      </c>
      <c r="AQ2511" s="347" t="s">
        <v>365</v>
      </c>
      <c r="BF2511" s="347">
        <v>664</v>
      </c>
      <c r="BG2511" s="347" t="s">
        <v>309</v>
      </c>
      <c r="BH2511" s="1790"/>
      <c r="BN2511" s="237">
        <v>27.02</v>
      </c>
      <c r="BO2511" s="237" t="s">
        <v>352</v>
      </c>
      <c r="BT2511" s="347">
        <v>119.12</v>
      </c>
      <c r="BU2511" s="347" t="s">
        <v>365</v>
      </c>
      <c r="CD2511" s="237">
        <v>141.21</v>
      </c>
      <c r="CE2511" s="237" t="s">
        <v>365</v>
      </c>
      <c r="CJ2511" s="347">
        <v>663.01</v>
      </c>
      <c r="CK2511" s="347" t="s">
        <v>309</v>
      </c>
      <c r="CL2511" s="1789"/>
      <c r="CR2511" s="345"/>
      <c r="CS2511" s="345"/>
      <c r="CX2511" s="347"/>
      <c r="CY2511" s="347"/>
      <c r="DH2511" s="237"/>
      <c r="DI2511" s="237"/>
      <c r="DN2511" s="347"/>
      <c r="DO2511" s="347"/>
      <c r="DP2511" s="2505"/>
    </row>
    <row r="2512" spans="30:120">
      <c r="AD2512" s="1138"/>
      <c r="AP2512" s="347">
        <v>119.11</v>
      </c>
      <c r="AQ2512" s="347" t="s">
        <v>365</v>
      </c>
      <c r="BF2512" s="347">
        <v>665</v>
      </c>
      <c r="BG2512" s="347" t="s">
        <v>309</v>
      </c>
      <c r="BH2512" s="1790"/>
      <c r="BN2512" s="237">
        <v>27.05</v>
      </c>
      <c r="BO2512" s="237" t="s">
        <v>352</v>
      </c>
      <c r="BT2512" s="347">
        <v>120.01</v>
      </c>
      <c r="BU2512" s="347" t="s">
        <v>365</v>
      </c>
      <c r="CD2512" s="237">
        <v>141.22</v>
      </c>
      <c r="CE2512" s="237" t="s">
        <v>337</v>
      </c>
      <c r="CJ2512" s="347">
        <v>663.02</v>
      </c>
      <c r="CK2512" s="347" t="s">
        <v>309</v>
      </c>
      <c r="CL2512" s="1789"/>
      <c r="CR2512" s="345"/>
      <c r="CS2512" s="345"/>
      <c r="CX2512" s="347"/>
      <c r="CY2512" s="347"/>
      <c r="DH2512" s="237"/>
      <c r="DI2512" s="237"/>
      <c r="DN2512" s="347"/>
      <c r="DO2512" s="347"/>
      <c r="DP2512" s="2505"/>
    </row>
    <row r="2513" spans="30:120">
      <c r="AD2513" s="1138"/>
      <c r="AP2513" s="347">
        <v>119.12</v>
      </c>
      <c r="AQ2513" s="347" t="s">
        <v>365</v>
      </c>
      <c r="BF2513" s="347">
        <v>666</v>
      </c>
      <c r="BG2513" s="347" t="s">
        <v>309</v>
      </c>
      <c r="BH2513" s="1790"/>
      <c r="BN2513" s="237">
        <v>27.07</v>
      </c>
      <c r="BO2513" s="237" t="s">
        <v>352</v>
      </c>
      <c r="BT2513" s="347">
        <v>120.02</v>
      </c>
      <c r="BU2513" s="347" t="s">
        <v>365</v>
      </c>
      <c r="CD2513" s="237">
        <v>141.22999999999999</v>
      </c>
      <c r="CE2513" s="237" t="s">
        <v>365</v>
      </c>
      <c r="CJ2513" s="347">
        <v>664</v>
      </c>
      <c r="CK2513" s="347" t="s">
        <v>309</v>
      </c>
      <c r="CL2513" s="1789"/>
      <c r="CR2513" s="345"/>
      <c r="CS2513" s="345"/>
      <c r="CX2513" s="347"/>
      <c r="CY2513" s="347"/>
      <c r="DH2513" s="237"/>
      <c r="DI2513" s="237"/>
      <c r="DN2513" s="347"/>
      <c r="DO2513" s="347"/>
      <c r="DP2513" s="2505"/>
    </row>
    <row r="2514" spans="30:120">
      <c r="AD2514" s="1138"/>
      <c r="AP2514" s="347">
        <v>119.13</v>
      </c>
      <c r="AQ2514" s="347" t="s">
        <v>365</v>
      </c>
      <c r="BF2514" s="347">
        <v>667</v>
      </c>
      <c r="BG2514" s="347" t="s">
        <v>309</v>
      </c>
      <c r="BH2514" s="1790"/>
      <c r="BN2514" s="237">
        <v>27.08</v>
      </c>
      <c r="BO2514" s="237" t="s">
        <v>352</v>
      </c>
      <c r="BT2514" s="347">
        <v>120.03</v>
      </c>
      <c r="BU2514" s="347" t="s">
        <v>365</v>
      </c>
      <c r="CD2514" s="237">
        <v>141.24</v>
      </c>
      <c r="CE2514" s="237" t="s">
        <v>365</v>
      </c>
      <c r="CJ2514" s="347">
        <v>665</v>
      </c>
      <c r="CK2514" s="347" t="s">
        <v>309</v>
      </c>
      <c r="CL2514" s="1789"/>
      <c r="CR2514" s="345"/>
      <c r="CS2514" s="345"/>
      <c r="CX2514" s="347"/>
      <c r="CY2514" s="347"/>
      <c r="DH2514" s="237"/>
      <c r="DI2514" s="237"/>
      <c r="DN2514" s="347"/>
      <c r="DO2514" s="347"/>
      <c r="DP2514" s="2505"/>
    </row>
    <row r="2515" spans="30:120">
      <c r="AD2515" s="1138"/>
      <c r="AP2515" s="347">
        <v>120.01</v>
      </c>
      <c r="AQ2515" s="347" t="s">
        <v>365</v>
      </c>
      <c r="BF2515" s="347">
        <v>668</v>
      </c>
      <c r="BG2515" s="347" t="s">
        <v>309</v>
      </c>
      <c r="BH2515" s="1790"/>
      <c r="BN2515" s="237">
        <v>27.09</v>
      </c>
      <c r="BO2515" s="237" t="s">
        <v>352</v>
      </c>
      <c r="BT2515" s="347">
        <v>120.04</v>
      </c>
      <c r="BU2515" s="347" t="s">
        <v>365</v>
      </c>
      <c r="CD2515" s="237">
        <v>141.26</v>
      </c>
      <c r="CE2515" s="237" t="s">
        <v>365</v>
      </c>
      <c r="CJ2515" s="347">
        <v>666</v>
      </c>
      <c r="CK2515" s="347" t="s">
        <v>309</v>
      </c>
      <c r="CL2515" s="1789"/>
      <c r="CR2515" s="345"/>
      <c r="CS2515" s="345"/>
      <c r="CX2515" s="347"/>
      <c r="CY2515" s="347"/>
      <c r="DH2515" s="237"/>
      <c r="DI2515" s="237"/>
      <c r="DN2515" s="347"/>
      <c r="DO2515" s="347"/>
      <c r="DP2515" s="2505"/>
    </row>
    <row r="2516" spans="30:120">
      <c r="AD2516" s="1138"/>
      <c r="AP2516" s="347">
        <v>120.03</v>
      </c>
      <c r="AQ2516" s="347" t="s">
        <v>365</v>
      </c>
      <c r="BF2516" s="347">
        <v>669</v>
      </c>
      <c r="BG2516" s="347" t="s">
        <v>309</v>
      </c>
      <c r="BH2516" s="1790"/>
      <c r="BN2516" s="237">
        <v>27.1</v>
      </c>
      <c r="BO2516" s="237" t="s">
        <v>352</v>
      </c>
      <c r="BT2516" s="347">
        <v>121.13</v>
      </c>
      <c r="BU2516" s="347" t="s">
        <v>365</v>
      </c>
      <c r="CD2516" s="237">
        <v>141.27000000000001</v>
      </c>
      <c r="CE2516" s="237" t="s">
        <v>365</v>
      </c>
      <c r="CJ2516" s="347">
        <v>667</v>
      </c>
      <c r="CK2516" s="347" t="s">
        <v>309</v>
      </c>
      <c r="CL2516" s="1789"/>
      <c r="CR2516" s="345"/>
      <c r="CS2516" s="345"/>
      <c r="CX2516" s="347"/>
      <c r="CY2516" s="347"/>
      <c r="DH2516" s="237"/>
      <c r="DI2516" s="237"/>
      <c r="DN2516" s="347"/>
      <c r="DO2516" s="347"/>
      <c r="DP2516" s="2505"/>
    </row>
    <row r="2517" spans="30:120">
      <c r="AD2517" s="1138"/>
      <c r="AP2517" s="347">
        <v>120.04</v>
      </c>
      <c r="AQ2517" s="347" t="s">
        <v>365</v>
      </c>
      <c r="BF2517" s="347">
        <v>671</v>
      </c>
      <c r="BG2517" s="347" t="s">
        <v>309</v>
      </c>
      <c r="BH2517" s="1790"/>
      <c r="BN2517" s="237">
        <v>28</v>
      </c>
      <c r="BO2517" s="237" t="s">
        <v>352</v>
      </c>
      <c r="BT2517" s="347">
        <v>121.25</v>
      </c>
      <c r="BU2517" s="347" t="s">
        <v>365</v>
      </c>
      <c r="CD2517" s="237">
        <v>141.28</v>
      </c>
      <c r="CE2517" s="237" t="s">
        <v>365</v>
      </c>
      <c r="CJ2517" s="347">
        <v>668</v>
      </c>
      <c r="CK2517" s="347" t="s">
        <v>309</v>
      </c>
      <c r="CL2517" s="1789"/>
      <c r="CR2517" s="345"/>
      <c r="CS2517" s="345"/>
      <c r="CX2517" s="347"/>
      <c r="CY2517" s="347"/>
      <c r="DH2517" s="237"/>
      <c r="DI2517" s="237"/>
      <c r="DN2517" s="347"/>
      <c r="DO2517" s="347"/>
      <c r="DP2517" s="2505"/>
    </row>
    <row r="2518" spans="30:120">
      <c r="AD2518" s="1138"/>
      <c r="AP2518" s="347">
        <v>121.13</v>
      </c>
      <c r="AQ2518" s="347" t="s">
        <v>365</v>
      </c>
      <c r="BF2518" s="347">
        <v>681.01</v>
      </c>
      <c r="BG2518" s="347" t="s">
        <v>309</v>
      </c>
      <c r="BH2518" s="1790"/>
      <c r="BN2518" s="237">
        <v>29</v>
      </c>
      <c r="BO2518" s="237" t="s">
        <v>352</v>
      </c>
      <c r="BT2518" s="347">
        <v>121.26</v>
      </c>
      <c r="BU2518" s="347" t="s">
        <v>365</v>
      </c>
      <c r="CD2518" s="237">
        <v>141.29</v>
      </c>
      <c r="CE2518" s="237" t="s">
        <v>365</v>
      </c>
      <c r="CJ2518" s="347">
        <v>669</v>
      </c>
      <c r="CK2518" s="347" t="s">
        <v>309</v>
      </c>
      <c r="CL2518" s="1789"/>
      <c r="CR2518" s="345"/>
      <c r="CS2518" s="345"/>
      <c r="CX2518" s="347"/>
      <c r="CY2518" s="347"/>
      <c r="DH2518" s="237"/>
      <c r="DI2518" s="237"/>
      <c r="DN2518" s="347"/>
      <c r="DO2518" s="347"/>
      <c r="DP2518" s="2505"/>
    </row>
    <row r="2519" spans="30:120">
      <c r="AD2519" s="1138"/>
      <c r="AP2519" s="347">
        <v>121.26</v>
      </c>
      <c r="AQ2519" s="347" t="s">
        <v>365</v>
      </c>
      <c r="BF2519" s="347">
        <v>681.02</v>
      </c>
      <c r="BG2519" s="347" t="s">
        <v>309</v>
      </c>
      <c r="BH2519" s="1790"/>
      <c r="BN2519" s="237">
        <v>30.01</v>
      </c>
      <c r="BO2519" s="237" t="s">
        <v>352</v>
      </c>
      <c r="BT2519" s="347">
        <v>121.27</v>
      </c>
      <c r="BU2519" s="347" t="s">
        <v>365</v>
      </c>
      <c r="CD2519" s="237">
        <v>141.30000000000001</v>
      </c>
      <c r="CE2519" s="237" t="s">
        <v>365</v>
      </c>
      <c r="CJ2519" s="347">
        <v>671</v>
      </c>
      <c r="CK2519" s="347" t="s">
        <v>309</v>
      </c>
      <c r="CL2519" s="1789"/>
      <c r="CR2519" s="345"/>
      <c r="CS2519" s="345"/>
      <c r="CX2519" s="347"/>
      <c r="CY2519" s="347"/>
      <c r="DH2519" s="237"/>
      <c r="DI2519" s="237"/>
      <c r="DN2519" s="347"/>
      <c r="DO2519" s="347"/>
      <c r="DP2519" s="2505"/>
    </row>
    <row r="2520" spans="30:120">
      <c r="AD2520" s="1138"/>
      <c r="AP2520" s="347">
        <v>121.27</v>
      </c>
      <c r="AQ2520" s="347" t="s">
        <v>365</v>
      </c>
      <c r="BF2520" s="347">
        <v>684</v>
      </c>
      <c r="BG2520" s="347" t="s">
        <v>309</v>
      </c>
      <c r="BH2520" s="1790"/>
      <c r="BN2520" s="237">
        <v>30.04</v>
      </c>
      <c r="BO2520" s="237" t="s">
        <v>352</v>
      </c>
      <c r="BT2520" s="347">
        <v>121.3</v>
      </c>
      <c r="BU2520" s="347" t="s">
        <v>365</v>
      </c>
      <c r="CD2520" s="237">
        <v>141.31</v>
      </c>
      <c r="CE2520" s="237" t="s">
        <v>365</v>
      </c>
      <c r="CJ2520" s="347">
        <v>681.01</v>
      </c>
      <c r="CK2520" s="347" t="s">
        <v>309</v>
      </c>
      <c r="CL2520" s="1789"/>
      <c r="CR2520" s="345"/>
      <c r="CS2520" s="345"/>
      <c r="CX2520" s="347"/>
      <c r="CY2520" s="347"/>
      <c r="DH2520" s="237"/>
      <c r="DI2520" s="237"/>
      <c r="DN2520" s="347"/>
      <c r="DO2520" s="347"/>
      <c r="DP2520" s="2505"/>
    </row>
    <row r="2521" spans="30:120">
      <c r="AD2521" s="1138"/>
      <c r="AP2521" s="347">
        <v>121.3</v>
      </c>
      <c r="AQ2521" s="347" t="s">
        <v>365</v>
      </c>
      <c r="BF2521" s="347">
        <v>685.01</v>
      </c>
      <c r="BG2521" s="347" t="s">
        <v>309</v>
      </c>
      <c r="BH2521" s="1790"/>
      <c r="BN2521" s="237">
        <v>30.05</v>
      </c>
      <c r="BO2521" s="237" t="s">
        <v>352</v>
      </c>
      <c r="BT2521" s="347">
        <v>121.32</v>
      </c>
      <c r="BU2521" s="347" t="s">
        <v>365</v>
      </c>
      <c r="CD2521" s="237">
        <v>142</v>
      </c>
      <c r="CE2521" s="237" t="s">
        <v>337</v>
      </c>
      <c r="CJ2521" s="347">
        <v>681.02</v>
      </c>
      <c r="CK2521" s="347" t="s">
        <v>309</v>
      </c>
      <c r="CL2521" s="1789"/>
      <c r="CR2521" s="345"/>
      <c r="CS2521" s="345"/>
      <c r="CX2521" s="347"/>
      <c r="CY2521" s="347"/>
      <c r="DH2521" s="237"/>
      <c r="DI2521" s="237"/>
      <c r="DN2521" s="347"/>
      <c r="DO2521" s="347"/>
      <c r="DP2521" s="2505"/>
    </row>
    <row r="2522" spans="30:120">
      <c r="AD2522" s="1138"/>
      <c r="AP2522" s="347">
        <v>121.31</v>
      </c>
      <c r="AQ2522" s="347" t="s">
        <v>365</v>
      </c>
      <c r="BF2522" s="347">
        <v>685.02</v>
      </c>
      <c r="BG2522" s="347" t="s">
        <v>309</v>
      </c>
      <c r="BH2522" s="1790"/>
      <c r="BN2522" s="237">
        <v>30.06</v>
      </c>
      <c r="BO2522" s="237" t="s">
        <v>352</v>
      </c>
      <c r="BT2522" s="347">
        <v>121.33</v>
      </c>
      <c r="BU2522" s="347" t="s">
        <v>365</v>
      </c>
      <c r="CD2522" s="237">
        <v>142</v>
      </c>
      <c r="CE2522" s="237" t="s">
        <v>352</v>
      </c>
      <c r="CJ2522" s="347">
        <v>684</v>
      </c>
      <c r="CK2522" s="347" t="s">
        <v>309</v>
      </c>
      <c r="CL2522" s="1789"/>
      <c r="CR2522" s="345"/>
      <c r="CS2522" s="345"/>
      <c r="CX2522" s="347"/>
      <c r="CY2522" s="347"/>
      <c r="DH2522" s="237"/>
      <c r="DI2522" s="237"/>
      <c r="DN2522" s="347"/>
      <c r="DO2522" s="347"/>
      <c r="DP2522" s="2505"/>
    </row>
    <row r="2523" spans="30:120">
      <c r="AD2523" s="1138"/>
      <c r="AP2523" s="347">
        <v>121.32</v>
      </c>
      <c r="AQ2523" s="347" t="s">
        <v>365</v>
      </c>
      <c r="BF2523" s="347">
        <v>686.01</v>
      </c>
      <c r="BG2523" s="347" t="s">
        <v>309</v>
      </c>
      <c r="BH2523" s="1790"/>
      <c r="BN2523" s="237">
        <v>31</v>
      </c>
      <c r="BO2523" s="237" t="s">
        <v>352</v>
      </c>
      <c r="BT2523" s="347">
        <v>122.08</v>
      </c>
      <c r="BU2523" s="347" t="s">
        <v>365</v>
      </c>
      <c r="CD2523" s="237">
        <v>142.01</v>
      </c>
      <c r="CE2523" s="237" t="s">
        <v>359</v>
      </c>
      <c r="CJ2523" s="347">
        <v>685.01</v>
      </c>
      <c r="CK2523" s="347" t="s">
        <v>309</v>
      </c>
      <c r="CL2523" s="1789"/>
      <c r="CR2523" s="345"/>
      <c r="CS2523" s="345"/>
      <c r="CX2523" s="347"/>
      <c r="CY2523" s="347"/>
      <c r="DH2523" s="237"/>
      <c r="DI2523" s="237"/>
      <c r="DN2523" s="347"/>
      <c r="DO2523" s="347"/>
      <c r="DP2523" s="2505"/>
    </row>
    <row r="2524" spans="30:120">
      <c r="AD2524" s="1138"/>
      <c r="AP2524" s="347">
        <v>121.33</v>
      </c>
      <c r="AQ2524" s="347" t="s">
        <v>365</v>
      </c>
      <c r="BF2524" s="347">
        <v>686.04</v>
      </c>
      <c r="BG2524" s="347" t="s">
        <v>309</v>
      </c>
      <c r="BH2524" s="1790"/>
      <c r="BN2524" s="237">
        <v>34</v>
      </c>
      <c r="BO2524" s="237" t="s">
        <v>352</v>
      </c>
      <c r="BT2524" s="347">
        <v>122.09</v>
      </c>
      <c r="BU2524" s="347" t="s">
        <v>365</v>
      </c>
      <c r="CD2524" s="237">
        <v>142.01</v>
      </c>
      <c r="CE2524" s="237" t="s">
        <v>365</v>
      </c>
      <c r="CJ2524" s="347">
        <v>685.02</v>
      </c>
      <c r="CK2524" s="347" t="s">
        <v>309</v>
      </c>
      <c r="CL2524" s="1789"/>
      <c r="CR2524" s="345"/>
      <c r="CS2524" s="345"/>
      <c r="CX2524" s="347"/>
      <c r="CY2524" s="347"/>
      <c r="DH2524" s="237"/>
      <c r="DI2524" s="237"/>
      <c r="DN2524" s="347"/>
      <c r="DO2524" s="347"/>
      <c r="DP2524" s="2505"/>
    </row>
    <row r="2525" spans="30:120">
      <c r="AD2525" s="1138"/>
      <c r="AP2525" s="347">
        <v>122.08</v>
      </c>
      <c r="AQ2525" s="347" t="s">
        <v>365</v>
      </c>
      <c r="BF2525" s="347">
        <v>691</v>
      </c>
      <c r="BG2525" s="347" t="s">
        <v>309</v>
      </c>
      <c r="BH2525" s="1790"/>
      <c r="BN2525" s="237">
        <v>36.03</v>
      </c>
      <c r="BO2525" s="237" t="s">
        <v>352</v>
      </c>
      <c r="BT2525" s="347">
        <v>123.04</v>
      </c>
      <c r="BU2525" s="347" t="s">
        <v>365</v>
      </c>
      <c r="CD2525" s="237">
        <v>142.02000000000001</v>
      </c>
      <c r="CE2525" s="237" t="s">
        <v>359</v>
      </c>
      <c r="CJ2525" s="347">
        <v>686.01</v>
      </c>
      <c r="CK2525" s="347" t="s">
        <v>309</v>
      </c>
      <c r="CL2525" s="1789"/>
      <c r="CR2525" s="345"/>
      <c r="CS2525" s="345"/>
      <c r="CX2525" s="347"/>
      <c r="CY2525" s="347"/>
      <c r="DH2525" s="237"/>
      <c r="DI2525" s="237"/>
      <c r="DN2525" s="347"/>
      <c r="DO2525" s="347"/>
      <c r="DP2525" s="2505"/>
    </row>
    <row r="2526" spans="30:120">
      <c r="AD2526" s="1138"/>
      <c r="AP2526" s="347">
        <v>122.09</v>
      </c>
      <c r="AQ2526" s="347" t="s">
        <v>365</v>
      </c>
      <c r="BF2526" s="347">
        <v>692</v>
      </c>
      <c r="BG2526" s="347" t="s">
        <v>309</v>
      </c>
      <c r="BH2526" s="1790"/>
      <c r="BN2526" s="237">
        <v>36.04</v>
      </c>
      <c r="BO2526" s="237" t="s">
        <v>352</v>
      </c>
      <c r="BT2526" s="347">
        <v>123.07</v>
      </c>
      <c r="BU2526" s="347" t="s">
        <v>365</v>
      </c>
      <c r="CD2526" s="237">
        <v>142.02000000000001</v>
      </c>
      <c r="CE2526" s="237" t="s">
        <v>365</v>
      </c>
      <c r="CJ2526" s="347">
        <v>686.04</v>
      </c>
      <c r="CK2526" s="347" t="s">
        <v>309</v>
      </c>
      <c r="CL2526" s="1789"/>
      <c r="CR2526" s="345"/>
      <c r="CS2526" s="345"/>
      <c r="CX2526" s="347"/>
      <c r="CY2526" s="347"/>
      <c r="DH2526" s="237"/>
      <c r="DI2526" s="237"/>
      <c r="DN2526" s="347"/>
      <c r="DO2526" s="347"/>
      <c r="DP2526" s="2505"/>
    </row>
    <row r="2527" spans="30:120">
      <c r="AD2527" s="1138"/>
      <c r="AP2527" s="347">
        <v>123.03</v>
      </c>
      <c r="AQ2527" s="347" t="s">
        <v>365</v>
      </c>
      <c r="BF2527" s="347">
        <v>693</v>
      </c>
      <c r="BG2527" s="347" t="s">
        <v>309</v>
      </c>
      <c r="BH2527" s="1790"/>
      <c r="BN2527" s="237">
        <v>36.049999999999997</v>
      </c>
      <c r="BO2527" s="237" t="s">
        <v>352</v>
      </c>
      <c r="BT2527" s="347">
        <v>124.05</v>
      </c>
      <c r="BU2527" s="347" t="s">
        <v>365</v>
      </c>
      <c r="CD2527" s="237">
        <v>142.03</v>
      </c>
      <c r="CE2527" s="237" t="s">
        <v>323</v>
      </c>
      <c r="CJ2527" s="347">
        <v>691</v>
      </c>
      <c r="CK2527" s="347" t="s">
        <v>309</v>
      </c>
      <c r="CL2527" s="1789"/>
      <c r="CR2527" s="345"/>
      <c r="CS2527" s="345"/>
      <c r="CX2527" s="347"/>
      <c r="CY2527" s="347"/>
      <c r="DH2527" s="237"/>
      <c r="DI2527" s="237"/>
      <c r="DN2527" s="347"/>
      <c r="DO2527" s="347"/>
      <c r="DP2527" s="2505"/>
    </row>
    <row r="2528" spans="30:120">
      <c r="AD2528" s="1138"/>
      <c r="AP2528" s="347">
        <v>123.04</v>
      </c>
      <c r="AQ2528" s="347" t="s">
        <v>365</v>
      </c>
      <c r="BF2528" s="347">
        <v>694</v>
      </c>
      <c r="BG2528" s="347" t="s">
        <v>309</v>
      </c>
      <c r="BH2528" s="1790"/>
      <c r="BN2528" s="237">
        <v>36.06</v>
      </c>
      <c r="BO2528" s="237" t="s">
        <v>352</v>
      </c>
      <c r="BT2528" s="347">
        <v>124.07</v>
      </c>
      <c r="BU2528" s="347" t="s">
        <v>365</v>
      </c>
      <c r="CD2528" s="237">
        <v>142.03</v>
      </c>
      <c r="CE2528" s="237" t="s">
        <v>365</v>
      </c>
      <c r="CJ2528" s="347">
        <v>694</v>
      </c>
      <c r="CK2528" s="347" t="s">
        <v>309</v>
      </c>
      <c r="CL2528" s="1789"/>
      <c r="CR2528" s="345"/>
      <c r="CS2528" s="345"/>
      <c r="CX2528" s="347"/>
      <c r="CY2528" s="347"/>
      <c r="DH2528" s="237"/>
      <c r="DI2528" s="237"/>
      <c r="DN2528" s="347"/>
      <c r="DO2528" s="347"/>
      <c r="DP2528" s="2505"/>
    </row>
    <row r="2529" spans="30:120">
      <c r="AD2529" s="1138"/>
      <c r="AP2529" s="347">
        <v>123.07</v>
      </c>
      <c r="AQ2529" s="347" t="s">
        <v>365</v>
      </c>
      <c r="BF2529" s="347">
        <v>698.01</v>
      </c>
      <c r="BG2529" s="347" t="s">
        <v>309</v>
      </c>
      <c r="BH2529" s="1790"/>
      <c r="BN2529" s="237">
        <v>36.07</v>
      </c>
      <c r="BO2529" s="237" t="s">
        <v>352</v>
      </c>
      <c r="BT2529" s="347">
        <v>124.08</v>
      </c>
      <c r="BU2529" s="347" t="s">
        <v>365</v>
      </c>
      <c r="CD2529" s="237">
        <v>142.04</v>
      </c>
      <c r="CE2529" s="237" t="s">
        <v>323</v>
      </c>
      <c r="CJ2529" s="347">
        <v>697</v>
      </c>
      <c r="CK2529" s="347" t="s">
        <v>309</v>
      </c>
      <c r="CL2529" s="1789"/>
      <c r="CR2529" s="345"/>
      <c r="CS2529" s="345"/>
      <c r="CX2529" s="347"/>
      <c r="CY2529" s="347"/>
      <c r="DH2529" s="237"/>
      <c r="DI2529" s="237"/>
      <c r="DN2529" s="347"/>
      <c r="DO2529" s="347"/>
      <c r="DP2529" s="2505"/>
    </row>
    <row r="2530" spans="30:120">
      <c r="AD2530" s="1138"/>
      <c r="AP2530" s="347">
        <v>124.05</v>
      </c>
      <c r="AQ2530" s="347" t="s">
        <v>365</v>
      </c>
      <c r="BF2530" s="347">
        <v>698.02</v>
      </c>
      <c r="BG2530" s="347" t="s">
        <v>309</v>
      </c>
      <c r="BH2530" s="1790"/>
      <c r="BN2530" s="237">
        <v>37.03</v>
      </c>
      <c r="BO2530" s="237" t="s">
        <v>352</v>
      </c>
      <c r="BT2530" s="347">
        <v>124.09</v>
      </c>
      <c r="BU2530" s="347" t="s">
        <v>365</v>
      </c>
      <c r="CD2530" s="237">
        <v>142.05000000000001</v>
      </c>
      <c r="CE2530" s="237" t="s">
        <v>323</v>
      </c>
      <c r="CJ2530" s="347">
        <v>698.01</v>
      </c>
      <c r="CK2530" s="347" t="s">
        <v>309</v>
      </c>
      <c r="CL2530" s="1789"/>
      <c r="CR2530" s="345"/>
      <c r="CS2530" s="345"/>
      <c r="CX2530" s="347"/>
      <c r="CY2530" s="347"/>
      <c r="DH2530" s="237"/>
      <c r="DI2530" s="237"/>
      <c r="DN2530" s="347"/>
      <c r="DO2530" s="347"/>
      <c r="DP2530" s="2505"/>
    </row>
    <row r="2531" spans="30:120">
      <c r="AD2531" s="1138"/>
      <c r="AP2531" s="347">
        <v>124.07</v>
      </c>
      <c r="AQ2531" s="347" t="s">
        <v>365</v>
      </c>
      <c r="BF2531" s="347">
        <v>699.04</v>
      </c>
      <c r="BG2531" s="347" t="s">
        <v>309</v>
      </c>
      <c r="BH2531" s="1790"/>
      <c r="BN2531" s="237">
        <v>37.04</v>
      </c>
      <c r="BO2531" s="237" t="s">
        <v>352</v>
      </c>
      <c r="BT2531" s="347">
        <v>124.1</v>
      </c>
      <c r="BU2531" s="347" t="s">
        <v>365</v>
      </c>
      <c r="CD2531" s="237">
        <v>142.06</v>
      </c>
      <c r="CE2531" s="237" t="s">
        <v>323</v>
      </c>
      <c r="CJ2531" s="347">
        <v>698.02</v>
      </c>
      <c r="CK2531" s="347" t="s">
        <v>309</v>
      </c>
      <c r="CL2531" s="1789"/>
      <c r="CR2531" s="345"/>
      <c r="CS2531" s="345"/>
      <c r="CX2531" s="347"/>
      <c r="CY2531" s="347"/>
      <c r="DH2531" s="237"/>
      <c r="DI2531" s="237"/>
      <c r="DN2531" s="347"/>
      <c r="DO2531" s="347"/>
      <c r="DP2531" s="2505"/>
    </row>
    <row r="2532" spans="30:120">
      <c r="AD2532" s="1138"/>
      <c r="AP2532" s="347">
        <v>124.08</v>
      </c>
      <c r="AQ2532" s="347" t="s">
        <v>365</v>
      </c>
      <c r="BF2532" s="347">
        <v>699.07</v>
      </c>
      <c r="BG2532" s="347" t="s">
        <v>309</v>
      </c>
      <c r="BH2532" s="1790"/>
      <c r="BN2532" s="237">
        <v>37.049999999999997</v>
      </c>
      <c r="BO2532" s="237" t="s">
        <v>352</v>
      </c>
      <c r="BT2532" s="347">
        <v>124.11</v>
      </c>
      <c r="BU2532" s="347" t="s">
        <v>365</v>
      </c>
      <c r="CD2532" s="237">
        <v>143</v>
      </c>
      <c r="CE2532" s="237" t="s">
        <v>337</v>
      </c>
      <c r="CJ2532" s="347">
        <v>699.03</v>
      </c>
      <c r="CK2532" s="347" t="s">
        <v>309</v>
      </c>
      <c r="CL2532" s="1789"/>
      <c r="CR2532" s="345"/>
      <c r="CS2532" s="345"/>
      <c r="CX2532" s="347"/>
      <c r="CY2532" s="347"/>
      <c r="DH2532" s="237"/>
      <c r="DI2532" s="237"/>
      <c r="DN2532" s="347"/>
      <c r="DO2532" s="347"/>
      <c r="DP2532" s="2505"/>
    </row>
    <row r="2533" spans="30:120">
      <c r="AD2533" s="1138"/>
      <c r="AP2533" s="347">
        <v>124.09</v>
      </c>
      <c r="AQ2533" s="347" t="s">
        <v>365</v>
      </c>
      <c r="BF2533" s="347">
        <v>701.01</v>
      </c>
      <c r="BG2533" s="347" t="s">
        <v>344</v>
      </c>
      <c r="BH2533" s="1790"/>
      <c r="BN2533" s="237">
        <v>37.06</v>
      </c>
      <c r="BO2533" s="237" t="s">
        <v>352</v>
      </c>
      <c r="BT2533" s="347">
        <v>124.12</v>
      </c>
      <c r="BU2533" s="347" t="s">
        <v>365</v>
      </c>
      <c r="CD2533" s="237">
        <v>143</v>
      </c>
      <c r="CE2533" s="237" t="s">
        <v>352</v>
      </c>
      <c r="CJ2533" s="347">
        <v>699.04</v>
      </c>
      <c r="CK2533" s="347" t="s">
        <v>309</v>
      </c>
      <c r="CL2533" s="1789"/>
      <c r="CR2533" s="345"/>
      <c r="CS2533" s="345"/>
      <c r="CX2533" s="347"/>
      <c r="CY2533" s="347"/>
      <c r="DH2533" s="237"/>
      <c r="DI2533" s="237"/>
      <c r="DN2533" s="347"/>
      <c r="DO2533" s="347"/>
      <c r="DP2533" s="2505"/>
    </row>
    <row r="2534" spans="30:120">
      <c r="AD2534" s="1138"/>
      <c r="AP2534" s="347">
        <v>124.1</v>
      </c>
      <c r="AQ2534" s="347" t="s">
        <v>365</v>
      </c>
      <c r="BF2534" s="347">
        <v>701.02</v>
      </c>
      <c r="BG2534" s="347" t="s">
        <v>310</v>
      </c>
      <c r="BH2534" s="1790"/>
      <c r="BN2534" s="237">
        <v>37.07</v>
      </c>
      <c r="BO2534" s="237" t="s">
        <v>352</v>
      </c>
      <c r="BT2534" s="347">
        <v>124.13</v>
      </c>
      <c r="BU2534" s="347" t="s">
        <v>365</v>
      </c>
      <c r="CD2534" s="237">
        <v>143.01</v>
      </c>
      <c r="CE2534" s="237" t="s">
        <v>359</v>
      </c>
      <c r="CJ2534" s="347">
        <v>699.07</v>
      </c>
      <c r="CK2534" s="347" t="s">
        <v>309</v>
      </c>
      <c r="CL2534" s="1789"/>
      <c r="CR2534" s="345"/>
      <c r="CS2534" s="345"/>
      <c r="CX2534" s="347"/>
      <c r="CY2534" s="347"/>
      <c r="DH2534" s="237"/>
      <c r="DI2534" s="237"/>
      <c r="DN2534" s="347"/>
      <c r="DO2534" s="347"/>
      <c r="DP2534" s="2505"/>
    </row>
    <row r="2535" spans="30:120">
      <c r="AD2535" s="1138"/>
      <c r="AP2535" s="347">
        <v>124.11</v>
      </c>
      <c r="AQ2535" s="347" t="s">
        <v>365</v>
      </c>
      <c r="BF2535" s="347">
        <v>701.02</v>
      </c>
      <c r="BG2535" s="347" t="s">
        <v>344</v>
      </c>
      <c r="BH2535" s="1790"/>
      <c r="BN2535" s="237">
        <v>37.08</v>
      </c>
      <c r="BO2535" s="237" t="s">
        <v>352</v>
      </c>
      <c r="BT2535" s="347">
        <v>124.14</v>
      </c>
      <c r="BU2535" s="347" t="s">
        <v>365</v>
      </c>
      <c r="CD2535" s="237">
        <v>143.01</v>
      </c>
      <c r="CE2535" s="237" t="s">
        <v>365</v>
      </c>
      <c r="CJ2535" s="347">
        <v>701.02</v>
      </c>
      <c r="CK2535" s="347" t="s">
        <v>310</v>
      </c>
      <c r="CL2535" s="1789"/>
      <c r="CR2535" s="345"/>
      <c r="CS2535" s="345"/>
      <c r="CX2535" s="347"/>
      <c r="CY2535" s="347"/>
      <c r="DH2535" s="237"/>
      <c r="DI2535" s="237"/>
      <c r="DN2535" s="347"/>
      <c r="DO2535" s="347"/>
      <c r="DP2535" s="2505"/>
    </row>
    <row r="2536" spans="30:120">
      <c r="AD2536" s="1138"/>
      <c r="AP2536" s="347">
        <v>124.12</v>
      </c>
      <c r="AQ2536" s="347" t="s">
        <v>365</v>
      </c>
      <c r="BF2536" s="347">
        <v>701.03</v>
      </c>
      <c r="BG2536" s="347" t="s">
        <v>310</v>
      </c>
      <c r="BH2536" s="1790"/>
      <c r="BN2536" s="237">
        <v>37.090000000000003</v>
      </c>
      <c r="BO2536" s="237" t="s">
        <v>352</v>
      </c>
      <c r="BT2536" s="347">
        <v>124.15</v>
      </c>
      <c r="BU2536" s="347" t="s">
        <v>365</v>
      </c>
      <c r="CD2536" s="237">
        <v>143.02000000000001</v>
      </c>
      <c r="CE2536" s="237" t="s">
        <v>359</v>
      </c>
      <c r="CJ2536" s="347">
        <v>701.02</v>
      </c>
      <c r="CK2536" s="347" t="s">
        <v>344</v>
      </c>
      <c r="CL2536" s="1789"/>
      <c r="CR2536" s="345"/>
      <c r="CS2536" s="345"/>
      <c r="CX2536" s="347"/>
      <c r="CY2536" s="347"/>
      <c r="DH2536" s="237"/>
      <c r="DI2536" s="237"/>
      <c r="DN2536" s="347"/>
      <c r="DO2536" s="347"/>
      <c r="DP2536" s="2505"/>
    </row>
    <row r="2537" spans="30:120">
      <c r="AD2537" s="1138"/>
      <c r="AP2537" s="347">
        <v>124.13</v>
      </c>
      <c r="AQ2537" s="347" t="s">
        <v>365</v>
      </c>
      <c r="BF2537" s="347">
        <v>702.05</v>
      </c>
      <c r="BG2537" s="347" t="s">
        <v>310</v>
      </c>
      <c r="BH2537" s="1790"/>
      <c r="BN2537" s="237">
        <v>37.1</v>
      </c>
      <c r="BO2537" s="237" t="s">
        <v>352</v>
      </c>
      <c r="BT2537" s="347">
        <v>125.02</v>
      </c>
      <c r="BU2537" s="347" t="s">
        <v>365</v>
      </c>
      <c r="CD2537" s="237">
        <v>143.03</v>
      </c>
      <c r="CE2537" s="237" t="s">
        <v>365</v>
      </c>
      <c r="CJ2537" s="347">
        <v>701.03</v>
      </c>
      <c r="CK2537" s="347" t="s">
        <v>310</v>
      </c>
      <c r="CL2537" s="1789"/>
      <c r="CR2537" s="345"/>
      <c r="CS2537" s="345"/>
      <c r="CX2537" s="347"/>
      <c r="CY2537" s="347"/>
      <c r="DH2537" s="237"/>
      <c r="DI2537" s="237"/>
      <c r="DN2537" s="347"/>
      <c r="DO2537" s="347"/>
      <c r="DP2537" s="2505"/>
    </row>
    <row r="2538" spans="30:120">
      <c r="AD2538" s="1138"/>
      <c r="AP2538" s="347">
        <v>124.14</v>
      </c>
      <c r="AQ2538" s="347" t="s">
        <v>365</v>
      </c>
      <c r="BF2538" s="347">
        <v>702.08</v>
      </c>
      <c r="BG2538" s="347" t="s">
        <v>310</v>
      </c>
      <c r="BH2538" s="1790"/>
      <c r="BN2538" s="237">
        <v>38.01</v>
      </c>
      <c r="BO2538" s="237" t="s">
        <v>352</v>
      </c>
      <c r="BT2538" s="347">
        <v>125.06</v>
      </c>
      <c r="BU2538" s="347" t="s">
        <v>365</v>
      </c>
      <c r="CD2538" s="237">
        <v>143.04</v>
      </c>
      <c r="CE2538" s="237" t="s">
        <v>365</v>
      </c>
      <c r="CJ2538" s="347">
        <v>702.01</v>
      </c>
      <c r="CK2538" s="347" t="s">
        <v>344</v>
      </c>
      <c r="CL2538" s="1789"/>
      <c r="CR2538" s="345"/>
      <c r="CS2538" s="345"/>
      <c r="CX2538" s="347"/>
      <c r="CY2538" s="347"/>
      <c r="DH2538" s="237"/>
      <c r="DI2538" s="237"/>
      <c r="DN2538" s="347"/>
      <c r="DO2538" s="347"/>
      <c r="DP2538" s="2505"/>
    </row>
    <row r="2539" spans="30:120">
      <c r="AD2539" s="1138"/>
      <c r="AP2539" s="347">
        <v>124.15</v>
      </c>
      <c r="AQ2539" s="347" t="s">
        <v>365</v>
      </c>
      <c r="BF2539" s="347">
        <v>702.09</v>
      </c>
      <c r="BG2539" s="347" t="s">
        <v>310</v>
      </c>
      <c r="BH2539" s="1790"/>
      <c r="BN2539" s="237">
        <v>38.03</v>
      </c>
      <c r="BO2539" s="237" t="s">
        <v>352</v>
      </c>
      <c r="BT2539" s="347">
        <v>125.08</v>
      </c>
      <c r="BU2539" s="347" t="s">
        <v>365</v>
      </c>
      <c r="CD2539" s="237">
        <v>143.11000000000001</v>
      </c>
      <c r="CE2539" s="237" t="s">
        <v>323</v>
      </c>
      <c r="CJ2539" s="347">
        <v>702.05</v>
      </c>
      <c r="CK2539" s="347" t="s">
        <v>310</v>
      </c>
      <c r="CL2539" s="1789"/>
      <c r="CR2539" s="345"/>
      <c r="CS2539" s="345"/>
      <c r="CX2539" s="347"/>
      <c r="CY2539" s="347"/>
      <c r="DH2539" s="237"/>
      <c r="DI2539" s="237"/>
      <c r="DN2539" s="347"/>
      <c r="DO2539" s="347"/>
      <c r="DP2539" s="2505"/>
    </row>
    <row r="2540" spans="30:120">
      <c r="AD2540" s="1138"/>
      <c r="AP2540" s="347">
        <v>125.02</v>
      </c>
      <c r="AQ2540" s="347" t="s">
        <v>365</v>
      </c>
      <c r="BF2540" s="347">
        <v>702.1</v>
      </c>
      <c r="BG2540" s="347" t="s">
        <v>310</v>
      </c>
      <c r="BH2540" s="1790"/>
      <c r="BN2540" s="237">
        <v>38.04</v>
      </c>
      <c r="BO2540" s="237" t="s">
        <v>352</v>
      </c>
      <c r="BT2540" s="347">
        <v>125.09</v>
      </c>
      <c r="BU2540" s="347" t="s">
        <v>365</v>
      </c>
      <c r="CD2540" s="237">
        <v>143.12</v>
      </c>
      <c r="CE2540" s="237" t="s">
        <v>323</v>
      </c>
      <c r="CJ2540" s="347">
        <v>702.08</v>
      </c>
      <c r="CK2540" s="347" t="s">
        <v>310</v>
      </c>
      <c r="CL2540" s="1789"/>
      <c r="CR2540" s="345"/>
      <c r="CS2540" s="345"/>
      <c r="CX2540" s="347"/>
      <c r="CY2540" s="347"/>
      <c r="DH2540" s="237"/>
      <c r="DI2540" s="237"/>
      <c r="DN2540" s="347"/>
      <c r="DO2540" s="347"/>
      <c r="DP2540" s="2505"/>
    </row>
    <row r="2541" spans="30:120">
      <c r="AD2541" s="1138"/>
      <c r="AP2541" s="347">
        <v>125.06</v>
      </c>
      <c r="AQ2541" s="347" t="s">
        <v>365</v>
      </c>
      <c r="BF2541" s="347">
        <v>702.11</v>
      </c>
      <c r="BG2541" s="347" t="s">
        <v>310</v>
      </c>
      <c r="BH2541" s="1790"/>
      <c r="BN2541" s="237">
        <v>39.06</v>
      </c>
      <c r="BO2541" s="237" t="s">
        <v>352</v>
      </c>
      <c r="BT2541" s="347">
        <v>125.11</v>
      </c>
      <c r="BU2541" s="347" t="s">
        <v>365</v>
      </c>
      <c r="CD2541" s="237">
        <v>143.28</v>
      </c>
      <c r="CE2541" s="237" t="s">
        <v>323</v>
      </c>
      <c r="CJ2541" s="347">
        <v>702.09</v>
      </c>
      <c r="CK2541" s="347" t="s">
        <v>310</v>
      </c>
      <c r="CL2541" s="1789"/>
      <c r="CR2541" s="345"/>
      <c r="CS2541" s="345"/>
      <c r="CX2541" s="347"/>
      <c r="CY2541" s="347"/>
      <c r="DH2541" s="237"/>
      <c r="DI2541" s="237"/>
      <c r="DN2541" s="347"/>
      <c r="DO2541" s="347"/>
      <c r="DP2541" s="2505"/>
    </row>
    <row r="2542" spans="30:120">
      <c r="AD2542" s="1138"/>
      <c r="AP2542" s="347">
        <v>125.08</v>
      </c>
      <c r="AQ2542" s="347" t="s">
        <v>365</v>
      </c>
      <c r="BF2542" s="347">
        <v>702.12</v>
      </c>
      <c r="BG2542" s="347" t="s">
        <v>310</v>
      </c>
      <c r="BH2542" s="1790"/>
      <c r="BN2542" s="237">
        <v>39.090000000000003</v>
      </c>
      <c r="BO2542" s="237" t="s">
        <v>352</v>
      </c>
      <c r="BT2542" s="347">
        <v>125.12</v>
      </c>
      <c r="BU2542" s="347" t="s">
        <v>365</v>
      </c>
      <c r="CD2542" s="237">
        <v>143.29</v>
      </c>
      <c r="CE2542" s="237" t="s">
        <v>323</v>
      </c>
      <c r="CJ2542" s="347">
        <v>702.11</v>
      </c>
      <c r="CK2542" s="347" t="s">
        <v>310</v>
      </c>
      <c r="CL2542" s="1789"/>
      <c r="CR2542" s="345"/>
      <c r="CS2542" s="345"/>
      <c r="CX2542" s="347"/>
      <c r="CY2542" s="347"/>
      <c r="DH2542" s="237"/>
      <c r="DI2542" s="237"/>
      <c r="DN2542" s="347"/>
      <c r="DO2542" s="347"/>
      <c r="DP2542" s="2505"/>
    </row>
    <row r="2543" spans="30:120">
      <c r="AD2543" s="1138"/>
      <c r="AP2543" s="347">
        <v>125.09</v>
      </c>
      <c r="AQ2543" s="347" t="s">
        <v>365</v>
      </c>
      <c r="BF2543" s="347">
        <v>702.13</v>
      </c>
      <c r="BG2543" s="347" t="s">
        <v>310</v>
      </c>
      <c r="BH2543" s="1790"/>
      <c r="BN2543" s="237">
        <v>39.11</v>
      </c>
      <c r="BO2543" s="237" t="s">
        <v>352</v>
      </c>
      <c r="BT2543" s="347">
        <v>125.13</v>
      </c>
      <c r="BU2543" s="347" t="s">
        <v>365</v>
      </c>
      <c r="CD2543" s="237">
        <v>143.30000000000001</v>
      </c>
      <c r="CE2543" s="237" t="s">
        <v>323</v>
      </c>
      <c r="CJ2543" s="347">
        <v>702.12</v>
      </c>
      <c r="CK2543" s="347" t="s">
        <v>310</v>
      </c>
      <c r="CL2543" s="1789"/>
      <c r="CR2543" s="345"/>
      <c r="CS2543" s="345"/>
      <c r="CX2543" s="347"/>
      <c r="CY2543" s="347"/>
      <c r="DH2543" s="237"/>
      <c r="DI2543" s="237"/>
      <c r="DN2543" s="347"/>
      <c r="DO2543" s="347"/>
      <c r="DP2543" s="2505"/>
    </row>
    <row r="2544" spans="30:120">
      <c r="AD2544" s="1138"/>
      <c r="AP2544" s="347">
        <v>125.12</v>
      </c>
      <c r="AQ2544" s="347" t="s">
        <v>365</v>
      </c>
      <c r="BF2544" s="347">
        <v>703.04</v>
      </c>
      <c r="BG2544" s="347" t="s">
        <v>310</v>
      </c>
      <c r="BH2544" s="1790"/>
      <c r="BN2544" s="237">
        <v>39.119999999999997</v>
      </c>
      <c r="BO2544" s="237" t="s">
        <v>352</v>
      </c>
      <c r="BT2544" s="347">
        <v>125.14</v>
      </c>
      <c r="BU2544" s="347" t="s">
        <v>365</v>
      </c>
      <c r="CD2544" s="237">
        <v>143.31</v>
      </c>
      <c r="CE2544" s="237" t="s">
        <v>323</v>
      </c>
      <c r="CJ2544" s="347">
        <v>703.04</v>
      </c>
      <c r="CK2544" s="347" t="s">
        <v>310</v>
      </c>
      <c r="CL2544" s="1789"/>
      <c r="CR2544" s="345"/>
      <c r="CS2544" s="345"/>
      <c r="CX2544" s="347"/>
      <c r="CY2544" s="347"/>
      <c r="DH2544" s="237"/>
      <c r="DI2544" s="237"/>
      <c r="DN2544" s="347"/>
      <c r="DO2544" s="347"/>
      <c r="DP2544" s="2505"/>
    </row>
    <row r="2545" spans="30:120">
      <c r="AD2545" s="1138"/>
      <c r="AP2545" s="347">
        <v>125.13</v>
      </c>
      <c r="AQ2545" s="347" t="s">
        <v>365</v>
      </c>
      <c r="BF2545" s="347">
        <v>703.06</v>
      </c>
      <c r="BG2545" s="347" t="s">
        <v>310</v>
      </c>
      <c r="BH2545" s="1790"/>
      <c r="BN2545" s="237">
        <v>39.130000000000003</v>
      </c>
      <c r="BO2545" s="237" t="s">
        <v>352</v>
      </c>
      <c r="BT2545" s="347">
        <v>125.15</v>
      </c>
      <c r="BU2545" s="347" t="s">
        <v>365</v>
      </c>
      <c r="CD2545" s="237">
        <v>143.33000000000001</v>
      </c>
      <c r="CE2545" s="237" t="s">
        <v>323</v>
      </c>
      <c r="CJ2545" s="347">
        <v>703.06</v>
      </c>
      <c r="CK2545" s="347" t="s">
        <v>310</v>
      </c>
      <c r="CL2545" s="1789"/>
      <c r="CR2545" s="345"/>
      <c r="CS2545" s="345"/>
      <c r="CX2545" s="347"/>
      <c r="CY2545" s="347"/>
      <c r="DH2545" s="237"/>
      <c r="DI2545" s="237"/>
      <c r="DN2545" s="347"/>
      <c r="DO2545" s="347"/>
      <c r="DP2545" s="2505"/>
    </row>
    <row r="2546" spans="30:120">
      <c r="AD2546" s="1138"/>
      <c r="AP2546" s="347">
        <v>125.14</v>
      </c>
      <c r="AQ2546" s="347" t="s">
        <v>365</v>
      </c>
      <c r="BF2546" s="347">
        <v>703.1</v>
      </c>
      <c r="BG2546" s="347" t="s">
        <v>310</v>
      </c>
      <c r="BH2546" s="1790"/>
      <c r="BN2546" s="237">
        <v>39.14</v>
      </c>
      <c r="BO2546" s="237" t="s">
        <v>352</v>
      </c>
      <c r="BT2546" s="347">
        <v>126.01</v>
      </c>
      <c r="BU2546" s="347" t="s">
        <v>365</v>
      </c>
      <c r="CD2546" s="237">
        <v>143.34</v>
      </c>
      <c r="CE2546" s="237" t="s">
        <v>323</v>
      </c>
      <c r="CJ2546" s="347">
        <v>703.1</v>
      </c>
      <c r="CK2546" s="347" t="s">
        <v>310</v>
      </c>
      <c r="CL2546" s="1789"/>
      <c r="CR2546" s="345"/>
      <c r="CS2546" s="345"/>
      <c r="CX2546" s="347"/>
      <c r="CY2546" s="347"/>
      <c r="DH2546" s="237"/>
      <c r="DI2546" s="237"/>
      <c r="DN2546" s="347"/>
      <c r="DO2546" s="347"/>
      <c r="DP2546" s="2505"/>
    </row>
    <row r="2547" spans="30:120">
      <c r="AD2547" s="1138"/>
      <c r="AP2547" s="347">
        <v>125.15</v>
      </c>
      <c r="AQ2547" s="347" t="s">
        <v>365</v>
      </c>
      <c r="BF2547" s="347">
        <v>703.11</v>
      </c>
      <c r="BG2547" s="347" t="s">
        <v>310</v>
      </c>
      <c r="BH2547" s="1790"/>
      <c r="BN2547" s="237">
        <v>39.15</v>
      </c>
      <c r="BO2547" s="237" t="s">
        <v>352</v>
      </c>
      <c r="BT2547" s="347">
        <v>127.01</v>
      </c>
      <c r="BU2547" s="347" t="s">
        <v>365</v>
      </c>
      <c r="CD2547" s="237">
        <v>143.35</v>
      </c>
      <c r="CE2547" s="237" t="s">
        <v>323</v>
      </c>
      <c r="CJ2547" s="347">
        <v>703.11</v>
      </c>
      <c r="CK2547" s="347" t="s">
        <v>310</v>
      </c>
      <c r="CL2547" s="1789"/>
      <c r="CR2547" s="345"/>
      <c r="CS2547" s="345"/>
      <c r="CX2547" s="347"/>
      <c r="CY2547" s="347"/>
      <c r="DH2547" s="237"/>
      <c r="DI2547" s="237"/>
      <c r="DN2547" s="347"/>
      <c r="DO2547" s="347"/>
      <c r="DP2547" s="2505"/>
    </row>
    <row r="2548" spans="30:120">
      <c r="AD2548" s="1138"/>
      <c r="AP2548" s="347">
        <v>126.01</v>
      </c>
      <c r="AQ2548" s="347" t="s">
        <v>365</v>
      </c>
      <c r="BF2548" s="347">
        <v>703.12</v>
      </c>
      <c r="BG2548" s="347" t="s">
        <v>310</v>
      </c>
      <c r="BH2548" s="1790"/>
      <c r="BN2548" s="237">
        <v>39.159999999999997</v>
      </c>
      <c r="BO2548" s="237" t="s">
        <v>352</v>
      </c>
      <c r="BT2548" s="347">
        <v>128.02000000000001</v>
      </c>
      <c r="BU2548" s="347" t="s">
        <v>365</v>
      </c>
      <c r="CD2548" s="237">
        <v>143.36000000000001</v>
      </c>
      <c r="CE2548" s="237" t="s">
        <v>323</v>
      </c>
      <c r="CJ2548" s="347">
        <v>703.12</v>
      </c>
      <c r="CK2548" s="347" t="s">
        <v>310</v>
      </c>
      <c r="CL2548" s="1789"/>
      <c r="CR2548" s="345"/>
      <c r="CS2548" s="345"/>
      <c r="CX2548" s="347"/>
      <c r="CY2548" s="347"/>
      <c r="DH2548" s="237"/>
      <c r="DI2548" s="237"/>
      <c r="DN2548" s="347"/>
      <c r="DO2548" s="347"/>
      <c r="DP2548" s="2505"/>
    </row>
    <row r="2549" spans="30:120">
      <c r="AD2549" s="1138"/>
      <c r="AP2549" s="347">
        <v>127.01</v>
      </c>
      <c r="AQ2549" s="347" t="s">
        <v>365</v>
      </c>
      <c r="BF2549" s="347">
        <v>703.14</v>
      </c>
      <c r="BG2549" s="347" t="s">
        <v>310</v>
      </c>
      <c r="BH2549" s="1790"/>
      <c r="BN2549" s="237">
        <v>39.17</v>
      </c>
      <c r="BO2549" s="237" t="s">
        <v>352</v>
      </c>
      <c r="BT2549" s="347">
        <v>128.03</v>
      </c>
      <c r="BU2549" s="347" t="s">
        <v>365</v>
      </c>
      <c r="CD2549" s="237">
        <v>143.38</v>
      </c>
      <c r="CE2549" s="237" t="s">
        <v>323</v>
      </c>
      <c r="CJ2549" s="347">
        <v>703.14</v>
      </c>
      <c r="CK2549" s="347" t="s">
        <v>310</v>
      </c>
      <c r="CL2549" s="1789"/>
      <c r="CR2549" s="345"/>
      <c r="CS2549" s="345"/>
      <c r="CX2549" s="347"/>
      <c r="CY2549" s="347"/>
      <c r="DH2549" s="237"/>
      <c r="DI2549" s="237"/>
      <c r="DN2549" s="347"/>
      <c r="DO2549" s="347"/>
      <c r="DP2549" s="2505"/>
    </row>
    <row r="2550" spans="30:120">
      <c r="AD2550" s="1138"/>
      <c r="AP2550" s="347">
        <v>128.02000000000001</v>
      </c>
      <c r="AQ2550" s="347" t="s">
        <v>365</v>
      </c>
      <c r="BF2550" s="347">
        <v>703.15</v>
      </c>
      <c r="BG2550" s="347" t="s">
        <v>310</v>
      </c>
      <c r="BH2550" s="1790"/>
      <c r="BN2550" s="237">
        <v>39.18</v>
      </c>
      <c r="BO2550" s="237" t="s">
        <v>352</v>
      </c>
      <c r="BT2550" s="347">
        <v>128.04</v>
      </c>
      <c r="BU2550" s="347" t="s">
        <v>365</v>
      </c>
      <c r="CD2550" s="237">
        <v>143.38999999999999</v>
      </c>
      <c r="CE2550" s="237" t="s">
        <v>323</v>
      </c>
      <c r="CJ2550" s="347">
        <v>703.15</v>
      </c>
      <c r="CK2550" s="347" t="s">
        <v>310</v>
      </c>
      <c r="CL2550" s="1789"/>
      <c r="CR2550" s="345"/>
      <c r="CS2550" s="345"/>
      <c r="CX2550" s="347"/>
      <c r="CY2550" s="347"/>
      <c r="DH2550" s="237"/>
      <c r="DI2550" s="237"/>
      <c r="DN2550" s="347"/>
      <c r="DO2550" s="347"/>
      <c r="DP2550" s="2505"/>
    </row>
    <row r="2551" spans="30:120">
      <c r="AD2551" s="1138"/>
      <c r="AP2551" s="347">
        <v>128.03</v>
      </c>
      <c r="AQ2551" s="347" t="s">
        <v>365</v>
      </c>
      <c r="BF2551" s="347">
        <v>703.16</v>
      </c>
      <c r="BG2551" s="347" t="s">
        <v>310</v>
      </c>
      <c r="BH2551" s="1790"/>
      <c r="BN2551" s="237">
        <v>39.19</v>
      </c>
      <c r="BO2551" s="237" t="s">
        <v>352</v>
      </c>
      <c r="BT2551" s="347">
        <v>130.01</v>
      </c>
      <c r="BU2551" s="347" t="s">
        <v>365</v>
      </c>
      <c r="CD2551" s="237">
        <v>143.4</v>
      </c>
      <c r="CE2551" s="237" t="s">
        <v>323</v>
      </c>
      <c r="CJ2551" s="347">
        <v>703.16</v>
      </c>
      <c r="CK2551" s="347" t="s">
        <v>310</v>
      </c>
      <c r="CL2551" s="1789"/>
      <c r="CR2551" s="345"/>
      <c r="CS2551" s="345"/>
      <c r="CX2551" s="347"/>
      <c r="CY2551" s="347"/>
      <c r="DH2551" s="237"/>
      <c r="DI2551" s="237"/>
      <c r="DN2551" s="347"/>
      <c r="DO2551" s="347"/>
      <c r="DP2551" s="2505"/>
    </row>
    <row r="2552" spans="30:120">
      <c r="AD2552" s="1138"/>
      <c r="AP2552" s="347">
        <v>130.01</v>
      </c>
      <c r="AQ2552" s="347" t="s">
        <v>365</v>
      </c>
      <c r="BF2552" s="347">
        <v>703.18</v>
      </c>
      <c r="BG2552" s="347" t="s">
        <v>310</v>
      </c>
      <c r="BH2552" s="1790"/>
      <c r="BN2552" s="237">
        <v>39.21</v>
      </c>
      <c r="BO2552" s="237" t="s">
        <v>352</v>
      </c>
      <c r="BT2552" s="347">
        <v>131.01</v>
      </c>
      <c r="BU2552" s="347" t="s">
        <v>365</v>
      </c>
      <c r="CD2552" s="237">
        <v>143.41</v>
      </c>
      <c r="CE2552" s="237" t="s">
        <v>323</v>
      </c>
      <c r="CJ2552" s="347">
        <v>703.18</v>
      </c>
      <c r="CK2552" s="347" t="s">
        <v>310</v>
      </c>
      <c r="CL2552" s="1789"/>
      <c r="CR2552" s="345"/>
      <c r="CS2552" s="345"/>
      <c r="CX2552" s="347"/>
      <c r="CY2552" s="347"/>
      <c r="DH2552" s="237"/>
      <c r="DI2552" s="237"/>
      <c r="DN2552" s="347"/>
      <c r="DO2552" s="347"/>
      <c r="DP2552" s="2505"/>
    </row>
    <row r="2553" spans="30:120">
      <c r="AD2553" s="1138"/>
      <c r="AP2553" s="347">
        <v>131.01</v>
      </c>
      <c r="AQ2553" s="347" t="s">
        <v>365</v>
      </c>
      <c r="BF2553" s="347">
        <v>703.19</v>
      </c>
      <c r="BG2553" s="347" t="s">
        <v>310</v>
      </c>
      <c r="BH2553" s="1790"/>
      <c r="BN2553" s="237">
        <v>39.22</v>
      </c>
      <c r="BO2553" s="237" t="s">
        <v>352</v>
      </c>
      <c r="BT2553" s="347">
        <v>131.03</v>
      </c>
      <c r="BU2553" s="347" t="s">
        <v>365</v>
      </c>
      <c r="CD2553" s="237">
        <v>143.41999999999999</v>
      </c>
      <c r="CE2553" s="237" t="s">
        <v>323</v>
      </c>
      <c r="CJ2553" s="347">
        <v>703.19</v>
      </c>
      <c r="CK2553" s="347" t="s">
        <v>310</v>
      </c>
      <c r="CL2553" s="1789"/>
      <c r="CR2553" s="345"/>
      <c r="CS2553" s="345"/>
      <c r="CX2553" s="347"/>
      <c r="CY2553" s="347"/>
      <c r="DH2553" s="237"/>
      <c r="DI2553" s="237"/>
      <c r="DN2553" s="347"/>
      <c r="DO2553" s="347"/>
      <c r="DP2553" s="2505"/>
    </row>
    <row r="2554" spans="30:120">
      <c r="AD2554" s="1138"/>
      <c r="AP2554" s="347">
        <v>131.03</v>
      </c>
      <c r="AQ2554" s="347" t="s">
        <v>365</v>
      </c>
      <c r="BF2554" s="347">
        <v>703.2</v>
      </c>
      <c r="BG2554" s="347" t="s">
        <v>310</v>
      </c>
      <c r="BH2554" s="1790"/>
      <c r="BN2554" s="237">
        <v>40</v>
      </c>
      <c r="BO2554" s="237" t="s">
        <v>352</v>
      </c>
      <c r="BT2554" s="347">
        <v>135</v>
      </c>
      <c r="BU2554" s="347" t="s">
        <v>365</v>
      </c>
      <c r="CD2554" s="237">
        <v>143.43</v>
      </c>
      <c r="CE2554" s="237" t="s">
        <v>323</v>
      </c>
      <c r="CJ2554" s="347">
        <v>703.2</v>
      </c>
      <c r="CK2554" s="347" t="s">
        <v>310</v>
      </c>
      <c r="CL2554" s="1789"/>
      <c r="CR2554" s="345"/>
      <c r="CS2554" s="345"/>
      <c r="CX2554" s="347"/>
      <c r="CY2554" s="347"/>
      <c r="DH2554" s="237"/>
      <c r="DI2554" s="237"/>
      <c r="DN2554" s="347"/>
      <c r="DO2554" s="347"/>
      <c r="DP2554" s="2505"/>
    </row>
    <row r="2555" spans="30:120">
      <c r="AD2555" s="1138"/>
      <c r="AP2555" s="347">
        <v>135</v>
      </c>
      <c r="AQ2555" s="347" t="s">
        <v>365</v>
      </c>
      <c r="BF2555" s="347">
        <v>703.21</v>
      </c>
      <c r="BG2555" s="347" t="s">
        <v>310</v>
      </c>
      <c r="BH2555" s="1790"/>
      <c r="BN2555" s="237">
        <v>41.02</v>
      </c>
      <c r="BO2555" s="237" t="s">
        <v>352</v>
      </c>
      <c r="BT2555" s="347">
        <v>139.02000000000001</v>
      </c>
      <c r="BU2555" s="347" t="s">
        <v>365</v>
      </c>
      <c r="CD2555" s="237">
        <v>143.44</v>
      </c>
      <c r="CE2555" s="237" t="s">
        <v>323</v>
      </c>
      <c r="CJ2555" s="347">
        <v>703.21</v>
      </c>
      <c r="CK2555" s="347" t="s">
        <v>310</v>
      </c>
      <c r="CL2555" s="1789"/>
      <c r="CR2555" s="345"/>
      <c r="CS2555" s="345"/>
      <c r="CX2555" s="347"/>
      <c r="CY2555" s="347"/>
      <c r="DH2555" s="237"/>
      <c r="DI2555" s="237"/>
      <c r="DN2555" s="347"/>
      <c r="DO2555" s="347"/>
      <c r="DP2555" s="2505"/>
    </row>
    <row r="2556" spans="30:120">
      <c r="AD2556" s="1138"/>
      <c r="AP2556" s="347">
        <v>139.02000000000001</v>
      </c>
      <c r="AQ2556" s="347" t="s">
        <v>365</v>
      </c>
      <c r="BF2556" s="347">
        <v>703.23</v>
      </c>
      <c r="BG2556" s="347" t="s">
        <v>310</v>
      </c>
      <c r="BH2556" s="1790"/>
      <c r="BN2556" s="237">
        <v>41.03</v>
      </c>
      <c r="BO2556" s="237" t="s">
        <v>352</v>
      </c>
      <c r="BT2556" s="347">
        <v>140.01</v>
      </c>
      <c r="BU2556" s="347" t="s">
        <v>365</v>
      </c>
      <c r="CD2556" s="237">
        <v>144</v>
      </c>
      <c r="CE2556" s="237" t="s">
        <v>337</v>
      </c>
      <c r="CJ2556" s="347">
        <v>703.23</v>
      </c>
      <c r="CK2556" s="347" t="s">
        <v>310</v>
      </c>
      <c r="CL2556" s="1789"/>
      <c r="CR2556" s="345"/>
      <c r="CS2556" s="345"/>
      <c r="CX2556" s="347"/>
      <c r="CY2556" s="347"/>
      <c r="DH2556" s="237"/>
      <c r="DI2556" s="237"/>
      <c r="DN2556" s="347"/>
      <c r="DO2556" s="347"/>
      <c r="DP2556" s="2505"/>
    </row>
    <row r="2557" spans="30:120">
      <c r="AD2557" s="1138"/>
      <c r="AP2557" s="347">
        <v>140.01</v>
      </c>
      <c r="AQ2557" s="347" t="s">
        <v>365</v>
      </c>
      <c r="BF2557" s="347">
        <v>703.25</v>
      </c>
      <c r="BG2557" s="347" t="s">
        <v>310</v>
      </c>
      <c r="BH2557" s="1790"/>
      <c r="BN2557" s="237">
        <v>41.05</v>
      </c>
      <c r="BO2557" s="237" t="s">
        <v>352</v>
      </c>
      <c r="BT2557" s="347">
        <v>140.03</v>
      </c>
      <c r="BU2557" s="347" t="s">
        <v>365</v>
      </c>
      <c r="CD2557" s="237">
        <v>144</v>
      </c>
      <c r="CE2557" s="237" t="s">
        <v>352</v>
      </c>
      <c r="CJ2557" s="347">
        <v>703.25</v>
      </c>
      <c r="CK2557" s="347" t="s">
        <v>310</v>
      </c>
      <c r="CL2557" s="1789"/>
      <c r="CR2557" s="345"/>
      <c r="CS2557" s="345"/>
      <c r="CX2557" s="347"/>
      <c r="CY2557" s="347"/>
      <c r="DH2557" s="237"/>
      <c r="DI2557" s="237"/>
      <c r="DN2557" s="347"/>
      <c r="DO2557" s="347"/>
      <c r="DP2557" s="2505"/>
    </row>
    <row r="2558" spans="30:120">
      <c r="AD2558" s="1138"/>
      <c r="AP2558" s="347">
        <v>140.03</v>
      </c>
      <c r="AQ2558" s="347" t="s">
        <v>365</v>
      </c>
      <c r="BF2558" s="347">
        <v>703.26</v>
      </c>
      <c r="BG2558" s="347" t="s">
        <v>310</v>
      </c>
      <c r="BH2558" s="1790"/>
      <c r="BN2558" s="237">
        <v>41.06</v>
      </c>
      <c r="BO2558" s="237" t="s">
        <v>352</v>
      </c>
      <c r="BT2558" s="347">
        <v>140.05000000000001</v>
      </c>
      <c r="BU2558" s="347" t="s">
        <v>365</v>
      </c>
      <c r="CD2558" s="237">
        <v>144</v>
      </c>
      <c r="CE2558" s="237" t="s">
        <v>359</v>
      </c>
      <c r="CJ2558" s="347">
        <v>703.26</v>
      </c>
      <c r="CK2558" s="347" t="s">
        <v>310</v>
      </c>
      <c r="CL2558" s="1789"/>
      <c r="CR2558" s="345"/>
      <c r="CS2558" s="345"/>
      <c r="CX2558" s="347"/>
      <c r="CY2558" s="347"/>
      <c r="DH2558" s="237"/>
      <c r="DI2558" s="237"/>
      <c r="DN2558" s="347"/>
      <c r="DO2558" s="347"/>
      <c r="DP2558" s="2505"/>
    </row>
    <row r="2559" spans="30:120">
      <c r="AD2559" s="1138"/>
      <c r="AP2559" s="347">
        <v>140.05000000000001</v>
      </c>
      <c r="AQ2559" s="347" t="s">
        <v>365</v>
      </c>
      <c r="BF2559" s="347">
        <v>703.27</v>
      </c>
      <c r="BG2559" s="347" t="s">
        <v>310</v>
      </c>
      <c r="BH2559" s="1790"/>
      <c r="BN2559" s="237">
        <v>42.04</v>
      </c>
      <c r="BO2559" s="237" t="s">
        <v>352</v>
      </c>
      <c r="BT2559" s="347">
        <v>140.06</v>
      </c>
      <c r="BU2559" s="347" t="s">
        <v>365</v>
      </c>
      <c r="CD2559" s="237">
        <v>144.01</v>
      </c>
      <c r="CE2559" s="237" t="s">
        <v>365</v>
      </c>
      <c r="CJ2559" s="347">
        <v>703.27</v>
      </c>
      <c r="CK2559" s="347" t="s">
        <v>310</v>
      </c>
      <c r="CL2559" s="1789"/>
      <c r="CR2559" s="345"/>
      <c r="CS2559" s="345"/>
      <c r="CX2559" s="347"/>
      <c r="CY2559" s="347"/>
      <c r="DH2559" s="237"/>
      <c r="DI2559" s="237"/>
      <c r="DN2559" s="347"/>
      <c r="DO2559" s="347"/>
      <c r="DP2559" s="2505"/>
    </row>
    <row r="2560" spans="30:120">
      <c r="AD2560" s="1138"/>
      <c r="AP2560" s="347">
        <v>140.06</v>
      </c>
      <c r="AQ2560" s="347" t="s">
        <v>365</v>
      </c>
      <c r="BF2560" s="347">
        <v>703.29</v>
      </c>
      <c r="BG2560" s="347" t="s">
        <v>310</v>
      </c>
      <c r="BH2560" s="1790"/>
      <c r="BN2560" s="237">
        <v>42.05</v>
      </c>
      <c r="BO2560" s="237" t="s">
        <v>352</v>
      </c>
      <c r="BT2560" s="347">
        <v>141.21</v>
      </c>
      <c r="BU2560" s="347" t="s">
        <v>365</v>
      </c>
      <c r="CD2560" s="237">
        <v>144.02000000000001</v>
      </c>
      <c r="CE2560" s="237" t="s">
        <v>365</v>
      </c>
      <c r="CJ2560" s="347">
        <v>703.28</v>
      </c>
      <c r="CK2560" s="347" t="s">
        <v>310</v>
      </c>
      <c r="CL2560" s="1789"/>
      <c r="CR2560" s="345"/>
      <c r="CS2560" s="345"/>
      <c r="CX2560" s="347"/>
      <c r="CY2560" s="347"/>
      <c r="DH2560" s="237"/>
      <c r="DI2560" s="237"/>
      <c r="DN2560" s="347"/>
      <c r="DO2560" s="347"/>
      <c r="DP2560" s="2505"/>
    </row>
    <row r="2561" spans="30:120">
      <c r="AD2561" s="1138"/>
      <c r="AP2561" s="347">
        <v>141.04</v>
      </c>
      <c r="AQ2561" s="347" t="s">
        <v>365</v>
      </c>
      <c r="BF2561" s="347">
        <v>703.3</v>
      </c>
      <c r="BG2561" s="347" t="s">
        <v>310</v>
      </c>
      <c r="BH2561" s="1790"/>
      <c r="BN2561" s="237">
        <v>42.06</v>
      </c>
      <c r="BO2561" s="237" t="s">
        <v>352</v>
      </c>
      <c r="BT2561" s="347">
        <v>141.22999999999999</v>
      </c>
      <c r="BU2561" s="347" t="s">
        <v>365</v>
      </c>
      <c r="CD2561" s="237">
        <v>144.08000000000001</v>
      </c>
      <c r="CE2561" s="237" t="s">
        <v>323</v>
      </c>
      <c r="CJ2561" s="347">
        <v>703.29</v>
      </c>
      <c r="CK2561" s="347" t="s">
        <v>310</v>
      </c>
      <c r="CL2561" s="1789"/>
      <c r="CR2561" s="345"/>
      <c r="CS2561" s="345"/>
      <c r="CX2561" s="347"/>
      <c r="CY2561" s="347"/>
      <c r="DH2561" s="237"/>
      <c r="DI2561" s="237"/>
      <c r="DN2561" s="347"/>
      <c r="DO2561" s="347"/>
      <c r="DP2561" s="2505"/>
    </row>
    <row r="2562" spans="30:120">
      <c r="AD2562" s="1138"/>
      <c r="AP2562" s="347">
        <v>141.21</v>
      </c>
      <c r="AQ2562" s="347" t="s">
        <v>365</v>
      </c>
      <c r="BF2562" s="347">
        <v>703.31</v>
      </c>
      <c r="BG2562" s="347" t="s">
        <v>310</v>
      </c>
      <c r="BH2562" s="1790"/>
      <c r="BN2562" s="237">
        <v>42.07</v>
      </c>
      <c r="BO2562" s="237" t="s">
        <v>352</v>
      </c>
      <c r="BT2562" s="347">
        <v>141.26</v>
      </c>
      <c r="BU2562" s="347" t="s">
        <v>365</v>
      </c>
      <c r="CD2562" s="237">
        <v>144.13</v>
      </c>
      <c r="CE2562" s="237" t="s">
        <v>323</v>
      </c>
      <c r="CJ2562" s="347">
        <v>703.3</v>
      </c>
      <c r="CK2562" s="347" t="s">
        <v>310</v>
      </c>
      <c r="CL2562" s="1789"/>
      <c r="CR2562" s="345"/>
      <c r="CS2562" s="345"/>
      <c r="CX2562" s="347"/>
      <c r="CY2562" s="347"/>
      <c r="DH2562" s="237"/>
      <c r="DI2562" s="237"/>
      <c r="DN2562" s="347"/>
      <c r="DO2562" s="347"/>
      <c r="DP2562" s="2505"/>
    </row>
    <row r="2563" spans="30:120">
      <c r="AD2563" s="1138"/>
      <c r="AP2563" s="347">
        <v>141.22999999999999</v>
      </c>
      <c r="AQ2563" s="347" t="s">
        <v>365</v>
      </c>
      <c r="BF2563" s="347">
        <v>704.01</v>
      </c>
      <c r="BG2563" s="347" t="s">
        <v>310</v>
      </c>
      <c r="BH2563" s="1790"/>
      <c r="BN2563" s="237">
        <v>42.08</v>
      </c>
      <c r="BO2563" s="237" t="s">
        <v>352</v>
      </c>
      <c r="BT2563" s="347">
        <v>141.27000000000001</v>
      </c>
      <c r="BU2563" s="347" t="s">
        <v>365</v>
      </c>
      <c r="CD2563" s="237">
        <v>144.13999999999999</v>
      </c>
      <c r="CE2563" s="237" t="s">
        <v>323</v>
      </c>
      <c r="CJ2563" s="347">
        <v>703.31</v>
      </c>
      <c r="CK2563" s="347" t="s">
        <v>310</v>
      </c>
      <c r="CL2563" s="1789"/>
      <c r="CR2563" s="345"/>
      <c r="CS2563" s="345"/>
      <c r="CX2563" s="347"/>
      <c r="CY2563" s="347"/>
      <c r="DH2563" s="237"/>
      <c r="DI2563" s="237"/>
      <c r="DN2563" s="347"/>
      <c r="DO2563" s="347"/>
      <c r="DP2563" s="2505"/>
    </row>
    <row r="2564" spans="30:120">
      <c r="AD2564" s="1138"/>
      <c r="AP2564" s="347">
        <v>141.26</v>
      </c>
      <c r="AQ2564" s="347" t="s">
        <v>365</v>
      </c>
      <c r="BF2564" s="347">
        <v>704.02</v>
      </c>
      <c r="BG2564" s="347" t="s">
        <v>310</v>
      </c>
      <c r="BH2564" s="1790"/>
      <c r="BN2564" s="237">
        <v>43.01</v>
      </c>
      <c r="BO2564" s="237" t="s">
        <v>352</v>
      </c>
      <c r="BT2564" s="347">
        <v>141.28</v>
      </c>
      <c r="BU2564" s="347" t="s">
        <v>365</v>
      </c>
      <c r="CD2564" s="237">
        <v>144.15</v>
      </c>
      <c r="CE2564" s="237" t="s">
        <v>323</v>
      </c>
      <c r="CJ2564" s="347">
        <v>704.01</v>
      </c>
      <c r="CK2564" s="347" t="s">
        <v>310</v>
      </c>
      <c r="CL2564" s="1789"/>
      <c r="CR2564" s="345"/>
      <c r="CS2564" s="345"/>
      <c r="CX2564" s="347"/>
      <c r="CY2564" s="347"/>
      <c r="DH2564" s="237"/>
      <c r="DI2564" s="237"/>
      <c r="DN2564" s="347"/>
      <c r="DO2564" s="347"/>
      <c r="DP2564" s="2505"/>
    </row>
    <row r="2565" spans="30:120">
      <c r="AD2565" s="1138"/>
      <c r="AP2565" s="347">
        <v>141.29</v>
      </c>
      <c r="AQ2565" s="347" t="s">
        <v>365</v>
      </c>
      <c r="BF2565" s="347">
        <v>704.03</v>
      </c>
      <c r="BG2565" s="347" t="s">
        <v>310</v>
      </c>
      <c r="BH2565" s="1790"/>
      <c r="BN2565" s="237">
        <v>43.03</v>
      </c>
      <c r="BO2565" s="237" t="s">
        <v>352</v>
      </c>
      <c r="BT2565" s="347">
        <v>141.29</v>
      </c>
      <c r="BU2565" s="347" t="s">
        <v>365</v>
      </c>
      <c r="CD2565" s="237">
        <v>144.16</v>
      </c>
      <c r="CE2565" s="237" t="s">
        <v>323</v>
      </c>
      <c r="CJ2565" s="347">
        <v>704.02</v>
      </c>
      <c r="CK2565" s="347" t="s">
        <v>310</v>
      </c>
      <c r="CL2565" s="1789"/>
      <c r="CR2565" s="345"/>
      <c r="CS2565" s="345"/>
      <c r="CX2565" s="347"/>
      <c r="CY2565" s="347"/>
      <c r="DH2565" s="237"/>
      <c r="DI2565" s="237"/>
      <c r="DN2565" s="347"/>
      <c r="DO2565" s="347"/>
      <c r="DP2565" s="2505"/>
    </row>
    <row r="2566" spans="30:120">
      <c r="AD2566" s="1138"/>
      <c r="AP2566" s="347">
        <v>141.30000000000001</v>
      </c>
      <c r="AQ2566" s="347" t="s">
        <v>365</v>
      </c>
      <c r="BF2566" s="347">
        <v>704.04</v>
      </c>
      <c r="BG2566" s="347" t="s">
        <v>310</v>
      </c>
      <c r="BH2566" s="1790"/>
      <c r="BN2566" s="237">
        <v>43.04</v>
      </c>
      <c r="BO2566" s="237" t="s">
        <v>352</v>
      </c>
      <c r="BT2566" s="347">
        <v>142.01</v>
      </c>
      <c r="BU2566" s="347" t="s">
        <v>365</v>
      </c>
      <c r="CD2566" s="237">
        <v>144.16999999999999</v>
      </c>
      <c r="CE2566" s="237" t="s">
        <v>323</v>
      </c>
      <c r="CJ2566" s="347">
        <v>704.03</v>
      </c>
      <c r="CK2566" s="347" t="s">
        <v>310</v>
      </c>
      <c r="CL2566" s="1789"/>
      <c r="CR2566" s="345"/>
      <c r="CS2566" s="345"/>
      <c r="CX2566" s="347"/>
      <c r="CY2566" s="347"/>
      <c r="DH2566" s="237"/>
      <c r="DI2566" s="237"/>
      <c r="DN2566" s="347"/>
      <c r="DO2566" s="347"/>
      <c r="DP2566" s="2505"/>
    </row>
    <row r="2567" spans="30:120">
      <c r="AD2567" s="1138"/>
      <c r="AP2567" s="347">
        <v>142.02000000000001</v>
      </c>
      <c r="AQ2567" s="347" t="s">
        <v>365</v>
      </c>
      <c r="BF2567" s="347">
        <v>704.05</v>
      </c>
      <c r="BG2567" s="347" t="s">
        <v>310</v>
      </c>
      <c r="BH2567" s="1790"/>
      <c r="BN2567" s="237">
        <v>44.03</v>
      </c>
      <c r="BO2567" s="237" t="s">
        <v>352</v>
      </c>
      <c r="BT2567" s="347">
        <v>142.02000000000001</v>
      </c>
      <c r="BU2567" s="347" t="s">
        <v>365</v>
      </c>
      <c r="CD2567" s="237">
        <v>144.18</v>
      </c>
      <c r="CE2567" s="237" t="s">
        <v>323</v>
      </c>
      <c r="CJ2567" s="347">
        <v>704.04</v>
      </c>
      <c r="CK2567" s="347" t="s">
        <v>310</v>
      </c>
      <c r="CL2567" s="1789"/>
      <c r="CR2567" s="345"/>
      <c r="CS2567" s="345"/>
      <c r="CX2567" s="347"/>
      <c r="CY2567" s="347"/>
      <c r="DH2567" s="237"/>
      <c r="DI2567" s="237"/>
      <c r="DN2567" s="347"/>
      <c r="DO2567" s="347"/>
      <c r="DP2567" s="2505"/>
    </row>
    <row r="2568" spans="30:120">
      <c r="AD2568" s="1138"/>
      <c r="AP2568" s="347">
        <v>143.03</v>
      </c>
      <c r="AQ2568" s="347" t="s">
        <v>365</v>
      </c>
      <c r="BF2568" s="347">
        <v>705.01</v>
      </c>
      <c r="BG2568" s="347" t="s">
        <v>310</v>
      </c>
      <c r="BH2568" s="1790"/>
      <c r="BN2568" s="237">
        <v>44.04</v>
      </c>
      <c r="BO2568" s="237" t="s">
        <v>352</v>
      </c>
      <c r="BT2568" s="347">
        <v>143.03</v>
      </c>
      <c r="BU2568" s="347" t="s">
        <v>365</v>
      </c>
      <c r="CD2568" s="237">
        <v>144.19</v>
      </c>
      <c r="CE2568" s="237" t="s">
        <v>323</v>
      </c>
      <c r="CJ2568" s="347">
        <v>704.05</v>
      </c>
      <c r="CK2568" s="347" t="s">
        <v>310</v>
      </c>
      <c r="CL2568" s="1789"/>
      <c r="CR2568" s="345"/>
      <c r="CS2568" s="345"/>
      <c r="CX2568" s="347"/>
      <c r="CY2568" s="347"/>
      <c r="DH2568" s="237"/>
      <c r="DI2568" s="237"/>
      <c r="DN2568" s="347"/>
      <c r="DO2568" s="347"/>
      <c r="DP2568" s="2505"/>
    </row>
    <row r="2569" spans="30:120">
      <c r="AD2569" s="1138"/>
      <c r="AP2569" s="347">
        <v>143.04</v>
      </c>
      <c r="AQ2569" s="347" t="s">
        <v>365</v>
      </c>
      <c r="BF2569" s="347">
        <v>705.03</v>
      </c>
      <c r="BG2569" s="347" t="s">
        <v>310</v>
      </c>
      <c r="BH2569" s="1790"/>
      <c r="BN2569" s="237">
        <v>44.05</v>
      </c>
      <c r="BO2569" s="237" t="s">
        <v>352</v>
      </c>
      <c r="BT2569" s="347">
        <v>144.01</v>
      </c>
      <c r="BU2569" s="347" t="s">
        <v>365</v>
      </c>
      <c r="CD2569" s="237">
        <v>144.19999999999999</v>
      </c>
      <c r="CE2569" s="237" t="s">
        <v>323</v>
      </c>
      <c r="CJ2569" s="347">
        <v>705.01</v>
      </c>
      <c r="CK2569" s="347" t="s">
        <v>310</v>
      </c>
      <c r="CL2569" s="1789"/>
      <c r="CR2569" s="345"/>
      <c r="CS2569" s="345"/>
      <c r="CX2569" s="347"/>
      <c r="CY2569" s="347"/>
      <c r="DH2569" s="237"/>
      <c r="DI2569" s="237"/>
      <c r="DN2569" s="347"/>
      <c r="DO2569" s="347"/>
      <c r="DP2569" s="2505"/>
    </row>
    <row r="2570" spans="30:120">
      <c r="AD2570" s="1138"/>
      <c r="AP2570" s="347">
        <v>144.01</v>
      </c>
      <c r="AQ2570" s="347" t="s">
        <v>365</v>
      </c>
      <c r="BF2570" s="347">
        <v>706.02</v>
      </c>
      <c r="BG2570" s="347" t="s">
        <v>310</v>
      </c>
      <c r="BH2570" s="1790"/>
      <c r="BN2570" s="237">
        <v>44.06</v>
      </c>
      <c r="BO2570" s="237" t="s">
        <v>352</v>
      </c>
      <c r="BT2570" s="347">
        <v>144.02000000000001</v>
      </c>
      <c r="BU2570" s="347" t="s">
        <v>365</v>
      </c>
      <c r="CD2570" s="237">
        <v>144.21</v>
      </c>
      <c r="CE2570" s="237" t="s">
        <v>323</v>
      </c>
      <c r="CJ2570" s="347">
        <v>705.03</v>
      </c>
      <c r="CK2570" s="347" t="s">
        <v>310</v>
      </c>
      <c r="CL2570" s="1789"/>
      <c r="CR2570" s="345"/>
      <c r="CS2570" s="345"/>
      <c r="CX2570" s="347"/>
      <c r="CY2570" s="347"/>
      <c r="DH2570" s="237"/>
      <c r="DI2570" s="237"/>
      <c r="DN2570" s="347"/>
      <c r="DO2570" s="347"/>
      <c r="DP2570" s="2505"/>
    </row>
    <row r="2571" spans="30:120">
      <c r="AD2571" s="1138"/>
      <c r="AP2571" s="347">
        <v>147.01</v>
      </c>
      <c r="AQ2571" s="347" t="s">
        <v>365</v>
      </c>
      <c r="BF2571" s="347">
        <v>711</v>
      </c>
      <c r="BG2571" s="347" t="s">
        <v>309</v>
      </c>
      <c r="BH2571" s="1790"/>
      <c r="BN2571" s="237">
        <v>45</v>
      </c>
      <c r="BO2571" s="237" t="s">
        <v>352</v>
      </c>
      <c r="BT2571" s="347">
        <v>147.01</v>
      </c>
      <c r="BU2571" s="347" t="s">
        <v>365</v>
      </c>
      <c r="CD2571" s="237">
        <v>144.22</v>
      </c>
      <c r="CE2571" s="237" t="s">
        <v>323</v>
      </c>
      <c r="CJ2571" s="347">
        <v>706.02</v>
      </c>
      <c r="CK2571" s="347" t="s">
        <v>310</v>
      </c>
      <c r="CL2571" s="1789"/>
      <c r="CR2571" s="345"/>
      <c r="CS2571" s="345"/>
      <c r="CX2571" s="347"/>
      <c r="CY2571" s="347"/>
      <c r="DH2571" s="237"/>
      <c r="DI2571" s="237"/>
      <c r="DN2571" s="347"/>
      <c r="DO2571" s="347"/>
      <c r="DP2571" s="2505"/>
    </row>
    <row r="2572" spans="30:120">
      <c r="AD2572" s="1138"/>
      <c r="AP2572" s="347">
        <v>147.03</v>
      </c>
      <c r="AQ2572" s="347" t="s">
        <v>365</v>
      </c>
      <c r="BF2572" s="347">
        <v>712.01</v>
      </c>
      <c r="BG2572" s="347" t="s">
        <v>309</v>
      </c>
      <c r="BH2572" s="1790"/>
      <c r="BN2572" s="237">
        <v>46.02</v>
      </c>
      <c r="BO2572" s="237" t="s">
        <v>352</v>
      </c>
      <c r="BT2572" s="347">
        <v>147.03</v>
      </c>
      <c r="BU2572" s="347" t="s">
        <v>365</v>
      </c>
      <c r="CD2572" s="237">
        <v>144.22999999999999</v>
      </c>
      <c r="CE2572" s="237" t="s">
        <v>323</v>
      </c>
      <c r="CJ2572" s="347">
        <v>711</v>
      </c>
      <c r="CK2572" s="347" t="s">
        <v>309</v>
      </c>
      <c r="CL2572" s="1789"/>
      <c r="CR2572" s="345"/>
      <c r="CS2572" s="345"/>
      <c r="CX2572" s="347"/>
      <c r="CY2572" s="347"/>
      <c r="DH2572" s="237"/>
      <c r="DI2572" s="237"/>
      <c r="DN2572" s="347"/>
      <c r="DO2572" s="347"/>
      <c r="DP2572" s="2505"/>
    </row>
    <row r="2573" spans="30:120">
      <c r="AD2573" s="1138"/>
      <c r="AP2573" s="347">
        <v>148.02000000000001</v>
      </c>
      <c r="AQ2573" s="347" t="s">
        <v>365</v>
      </c>
      <c r="BF2573" s="347">
        <v>712.03</v>
      </c>
      <c r="BG2573" s="347" t="s">
        <v>309</v>
      </c>
      <c r="BH2573" s="1790"/>
      <c r="BN2573" s="237">
        <v>46.05</v>
      </c>
      <c r="BO2573" s="237" t="s">
        <v>352</v>
      </c>
      <c r="BT2573" s="347">
        <v>147.04</v>
      </c>
      <c r="BU2573" s="347" t="s">
        <v>365</v>
      </c>
      <c r="CD2573" s="237">
        <v>144.24</v>
      </c>
      <c r="CE2573" s="237" t="s">
        <v>323</v>
      </c>
      <c r="CJ2573" s="347">
        <v>712.01</v>
      </c>
      <c r="CK2573" s="347" t="s">
        <v>309</v>
      </c>
      <c r="CL2573" s="1789"/>
      <c r="CR2573" s="345"/>
      <c r="CS2573" s="345"/>
      <c r="CX2573" s="347"/>
      <c r="CY2573" s="347"/>
      <c r="DH2573" s="237"/>
      <c r="DI2573" s="237"/>
      <c r="DN2573" s="347"/>
      <c r="DO2573" s="347"/>
      <c r="DP2573" s="2505"/>
    </row>
    <row r="2574" spans="30:120">
      <c r="AD2574" s="1138"/>
      <c r="AP2574" s="347">
        <v>148.03</v>
      </c>
      <c r="AQ2574" s="347" t="s">
        <v>365</v>
      </c>
      <c r="BF2574" s="347">
        <v>712.05</v>
      </c>
      <c r="BG2574" s="347" t="s">
        <v>309</v>
      </c>
      <c r="BH2574" s="1790"/>
      <c r="BN2574" s="237">
        <v>46.07</v>
      </c>
      <c r="BO2574" s="237" t="s">
        <v>352</v>
      </c>
      <c r="BT2574" s="347">
        <v>148.03</v>
      </c>
      <c r="BU2574" s="347" t="s">
        <v>365</v>
      </c>
      <c r="CD2574" s="237">
        <v>144.25</v>
      </c>
      <c r="CE2574" s="237" t="s">
        <v>323</v>
      </c>
      <c r="CJ2574" s="347">
        <v>712.02</v>
      </c>
      <c r="CK2574" s="347" t="s">
        <v>309</v>
      </c>
      <c r="CL2574" s="1789"/>
      <c r="CR2574" s="345"/>
      <c r="CS2574" s="345"/>
      <c r="CX2574" s="347"/>
      <c r="CY2574" s="347"/>
      <c r="DH2574" s="237"/>
      <c r="DI2574" s="237"/>
      <c r="DN2574" s="347"/>
      <c r="DO2574" s="347"/>
      <c r="DP2574" s="2505"/>
    </row>
    <row r="2575" spans="30:120">
      <c r="AD2575" s="1138"/>
      <c r="AP2575" s="347">
        <v>148.04</v>
      </c>
      <c r="AQ2575" s="347" t="s">
        <v>365</v>
      </c>
      <c r="BF2575" s="347">
        <v>713.35</v>
      </c>
      <c r="BG2575" s="347" t="s">
        <v>309</v>
      </c>
      <c r="BH2575" s="1790"/>
      <c r="BN2575" s="237">
        <v>46.08</v>
      </c>
      <c r="BO2575" s="237" t="s">
        <v>352</v>
      </c>
      <c r="BT2575" s="347">
        <v>148.04</v>
      </c>
      <c r="BU2575" s="347" t="s">
        <v>365</v>
      </c>
      <c r="CD2575" s="237">
        <v>144.26</v>
      </c>
      <c r="CE2575" s="237" t="s">
        <v>323</v>
      </c>
      <c r="CJ2575" s="347">
        <v>712.03</v>
      </c>
      <c r="CK2575" s="347" t="s">
        <v>309</v>
      </c>
      <c r="CL2575" s="1789"/>
      <c r="CR2575" s="345"/>
      <c r="CS2575" s="345"/>
      <c r="CX2575" s="347"/>
      <c r="CY2575" s="347"/>
      <c r="DH2575" s="237"/>
      <c r="DI2575" s="237"/>
      <c r="DN2575" s="347"/>
      <c r="DO2575" s="347"/>
      <c r="DP2575" s="2505"/>
    </row>
    <row r="2576" spans="30:120">
      <c r="AD2576" s="1138"/>
      <c r="AP2576" s="347">
        <v>149.04</v>
      </c>
      <c r="AQ2576" s="347" t="s">
        <v>365</v>
      </c>
      <c r="BF2576" s="347">
        <v>713.39</v>
      </c>
      <c r="BG2576" s="347" t="s">
        <v>309</v>
      </c>
      <c r="BH2576" s="1790"/>
      <c r="BN2576" s="237">
        <v>47.01</v>
      </c>
      <c r="BO2576" s="237" t="s">
        <v>352</v>
      </c>
      <c r="BT2576" s="347">
        <v>149.04</v>
      </c>
      <c r="BU2576" s="347" t="s">
        <v>365</v>
      </c>
      <c r="CD2576" s="237">
        <v>144.27000000000001</v>
      </c>
      <c r="CE2576" s="237" t="s">
        <v>323</v>
      </c>
      <c r="CJ2576" s="347">
        <v>712.05</v>
      </c>
      <c r="CK2576" s="347" t="s">
        <v>309</v>
      </c>
      <c r="CL2576" s="1789"/>
      <c r="CR2576" s="345"/>
      <c r="CS2576" s="345"/>
      <c r="CX2576" s="347"/>
      <c r="CY2576" s="347"/>
      <c r="DH2576" s="237"/>
      <c r="DI2576" s="237"/>
      <c r="DN2576" s="347"/>
      <c r="DO2576" s="347"/>
      <c r="DP2576" s="2505"/>
    </row>
    <row r="2577" spans="30:120">
      <c r="AD2577" s="1138"/>
      <c r="AP2577" s="347">
        <v>149.06</v>
      </c>
      <c r="AQ2577" s="347" t="s">
        <v>365</v>
      </c>
      <c r="BF2577" s="347">
        <v>713.43</v>
      </c>
      <c r="BG2577" s="347" t="s">
        <v>309</v>
      </c>
      <c r="BH2577" s="1790"/>
      <c r="BN2577" s="237">
        <v>47.03</v>
      </c>
      <c r="BO2577" s="237" t="s">
        <v>352</v>
      </c>
      <c r="BT2577" s="347">
        <v>149.06</v>
      </c>
      <c r="BU2577" s="347" t="s">
        <v>365</v>
      </c>
      <c r="CD2577" s="237">
        <v>144.28</v>
      </c>
      <c r="CE2577" s="237" t="s">
        <v>323</v>
      </c>
      <c r="CJ2577" s="347">
        <v>713.37</v>
      </c>
      <c r="CK2577" s="347" t="s">
        <v>309</v>
      </c>
      <c r="CL2577" s="1789"/>
      <c r="CR2577" s="345"/>
      <c r="CS2577" s="345"/>
      <c r="CX2577" s="347"/>
      <c r="CY2577" s="347"/>
      <c r="DH2577" s="237"/>
      <c r="DI2577" s="237"/>
      <c r="DN2577" s="347"/>
      <c r="DO2577" s="347"/>
      <c r="DP2577" s="2505"/>
    </row>
    <row r="2578" spans="30:120">
      <c r="AD2578" s="1138"/>
      <c r="AP2578" s="347">
        <v>151.01</v>
      </c>
      <c r="AQ2578" s="347" t="s">
        <v>365</v>
      </c>
      <c r="BF2578" s="347">
        <v>713.44</v>
      </c>
      <c r="BG2578" s="347" t="s">
        <v>309</v>
      </c>
      <c r="BH2578" s="1790"/>
      <c r="BN2578" s="237">
        <v>47.04</v>
      </c>
      <c r="BO2578" s="237" t="s">
        <v>352</v>
      </c>
      <c r="BT2578" s="347">
        <v>151.01</v>
      </c>
      <c r="BU2578" s="347" t="s">
        <v>365</v>
      </c>
      <c r="CD2578" s="237">
        <v>145</v>
      </c>
      <c r="CE2578" s="237" t="s">
        <v>323</v>
      </c>
      <c r="CJ2578" s="347">
        <v>713.43</v>
      </c>
      <c r="CK2578" s="347" t="s">
        <v>309</v>
      </c>
      <c r="CL2578" s="1789"/>
      <c r="CR2578" s="345"/>
      <c r="CS2578" s="345"/>
      <c r="CX2578" s="347"/>
      <c r="CY2578" s="347"/>
      <c r="DH2578" s="237"/>
      <c r="DI2578" s="237"/>
      <c r="DN2578" s="347"/>
      <c r="DO2578" s="347"/>
      <c r="DP2578" s="2505"/>
    </row>
    <row r="2579" spans="30:120">
      <c r="AD2579" s="1138"/>
      <c r="AP2579" s="347">
        <v>151.02000000000001</v>
      </c>
      <c r="AQ2579" s="347" t="s">
        <v>365</v>
      </c>
      <c r="BF2579" s="347">
        <v>713.46</v>
      </c>
      <c r="BG2579" s="347" t="s">
        <v>309</v>
      </c>
      <c r="BH2579" s="1790"/>
      <c r="BN2579" s="237">
        <v>47.05</v>
      </c>
      <c r="BO2579" s="237" t="s">
        <v>352</v>
      </c>
      <c r="BT2579" s="347">
        <v>151.02000000000001</v>
      </c>
      <c r="BU2579" s="347" t="s">
        <v>365</v>
      </c>
      <c r="CD2579" s="237">
        <v>145</v>
      </c>
      <c r="CE2579" s="237" t="s">
        <v>352</v>
      </c>
      <c r="CJ2579" s="347">
        <v>713.46</v>
      </c>
      <c r="CK2579" s="347" t="s">
        <v>309</v>
      </c>
      <c r="CL2579" s="1789"/>
      <c r="CR2579" s="345"/>
      <c r="CS2579" s="345"/>
      <c r="CX2579" s="347"/>
      <c r="CY2579" s="347"/>
      <c r="DH2579" s="237"/>
      <c r="DI2579" s="237"/>
      <c r="DN2579" s="347"/>
      <c r="DO2579" s="347"/>
      <c r="DP2579" s="2505"/>
    </row>
    <row r="2580" spans="30:120">
      <c r="AD2580" s="1138"/>
      <c r="AP2580" s="347">
        <v>152</v>
      </c>
      <c r="AQ2580" s="347" t="s">
        <v>365</v>
      </c>
      <c r="BF2580" s="347">
        <v>713.49</v>
      </c>
      <c r="BG2580" s="347" t="s">
        <v>309</v>
      </c>
      <c r="BH2580" s="1790"/>
      <c r="BN2580" s="237">
        <v>49.01</v>
      </c>
      <c r="BO2580" s="237" t="s">
        <v>352</v>
      </c>
      <c r="BT2580" s="347">
        <v>152</v>
      </c>
      <c r="BU2580" s="347" t="s">
        <v>365</v>
      </c>
      <c r="CD2580" s="237">
        <v>145.01</v>
      </c>
      <c r="CE2580" s="237" t="s">
        <v>365</v>
      </c>
      <c r="CJ2580" s="347">
        <v>713.5</v>
      </c>
      <c r="CK2580" s="347" t="s">
        <v>309</v>
      </c>
      <c r="CL2580" s="1789"/>
      <c r="CR2580" s="345"/>
      <c r="CS2580" s="345"/>
      <c r="CX2580" s="347"/>
      <c r="CY2580" s="347"/>
      <c r="DH2580" s="237"/>
      <c r="DI2580" s="237"/>
      <c r="DN2580" s="347"/>
      <c r="DO2580" s="347"/>
      <c r="DP2580" s="2505"/>
    </row>
    <row r="2581" spans="30:120">
      <c r="AD2581" s="1138"/>
      <c r="AP2581" s="347">
        <v>153.02000000000001</v>
      </c>
      <c r="AQ2581" s="347" t="s">
        <v>365</v>
      </c>
      <c r="BF2581" s="347">
        <v>713.5</v>
      </c>
      <c r="BG2581" s="347" t="s">
        <v>309</v>
      </c>
      <c r="BH2581" s="1790"/>
      <c r="BN2581" s="237">
        <v>49.03</v>
      </c>
      <c r="BO2581" s="237" t="s">
        <v>352</v>
      </c>
      <c r="BT2581" s="347">
        <v>153.02000000000001</v>
      </c>
      <c r="BU2581" s="347" t="s">
        <v>365</v>
      </c>
      <c r="CD2581" s="237">
        <v>145.02000000000001</v>
      </c>
      <c r="CE2581" s="237" t="s">
        <v>359</v>
      </c>
      <c r="CJ2581" s="347">
        <v>713.52</v>
      </c>
      <c r="CK2581" s="347" t="s">
        <v>309</v>
      </c>
      <c r="CL2581" s="1789"/>
      <c r="CR2581" s="345"/>
      <c r="CS2581" s="345"/>
      <c r="CX2581" s="347"/>
      <c r="CY2581" s="347"/>
      <c r="DH2581" s="237"/>
      <c r="DI2581" s="237"/>
      <c r="DN2581" s="347"/>
      <c r="DO2581" s="347"/>
      <c r="DP2581" s="2505"/>
    </row>
    <row r="2582" spans="30:120">
      <c r="AD2582" s="1138"/>
      <c r="AP2582" s="347">
        <v>154.02000000000001</v>
      </c>
      <c r="AQ2582" s="347" t="s">
        <v>365</v>
      </c>
      <c r="BF2582" s="347">
        <v>713.53</v>
      </c>
      <c r="BG2582" s="347" t="s">
        <v>309</v>
      </c>
      <c r="BH2582" s="1790"/>
      <c r="BN2582" s="237">
        <v>49.04</v>
      </c>
      <c r="BO2582" s="237" t="s">
        <v>352</v>
      </c>
      <c r="BT2582" s="347">
        <v>154.04</v>
      </c>
      <c r="BU2582" s="347" t="s">
        <v>365</v>
      </c>
      <c r="CD2582" s="237">
        <v>145.02000000000001</v>
      </c>
      <c r="CE2582" s="237" t="s">
        <v>365</v>
      </c>
      <c r="CJ2582" s="347">
        <v>713.53</v>
      </c>
      <c r="CK2582" s="347" t="s">
        <v>309</v>
      </c>
      <c r="CL2582" s="1789"/>
      <c r="CR2582" s="345"/>
      <c r="CS2582" s="345"/>
      <c r="CX2582" s="347"/>
      <c r="CY2582" s="347"/>
      <c r="DH2582" s="237"/>
      <c r="DI2582" s="237"/>
      <c r="DN2582" s="347"/>
      <c r="DO2582" s="347"/>
      <c r="DP2582" s="2505"/>
    </row>
    <row r="2583" spans="30:120">
      <c r="AD2583" s="1138"/>
      <c r="AP2583" s="347">
        <v>154.04</v>
      </c>
      <c r="AQ2583" s="347" t="s">
        <v>365</v>
      </c>
      <c r="BF2583" s="347">
        <v>713.54</v>
      </c>
      <c r="BG2583" s="347" t="s">
        <v>309</v>
      </c>
      <c r="BH2583" s="1790"/>
      <c r="BN2583" s="237">
        <v>50.02</v>
      </c>
      <c r="BO2583" s="237" t="s">
        <v>352</v>
      </c>
      <c r="BT2583" s="347">
        <v>157.01</v>
      </c>
      <c r="BU2583" s="347" t="s">
        <v>365</v>
      </c>
      <c r="CD2583" s="237">
        <v>145.03</v>
      </c>
      <c r="CE2583" s="237" t="s">
        <v>359</v>
      </c>
      <c r="CJ2583" s="347">
        <v>713.54</v>
      </c>
      <c r="CK2583" s="347" t="s">
        <v>309</v>
      </c>
      <c r="CL2583" s="1789"/>
      <c r="CR2583" s="345"/>
      <c r="CS2583" s="345"/>
      <c r="CX2583" s="347"/>
      <c r="CY2583" s="347"/>
      <c r="DH2583" s="237"/>
      <c r="DI2583" s="237"/>
      <c r="DN2583" s="347"/>
      <c r="DO2583" s="347"/>
      <c r="DP2583" s="2505"/>
    </row>
    <row r="2584" spans="30:120">
      <c r="AD2584" s="1138"/>
      <c r="AP2584" s="347">
        <v>158.02000000000001</v>
      </c>
      <c r="AQ2584" s="347" t="s">
        <v>365</v>
      </c>
      <c r="BF2584" s="347">
        <v>714.01</v>
      </c>
      <c r="BG2584" s="347" t="s">
        <v>309</v>
      </c>
      <c r="BH2584" s="1790"/>
      <c r="BN2584" s="237">
        <v>50.03</v>
      </c>
      <c r="BO2584" s="237" t="s">
        <v>352</v>
      </c>
      <c r="BT2584" s="347">
        <v>159</v>
      </c>
      <c r="BU2584" s="347" t="s">
        <v>365</v>
      </c>
      <c r="CD2584" s="237">
        <v>145.04</v>
      </c>
      <c r="CE2584" s="237" t="s">
        <v>359</v>
      </c>
      <c r="CJ2584" s="347">
        <v>714.01</v>
      </c>
      <c r="CK2584" s="347" t="s">
        <v>309</v>
      </c>
      <c r="CL2584" s="1789"/>
      <c r="CR2584" s="345"/>
      <c r="CS2584" s="345"/>
      <c r="CX2584" s="347"/>
      <c r="CY2584" s="347"/>
      <c r="DH2584" s="237"/>
      <c r="DI2584" s="237"/>
      <c r="DN2584" s="347"/>
      <c r="DO2584" s="347"/>
      <c r="DP2584" s="2505"/>
    </row>
    <row r="2585" spans="30:120">
      <c r="AD2585" s="1138"/>
      <c r="AP2585" s="347">
        <v>159</v>
      </c>
      <c r="AQ2585" s="347" t="s">
        <v>365</v>
      </c>
      <c r="BF2585" s="347">
        <v>715</v>
      </c>
      <c r="BG2585" s="347" t="s">
        <v>309</v>
      </c>
      <c r="BH2585" s="1790"/>
      <c r="BN2585" s="237">
        <v>50.04</v>
      </c>
      <c r="BO2585" s="237" t="s">
        <v>352</v>
      </c>
      <c r="BT2585" s="347">
        <v>9501</v>
      </c>
      <c r="BU2585" s="347" t="s">
        <v>366</v>
      </c>
      <c r="CD2585" s="237">
        <v>146</v>
      </c>
      <c r="CE2585" s="237" t="s">
        <v>365</v>
      </c>
      <c r="CJ2585" s="347">
        <v>715</v>
      </c>
      <c r="CK2585" s="347" t="s">
        <v>309</v>
      </c>
      <c r="CL2585" s="1789"/>
      <c r="CR2585" s="345"/>
      <c r="CS2585" s="345"/>
      <c r="CX2585" s="347"/>
      <c r="CY2585" s="347"/>
      <c r="DH2585" s="237"/>
      <c r="DI2585" s="237"/>
      <c r="DN2585" s="347"/>
      <c r="DO2585" s="347"/>
      <c r="DP2585" s="2505"/>
    </row>
    <row r="2586" spans="30:120">
      <c r="AD2586" s="1138"/>
      <c r="AP2586" s="347">
        <v>9503</v>
      </c>
      <c r="AQ2586" s="347" t="s">
        <v>366</v>
      </c>
      <c r="BF2586" s="347">
        <v>716.01</v>
      </c>
      <c r="BG2586" s="347" t="s">
        <v>309</v>
      </c>
      <c r="BH2586" s="1790"/>
      <c r="BN2586" s="237">
        <v>51.02</v>
      </c>
      <c r="BO2586" s="237" t="s">
        <v>352</v>
      </c>
      <c r="BT2586" s="347">
        <v>9502.01</v>
      </c>
      <c r="BU2586" s="347" t="s">
        <v>366</v>
      </c>
      <c r="CD2586" s="237">
        <v>146.01</v>
      </c>
      <c r="CE2586" s="237" t="s">
        <v>323</v>
      </c>
      <c r="CJ2586" s="347">
        <v>716.01</v>
      </c>
      <c r="CK2586" s="347" t="s">
        <v>309</v>
      </c>
      <c r="CL2586" s="1789"/>
      <c r="CR2586" s="345"/>
      <c r="CS2586" s="345"/>
      <c r="CX2586" s="347"/>
      <c r="CY2586" s="347"/>
      <c r="DH2586" s="237"/>
      <c r="DI2586" s="237"/>
      <c r="DN2586" s="347"/>
      <c r="DO2586" s="347"/>
      <c r="DP2586" s="2505"/>
    </row>
    <row r="2587" spans="30:120">
      <c r="AD2587" s="1138"/>
      <c r="AP2587" s="347">
        <v>9504</v>
      </c>
      <c r="AQ2587" s="347" t="s">
        <v>366</v>
      </c>
      <c r="BF2587" s="347">
        <v>716.02</v>
      </c>
      <c r="BG2587" s="347" t="s">
        <v>309</v>
      </c>
      <c r="BH2587" s="1790"/>
      <c r="BN2587" s="237">
        <v>51.03</v>
      </c>
      <c r="BO2587" s="237" t="s">
        <v>352</v>
      </c>
      <c r="BT2587" s="347">
        <v>9503</v>
      </c>
      <c r="BU2587" s="347" t="s">
        <v>366</v>
      </c>
      <c r="CD2587" s="237">
        <v>146.01</v>
      </c>
      <c r="CE2587" s="237" t="s">
        <v>352</v>
      </c>
      <c r="CJ2587" s="347">
        <v>716.02</v>
      </c>
      <c r="CK2587" s="347" t="s">
        <v>309</v>
      </c>
      <c r="CL2587" s="1789"/>
      <c r="CR2587" s="345"/>
      <c r="CS2587" s="345"/>
      <c r="CX2587" s="347"/>
      <c r="CY2587" s="347"/>
      <c r="DH2587" s="237"/>
      <c r="DI2587" s="237"/>
      <c r="DN2587" s="347"/>
      <c r="DO2587" s="347"/>
      <c r="DP2587" s="2505"/>
    </row>
    <row r="2588" spans="30:120">
      <c r="AD2588" s="1138"/>
      <c r="AP2588" s="347">
        <v>9505</v>
      </c>
      <c r="AQ2588" s="347" t="s">
        <v>366</v>
      </c>
      <c r="BF2588" s="347">
        <v>717</v>
      </c>
      <c r="BG2588" s="347" t="s">
        <v>309</v>
      </c>
      <c r="BH2588" s="1790"/>
      <c r="BN2588" s="237">
        <v>51.04</v>
      </c>
      <c r="BO2588" s="237" t="s">
        <v>352</v>
      </c>
      <c r="BT2588" s="347">
        <v>9504</v>
      </c>
      <c r="BU2588" s="347" t="s">
        <v>366</v>
      </c>
      <c r="CD2588" s="237">
        <v>146.01</v>
      </c>
      <c r="CE2588" s="237" t="s">
        <v>359</v>
      </c>
      <c r="CJ2588" s="347">
        <v>717</v>
      </c>
      <c r="CK2588" s="347" t="s">
        <v>309</v>
      </c>
      <c r="CL2588" s="1789"/>
      <c r="CR2588" s="345"/>
      <c r="CS2588" s="345"/>
      <c r="CX2588" s="347"/>
      <c r="CY2588" s="347"/>
      <c r="DH2588" s="237"/>
      <c r="DI2588" s="237"/>
      <c r="DN2588" s="347"/>
      <c r="DO2588" s="347"/>
      <c r="DP2588" s="2505"/>
    </row>
    <row r="2589" spans="30:120">
      <c r="AD2589" s="1138"/>
      <c r="AP2589" s="347">
        <v>9506</v>
      </c>
      <c r="AQ2589" s="347" t="s">
        <v>366</v>
      </c>
      <c r="BF2589" s="347">
        <v>801.01</v>
      </c>
      <c r="BG2589" s="347" t="s">
        <v>376</v>
      </c>
      <c r="BH2589" s="1790"/>
      <c r="BN2589" s="237">
        <v>52.01</v>
      </c>
      <c r="BO2589" s="237" t="s">
        <v>352</v>
      </c>
      <c r="BT2589" s="347">
        <v>9505</v>
      </c>
      <c r="BU2589" s="347" t="s">
        <v>366</v>
      </c>
      <c r="CD2589" s="237">
        <v>146.02000000000001</v>
      </c>
      <c r="CE2589" s="237" t="s">
        <v>352</v>
      </c>
      <c r="CJ2589" s="347">
        <v>801</v>
      </c>
      <c r="CK2589" s="347" t="s">
        <v>344</v>
      </c>
      <c r="CL2589" s="1789"/>
      <c r="CR2589" s="345"/>
      <c r="CS2589" s="345"/>
      <c r="CX2589" s="347"/>
      <c r="CY2589" s="347"/>
      <c r="DH2589" s="237"/>
      <c r="DI2589" s="237"/>
      <c r="DN2589" s="347"/>
      <c r="DO2589" s="347"/>
      <c r="DP2589" s="2505"/>
    </row>
    <row r="2590" spans="30:120">
      <c r="AD2590" s="1138"/>
      <c r="AP2590" s="347">
        <v>9509</v>
      </c>
      <c r="AQ2590" s="347" t="s">
        <v>366</v>
      </c>
      <c r="BF2590" s="347">
        <v>801.02</v>
      </c>
      <c r="BG2590" s="347" t="s">
        <v>376</v>
      </c>
      <c r="BH2590" s="1790"/>
      <c r="BN2590" s="237">
        <v>52.02</v>
      </c>
      <c r="BO2590" s="237" t="s">
        <v>352</v>
      </c>
      <c r="BT2590" s="347">
        <v>9506</v>
      </c>
      <c r="BU2590" s="347" t="s">
        <v>366</v>
      </c>
      <c r="CD2590" s="237">
        <v>146.03</v>
      </c>
      <c r="CE2590" s="237" t="s">
        <v>323</v>
      </c>
      <c r="CJ2590" s="347">
        <v>801.01</v>
      </c>
      <c r="CK2590" s="347" t="s">
        <v>376</v>
      </c>
      <c r="CL2590" s="1789"/>
      <c r="CR2590" s="345"/>
      <c r="CS2590" s="345"/>
      <c r="CX2590" s="347"/>
      <c r="CY2590" s="347"/>
      <c r="DH2590" s="237"/>
      <c r="DI2590" s="237"/>
      <c r="DN2590" s="347"/>
      <c r="DO2590" s="347"/>
      <c r="DP2590" s="2505"/>
    </row>
    <row r="2591" spans="30:120">
      <c r="AD2591" s="1138"/>
      <c r="AP2591" s="347">
        <v>9510</v>
      </c>
      <c r="AQ2591" s="347" t="s">
        <v>366</v>
      </c>
      <c r="BF2591" s="347">
        <v>801.03</v>
      </c>
      <c r="BG2591" s="347" t="s">
        <v>310</v>
      </c>
      <c r="BH2591" s="1790"/>
      <c r="BN2591" s="237">
        <v>53.03</v>
      </c>
      <c r="BO2591" s="237" t="s">
        <v>352</v>
      </c>
      <c r="BT2591" s="347">
        <v>9510</v>
      </c>
      <c r="BU2591" s="347" t="s">
        <v>366</v>
      </c>
      <c r="CD2591" s="237">
        <v>146.04</v>
      </c>
      <c r="CE2591" s="237" t="s">
        <v>323</v>
      </c>
      <c r="CJ2591" s="347">
        <v>801.02</v>
      </c>
      <c r="CK2591" s="347" t="s">
        <v>376</v>
      </c>
      <c r="CL2591" s="1789"/>
      <c r="CR2591" s="345"/>
      <c r="CS2591" s="345"/>
      <c r="CX2591" s="347"/>
      <c r="CY2591" s="347"/>
      <c r="DH2591" s="237"/>
      <c r="DI2591" s="237"/>
      <c r="DN2591" s="347"/>
      <c r="DO2591" s="347"/>
      <c r="DP2591" s="2505"/>
    </row>
    <row r="2592" spans="30:120">
      <c r="AD2592" s="1138"/>
      <c r="AP2592" s="347">
        <v>9511</v>
      </c>
      <c r="AQ2592" s="347" t="s">
        <v>366</v>
      </c>
      <c r="BF2592" s="347">
        <v>801.04</v>
      </c>
      <c r="BG2592" s="347" t="s">
        <v>310</v>
      </c>
      <c r="BH2592" s="1790"/>
      <c r="BN2592" s="237">
        <v>53.04</v>
      </c>
      <c r="BO2592" s="237" t="s">
        <v>352</v>
      </c>
      <c r="BT2592" s="347">
        <v>9511</v>
      </c>
      <c r="BU2592" s="347" t="s">
        <v>366</v>
      </c>
      <c r="CD2592" s="237">
        <v>146.05000000000001</v>
      </c>
      <c r="CE2592" s="237" t="s">
        <v>359</v>
      </c>
      <c r="CJ2592" s="347">
        <v>801.03</v>
      </c>
      <c r="CK2592" s="347" t="s">
        <v>310</v>
      </c>
      <c r="CL2592" s="1789"/>
      <c r="CR2592" s="345"/>
      <c r="CS2592" s="345"/>
      <c r="CX2592" s="347"/>
      <c r="CY2592" s="347"/>
      <c r="DH2592" s="237"/>
      <c r="DI2592" s="237"/>
      <c r="DN2592" s="347"/>
      <c r="DO2592" s="347"/>
      <c r="DP2592" s="2505"/>
    </row>
    <row r="2593" spans="30:120">
      <c r="AD2593" s="1138"/>
      <c r="AP2593" s="347">
        <v>9513</v>
      </c>
      <c r="AQ2593" s="347" t="s">
        <v>366</v>
      </c>
      <c r="BF2593" s="347">
        <v>802.01</v>
      </c>
      <c r="BG2593" s="347" t="s">
        <v>376</v>
      </c>
      <c r="BH2593" s="1790"/>
      <c r="BN2593" s="237">
        <v>53.05</v>
      </c>
      <c r="BO2593" s="237" t="s">
        <v>352</v>
      </c>
      <c r="BT2593" s="347">
        <v>9513</v>
      </c>
      <c r="BU2593" s="347" t="s">
        <v>366</v>
      </c>
      <c r="CD2593" s="237">
        <v>146.06</v>
      </c>
      <c r="CE2593" s="237" t="s">
        <v>359</v>
      </c>
      <c r="CJ2593" s="347">
        <v>801.04</v>
      </c>
      <c r="CK2593" s="347" t="s">
        <v>310</v>
      </c>
      <c r="CL2593" s="1789"/>
      <c r="CR2593" s="345"/>
      <c r="CS2593" s="345"/>
      <c r="CX2593" s="347"/>
      <c r="CY2593" s="347"/>
      <c r="DH2593" s="237"/>
      <c r="DI2593" s="237"/>
      <c r="DN2593" s="347"/>
      <c r="DO2593" s="347"/>
      <c r="DP2593" s="2505"/>
    </row>
    <row r="2594" spans="30:120">
      <c r="AD2594" s="1138"/>
      <c r="AP2594" s="347">
        <v>202</v>
      </c>
      <c r="AQ2594" s="347" t="s">
        <v>370</v>
      </c>
      <c r="BF2594" s="347">
        <v>802.02</v>
      </c>
      <c r="BG2594" s="347" t="s">
        <v>344</v>
      </c>
      <c r="BH2594" s="1790"/>
      <c r="BN2594" s="237">
        <v>53.06</v>
      </c>
      <c r="BO2594" s="237" t="s">
        <v>352</v>
      </c>
      <c r="BT2594" s="347">
        <v>202</v>
      </c>
      <c r="BU2594" s="347" t="s">
        <v>370</v>
      </c>
      <c r="CD2594" s="237">
        <v>146.07</v>
      </c>
      <c r="CE2594" s="237" t="s">
        <v>359</v>
      </c>
      <c r="CJ2594" s="347">
        <v>802</v>
      </c>
      <c r="CK2594" s="347" t="s">
        <v>310</v>
      </c>
      <c r="CL2594" s="1789"/>
      <c r="CR2594" s="345"/>
      <c r="CS2594" s="345"/>
      <c r="CX2594" s="347"/>
      <c r="CY2594" s="347"/>
      <c r="DH2594" s="237"/>
      <c r="DI2594" s="237"/>
      <c r="DN2594" s="347"/>
      <c r="DO2594" s="347"/>
      <c r="DP2594" s="2505"/>
    </row>
    <row r="2595" spans="30:120">
      <c r="AD2595" s="1138"/>
      <c r="AP2595" s="347">
        <v>205</v>
      </c>
      <c r="AQ2595" s="347" t="s">
        <v>370</v>
      </c>
      <c r="BF2595" s="347">
        <v>802.02</v>
      </c>
      <c r="BG2595" s="347" t="s">
        <v>376</v>
      </c>
      <c r="BH2595" s="1790"/>
      <c r="BN2595" s="237">
        <v>54.03</v>
      </c>
      <c r="BO2595" s="237" t="s">
        <v>352</v>
      </c>
      <c r="BT2595" s="347">
        <v>205</v>
      </c>
      <c r="BU2595" s="347" t="s">
        <v>370</v>
      </c>
      <c r="CD2595" s="237">
        <v>146.08000000000001</v>
      </c>
      <c r="CE2595" s="237" t="s">
        <v>359</v>
      </c>
      <c r="CJ2595" s="347">
        <v>802.01</v>
      </c>
      <c r="CK2595" s="347" t="s">
        <v>376</v>
      </c>
      <c r="CL2595" s="1789"/>
      <c r="CR2595" s="345"/>
      <c r="CS2595" s="345"/>
      <c r="CX2595" s="347"/>
      <c r="CY2595" s="347"/>
      <c r="DH2595" s="237"/>
      <c r="DI2595" s="237"/>
      <c r="DN2595" s="347"/>
      <c r="DO2595" s="347"/>
      <c r="DP2595" s="2505"/>
    </row>
    <row r="2596" spans="30:120">
      <c r="AD2596" s="1138"/>
      <c r="AP2596" s="347">
        <v>206.03</v>
      </c>
      <c r="AQ2596" s="347" t="s">
        <v>370</v>
      </c>
      <c r="BF2596" s="347">
        <v>802.03</v>
      </c>
      <c r="BG2596" s="347" t="s">
        <v>344</v>
      </c>
      <c r="BH2596" s="1790"/>
      <c r="BN2596" s="237">
        <v>54.05</v>
      </c>
      <c r="BO2596" s="237" t="s">
        <v>352</v>
      </c>
      <c r="BT2596" s="347">
        <v>206.03</v>
      </c>
      <c r="BU2596" s="347" t="s">
        <v>370</v>
      </c>
      <c r="CD2596" s="237">
        <v>146.09</v>
      </c>
      <c r="CE2596" s="237" t="s">
        <v>359</v>
      </c>
      <c r="CJ2596" s="347">
        <v>802.02</v>
      </c>
      <c r="CK2596" s="347" t="s">
        <v>344</v>
      </c>
      <c r="CL2596" s="1789"/>
      <c r="CR2596" s="345"/>
      <c r="CS2596" s="345"/>
      <c r="CX2596" s="347"/>
      <c r="CY2596" s="347"/>
      <c r="DH2596" s="237"/>
      <c r="DI2596" s="237"/>
      <c r="DN2596" s="347"/>
      <c r="DO2596" s="347"/>
      <c r="DP2596" s="2505"/>
    </row>
    <row r="2597" spans="30:120">
      <c r="AD2597" s="1138"/>
      <c r="AP2597" s="347">
        <v>206.04</v>
      </c>
      <c r="AQ2597" s="347" t="s">
        <v>370</v>
      </c>
      <c r="BF2597" s="347">
        <v>804</v>
      </c>
      <c r="BG2597" s="347" t="s">
        <v>376</v>
      </c>
      <c r="BH2597" s="1790"/>
      <c r="BN2597" s="237">
        <v>54.06</v>
      </c>
      <c r="BO2597" s="237" t="s">
        <v>352</v>
      </c>
      <c r="BT2597" s="347">
        <v>206.04</v>
      </c>
      <c r="BU2597" s="347" t="s">
        <v>370</v>
      </c>
      <c r="CD2597" s="237">
        <v>147.01</v>
      </c>
      <c r="CE2597" s="237" t="s">
        <v>352</v>
      </c>
      <c r="CJ2597" s="347">
        <v>802.02</v>
      </c>
      <c r="CK2597" s="347" t="s">
        <v>376</v>
      </c>
      <c r="CL2597" s="1789"/>
      <c r="CR2597" s="345"/>
      <c r="CS2597" s="345"/>
      <c r="CX2597" s="347"/>
      <c r="CY2597" s="347"/>
      <c r="DH2597" s="237"/>
      <c r="DI2597" s="237"/>
      <c r="DN2597" s="347"/>
      <c r="DO2597" s="347"/>
      <c r="DP2597" s="2505"/>
    </row>
    <row r="2598" spans="30:120">
      <c r="AD2598" s="1138"/>
      <c r="AP2598" s="347">
        <v>206.05</v>
      </c>
      <c r="AQ2598" s="347" t="s">
        <v>370</v>
      </c>
      <c r="BF2598" s="347">
        <v>804.06</v>
      </c>
      <c r="BG2598" s="347" t="s">
        <v>310</v>
      </c>
      <c r="BH2598" s="1790"/>
      <c r="BN2598" s="237">
        <v>54.07</v>
      </c>
      <c r="BO2598" s="237" t="s">
        <v>352</v>
      </c>
      <c r="BT2598" s="347">
        <v>206.05</v>
      </c>
      <c r="BU2598" s="347" t="s">
        <v>370</v>
      </c>
      <c r="CD2598" s="237">
        <v>147.01</v>
      </c>
      <c r="CE2598" s="237" t="s">
        <v>359</v>
      </c>
      <c r="CJ2598" s="347">
        <v>802.03</v>
      </c>
      <c r="CK2598" s="347" t="s">
        <v>344</v>
      </c>
      <c r="CL2598" s="1789"/>
      <c r="CR2598" s="345"/>
      <c r="CS2598" s="345"/>
      <c r="CX2598" s="347"/>
      <c r="CY2598" s="347"/>
      <c r="DH2598" s="237"/>
      <c r="DI2598" s="237"/>
      <c r="DN2598" s="347"/>
      <c r="DO2598" s="347"/>
      <c r="DP2598" s="2505"/>
    </row>
    <row r="2599" spans="30:120">
      <c r="AD2599" s="1138"/>
      <c r="AP2599" s="347">
        <v>207.04</v>
      </c>
      <c r="AQ2599" s="347" t="s">
        <v>370</v>
      </c>
      <c r="BF2599" s="347">
        <v>805</v>
      </c>
      <c r="BG2599" s="347" t="s">
        <v>376</v>
      </c>
      <c r="BH2599" s="1790"/>
      <c r="BN2599" s="237">
        <v>54.09</v>
      </c>
      <c r="BO2599" s="237" t="s">
        <v>352</v>
      </c>
      <c r="BT2599" s="347">
        <v>206.06</v>
      </c>
      <c r="BU2599" s="347" t="s">
        <v>370</v>
      </c>
      <c r="CD2599" s="237">
        <v>147.01</v>
      </c>
      <c r="CE2599" s="237" t="s">
        <v>365</v>
      </c>
      <c r="CJ2599" s="347">
        <v>802.04</v>
      </c>
      <c r="CK2599" s="347" t="s">
        <v>344</v>
      </c>
      <c r="CL2599" s="1789"/>
      <c r="CR2599" s="345"/>
      <c r="CS2599" s="345"/>
      <c r="CX2599" s="347"/>
      <c r="CY2599" s="347"/>
      <c r="DH2599" s="237"/>
      <c r="DI2599" s="237"/>
      <c r="DN2599" s="347"/>
      <c r="DO2599" s="347"/>
      <c r="DP2599" s="2505"/>
    </row>
    <row r="2600" spans="30:120">
      <c r="AD2600" s="1138"/>
      <c r="AP2600" s="347">
        <v>207.05</v>
      </c>
      <c r="AQ2600" s="347" t="s">
        <v>370</v>
      </c>
      <c r="BF2600" s="347">
        <v>807</v>
      </c>
      <c r="BG2600" s="347" t="s">
        <v>376</v>
      </c>
      <c r="BH2600" s="1790"/>
      <c r="BN2600" s="237">
        <v>54.1</v>
      </c>
      <c r="BO2600" s="237" t="s">
        <v>352</v>
      </c>
      <c r="BT2600" s="347">
        <v>207.04</v>
      </c>
      <c r="BU2600" s="347" t="s">
        <v>370</v>
      </c>
      <c r="CD2600" s="237">
        <v>147.02000000000001</v>
      </c>
      <c r="CE2600" s="237" t="s">
        <v>323</v>
      </c>
      <c r="CJ2600" s="347">
        <v>804</v>
      </c>
      <c r="CK2600" s="347" t="s">
        <v>376</v>
      </c>
      <c r="CL2600" s="1789"/>
      <c r="CR2600" s="345"/>
      <c r="CS2600" s="345"/>
      <c r="CX2600" s="347"/>
      <c r="CY2600" s="347"/>
      <c r="DH2600" s="237"/>
      <c r="DI2600" s="237"/>
      <c r="DN2600" s="347"/>
      <c r="DO2600" s="347"/>
      <c r="DP2600" s="2505"/>
    </row>
    <row r="2601" spans="30:120">
      <c r="AD2601" s="1138"/>
      <c r="AP2601" s="347">
        <v>207.06</v>
      </c>
      <c r="AQ2601" s="347" t="s">
        <v>370</v>
      </c>
      <c r="BF2601" s="347">
        <v>808.03</v>
      </c>
      <c r="BG2601" s="347" t="s">
        <v>376</v>
      </c>
      <c r="BH2601" s="1790"/>
      <c r="BN2601" s="237">
        <v>55.03</v>
      </c>
      <c r="BO2601" s="237" t="s">
        <v>352</v>
      </c>
      <c r="BT2601" s="347">
        <v>207.06</v>
      </c>
      <c r="BU2601" s="347" t="s">
        <v>370</v>
      </c>
      <c r="CD2601" s="237">
        <v>147.02000000000001</v>
      </c>
      <c r="CE2601" s="237" t="s">
        <v>352</v>
      </c>
      <c r="CJ2601" s="347">
        <v>804.05</v>
      </c>
      <c r="CK2601" s="347" t="s">
        <v>310</v>
      </c>
      <c r="CL2601" s="1789"/>
      <c r="CR2601" s="345"/>
      <c r="CS2601" s="345"/>
      <c r="CX2601" s="347"/>
      <c r="CY2601" s="347"/>
      <c r="DH2601" s="237"/>
      <c r="DI2601" s="237"/>
      <c r="DN2601" s="347"/>
      <c r="DO2601" s="347"/>
      <c r="DP2601" s="2505"/>
    </row>
    <row r="2602" spans="30:120">
      <c r="AD2602" s="1138"/>
      <c r="AP2602" s="347">
        <v>207.07</v>
      </c>
      <c r="AQ2602" s="347" t="s">
        <v>370</v>
      </c>
      <c r="BF2602" s="347">
        <v>808.06</v>
      </c>
      <c r="BG2602" s="347" t="s">
        <v>376</v>
      </c>
      <c r="BH2602" s="1790"/>
      <c r="BN2602" s="237">
        <v>55.04</v>
      </c>
      <c r="BO2602" s="237" t="s">
        <v>352</v>
      </c>
      <c r="BT2602" s="347">
        <v>207.07</v>
      </c>
      <c r="BU2602" s="347" t="s">
        <v>370</v>
      </c>
      <c r="CD2602" s="237">
        <v>147.02000000000001</v>
      </c>
      <c r="CE2602" s="237" t="s">
        <v>359</v>
      </c>
      <c r="CJ2602" s="347">
        <v>804.06</v>
      </c>
      <c r="CK2602" s="347" t="s">
        <v>310</v>
      </c>
      <c r="CL2602" s="1789"/>
      <c r="CR2602" s="345"/>
      <c r="CS2602" s="345"/>
      <c r="CX2602" s="347"/>
      <c r="CY2602" s="347"/>
      <c r="DH2602" s="237"/>
      <c r="DI2602" s="237"/>
      <c r="DN2602" s="347"/>
      <c r="DO2602" s="347"/>
      <c r="DP2602" s="2505"/>
    </row>
    <row r="2603" spans="30:120">
      <c r="AD2603" s="1138"/>
      <c r="AP2603" s="347">
        <v>207.08</v>
      </c>
      <c r="AQ2603" s="347" t="s">
        <v>370</v>
      </c>
      <c r="BF2603" s="347">
        <v>808.07</v>
      </c>
      <c r="BG2603" s="347" t="s">
        <v>376</v>
      </c>
      <c r="BH2603" s="1790"/>
      <c r="BN2603" s="237">
        <v>55.05</v>
      </c>
      <c r="BO2603" s="237" t="s">
        <v>352</v>
      </c>
      <c r="BT2603" s="347">
        <v>207.08</v>
      </c>
      <c r="BU2603" s="347" t="s">
        <v>370</v>
      </c>
      <c r="CD2603" s="237">
        <v>147.03</v>
      </c>
      <c r="CE2603" s="237" t="s">
        <v>323</v>
      </c>
      <c r="CJ2603" s="347">
        <v>805</v>
      </c>
      <c r="CK2603" s="347" t="s">
        <v>376</v>
      </c>
      <c r="CL2603" s="1789"/>
      <c r="CR2603" s="345"/>
      <c r="CS2603" s="345"/>
      <c r="CX2603" s="347"/>
      <c r="CY2603" s="347"/>
      <c r="DH2603" s="237"/>
      <c r="DI2603" s="237"/>
      <c r="DN2603" s="347"/>
      <c r="DO2603" s="347"/>
      <c r="DP2603" s="2505"/>
    </row>
    <row r="2604" spans="30:120">
      <c r="AD2604" s="1138"/>
      <c r="AP2604" s="347">
        <v>207.1</v>
      </c>
      <c r="AQ2604" s="347" t="s">
        <v>370</v>
      </c>
      <c r="BF2604" s="347">
        <v>808.08</v>
      </c>
      <c r="BG2604" s="347" t="s">
        <v>376</v>
      </c>
      <c r="BH2604" s="1790"/>
      <c r="BN2604" s="237">
        <v>55.06</v>
      </c>
      <c r="BO2604" s="237" t="s">
        <v>352</v>
      </c>
      <c r="BT2604" s="347">
        <v>207.1</v>
      </c>
      <c r="BU2604" s="347" t="s">
        <v>370</v>
      </c>
      <c r="CD2604" s="237">
        <v>147.03</v>
      </c>
      <c r="CE2604" s="237" t="s">
        <v>359</v>
      </c>
      <c r="CJ2604" s="347">
        <v>807</v>
      </c>
      <c r="CK2604" s="347" t="s">
        <v>376</v>
      </c>
      <c r="CL2604" s="1789"/>
      <c r="CR2604" s="345"/>
      <c r="CS2604" s="345"/>
      <c r="CX2604" s="347"/>
      <c r="CY2604" s="347"/>
      <c r="DH2604" s="237"/>
      <c r="DI2604" s="237"/>
      <c r="DN2604" s="347"/>
      <c r="DO2604" s="347"/>
      <c r="DP2604" s="2505"/>
    </row>
    <row r="2605" spans="30:120">
      <c r="AD2605" s="1138"/>
      <c r="AP2605" s="347">
        <v>207.12</v>
      </c>
      <c r="AQ2605" s="347" t="s">
        <v>370</v>
      </c>
      <c r="BF2605" s="347">
        <v>811.02</v>
      </c>
      <c r="BG2605" s="347" t="s">
        <v>376</v>
      </c>
      <c r="BH2605" s="1790"/>
      <c r="BN2605" s="237">
        <v>56</v>
      </c>
      <c r="BO2605" s="237" t="s">
        <v>352</v>
      </c>
      <c r="BT2605" s="347">
        <v>207.12</v>
      </c>
      <c r="BU2605" s="347" t="s">
        <v>370</v>
      </c>
      <c r="CD2605" s="237">
        <v>147.03</v>
      </c>
      <c r="CE2605" s="237" t="s">
        <v>365</v>
      </c>
      <c r="CJ2605" s="347">
        <v>808.03</v>
      </c>
      <c r="CK2605" s="347" t="s">
        <v>376</v>
      </c>
      <c r="CL2605" s="1789"/>
      <c r="CR2605" s="345"/>
      <c r="CS2605" s="345"/>
      <c r="CX2605" s="347"/>
      <c r="CY2605" s="347"/>
      <c r="DH2605" s="237"/>
      <c r="DI2605" s="237"/>
      <c r="DN2605" s="347"/>
      <c r="DO2605" s="347"/>
      <c r="DP2605" s="2505"/>
    </row>
    <row r="2606" spans="30:120">
      <c r="AD2606" s="1138"/>
      <c r="AP2606" s="347">
        <v>207.13</v>
      </c>
      <c r="AQ2606" s="347" t="s">
        <v>370</v>
      </c>
      <c r="BF2606" s="347">
        <v>812.01</v>
      </c>
      <c r="BG2606" s="347" t="s">
        <v>376</v>
      </c>
      <c r="BH2606" s="1790"/>
      <c r="BN2606" s="237">
        <v>57.01</v>
      </c>
      <c r="BO2606" s="237" t="s">
        <v>352</v>
      </c>
      <c r="BT2606" s="347">
        <v>207.13</v>
      </c>
      <c r="BU2606" s="347" t="s">
        <v>370</v>
      </c>
      <c r="CD2606" s="237">
        <v>147.04</v>
      </c>
      <c r="CE2606" s="237" t="s">
        <v>323</v>
      </c>
      <c r="CJ2606" s="347">
        <v>808.06</v>
      </c>
      <c r="CK2606" s="347" t="s">
        <v>376</v>
      </c>
      <c r="CL2606" s="1789"/>
      <c r="CR2606" s="345"/>
      <c r="CS2606" s="345"/>
      <c r="CX2606" s="347"/>
      <c r="CY2606" s="347"/>
      <c r="DH2606" s="237"/>
      <c r="DI2606" s="237"/>
      <c r="DN2606" s="347"/>
      <c r="DO2606" s="347"/>
      <c r="DP2606" s="2505"/>
    </row>
    <row r="2607" spans="30:120">
      <c r="AD2607" s="1138"/>
      <c r="AP2607" s="347">
        <v>208.01</v>
      </c>
      <c r="AQ2607" s="347" t="s">
        <v>370</v>
      </c>
      <c r="BF2607" s="347">
        <v>813</v>
      </c>
      <c r="BG2607" s="347" t="s">
        <v>376</v>
      </c>
      <c r="BH2607" s="1790"/>
      <c r="BN2607" s="237">
        <v>57.05</v>
      </c>
      <c r="BO2607" s="237" t="s">
        <v>352</v>
      </c>
      <c r="BT2607" s="347">
        <v>208.01</v>
      </c>
      <c r="BU2607" s="347" t="s">
        <v>370</v>
      </c>
      <c r="CD2607" s="237">
        <v>147.04</v>
      </c>
      <c r="CE2607" s="237" t="s">
        <v>365</v>
      </c>
      <c r="CJ2607" s="347">
        <v>808.07</v>
      </c>
      <c r="CK2607" s="347" t="s">
        <v>376</v>
      </c>
      <c r="CL2607" s="1789"/>
      <c r="CR2607" s="345"/>
      <c r="CS2607" s="345"/>
      <c r="CX2607" s="347"/>
      <c r="CY2607" s="347"/>
      <c r="DH2607" s="237"/>
      <c r="DI2607" s="237"/>
      <c r="DN2607" s="347"/>
      <c r="DO2607" s="347"/>
      <c r="DP2607" s="2505"/>
    </row>
    <row r="2608" spans="30:120">
      <c r="AD2608" s="1138"/>
      <c r="AP2608" s="347">
        <v>208.02</v>
      </c>
      <c r="AQ2608" s="347" t="s">
        <v>370</v>
      </c>
      <c r="BF2608" s="347">
        <v>823.03</v>
      </c>
      <c r="BG2608" s="347" t="s">
        <v>376</v>
      </c>
      <c r="BH2608" s="1790"/>
      <c r="BN2608" s="237">
        <v>57.06</v>
      </c>
      <c r="BO2608" s="237" t="s">
        <v>352</v>
      </c>
      <c r="BT2608" s="347">
        <v>208.02</v>
      </c>
      <c r="BU2608" s="347" t="s">
        <v>370</v>
      </c>
      <c r="CD2608" s="237">
        <v>147.05000000000001</v>
      </c>
      <c r="CE2608" s="237" t="s">
        <v>359</v>
      </c>
      <c r="CJ2608" s="347">
        <v>808.08</v>
      </c>
      <c r="CK2608" s="347" t="s">
        <v>376</v>
      </c>
      <c r="CL2608" s="1789"/>
      <c r="CR2608" s="345"/>
      <c r="CS2608" s="345"/>
      <c r="CX2608" s="347"/>
      <c r="CY2608" s="347"/>
      <c r="DH2608" s="237"/>
      <c r="DI2608" s="237"/>
      <c r="DN2608" s="347"/>
      <c r="DO2608" s="347"/>
      <c r="DP2608" s="2505"/>
    </row>
    <row r="2609" spans="30:120">
      <c r="AD2609" s="1138"/>
      <c r="AP2609" s="347">
        <v>208.03</v>
      </c>
      <c r="AQ2609" s="347" t="s">
        <v>370</v>
      </c>
      <c r="BF2609" s="347">
        <v>824.05</v>
      </c>
      <c r="BG2609" s="347" t="s">
        <v>376</v>
      </c>
      <c r="BH2609" s="1790"/>
      <c r="BN2609" s="237">
        <v>57.07</v>
      </c>
      <c r="BO2609" s="237" t="s">
        <v>352</v>
      </c>
      <c r="BT2609" s="347">
        <v>208.03</v>
      </c>
      <c r="BU2609" s="347" t="s">
        <v>370</v>
      </c>
      <c r="CD2609" s="237">
        <v>147.06</v>
      </c>
      <c r="CE2609" s="237" t="s">
        <v>359</v>
      </c>
      <c r="CJ2609" s="347">
        <v>811.01</v>
      </c>
      <c r="CK2609" s="347" t="s">
        <v>376</v>
      </c>
      <c r="CL2609" s="1789"/>
      <c r="CR2609" s="345"/>
      <c r="CS2609" s="345"/>
      <c r="CX2609" s="347"/>
      <c r="CY2609" s="347"/>
      <c r="DH2609" s="237"/>
      <c r="DI2609" s="237"/>
      <c r="DN2609" s="347"/>
      <c r="DO2609" s="347"/>
      <c r="DP2609" s="2505"/>
    </row>
    <row r="2610" spans="30:120">
      <c r="AD2610" s="1138"/>
      <c r="AP2610" s="347">
        <v>208.04</v>
      </c>
      <c r="AQ2610" s="347" t="s">
        <v>370</v>
      </c>
      <c r="BF2610" s="347">
        <v>824.06</v>
      </c>
      <c r="BG2610" s="347" t="s">
        <v>376</v>
      </c>
      <c r="BH2610" s="1790"/>
      <c r="BN2610" s="237">
        <v>57.08</v>
      </c>
      <c r="BO2610" s="237" t="s">
        <v>352</v>
      </c>
      <c r="BT2610" s="347">
        <v>208.04</v>
      </c>
      <c r="BU2610" s="347" t="s">
        <v>370</v>
      </c>
      <c r="CD2610" s="237">
        <v>148</v>
      </c>
      <c r="CE2610" s="237" t="s">
        <v>323</v>
      </c>
      <c r="CJ2610" s="347">
        <v>811.02</v>
      </c>
      <c r="CK2610" s="347" t="s">
        <v>376</v>
      </c>
      <c r="CL2610" s="1789"/>
      <c r="CR2610" s="345"/>
      <c r="CS2610" s="345"/>
      <c r="CX2610" s="347"/>
      <c r="CY2610" s="347"/>
      <c r="DH2610" s="237"/>
      <c r="DI2610" s="237"/>
      <c r="DN2610" s="347"/>
      <c r="DO2610" s="347"/>
      <c r="DP2610" s="2505"/>
    </row>
    <row r="2611" spans="30:120">
      <c r="AD2611" s="1138"/>
      <c r="AP2611" s="347">
        <v>208.07</v>
      </c>
      <c r="AQ2611" s="347" t="s">
        <v>370</v>
      </c>
      <c r="BF2611" s="347">
        <v>824.1</v>
      </c>
      <c r="BG2611" s="347" t="s">
        <v>376</v>
      </c>
      <c r="BH2611" s="1790"/>
      <c r="BN2611" s="237">
        <v>58.03</v>
      </c>
      <c r="BO2611" s="237" t="s">
        <v>352</v>
      </c>
      <c r="BT2611" s="347">
        <v>208.07</v>
      </c>
      <c r="BU2611" s="347" t="s">
        <v>370</v>
      </c>
      <c r="CD2611" s="237">
        <v>148</v>
      </c>
      <c r="CE2611" s="237" t="s">
        <v>352</v>
      </c>
      <c r="CJ2611" s="347">
        <v>823.03</v>
      </c>
      <c r="CK2611" s="347" t="s">
        <v>376</v>
      </c>
      <c r="CL2611" s="1789"/>
      <c r="CR2611" s="345"/>
      <c r="CS2611" s="345"/>
      <c r="CX2611" s="347"/>
      <c r="CY2611" s="347"/>
      <c r="DH2611" s="237"/>
      <c r="DI2611" s="237"/>
      <c r="DN2611" s="347"/>
      <c r="DO2611" s="347"/>
      <c r="DP2611" s="2505"/>
    </row>
    <row r="2612" spans="30:120">
      <c r="AD2612" s="1138"/>
      <c r="AP2612" s="347">
        <v>208.08</v>
      </c>
      <c r="AQ2612" s="347" t="s">
        <v>370</v>
      </c>
      <c r="BF2612" s="347">
        <v>824.13</v>
      </c>
      <c r="BG2612" s="347" t="s">
        <v>376</v>
      </c>
      <c r="BH2612" s="1790"/>
      <c r="BN2612" s="237">
        <v>58.04</v>
      </c>
      <c r="BO2612" s="237" t="s">
        <v>352</v>
      </c>
      <c r="BT2612" s="347">
        <v>208.08</v>
      </c>
      <c r="BU2612" s="347" t="s">
        <v>370</v>
      </c>
      <c r="CD2612" s="237">
        <v>148.02000000000001</v>
      </c>
      <c r="CE2612" s="237" t="s">
        <v>365</v>
      </c>
      <c r="CJ2612" s="347">
        <v>824.05</v>
      </c>
      <c r="CK2612" s="347" t="s">
        <v>376</v>
      </c>
      <c r="CL2612" s="1789"/>
      <c r="CR2612" s="345"/>
      <c r="CS2612" s="345"/>
      <c r="CX2612" s="347"/>
      <c r="CY2612" s="347"/>
      <c r="DH2612" s="237"/>
      <c r="DI2612" s="237"/>
      <c r="DN2612" s="347"/>
      <c r="DO2612" s="347"/>
      <c r="DP2612" s="2505"/>
    </row>
    <row r="2613" spans="30:120">
      <c r="AD2613" s="1138"/>
      <c r="AP2613" s="347">
        <v>208.09</v>
      </c>
      <c r="AQ2613" s="347" t="s">
        <v>370</v>
      </c>
      <c r="BF2613" s="347">
        <v>825.08</v>
      </c>
      <c r="BG2613" s="347" t="s">
        <v>376</v>
      </c>
      <c r="BH2613" s="1790"/>
      <c r="BN2613" s="237">
        <v>58.05</v>
      </c>
      <c r="BO2613" s="237" t="s">
        <v>352</v>
      </c>
      <c r="BT2613" s="347">
        <v>208.09</v>
      </c>
      <c r="BU2613" s="347" t="s">
        <v>370</v>
      </c>
      <c r="CD2613" s="237">
        <v>148.03</v>
      </c>
      <c r="CE2613" s="237" t="s">
        <v>365</v>
      </c>
      <c r="CJ2613" s="347">
        <v>824.06</v>
      </c>
      <c r="CK2613" s="347" t="s">
        <v>376</v>
      </c>
      <c r="CL2613" s="1789"/>
      <c r="CR2613" s="345"/>
      <c r="CS2613" s="345"/>
      <c r="CX2613" s="347"/>
      <c r="CY2613" s="347"/>
      <c r="DH2613" s="237"/>
      <c r="DI2613" s="237"/>
      <c r="DN2613" s="347"/>
      <c r="DO2613" s="347"/>
      <c r="DP2613" s="2505"/>
    </row>
    <row r="2614" spans="30:120">
      <c r="AD2614" s="1138"/>
      <c r="AP2614" s="347">
        <v>208.1</v>
      </c>
      <c r="AQ2614" s="347" t="s">
        <v>370</v>
      </c>
      <c r="BF2614" s="347">
        <v>825.09</v>
      </c>
      <c r="BG2614" s="347" t="s">
        <v>376</v>
      </c>
      <c r="BH2614" s="1790"/>
      <c r="BN2614" s="237">
        <v>58.06</v>
      </c>
      <c r="BO2614" s="237" t="s">
        <v>352</v>
      </c>
      <c r="BT2614" s="347">
        <v>208.1</v>
      </c>
      <c r="BU2614" s="347" t="s">
        <v>370</v>
      </c>
      <c r="CD2614" s="237">
        <v>148.04</v>
      </c>
      <c r="CE2614" s="237" t="s">
        <v>359</v>
      </c>
      <c r="CJ2614" s="347">
        <v>824.1</v>
      </c>
      <c r="CK2614" s="347" t="s">
        <v>376</v>
      </c>
      <c r="CL2614" s="1789"/>
      <c r="CR2614" s="345"/>
      <c r="CS2614" s="345"/>
      <c r="CX2614" s="347"/>
      <c r="CY2614" s="347"/>
      <c r="DH2614" s="237"/>
      <c r="DI2614" s="237"/>
      <c r="DN2614" s="347"/>
      <c r="DO2614" s="347"/>
      <c r="DP2614" s="2505"/>
    </row>
    <row r="2615" spans="30:120">
      <c r="AD2615" s="1138"/>
      <c r="AP2615" s="347">
        <v>208.11</v>
      </c>
      <c r="AQ2615" s="347" t="s">
        <v>370</v>
      </c>
      <c r="BF2615" s="347">
        <v>825.12</v>
      </c>
      <c r="BG2615" s="347" t="s">
        <v>376</v>
      </c>
      <c r="BH2615" s="1790"/>
      <c r="BN2615" s="237">
        <v>59.01</v>
      </c>
      <c r="BO2615" s="237" t="s">
        <v>352</v>
      </c>
      <c r="BT2615" s="347">
        <v>208.11</v>
      </c>
      <c r="BU2615" s="347" t="s">
        <v>370</v>
      </c>
      <c r="CD2615" s="237">
        <v>148.04</v>
      </c>
      <c r="CE2615" s="237" t="s">
        <v>365</v>
      </c>
      <c r="CJ2615" s="347">
        <v>824.12</v>
      </c>
      <c r="CK2615" s="347" t="s">
        <v>376</v>
      </c>
      <c r="CL2615" s="1789"/>
      <c r="CR2615" s="345"/>
      <c r="CS2615" s="345"/>
      <c r="CX2615" s="347"/>
      <c r="CY2615" s="347"/>
      <c r="DH2615" s="237"/>
      <c r="DI2615" s="237"/>
      <c r="DN2615" s="347"/>
      <c r="DO2615" s="347"/>
      <c r="DP2615" s="2505"/>
    </row>
    <row r="2616" spans="30:120">
      <c r="AD2616" s="1138"/>
      <c r="AP2616" s="347">
        <v>209.04</v>
      </c>
      <c r="AQ2616" s="347" t="s">
        <v>370</v>
      </c>
      <c r="BF2616" s="347">
        <v>826.05</v>
      </c>
      <c r="BG2616" s="347" t="s">
        <v>376</v>
      </c>
      <c r="BH2616" s="1790"/>
      <c r="BN2616" s="237">
        <v>59.02</v>
      </c>
      <c r="BO2616" s="237" t="s">
        <v>352</v>
      </c>
      <c r="BT2616" s="347">
        <v>209.04</v>
      </c>
      <c r="BU2616" s="347" t="s">
        <v>370</v>
      </c>
      <c r="CD2616" s="237">
        <v>148.05000000000001</v>
      </c>
      <c r="CE2616" s="237" t="s">
        <v>359</v>
      </c>
      <c r="CJ2616" s="347">
        <v>824.13</v>
      </c>
      <c r="CK2616" s="347" t="s">
        <v>376</v>
      </c>
      <c r="CL2616" s="1789"/>
      <c r="CR2616" s="345"/>
      <c r="CS2616" s="345"/>
      <c r="CX2616" s="347"/>
      <c r="CY2616" s="347"/>
      <c r="DH2616" s="237"/>
      <c r="DI2616" s="237"/>
      <c r="DN2616" s="347"/>
      <c r="DO2616" s="347"/>
      <c r="DP2616" s="2505"/>
    </row>
    <row r="2617" spans="30:120">
      <c r="AD2617" s="1138"/>
      <c r="AP2617" s="347">
        <v>209.05</v>
      </c>
      <c r="AQ2617" s="347" t="s">
        <v>370</v>
      </c>
      <c r="BF2617" s="347">
        <v>826.06</v>
      </c>
      <c r="BG2617" s="347" t="s">
        <v>376</v>
      </c>
      <c r="BH2617" s="1790"/>
      <c r="BN2617" s="237">
        <v>59.03</v>
      </c>
      <c r="BO2617" s="237" t="s">
        <v>352</v>
      </c>
      <c r="BT2617" s="347">
        <v>209.05</v>
      </c>
      <c r="BU2617" s="347" t="s">
        <v>370</v>
      </c>
      <c r="CD2617" s="237">
        <v>148.06</v>
      </c>
      <c r="CE2617" s="237" t="s">
        <v>359</v>
      </c>
      <c r="CJ2617" s="347">
        <v>825.03</v>
      </c>
      <c r="CK2617" s="347" t="s">
        <v>376</v>
      </c>
      <c r="CL2617" s="1789"/>
      <c r="CR2617" s="345"/>
      <c r="CS2617" s="345"/>
      <c r="CX2617" s="347"/>
      <c r="CY2617" s="347"/>
      <c r="DH2617" s="237"/>
      <c r="DI2617" s="237"/>
      <c r="DN2617" s="347"/>
      <c r="DO2617" s="347"/>
      <c r="DP2617" s="2505"/>
    </row>
    <row r="2618" spans="30:120">
      <c r="AD2618" s="1138"/>
      <c r="AP2618" s="347">
        <v>209.06</v>
      </c>
      <c r="AQ2618" s="347" t="s">
        <v>370</v>
      </c>
      <c r="BF2618" s="347">
        <v>826.07</v>
      </c>
      <c r="BG2618" s="347" t="s">
        <v>376</v>
      </c>
      <c r="BH2618" s="1790"/>
      <c r="BN2618" s="237">
        <v>59.04</v>
      </c>
      <c r="BO2618" s="237" t="s">
        <v>352</v>
      </c>
      <c r="BT2618" s="347">
        <v>209.07</v>
      </c>
      <c r="BU2618" s="347" t="s">
        <v>370</v>
      </c>
      <c r="CD2618" s="237">
        <v>148.07</v>
      </c>
      <c r="CE2618" s="237" t="s">
        <v>359</v>
      </c>
      <c r="CJ2618" s="347">
        <v>825.08</v>
      </c>
      <c r="CK2618" s="347" t="s">
        <v>376</v>
      </c>
      <c r="CL2618" s="1789"/>
      <c r="CR2618" s="345"/>
      <c r="CS2618" s="345"/>
      <c r="CX2618" s="347"/>
      <c r="CY2618" s="347"/>
      <c r="DH2618" s="237"/>
      <c r="DI2618" s="237"/>
      <c r="DN2618" s="347"/>
      <c r="DO2618" s="347"/>
      <c r="DP2618" s="2505"/>
    </row>
    <row r="2619" spans="30:120">
      <c r="AD2619" s="1138"/>
      <c r="AP2619" s="347">
        <v>209.07</v>
      </c>
      <c r="AQ2619" s="347" t="s">
        <v>370</v>
      </c>
      <c r="BF2619" s="347">
        <v>827.01</v>
      </c>
      <c r="BG2619" s="347" t="s">
        <v>376</v>
      </c>
      <c r="BH2619" s="1790"/>
      <c r="BN2619" s="237">
        <v>60.02</v>
      </c>
      <c r="BO2619" s="237" t="s">
        <v>352</v>
      </c>
      <c r="BT2619" s="347">
        <v>209.08</v>
      </c>
      <c r="BU2619" s="347" t="s">
        <v>370</v>
      </c>
      <c r="CD2619" s="237">
        <v>148.09</v>
      </c>
      <c r="CE2619" s="237" t="s">
        <v>359</v>
      </c>
      <c r="CJ2619" s="347">
        <v>825.09</v>
      </c>
      <c r="CK2619" s="347" t="s">
        <v>376</v>
      </c>
      <c r="CL2619" s="1789"/>
      <c r="CR2619" s="345"/>
      <c r="CS2619" s="345"/>
      <c r="CX2619" s="347"/>
      <c r="CY2619" s="347"/>
      <c r="DH2619" s="237"/>
      <c r="DI2619" s="237"/>
      <c r="DN2619" s="347"/>
      <c r="DO2619" s="347"/>
      <c r="DP2619" s="2505"/>
    </row>
    <row r="2620" spans="30:120">
      <c r="AD2620" s="1138"/>
      <c r="AP2620" s="347">
        <v>212.07</v>
      </c>
      <c r="AQ2620" s="347" t="s">
        <v>370</v>
      </c>
      <c r="BF2620" s="347">
        <v>827.03</v>
      </c>
      <c r="BG2620" s="347" t="s">
        <v>376</v>
      </c>
      <c r="BH2620" s="1790"/>
      <c r="BN2620" s="237">
        <v>60.03</v>
      </c>
      <c r="BO2620" s="237" t="s">
        <v>352</v>
      </c>
      <c r="BT2620" s="347">
        <v>212.07</v>
      </c>
      <c r="BU2620" s="347" t="s">
        <v>370</v>
      </c>
      <c r="CD2620" s="237">
        <v>148.1</v>
      </c>
      <c r="CE2620" s="237" t="s">
        <v>359</v>
      </c>
      <c r="CJ2620" s="347">
        <v>825.12</v>
      </c>
      <c r="CK2620" s="347" t="s">
        <v>376</v>
      </c>
      <c r="CL2620" s="1789"/>
      <c r="CR2620" s="345"/>
      <c r="CS2620" s="345"/>
      <c r="CX2620" s="347"/>
      <c r="CY2620" s="347"/>
      <c r="DH2620" s="237"/>
      <c r="DI2620" s="237"/>
      <c r="DN2620" s="347"/>
      <c r="DO2620" s="347"/>
      <c r="DP2620" s="2505"/>
    </row>
    <row r="2621" spans="30:120">
      <c r="AD2621" s="1138"/>
      <c r="AP2621" s="347">
        <v>212.11</v>
      </c>
      <c r="AQ2621" s="347" t="s">
        <v>370</v>
      </c>
      <c r="BF2621" s="347">
        <v>827.04</v>
      </c>
      <c r="BG2621" s="347" t="s">
        <v>376</v>
      </c>
      <c r="BH2621" s="1790"/>
      <c r="BN2621" s="237">
        <v>60.04</v>
      </c>
      <c r="BO2621" s="237" t="s">
        <v>352</v>
      </c>
      <c r="BT2621" s="347">
        <v>212.11</v>
      </c>
      <c r="BU2621" s="347" t="s">
        <v>370</v>
      </c>
      <c r="CD2621" s="237">
        <v>148.11000000000001</v>
      </c>
      <c r="CE2621" s="237" t="s">
        <v>359</v>
      </c>
      <c r="CJ2621" s="347">
        <v>826.04</v>
      </c>
      <c r="CK2621" s="347" t="s">
        <v>376</v>
      </c>
      <c r="CL2621" s="1789"/>
      <c r="CR2621" s="345"/>
      <c r="CS2621" s="345"/>
      <c r="CX2621" s="347"/>
      <c r="CY2621" s="347"/>
      <c r="DH2621" s="237"/>
      <c r="DI2621" s="237"/>
      <c r="DN2621" s="347"/>
      <c r="DO2621" s="347"/>
      <c r="DP2621" s="2505"/>
    </row>
    <row r="2622" spans="30:120">
      <c r="AD2622" s="1138"/>
      <c r="AP2622" s="347">
        <v>214.03</v>
      </c>
      <c r="AQ2622" s="347" t="s">
        <v>370</v>
      </c>
      <c r="BF2622" s="347">
        <v>827.05</v>
      </c>
      <c r="BG2622" s="347" t="s">
        <v>376</v>
      </c>
      <c r="BH2622" s="1790"/>
      <c r="BN2622" s="237">
        <v>61.03</v>
      </c>
      <c r="BO2622" s="237" t="s">
        <v>352</v>
      </c>
      <c r="BT2622" s="347">
        <v>214.04</v>
      </c>
      <c r="BU2622" s="347" t="s">
        <v>370</v>
      </c>
      <c r="CD2622" s="237">
        <v>148.12</v>
      </c>
      <c r="CE2622" s="237" t="s">
        <v>359</v>
      </c>
      <c r="CJ2622" s="347">
        <v>826.05</v>
      </c>
      <c r="CK2622" s="347" t="s">
        <v>376</v>
      </c>
      <c r="CL2622" s="1789"/>
      <c r="CR2622" s="345"/>
      <c r="CS2622" s="345"/>
      <c r="CX2622" s="347"/>
      <c r="CY2622" s="347"/>
      <c r="DH2622" s="237"/>
      <c r="DI2622" s="237"/>
      <c r="DN2622" s="347"/>
      <c r="DO2622" s="347"/>
      <c r="DP2622" s="2505"/>
    </row>
    <row r="2623" spans="30:120">
      <c r="AD2623" s="1138"/>
      <c r="AP2623" s="347">
        <v>214.04</v>
      </c>
      <c r="AQ2623" s="347" t="s">
        <v>370</v>
      </c>
      <c r="BF2623" s="347">
        <v>828.01</v>
      </c>
      <c r="BG2623" s="347" t="s">
        <v>376</v>
      </c>
      <c r="BH2623" s="1790"/>
      <c r="BN2623" s="237">
        <v>61.04</v>
      </c>
      <c r="BO2623" s="237" t="s">
        <v>352</v>
      </c>
      <c r="BT2623" s="347">
        <v>214.08</v>
      </c>
      <c r="BU2623" s="347" t="s">
        <v>370</v>
      </c>
      <c r="CD2623" s="237">
        <v>148.13</v>
      </c>
      <c r="CE2623" s="237" t="s">
        <v>359</v>
      </c>
      <c r="CJ2623" s="347">
        <v>826.06</v>
      </c>
      <c r="CK2623" s="347" t="s">
        <v>376</v>
      </c>
      <c r="CL2623" s="1789"/>
      <c r="CR2623" s="345"/>
      <c r="CS2623" s="345"/>
      <c r="CX2623" s="347"/>
      <c r="CY2623" s="347"/>
      <c r="DH2623" s="237"/>
      <c r="DI2623" s="237"/>
      <c r="DN2623" s="347"/>
      <c r="DO2623" s="347"/>
      <c r="DP2623" s="2505"/>
    </row>
    <row r="2624" spans="30:120">
      <c r="AD2624" s="1138"/>
      <c r="AP2624" s="347">
        <v>214.08</v>
      </c>
      <c r="AQ2624" s="347" t="s">
        <v>370</v>
      </c>
      <c r="BF2624" s="347">
        <v>828.02</v>
      </c>
      <c r="BG2624" s="347" t="s">
        <v>376</v>
      </c>
      <c r="BH2624" s="1790"/>
      <c r="BN2624" s="237">
        <v>61.05</v>
      </c>
      <c r="BO2624" s="237" t="s">
        <v>352</v>
      </c>
      <c r="BT2624" s="347">
        <v>214.09</v>
      </c>
      <c r="BU2624" s="347" t="s">
        <v>370</v>
      </c>
      <c r="CD2624" s="237">
        <v>148.13999999999999</v>
      </c>
      <c r="CE2624" s="237" t="s">
        <v>359</v>
      </c>
      <c r="CJ2624" s="347">
        <v>826.07</v>
      </c>
      <c r="CK2624" s="347" t="s">
        <v>376</v>
      </c>
      <c r="CL2624" s="1789"/>
      <c r="CR2624" s="345"/>
      <c r="CS2624" s="345"/>
      <c r="CX2624" s="347"/>
      <c r="CY2624" s="347"/>
      <c r="DH2624" s="237"/>
      <c r="DI2624" s="237"/>
      <c r="DN2624" s="347"/>
      <c r="DO2624" s="347"/>
      <c r="DP2624" s="2505"/>
    </row>
    <row r="2625" spans="30:120">
      <c r="AD2625" s="1138"/>
      <c r="AP2625" s="347">
        <v>214.09</v>
      </c>
      <c r="AQ2625" s="347" t="s">
        <v>370</v>
      </c>
      <c r="BF2625" s="347">
        <v>829.03</v>
      </c>
      <c r="BG2625" s="347" t="s">
        <v>376</v>
      </c>
      <c r="BH2625" s="1790"/>
      <c r="BN2625" s="237">
        <v>61.06</v>
      </c>
      <c r="BO2625" s="237" t="s">
        <v>352</v>
      </c>
      <c r="BT2625" s="347">
        <v>3807</v>
      </c>
      <c r="BU2625" s="347" t="s">
        <v>371</v>
      </c>
      <c r="CD2625" s="237">
        <v>148.15</v>
      </c>
      <c r="CE2625" s="237" t="s">
        <v>359</v>
      </c>
      <c r="CJ2625" s="347">
        <v>827.01</v>
      </c>
      <c r="CK2625" s="347" t="s">
        <v>376</v>
      </c>
      <c r="CL2625" s="1789"/>
      <c r="CR2625" s="345"/>
      <c r="CS2625" s="345"/>
      <c r="CX2625" s="347"/>
      <c r="CY2625" s="347"/>
      <c r="DH2625" s="237"/>
      <c r="DI2625" s="237"/>
      <c r="DN2625" s="347"/>
      <c r="DO2625" s="347"/>
      <c r="DP2625" s="2505"/>
    </row>
    <row r="2626" spans="30:120">
      <c r="AD2626" s="1138"/>
      <c r="AP2626" s="347">
        <v>3807</v>
      </c>
      <c r="AQ2626" s="347" t="s">
        <v>371</v>
      </c>
      <c r="BF2626" s="347">
        <v>829.04</v>
      </c>
      <c r="BG2626" s="347" t="s">
        <v>376</v>
      </c>
      <c r="BH2626" s="1790"/>
      <c r="BN2626" s="237">
        <v>62.01</v>
      </c>
      <c r="BO2626" s="237" t="s">
        <v>352</v>
      </c>
      <c r="BT2626" s="347">
        <v>3811.05</v>
      </c>
      <c r="BU2626" s="347" t="s">
        <v>371</v>
      </c>
      <c r="CD2626" s="237">
        <v>149</v>
      </c>
      <c r="CE2626" s="237" t="s">
        <v>352</v>
      </c>
      <c r="CJ2626" s="347">
        <v>827.03</v>
      </c>
      <c r="CK2626" s="347" t="s">
        <v>376</v>
      </c>
      <c r="CL2626" s="1789"/>
      <c r="CR2626" s="345"/>
      <c r="CS2626" s="345"/>
      <c r="CX2626" s="347"/>
      <c r="CY2626" s="347"/>
      <c r="DH2626" s="237"/>
      <c r="DI2626" s="237"/>
      <c r="DN2626" s="347"/>
      <c r="DO2626" s="347"/>
      <c r="DP2626" s="2505"/>
    </row>
    <row r="2627" spans="30:120">
      <c r="AD2627" s="1138"/>
      <c r="AP2627" s="347">
        <v>3810</v>
      </c>
      <c r="AQ2627" s="347" t="s">
        <v>371</v>
      </c>
      <c r="BF2627" s="347">
        <v>830.06</v>
      </c>
      <c r="BG2627" s="347" t="s">
        <v>376</v>
      </c>
      <c r="BH2627" s="1790"/>
      <c r="BN2627" s="237">
        <v>62.03</v>
      </c>
      <c r="BO2627" s="237" t="s">
        <v>352</v>
      </c>
      <c r="BT2627" s="347">
        <v>3811.06</v>
      </c>
      <c r="BU2627" s="347" t="s">
        <v>371</v>
      </c>
      <c r="CD2627" s="237">
        <v>149.01</v>
      </c>
      <c r="CE2627" s="237" t="s">
        <v>323</v>
      </c>
      <c r="CJ2627" s="347">
        <v>827.04</v>
      </c>
      <c r="CK2627" s="347" t="s">
        <v>376</v>
      </c>
      <c r="CL2627" s="1789"/>
      <c r="CR2627" s="345"/>
      <c r="CS2627" s="345"/>
      <c r="CX2627" s="347"/>
      <c r="CY2627" s="347"/>
      <c r="DH2627" s="237"/>
      <c r="DI2627" s="237"/>
      <c r="DN2627" s="347"/>
      <c r="DO2627" s="347"/>
      <c r="DP2627" s="2505"/>
    </row>
    <row r="2628" spans="30:120">
      <c r="AD2628" s="1138"/>
      <c r="AP2628" s="347">
        <v>3811.05</v>
      </c>
      <c r="AQ2628" s="347" t="s">
        <v>371</v>
      </c>
      <c r="BF2628" s="347">
        <v>830.07</v>
      </c>
      <c r="BG2628" s="347" t="s">
        <v>376</v>
      </c>
      <c r="BH2628" s="1790"/>
      <c r="BN2628" s="237">
        <v>62.05</v>
      </c>
      <c r="BO2628" s="237" t="s">
        <v>352</v>
      </c>
      <c r="BT2628" s="347">
        <v>3812.04</v>
      </c>
      <c r="BU2628" s="347" t="s">
        <v>371</v>
      </c>
      <c r="CD2628" s="237">
        <v>149.02000000000001</v>
      </c>
      <c r="CE2628" s="237" t="s">
        <v>323</v>
      </c>
      <c r="CJ2628" s="347">
        <v>827.05</v>
      </c>
      <c r="CK2628" s="347" t="s">
        <v>376</v>
      </c>
      <c r="CL2628" s="1789"/>
      <c r="CR2628" s="345"/>
      <c r="CS2628" s="345"/>
      <c r="CX2628" s="347"/>
      <c r="CY2628" s="347"/>
      <c r="DH2628" s="237"/>
      <c r="DI2628" s="237"/>
      <c r="DN2628" s="347"/>
      <c r="DO2628" s="347"/>
      <c r="DP2628" s="2505"/>
    </row>
    <row r="2629" spans="30:120">
      <c r="AD2629" s="1138"/>
      <c r="AP2629" s="347">
        <v>3811.06</v>
      </c>
      <c r="AQ2629" s="347" t="s">
        <v>371</v>
      </c>
      <c r="BF2629" s="347">
        <v>830.08</v>
      </c>
      <c r="BG2629" s="347" t="s">
        <v>376</v>
      </c>
      <c r="BH2629" s="1790"/>
      <c r="BN2629" s="237">
        <v>62.06</v>
      </c>
      <c r="BO2629" s="237" t="s">
        <v>352</v>
      </c>
      <c r="BT2629" s="347">
        <v>3813</v>
      </c>
      <c r="BU2629" s="347" t="s">
        <v>371</v>
      </c>
      <c r="CD2629" s="237">
        <v>149.03</v>
      </c>
      <c r="CE2629" s="237" t="s">
        <v>365</v>
      </c>
      <c r="CJ2629" s="347">
        <v>828.01</v>
      </c>
      <c r="CK2629" s="347" t="s">
        <v>376</v>
      </c>
      <c r="CL2629" s="1789"/>
      <c r="CR2629" s="345"/>
      <c r="CS2629" s="345"/>
      <c r="CX2629" s="347"/>
      <c r="CY2629" s="347"/>
      <c r="DH2629" s="237"/>
      <c r="DI2629" s="237"/>
      <c r="DN2629" s="347"/>
      <c r="DO2629" s="347"/>
      <c r="DP2629" s="2505"/>
    </row>
    <row r="2630" spans="30:120">
      <c r="AD2630" s="1138"/>
      <c r="AP2630" s="347">
        <v>3812.04</v>
      </c>
      <c r="AQ2630" s="347" t="s">
        <v>371</v>
      </c>
      <c r="BF2630" s="347">
        <v>832.03</v>
      </c>
      <c r="BG2630" s="347" t="s">
        <v>376</v>
      </c>
      <c r="BH2630" s="1790"/>
      <c r="BN2630" s="237">
        <v>63.02</v>
      </c>
      <c r="BO2630" s="237" t="s">
        <v>352</v>
      </c>
      <c r="BT2630" s="347">
        <v>3815.05</v>
      </c>
      <c r="BU2630" s="347" t="s">
        <v>371</v>
      </c>
      <c r="CD2630" s="237">
        <v>149.04</v>
      </c>
      <c r="CE2630" s="237" t="s">
        <v>359</v>
      </c>
      <c r="CJ2630" s="347">
        <v>828.02</v>
      </c>
      <c r="CK2630" s="347" t="s">
        <v>376</v>
      </c>
      <c r="CL2630" s="1789"/>
      <c r="CR2630" s="345"/>
      <c r="CS2630" s="345"/>
      <c r="CX2630" s="347"/>
      <c r="CY2630" s="347"/>
      <c r="DH2630" s="237"/>
      <c r="DI2630" s="237"/>
      <c r="DN2630" s="347"/>
      <c r="DO2630" s="347"/>
      <c r="DP2630" s="2505"/>
    </row>
    <row r="2631" spans="30:120">
      <c r="AD2631" s="1138"/>
      <c r="AP2631" s="347">
        <v>3813</v>
      </c>
      <c r="AQ2631" s="347" t="s">
        <v>371</v>
      </c>
      <c r="BF2631" s="347">
        <v>832.05</v>
      </c>
      <c r="BG2631" s="347" t="s">
        <v>376</v>
      </c>
      <c r="BH2631" s="1790"/>
      <c r="BN2631" s="237">
        <v>63.03</v>
      </c>
      <c r="BO2631" s="237" t="s">
        <v>352</v>
      </c>
      <c r="BT2631" s="347">
        <v>3815.06</v>
      </c>
      <c r="BU2631" s="347" t="s">
        <v>371</v>
      </c>
      <c r="CD2631" s="237">
        <v>149.04</v>
      </c>
      <c r="CE2631" s="237" t="s">
        <v>365</v>
      </c>
      <c r="CJ2631" s="347">
        <v>829.03</v>
      </c>
      <c r="CK2631" s="347" t="s">
        <v>376</v>
      </c>
      <c r="CL2631" s="1789"/>
      <c r="CR2631" s="345"/>
      <c r="CS2631" s="345"/>
      <c r="CX2631" s="347"/>
      <c r="CY2631" s="347"/>
      <c r="DH2631" s="237"/>
      <c r="DI2631" s="237"/>
      <c r="DN2631" s="347"/>
      <c r="DO2631" s="347"/>
      <c r="DP2631" s="2505"/>
    </row>
    <row r="2632" spans="30:120">
      <c r="AD2632" s="1138"/>
      <c r="AP2632" s="347">
        <v>3815.04</v>
      </c>
      <c r="AQ2632" s="347" t="s">
        <v>371</v>
      </c>
      <c r="BF2632" s="347">
        <v>832.07</v>
      </c>
      <c r="BG2632" s="347" t="s">
        <v>376</v>
      </c>
      <c r="BH2632" s="1790"/>
      <c r="BN2632" s="237">
        <v>63.04</v>
      </c>
      <c r="BO2632" s="237" t="s">
        <v>352</v>
      </c>
      <c r="BT2632" s="347">
        <v>3815.08</v>
      </c>
      <c r="BU2632" s="347" t="s">
        <v>371</v>
      </c>
      <c r="CD2632" s="237">
        <v>149.05000000000001</v>
      </c>
      <c r="CE2632" s="237" t="s">
        <v>365</v>
      </c>
      <c r="CJ2632" s="347">
        <v>829.04</v>
      </c>
      <c r="CK2632" s="347" t="s">
        <v>376</v>
      </c>
      <c r="CL2632" s="1789"/>
      <c r="CR2632" s="345"/>
      <c r="CS2632" s="345"/>
      <c r="CX2632" s="347"/>
      <c r="CY2632" s="347"/>
      <c r="DH2632" s="237"/>
      <c r="DI2632" s="237"/>
      <c r="DN2632" s="347"/>
      <c r="DO2632" s="347"/>
      <c r="DP2632" s="2505"/>
    </row>
    <row r="2633" spans="30:120">
      <c r="AD2633" s="1138"/>
      <c r="AP2633" s="347">
        <v>3815.05</v>
      </c>
      <c r="AQ2633" s="347" t="s">
        <v>371</v>
      </c>
      <c r="BF2633" s="347">
        <v>832.09</v>
      </c>
      <c r="BG2633" s="347" t="s">
        <v>376</v>
      </c>
      <c r="BH2633" s="1790"/>
      <c r="BN2633" s="237">
        <v>64.010000000000005</v>
      </c>
      <c r="BO2633" s="237" t="s">
        <v>352</v>
      </c>
      <c r="BT2633" s="347">
        <v>3816.02</v>
      </c>
      <c r="BU2633" s="347" t="s">
        <v>371</v>
      </c>
      <c r="CD2633" s="237">
        <v>149.06</v>
      </c>
      <c r="CE2633" s="237" t="s">
        <v>359</v>
      </c>
      <c r="CJ2633" s="347">
        <v>830.03</v>
      </c>
      <c r="CK2633" s="347" t="s">
        <v>376</v>
      </c>
      <c r="CL2633" s="1789"/>
      <c r="CR2633" s="345"/>
      <c r="CS2633" s="345"/>
      <c r="CX2633" s="347"/>
      <c r="CY2633" s="347"/>
      <c r="DH2633" s="237"/>
      <c r="DI2633" s="237"/>
      <c r="DN2633" s="347"/>
      <c r="DO2633" s="347"/>
      <c r="DP2633" s="2505"/>
    </row>
    <row r="2634" spans="30:120">
      <c r="AD2634" s="1138"/>
      <c r="AP2634" s="347">
        <v>3815.06</v>
      </c>
      <c r="AQ2634" s="347" t="s">
        <v>371</v>
      </c>
      <c r="BF2634" s="347">
        <v>832.1</v>
      </c>
      <c r="BG2634" s="347" t="s">
        <v>376</v>
      </c>
      <c r="BH2634" s="1790"/>
      <c r="BN2634" s="237">
        <v>64.02</v>
      </c>
      <c r="BO2634" s="237" t="s">
        <v>352</v>
      </c>
      <c r="BT2634" s="347">
        <v>3816.03</v>
      </c>
      <c r="BU2634" s="347" t="s">
        <v>371</v>
      </c>
      <c r="CD2634" s="237">
        <v>149.06</v>
      </c>
      <c r="CE2634" s="237" t="s">
        <v>365</v>
      </c>
      <c r="CJ2634" s="347">
        <v>830.07</v>
      </c>
      <c r="CK2634" s="347" t="s">
        <v>376</v>
      </c>
      <c r="CL2634" s="1789"/>
      <c r="CR2634" s="345"/>
      <c r="CS2634" s="345"/>
      <c r="CX2634" s="347"/>
      <c r="CY2634" s="347"/>
      <c r="DH2634" s="237"/>
      <c r="DI2634" s="237"/>
      <c r="DN2634" s="347"/>
      <c r="DO2634" s="347"/>
      <c r="DP2634" s="2505"/>
    </row>
    <row r="2635" spans="30:120">
      <c r="AD2635" s="1138"/>
      <c r="AP2635" s="347">
        <v>3815.08</v>
      </c>
      <c r="AQ2635" s="347" t="s">
        <v>371</v>
      </c>
      <c r="BF2635" s="347">
        <v>832.11</v>
      </c>
      <c r="BG2635" s="347" t="s">
        <v>376</v>
      </c>
      <c r="BH2635" s="1790"/>
      <c r="BN2635" s="237">
        <v>64.03</v>
      </c>
      <c r="BO2635" s="237" t="s">
        <v>352</v>
      </c>
      <c r="BT2635" s="347">
        <v>3816.04</v>
      </c>
      <c r="BU2635" s="347" t="s">
        <v>371</v>
      </c>
      <c r="CD2635" s="237">
        <v>149.08000000000001</v>
      </c>
      <c r="CE2635" s="237" t="s">
        <v>359</v>
      </c>
      <c r="CJ2635" s="347">
        <v>830.08</v>
      </c>
      <c r="CK2635" s="347" t="s">
        <v>376</v>
      </c>
      <c r="CL2635" s="1789"/>
      <c r="CR2635" s="345"/>
      <c r="CS2635" s="345"/>
      <c r="CX2635" s="347"/>
      <c r="CY2635" s="347"/>
      <c r="DH2635" s="237"/>
      <c r="DI2635" s="237"/>
      <c r="DN2635" s="347"/>
      <c r="DO2635" s="347"/>
      <c r="DP2635" s="2505"/>
    </row>
    <row r="2636" spans="30:120">
      <c r="AD2636" s="1138"/>
      <c r="AP2636" s="347">
        <v>3816.02</v>
      </c>
      <c r="AQ2636" s="347" t="s">
        <v>371</v>
      </c>
      <c r="BF2636" s="347">
        <v>901.01</v>
      </c>
      <c r="BG2636" s="347" t="s">
        <v>376</v>
      </c>
      <c r="BH2636" s="1790"/>
      <c r="BN2636" s="237">
        <v>65.010000000000005</v>
      </c>
      <c r="BO2636" s="237" t="s">
        <v>352</v>
      </c>
      <c r="BT2636" s="347">
        <v>3817.01</v>
      </c>
      <c r="BU2636" s="347" t="s">
        <v>371</v>
      </c>
      <c r="CD2636" s="237">
        <v>149.09</v>
      </c>
      <c r="CE2636" s="237" t="s">
        <v>359</v>
      </c>
      <c r="CJ2636" s="347">
        <v>832.03</v>
      </c>
      <c r="CK2636" s="347" t="s">
        <v>376</v>
      </c>
      <c r="CL2636" s="1789"/>
      <c r="CR2636" s="345"/>
      <c r="CS2636" s="345"/>
      <c r="CX2636" s="347"/>
      <c r="CY2636" s="347"/>
      <c r="DH2636" s="237"/>
      <c r="DI2636" s="237"/>
      <c r="DN2636" s="347"/>
      <c r="DO2636" s="347"/>
      <c r="DP2636" s="2505"/>
    </row>
    <row r="2637" spans="30:120">
      <c r="AD2637" s="1138"/>
      <c r="AP2637" s="347">
        <v>3816.04</v>
      </c>
      <c r="AQ2637" s="347" t="s">
        <v>371</v>
      </c>
      <c r="BF2637" s="347">
        <v>901.02</v>
      </c>
      <c r="BG2637" s="347" t="s">
        <v>310</v>
      </c>
      <c r="BH2637" s="1790"/>
      <c r="BN2637" s="237">
        <v>65.03</v>
      </c>
      <c r="BO2637" s="237" t="s">
        <v>352</v>
      </c>
      <c r="BT2637" s="347">
        <v>3817.02</v>
      </c>
      <c r="BU2637" s="347" t="s">
        <v>371</v>
      </c>
      <c r="CD2637" s="237">
        <v>150</v>
      </c>
      <c r="CE2637" s="237" t="s">
        <v>365</v>
      </c>
      <c r="CJ2637" s="347">
        <v>832.05</v>
      </c>
      <c r="CK2637" s="347" t="s">
        <v>376</v>
      </c>
      <c r="CL2637" s="1789"/>
      <c r="CR2637" s="345"/>
      <c r="CS2637" s="345"/>
      <c r="CX2637" s="347"/>
      <c r="CY2637" s="347"/>
      <c r="DH2637" s="237"/>
      <c r="DI2637" s="237"/>
      <c r="DN2637" s="347"/>
      <c r="DO2637" s="347"/>
      <c r="DP2637" s="2505"/>
    </row>
    <row r="2638" spans="30:120">
      <c r="AD2638" s="1138"/>
      <c r="AP2638" s="347">
        <v>3817.01</v>
      </c>
      <c r="AQ2638" s="347" t="s">
        <v>371</v>
      </c>
      <c r="BF2638" s="347">
        <v>901.02</v>
      </c>
      <c r="BG2638" s="347" t="s">
        <v>376</v>
      </c>
      <c r="BH2638" s="1790"/>
      <c r="BN2638" s="237">
        <v>65.040000000000006</v>
      </c>
      <c r="BO2638" s="237" t="s">
        <v>352</v>
      </c>
      <c r="BT2638" s="347">
        <v>3818.03</v>
      </c>
      <c r="BU2638" s="347" t="s">
        <v>371</v>
      </c>
      <c r="CD2638" s="237">
        <v>150.01</v>
      </c>
      <c r="CE2638" s="237" t="s">
        <v>323</v>
      </c>
      <c r="CJ2638" s="347">
        <v>832.06</v>
      </c>
      <c r="CK2638" s="347" t="s">
        <v>376</v>
      </c>
      <c r="CL2638" s="1789"/>
      <c r="CR2638" s="345"/>
      <c r="CS2638" s="345"/>
      <c r="CX2638" s="347"/>
      <c r="CY2638" s="347"/>
      <c r="DH2638" s="237"/>
      <c r="DI2638" s="237"/>
      <c r="DN2638" s="347"/>
      <c r="DO2638" s="347"/>
      <c r="DP2638" s="2505"/>
    </row>
    <row r="2639" spans="30:120">
      <c r="AD2639" s="1138"/>
      <c r="AP2639" s="347">
        <v>3817.02</v>
      </c>
      <c r="AQ2639" s="347" t="s">
        <v>371</v>
      </c>
      <c r="BF2639" s="347">
        <v>901.03</v>
      </c>
      <c r="BG2639" s="347" t="s">
        <v>310</v>
      </c>
      <c r="BH2639" s="1790"/>
      <c r="BN2639" s="237">
        <v>66.03</v>
      </c>
      <c r="BO2639" s="237" t="s">
        <v>352</v>
      </c>
      <c r="BT2639" s="347">
        <v>3819</v>
      </c>
      <c r="BU2639" s="347" t="s">
        <v>371</v>
      </c>
      <c r="CD2639" s="237">
        <v>150.01</v>
      </c>
      <c r="CE2639" s="237" t="s">
        <v>352</v>
      </c>
      <c r="CJ2639" s="347">
        <v>832.07</v>
      </c>
      <c r="CK2639" s="347" t="s">
        <v>376</v>
      </c>
      <c r="CL2639" s="1789"/>
      <c r="CR2639" s="345"/>
      <c r="CS2639" s="345"/>
      <c r="CX2639" s="347"/>
      <c r="CY2639" s="347"/>
      <c r="DH2639" s="237"/>
      <c r="DI2639" s="237"/>
      <c r="DN2639" s="347"/>
      <c r="DO2639" s="347"/>
      <c r="DP2639" s="2505"/>
    </row>
    <row r="2640" spans="30:120">
      <c r="AD2640" s="1138"/>
      <c r="AP2640" s="347">
        <v>3818.03</v>
      </c>
      <c r="AQ2640" s="347" t="s">
        <v>371</v>
      </c>
      <c r="BF2640" s="347">
        <v>901.04</v>
      </c>
      <c r="BG2640" s="347" t="s">
        <v>310</v>
      </c>
      <c r="BH2640" s="1790"/>
      <c r="BN2640" s="237">
        <v>66.040000000000006</v>
      </c>
      <c r="BO2640" s="237" t="s">
        <v>352</v>
      </c>
      <c r="BT2640" s="347">
        <v>3820.07</v>
      </c>
      <c r="BU2640" s="347" t="s">
        <v>371</v>
      </c>
      <c r="CD2640" s="237">
        <v>150.01</v>
      </c>
      <c r="CE2640" s="237" t="s">
        <v>359</v>
      </c>
      <c r="CJ2640" s="347">
        <v>832.09</v>
      </c>
      <c r="CK2640" s="347" t="s">
        <v>376</v>
      </c>
      <c r="CL2640" s="1789"/>
      <c r="CR2640" s="345"/>
      <c r="CS2640" s="345"/>
      <c r="CX2640" s="347"/>
      <c r="CY2640" s="347"/>
      <c r="DH2640" s="237"/>
      <c r="DI2640" s="237"/>
      <c r="DN2640" s="347"/>
      <c r="DO2640" s="347"/>
      <c r="DP2640" s="2505"/>
    </row>
    <row r="2641" spans="30:120">
      <c r="AD2641" s="1138"/>
      <c r="AP2641" s="347">
        <v>3819</v>
      </c>
      <c r="AQ2641" s="347" t="s">
        <v>371</v>
      </c>
      <c r="BF2641" s="347">
        <v>902</v>
      </c>
      <c r="BG2641" s="347" t="s">
        <v>310</v>
      </c>
      <c r="BH2641" s="1790"/>
      <c r="BN2641" s="237">
        <v>66.05</v>
      </c>
      <c r="BO2641" s="237" t="s">
        <v>352</v>
      </c>
      <c r="BT2641" s="347">
        <v>3820.08</v>
      </c>
      <c r="BU2641" s="347" t="s">
        <v>371</v>
      </c>
      <c r="CD2641" s="237">
        <v>150.02000000000001</v>
      </c>
      <c r="CE2641" s="237" t="s">
        <v>323</v>
      </c>
      <c r="CJ2641" s="347">
        <v>832.1</v>
      </c>
      <c r="CK2641" s="347" t="s">
        <v>376</v>
      </c>
      <c r="CL2641" s="1789"/>
      <c r="CR2641" s="345"/>
      <c r="CS2641" s="345"/>
      <c r="CX2641" s="347"/>
      <c r="CY2641" s="347"/>
      <c r="DH2641" s="237"/>
      <c r="DI2641" s="237"/>
      <c r="DN2641" s="347"/>
      <c r="DO2641" s="347"/>
      <c r="DP2641" s="2505"/>
    </row>
    <row r="2642" spans="30:120">
      <c r="AD2642" s="1138"/>
      <c r="AP2642" s="347">
        <v>3820.07</v>
      </c>
      <c r="AQ2642" s="347" t="s">
        <v>371</v>
      </c>
      <c r="BF2642" s="347">
        <v>902.02</v>
      </c>
      <c r="BG2642" s="347" t="s">
        <v>376</v>
      </c>
      <c r="BH2642" s="1790"/>
      <c r="BN2642" s="237">
        <v>66.06</v>
      </c>
      <c r="BO2642" s="237" t="s">
        <v>352</v>
      </c>
      <c r="BT2642" s="347">
        <v>3820.09</v>
      </c>
      <c r="BU2642" s="347" t="s">
        <v>371</v>
      </c>
      <c r="CD2642" s="237">
        <v>150.02000000000001</v>
      </c>
      <c r="CE2642" s="237" t="s">
        <v>352</v>
      </c>
      <c r="CJ2642" s="347">
        <v>832.11</v>
      </c>
      <c r="CK2642" s="347" t="s">
        <v>376</v>
      </c>
      <c r="CL2642" s="1789"/>
      <c r="CR2642" s="345"/>
      <c r="CS2642" s="345"/>
      <c r="CX2642" s="347"/>
      <c r="CY2642" s="347"/>
      <c r="DH2642" s="237"/>
      <c r="DI2642" s="237"/>
      <c r="DN2642" s="347"/>
      <c r="DO2642" s="347"/>
      <c r="DP2642" s="2505"/>
    </row>
    <row r="2643" spans="30:120">
      <c r="AD2643" s="1138"/>
      <c r="AP2643" s="347">
        <v>3820.08</v>
      </c>
      <c r="AQ2643" s="347" t="s">
        <v>371</v>
      </c>
      <c r="BF2643" s="347">
        <v>902.04</v>
      </c>
      <c r="BG2643" s="347" t="s">
        <v>376</v>
      </c>
      <c r="BH2643" s="1790"/>
      <c r="BN2643" s="237">
        <v>66.069999999999993</v>
      </c>
      <c r="BO2643" s="237" t="s">
        <v>352</v>
      </c>
      <c r="BT2643" s="347">
        <v>3820.11</v>
      </c>
      <c r="BU2643" s="347" t="s">
        <v>371</v>
      </c>
      <c r="CD2643" s="237">
        <v>150.02000000000001</v>
      </c>
      <c r="CE2643" s="237" t="s">
        <v>359</v>
      </c>
      <c r="CJ2643" s="347">
        <v>901</v>
      </c>
      <c r="CK2643" s="347" t="s">
        <v>344</v>
      </c>
      <c r="CL2643" s="1789"/>
      <c r="CR2643" s="345"/>
      <c r="CS2643" s="345"/>
      <c r="CX2643" s="347"/>
      <c r="CY2643" s="347"/>
      <c r="DH2643" s="237"/>
      <c r="DI2643" s="237"/>
      <c r="DN2643" s="347"/>
      <c r="DO2643" s="347"/>
      <c r="DP2643" s="2505"/>
    </row>
    <row r="2644" spans="30:120">
      <c r="AD2644" s="1138"/>
      <c r="AP2644" s="347">
        <v>3820.09</v>
      </c>
      <c r="AQ2644" s="347" t="s">
        <v>371</v>
      </c>
      <c r="BF2644" s="347">
        <v>903.03</v>
      </c>
      <c r="BG2644" s="347" t="s">
        <v>310</v>
      </c>
      <c r="BH2644" s="1790"/>
      <c r="BN2644" s="237">
        <v>66.08</v>
      </c>
      <c r="BO2644" s="237" t="s">
        <v>352</v>
      </c>
      <c r="BT2644" s="347">
        <v>3820.16</v>
      </c>
      <c r="BU2644" s="347" t="s">
        <v>371</v>
      </c>
      <c r="CD2644" s="237">
        <v>150.03</v>
      </c>
      <c r="CE2644" s="237" t="s">
        <v>359</v>
      </c>
      <c r="CJ2644" s="347">
        <v>901.01</v>
      </c>
      <c r="CK2644" s="347" t="s">
        <v>376</v>
      </c>
      <c r="CL2644" s="1789"/>
      <c r="CR2644" s="345"/>
      <c r="CS2644" s="345"/>
      <c r="CX2644" s="347"/>
      <c r="CY2644" s="347"/>
      <c r="DH2644" s="237"/>
      <c r="DI2644" s="237"/>
      <c r="DN2644" s="347"/>
      <c r="DO2644" s="347"/>
      <c r="DP2644" s="2505"/>
    </row>
    <row r="2645" spans="30:120">
      <c r="AD2645" s="1138"/>
      <c r="AP2645" s="347">
        <v>3820.11</v>
      </c>
      <c r="AQ2645" s="347" t="s">
        <v>371</v>
      </c>
      <c r="BF2645" s="347">
        <v>903.04</v>
      </c>
      <c r="BG2645" s="347" t="s">
        <v>310</v>
      </c>
      <c r="BH2645" s="1790"/>
      <c r="BN2645" s="237">
        <v>67.05</v>
      </c>
      <c r="BO2645" s="237" t="s">
        <v>352</v>
      </c>
      <c r="BT2645" s="347">
        <v>3821.14</v>
      </c>
      <c r="BU2645" s="347" t="s">
        <v>371</v>
      </c>
      <c r="CD2645" s="237">
        <v>150.05000000000001</v>
      </c>
      <c r="CE2645" s="237" t="s">
        <v>359</v>
      </c>
      <c r="CJ2645" s="347">
        <v>901.02</v>
      </c>
      <c r="CK2645" s="347" t="s">
        <v>310</v>
      </c>
      <c r="CL2645" s="1789"/>
      <c r="CR2645" s="345"/>
      <c r="CS2645" s="345"/>
      <c r="CX2645" s="347"/>
      <c r="CY2645" s="347"/>
      <c r="DH2645" s="237"/>
      <c r="DI2645" s="237"/>
      <c r="DN2645" s="347"/>
      <c r="DO2645" s="347"/>
      <c r="DP2645" s="2505"/>
    </row>
    <row r="2646" spans="30:120">
      <c r="AD2646" s="1138"/>
      <c r="AP2646" s="347">
        <v>3820.16</v>
      </c>
      <c r="AQ2646" s="347" t="s">
        <v>371</v>
      </c>
      <c r="BF2646" s="347">
        <v>903.04</v>
      </c>
      <c r="BG2646" s="347" t="s">
        <v>376</v>
      </c>
      <c r="BH2646" s="1790"/>
      <c r="BN2646" s="237">
        <v>67.06</v>
      </c>
      <c r="BO2646" s="237" t="s">
        <v>352</v>
      </c>
      <c r="BT2646" s="347">
        <v>3821.16</v>
      </c>
      <c r="BU2646" s="347" t="s">
        <v>371</v>
      </c>
      <c r="CD2646" s="237">
        <v>150.06</v>
      </c>
      <c r="CE2646" s="237" t="s">
        <v>359</v>
      </c>
      <c r="CJ2646" s="347">
        <v>901.02</v>
      </c>
      <c r="CK2646" s="347" t="s">
        <v>376</v>
      </c>
      <c r="CL2646" s="1789"/>
      <c r="CR2646" s="345"/>
      <c r="CS2646" s="345"/>
      <c r="CX2646" s="347"/>
      <c r="CY2646" s="347"/>
      <c r="DH2646" s="237"/>
      <c r="DI2646" s="237"/>
      <c r="DN2646" s="347"/>
      <c r="DO2646" s="347"/>
      <c r="DP2646" s="2505"/>
    </row>
    <row r="2647" spans="30:120">
      <c r="AD2647" s="1138"/>
      <c r="AP2647" s="347">
        <v>3821.1</v>
      </c>
      <c r="AQ2647" s="347" t="s">
        <v>371</v>
      </c>
      <c r="BF2647" s="347">
        <v>903.05</v>
      </c>
      <c r="BG2647" s="347" t="s">
        <v>376</v>
      </c>
      <c r="BH2647" s="1790"/>
      <c r="BN2647" s="237">
        <v>67.069999999999993</v>
      </c>
      <c r="BO2647" s="237" t="s">
        <v>352</v>
      </c>
      <c r="BT2647" s="347">
        <v>3821.17</v>
      </c>
      <c r="BU2647" s="347" t="s">
        <v>371</v>
      </c>
      <c r="CD2647" s="237">
        <v>151</v>
      </c>
      <c r="CE2647" s="237" t="s">
        <v>323</v>
      </c>
      <c r="CJ2647" s="347">
        <v>901.03</v>
      </c>
      <c r="CK2647" s="347" t="s">
        <v>310</v>
      </c>
      <c r="CL2647" s="1789"/>
      <c r="CR2647" s="345"/>
      <c r="CS2647" s="345"/>
      <c r="CX2647" s="347"/>
      <c r="CY2647" s="347"/>
      <c r="DH2647" s="237"/>
      <c r="DI2647" s="237"/>
      <c r="DN2647" s="347"/>
      <c r="DO2647" s="347"/>
      <c r="DP2647" s="2505"/>
    </row>
    <row r="2648" spans="30:120">
      <c r="AD2648" s="1138"/>
      <c r="AP2648" s="347">
        <v>3821.14</v>
      </c>
      <c r="AQ2648" s="347" t="s">
        <v>371</v>
      </c>
      <c r="BF2648" s="347">
        <v>903.06</v>
      </c>
      <c r="BG2648" s="347" t="s">
        <v>376</v>
      </c>
      <c r="BH2648" s="1790"/>
      <c r="BN2648" s="237">
        <v>67.09</v>
      </c>
      <c r="BO2648" s="237" t="s">
        <v>352</v>
      </c>
      <c r="BT2648" s="347">
        <v>3821.18</v>
      </c>
      <c r="BU2648" s="347" t="s">
        <v>371</v>
      </c>
      <c r="CD2648" s="237">
        <v>151.01</v>
      </c>
      <c r="CE2648" s="237" t="s">
        <v>352</v>
      </c>
      <c r="CJ2648" s="347">
        <v>901.04</v>
      </c>
      <c r="CK2648" s="347" t="s">
        <v>310</v>
      </c>
      <c r="CL2648" s="1789"/>
      <c r="CR2648" s="345"/>
      <c r="CS2648" s="345"/>
      <c r="CX2648" s="347"/>
      <c r="CY2648" s="347"/>
      <c r="DH2648" s="237"/>
      <c r="DI2648" s="237"/>
      <c r="DN2648" s="347"/>
      <c r="DO2648" s="347"/>
      <c r="DP2648" s="2505"/>
    </row>
    <row r="2649" spans="30:120">
      <c r="AD2649" s="1138"/>
      <c r="AP2649" s="347">
        <v>3821.16</v>
      </c>
      <c r="AQ2649" s="347" t="s">
        <v>371</v>
      </c>
      <c r="BF2649" s="347">
        <v>904.01</v>
      </c>
      <c r="BG2649" s="347" t="s">
        <v>310</v>
      </c>
      <c r="BH2649" s="1790"/>
      <c r="BN2649" s="237">
        <v>67.13</v>
      </c>
      <c r="BO2649" s="237" t="s">
        <v>352</v>
      </c>
      <c r="BT2649" s="347">
        <v>3821.19</v>
      </c>
      <c r="BU2649" s="347" t="s">
        <v>371</v>
      </c>
      <c r="CD2649" s="237">
        <v>151.01</v>
      </c>
      <c r="CE2649" s="237" t="s">
        <v>365</v>
      </c>
      <c r="CJ2649" s="347">
        <v>902</v>
      </c>
      <c r="CK2649" s="347" t="s">
        <v>310</v>
      </c>
      <c r="CL2649" s="1789"/>
      <c r="CR2649" s="345"/>
      <c r="CS2649" s="345"/>
      <c r="CX2649" s="347"/>
      <c r="CY2649" s="347"/>
      <c r="DH2649" s="237"/>
      <c r="DI2649" s="237"/>
      <c r="DN2649" s="347"/>
      <c r="DO2649" s="347"/>
      <c r="DP2649" s="2505"/>
    </row>
    <row r="2650" spans="30:120">
      <c r="AD2650" s="1138"/>
      <c r="AP2650" s="347">
        <v>3821.17</v>
      </c>
      <c r="AQ2650" s="347" t="s">
        <v>371</v>
      </c>
      <c r="BF2650" s="347">
        <v>904.01</v>
      </c>
      <c r="BG2650" s="347" t="s">
        <v>376</v>
      </c>
      <c r="BH2650" s="1790"/>
      <c r="BN2650" s="237">
        <v>67.14</v>
      </c>
      <c r="BO2650" s="237" t="s">
        <v>352</v>
      </c>
      <c r="BT2650" s="347">
        <v>3821.2</v>
      </c>
      <c r="BU2650" s="347" t="s">
        <v>371</v>
      </c>
      <c r="CD2650" s="237">
        <v>151.02000000000001</v>
      </c>
      <c r="CE2650" s="237" t="s">
        <v>352</v>
      </c>
      <c r="CJ2650" s="347">
        <v>902.04</v>
      </c>
      <c r="CK2650" s="347" t="s">
        <v>376</v>
      </c>
      <c r="CL2650" s="1789"/>
      <c r="CR2650" s="345"/>
      <c r="CS2650" s="345"/>
      <c r="CX2650" s="347"/>
      <c r="CY2650" s="347"/>
      <c r="DH2650" s="237"/>
      <c r="DI2650" s="237"/>
      <c r="DN2650" s="347"/>
      <c r="DO2650" s="347"/>
      <c r="DP2650" s="2505"/>
    </row>
    <row r="2651" spans="30:120">
      <c r="AD2651" s="1138"/>
      <c r="AP2651" s="347">
        <v>3821.18</v>
      </c>
      <c r="AQ2651" s="347" t="s">
        <v>371</v>
      </c>
      <c r="BF2651" s="347">
        <v>904.02</v>
      </c>
      <c r="BG2651" s="347" t="s">
        <v>376</v>
      </c>
      <c r="BH2651" s="1790"/>
      <c r="BN2651" s="237">
        <v>67.150000000000006</v>
      </c>
      <c r="BO2651" s="237" t="s">
        <v>352</v>
      </c>
      <c r="BT2651" s="347">
        <v>3821.21</v>
      </c>
      <c r="BU2651" s="347" t="s">
        <v>371</v>
      </c>
      <c r="CD2651" s="237">
        <v>151.02000000000001</v>
      </c>
      <c r="CE2651" s="237" t="s">
        <v>365</v>
      </c>
      <c r="CJ2651" s="347">
        <v>903.04</v>
      </c>
      <c r="CK2651" s="347" t="s">
        <v>310</v>
      </c>
      <c r="CL2651" s="1789"/>
      <c r="CR2651" s="345"/>
      <c r="CS2651" s="345"/>
      <c r="CX2651" s="347"/>
      <c r="CY2651" s="347"/>
      <c r="DH2651" s="237"/>
      <c r="DI2651" s="237"/>
      <c r="DN2651" s="347"/>
      <c r="DO2651" s="347"/>
      <c r="DP2651" s="2505"/>
    </row>
    <row r="2652" spans="30:120">
      <c r="AD2652" s="1138"/>
      <c r="AP2652" s="347">
        <v>3821.19</v>
      </c>
      <c r="AQ2652" s="347" t="s">
        <v>371</v>
      </c>
      <c r="BF2652" s="347">
        <v>905.02</v>
      </c>
      <c r="BG2652" s="347" t="s">
        <v>310</v>
      </c>
      <c r="BH2652" s="1790"/>
      <c r="BN2652" s="237">
        <v>67.16</v>
      </c>
      <c r="BO2652" s="237" t="s">
        <v>352</v>
      </c>
      <c r="BT2652" s="347">
        <v>3821.22</v>
      </c>
      <c r="BU2652" s="347" t="s">
        <v>371</v>
      </c>
      <c r="CD2652" s="237">
        <v>151.03</v>
      </c>
      <c r="CE2652" s="237" t="s">
        <v>352</v>
      </c>
      <c r="CJ2652" s="347">
        <v>903.04</v>
      </c>
      <c r="CK2652" s="347" t="s">
        <v>376</v>
      </c>
      <c r="CL2652" s="1789"/>
      <c r="CR2652" s="345"/>
      <c r="CS2652" s="345"/>
      <c r="CX2652" s="347"/>
      <c r="CY2652" s="347"/>
      <c r="DH2652" s="237"/>
      <c r="DI2652" s="237"/>
      <c r="DN2652" s="347"/>
      <c r="DO2652" s="347"/>
      <c r="DP2652" s="2505"/>
    </row>
    <row r="2653" spans="30:120">
      <c r="AD2653" s="1138"/>
      <c r="AP2653" s="347">
        <v>3821.2</v>
      </c>
      <c r="AQ2653" s="347" t="s">
        <v>371</v>
      </c>
      <c r="BF2653" s="347">
        <v>905.03</v>
      </c>
      <c r="BG2653" s="347" t="s">
        <v>310</v>
      </c>
      <c r="BH2653" s="1790"/>
      <c r="BN2653" s="237">
        <v>67.17</v>
      </c>
      <c r="BO2653" s="237" t="s">
        <v>352</v>
      </c>
      <c r="BT2653" s="347">
        <v>3821.24</v>
      </c>
      <c r="BU2653" s="347" t="s">
        <v>371</v>
      </c>
      <c r="CD2653" s="237">
        <v>151.03</v>
      </c>
      <c r="CE2653" s="237" t="s">
        <v>359</v>
      </c>
      <c r="CJ2653" s="347">
        <v>903.05</v>
      </c>
      <c r="CK2653" s="347" t="s">
        <v>376</v>
      </c>
      <c r="CL2653" s="1789"/>
      <c r="CR2653" s="345"/>
      <c r="CS2653" s="345"/>
      <c r="CX2653" s="347"/>
      <c r="CY2653" s="347"/>
      <c r="DH2653" s="237"/>
      <c r="DI2653" s="237"/>
      <c r="DN2653" s="347"/>
      <c r="DO2653" s="347"/>
      <c r="DP2653" s="2505"/>
    </row>
    <row r="2654" spans="30:120">
      <c r="AD2654" s="1138"/>
      <c r="AP2654" s="347">
        <v>3821.21</v>
      </c>
      <c r="AQ2654" s="347" t="s">
        <v>371</v>
      </c>
      <c r="BF2654" s="347">
        <v>906</v>
      </c>
      <c r="BG2654" s="347" t="s">
        <v>376</v>
      </c>
      <c r="BH2654" s="1790"/>
      <c r="BN2654" s="237">
        <v>67.180000000000007</v>
      </c>
      <c r="BO2654" s="237" t="s">
        <v>352</v>
      </c>
      <c r="BT2654" s="347">
        <v>3821.25</v>
      </c>
      <c r="BU2654" s="347" t="s">
        <v>371</v>
      </c>
      <c r="CD2654" s="237">
        <v>151.04</v>
      </c>
      <c r="CE2654" s="237" t="s">
        <v>359</v>
      </c>
      <c r="CJ2654" s="347">
        <v>903.06</v>
      </c>
      <c r="CK2654" s="347" t="s">
        <v>376</v>
      </c>
      <c r="CL2654" s="1789"/>
      <c r="CR2654" s="345"/>
      <c r="CS2654" s="345"/>
      <c r="CX2654" s="347"/>
      <c r="CY2654" s="347"/>
      <c r="DH2654" s="237"/>
      <c r="DI2654" s="237"/>
      <c r="DN2654" s="347"/>
      <c r="DO2654" s="347"/>
      <c r="DP2654" s="2505"/>
    </row>
    <row r="2655" spans="30:120">
      <c r="AD2655" s="1138"/>
      <c r="AP2655" s="347">
        <v>3821.22</v>
      </c>
      <c r="AQ2655" s="347" t="s">
        <v>371</v>
      </c>
      <c r="BF2655" s="347">
        <v>906.02</v>
      </c>
      <c r="BG2655" s="347" t="s">
        <v>310</v>
      </c>
      <c r="BH2655" s="1790"/>
      <c r="BN2655" s="237">
        <v>67.19</v>
      </c>
      <c r="BO2655" s="237" t="s">
        <v>352</v>
      </c>
      <c r="BT2655" s="347">
        <v>3821.26</v>
      </c>
      <c r="BU2655" s="347" t="s">
        <v>371</v>
      </c>
      <c r="CD2655" s="237">
        <v>151.05000000000001</v>
      </c>
      <c r="CE2655" s="237" t="s">
        <v>359</v>
      </c>
      <c r="CJ2655" s="347">
        <v>903.07</v>
      </c>
      <c r="CK2655" s="347" t="s">
        <v>376</v>
      </c>
      <c r="CL2655" s="1789"/>
      <c r="CR2655" s="345"/>
      <c r="CS2655" s="345"/>
      <c r="CX2655" s="347"/>
      <c r="CY2655" s="347"/>
      <c r="DH2655" s="237"/>
      <c r="DI2655" s="237"/>
      <c r="DN2655" s="347"/>
      <c r="DO2655" s="347"/>
      <c r="DP2655" s="2505"/>
    </row>
    <row r="2656" spans="30:120">
      <c r="AD2656" s="1138"/>
      <c r="AP2656" s="347">
        <v>3821.24</v>
      </c>
      <c r="AQ2656" s="347" t="s">
        <v>371</v>
      </c>
      <c r="BF2656" s="347">
        <v>907</v>
      </c>
      <c r="BG2656" s="347" t="s">
        <v>310</v>
      </c>
      <c r="BH2656" s="1790"/>
      <c r="BN2656" s="237">
        <v>67.2</v>
      </c>
      <c r="BO2656" s="237" t="s">
        <v>352</v>
      </c>
      <c r="BT2656" s="347">
        <v>3821.27</v>
      </c>
      <c r="BU2656" s="347" t="s">
        <v>371</v>
      </c>
      <c r="CD2656" s="237">
        <v>151.06</v>
      </c>
      <c r="CE2656" s="237" t="s">
        <v>359</v>
      </c>
      <c r="CJ2656" s="347">
        <v>904.01</v>
      </c>
      <c r="CK2656" s="347" t="s">
        <v>376</v>
      </c>
      <c r="CL2656" s="1789"/>
      <c r="CR2656" s="345"/>
      <c r="CS2656" s="345"/>
      <c r="CX2656" s="347"/>
      <c r="CY2656" s="347"/>
      <c r="DH2656" s="237"/>
      <c r="DI2656" s="237"/>
      <c r="DN2656" s="347"/>
      <c r="DO2656" s="347"/>
      <c r="DP2656" s="2505"/>
    </row>
    <row r="2657" spans="30:120">
      <c r="AD2657" s="1138"/>
      <c r="AP2657" s="347">
        <v>3821.25</v>
      </c>
      <c r="AQ2657" s="347" t="s">
        <v>371</v>
      </c>
      <c r="BF2657" s="347">
        <v>907.01</v>
      </c>
      <c r="BG2657" s="347" t="s">
        <v>376</v>
      </c>
      <c r="BH2657" s="1790"/>
      <c r="BN2657" s="237">
        <v>67.209999999999994</v>
      </c>
      <c r="BO2657" s="237" t="s">
        <v>352</v>
      </c>
      <c r="BT2657" s="347">
        <v>3821.28</v>
      </c>
      <c r="BU2657" s="347" t="s">
        <v>371</v>
      </c>
      <c r="CD2657" s="237">
        <v>152</v>
      </c>
      <c r="CE2657" s="237" t="s">
        <v>323</v>
      </c>
      <c r="CJ2657" s="347">
        <v>904.02</v>
      </c>
      <c r="CK2657" s="347" t="s">
        <v>376</v>
      </c>
      <c r="CL2657" s="1789"/>
      <c r="CR2657" s="345"/>
      <c r="CS2657" s="345"/>
      <c r="CX2657" s="347"/>
      <c r="CY2657" s="347"/>
      <c r="DH2657" s="237"/>
      <c r="DI2657" s="237"/>
      <c r="DN2657" s="347"/>
      <c r="DO2657" s="347"/>
      <c r="DP2657" s="2505"/>
    </row>
    <row r="2658" spans="30:120">
      <c r="AD2658" s="1138"/>
      <c r="AP2658" s="347">
        <v>3821.26</v>
      </c>
      <c r="AQ2658" s="347" t="s">
        <v>371</v>
      </c>
      <c r="BF2658" s="347">
        <v>908.02</v>
      </c>
      <c r="BG2658" s="347" t="s">
        <v>310</v>
      </c>
      <c r="BH2658" s="1790"/>
      <c r="BN2658" s="237">
        <v>67.22</v>
      </c>
      <c r="BO2658" s="237" t="s">
        <v>352</v>
      </c>
      <c r="BT2658" s="347">
        <v>3821.3</v>
      </c>
      <c r="BU2658" s="347" t="s">
        <v>371</v>
      </c>
      <c r="CD2658" s="237">
        <v>152</v>
      </c>
      <c r="CE2658" s="237" t="s">
        <v>365</v>
      </c>
      <c r="CJ2658" s="347">
        <v>905</v>
      </c>
      <c r="CK2658" s="347" t="s">
        <v>376</v>
      </c>
      <c r="CL2658" s="1789"/>
      <c r="CR2658" s="345"/>
      <c r="CS2658" s="345"/>
      <c r="CX2658" s="347"/>
      <c r="CY2658" s="347"/>
      <c r="DH2658" s="237"/>
      <c r="DI2658" s="237"/>
      <c r="DN2658" s="347"/>
      <c r="DO2658" s="347"/>
      <c r="DP2658" s="2505"/>
    </row>
    <row r="2659" spans="30:120">
      <c r="AD2659" s="1138"/>
      <c r="AP2659" s="347">
        <v>3821.27</v>
      </c>
      <c r="AQ2659" s="347" t="s">
        <v>371</v>
      </c>
      <c r="BF2659" s="347">
        <v>908.03</v>
      </c>
      <c r="BG2659" s="347" t="s">
        <v>376</v>
      </c>
      <c r="BH2659" s="1790"/>
      <c r="BN2659" s="237">
        <v>68.010000000000005</v>
      </c>
      <c r="BO2659" s="237" t="s">
        <v>352</v>
      </c>
      <c r="BT2659" s="347">
        <v>3822.02</v>
      </c>
      <c r="BU2659" s="347" t="s">
        <v>371</v>
      </c>
      <c r="CD2659" s="237">
        <v>152.01</v>
      </c>
      <c r="CE2659" s="237" t="s">
        <v>352</v>
      </c>
      <c r="CJ2659" s="347">
        <v>905.02</v>
      </c>
      <c r="CK2659" s="347" t="s">
        <v>310</v>
      </c>
      <c r="CL2659" s="1789"/>
      <c r="CR2659" s="345"/>
      <c r="CS2659" s="345"/>
      <c r="CX2659" s="347"/>
      <c r="CY2659" s="347"/>
      <c r="DH2659" s="237"/>
      <c r="DI2659" s="237"/>
      <c r="DN2659" s="347"/>
      <c r="DO2659" s="347"/>
      <c r="DP2659" s="2505"/>
    </row>
    <row r="2660" spans="30:120">
      <c r="AD2660" s="1138"/>
      <c r="AP2660" s="347">
        <v>3821.28</v>
      </c>
      <c r="AQ2660" s="347" t="s">
        <v>371</v>
      </c>
      <c r="BF2660" s="347">
        <v>908.06</v>
      </c>
      <c r="BG2660" s="347" t="s">
        <v>376</v>
      </c>
      <c r="BH2660" s="1790"/>
      <c r="BN2660" s="237">
        <v>68.02</v>
      </c>
      <c r="BO2660" s="237" t="s">
        <v>352</v>
      </c>
      <c r="BT2660" s="347">
        <v>103.02</v>
      </c>
      <c r="BU2660" s="347" t="s">
        <v>367</v>
      </c>
      <c r="CD2660" s="237">
        <v>152.02000000000001</v>
      </c>
      <c r="CE2660" s="237" t="s">
        <v>352</v>
      </c>
      <c r="CJ2660" s="347">
        <v>905.03</v>
      </c>
      <c r="CK2660" s="347" t="s">
        <v>310</v>
      </c>
      <c r="CL2660" s="1789"/>
      <c r="CR2660" s="345"/>
      <c r="CS2660" s="345"/>
      <c r="CX2660" s="347"/>
      <c r="CY2660" s="347"/>
      <c r="DH2660" s="237"/>
      <c r="DI2660" s="237"/>
      <c r="DN2660" s="347"/>
      <c r="DO2660" s="347"/>
      <c r="DP2660" s="2505"/>
    </row>
    <row r="2661" spans="30:120">
      <c r="AD2661" s="1138"/>
      <c r="AP2661" s="347">
        <v>3821.3</v>
      </c>
      <c r="AQ2661" s="347" t="s">
        <v>371</v>
      </c>
      <c r="BF2661" s="347">
        <v>908.07</v>
      </c>
      <c r="BG2661" s="347" t="s">
        <v>376</v>
      </c>
      <c r="BH2661" s="1790"/>
      <c r="BN2661" s="237">
        <v>69.010000000000005</v>
      </c>
      <c r="BO2661" s="237" t="s">
        <v>352</v>
      </c>
      <c r="BT2661" s="347">
        <v>103.03</v>
      </c>
      <c r="BU2661" s="347" t="s">
        <v>367</v>
      </c>
      <c r="CD2661" s="237">
        <v>152.02000000000001</v>
      </c>
      <c r="CE2661" s="237" t="s">
        <v>359</v>
      </c>
      <c r="CJ2661" s="347">
        <v>906</v>
      </c>
      <c r="CK2661" s="347" t="s">
        <v>376</v>
      </c>
      <c r="CL2661" s="1789"/>
      <c r="CR2661" s="345"/>
      <c r="CS2661" s="345"/>
      <c r="CX2661" s="347"/>
      <c r="CY2661" s="347"/>
      <c r="DH2661" s="237"/>
      <c r="DI2661" s="237"/>
      <c r="DN2661" s="347"/>
      <c r="DO2661" s="347"/>
      <c r="DP2661" s="2505"/>
    </row>
    <row r="2662" spans="30:120">
      <c r="AD2662" s="1138"/>
      <c r="AP2662" s="347">
        <v>3822.02</v>
      </c>
      <c r="AQ2662" s="347" t="s">
        <v>371</v>
      </c>
      <c r="BF2662" s="347">
        <v>908.08</v>
      </c>
      <c r="BG2662" s="347" t="s">
        <v>376</v>
      </c>
      <c r="BH2662" s="1790"/>
      <c r="BN2662" s="237">
        <v>69.02</v>
      </c>
      <c r="BO2662" s="237" t="s">
        <v>352</v>
      </c>
      <c r="BT2662" s="347">
        <v>105.04</v>
      </c>
      <c r="BU2662" s="347" t="s">
        <v>367</v>
      </c>
      <c r="CD2662" s="237">
        <v>152.03</v>
      </c>
      <c r="CE2662" s="237" t="s">
        <v>359</v>
      </c>
      <c r="CJ2662" s="347">
        <v>906.02</v>
      </c>
      <c r="CK2662" s="347" t="s">
        <v>310</v>
      </c>
      <c r="CL2662" s="1789"/>
      <c r="CR2662" s="345"/>
      <c r="CS2662" s="345"/>
      <c r="CX2662" s="347"/>
      <c r="CY2662" s="347"/>
      <c r="DH2662" s="237"/>
      <c r="DI2662" s="237"/>
      <c r="DN2662" s="347"/>
      <c r="DO2662" s="347"/>
      <c r="DP2662" s="2505"/>
    </row>
    <row r="2663" spans="30:120">
      <c r="AD2663" s="1138"/>
      <c r="AP2663" s="347">
        <v>103.02</v>
      </c>
      <c r="AQ2663" s="347" t="s">
        <v>367</v>
      </c>
      <c r="BF2663" s="347">
        <v>909</v>
      </c>
      <c r="BG2663" s="347" t="s">
        <v>310</v>
      </c>
      <c r="BH2663" s="1790"/>
      <c r="BN2663" s="237">
        <v>70.03</v>
      </c>
      <c r="BO2663" s="237" t="s">
        <v>352</v>
      </c>
      <c r="BT2663" s="347">
        <v>105.06</v>
      </c>
      <c r="BU2663" s="347" t="s">
        <v>367</v>
      </c>
      <c r="CD2663" s="237">
        <v>152.04</v>
      </c>
      <c r="CE2663" s="237" t="s">
        <v>359</v>
      </c>
      <c r="CJ2663" s="347">
        <v>907</v>
      </c>
      <c r="CK2663" s="347" t="s">
        <v>310</v>
      </c>
      <c r="CL2663" s="1789"/>
      <c r="CR2663" s="345"/>
      <c r="CS2663" s="345"/>
      <c r="CX2663" s="347"/>
      <c r="CY2663" s="347"/>
      <c r="DH2663" s="237"/>
      <c r="DI2663" s="237"/>
      <c r="DN2663" s="347"/>
      <c r="DO2663" s="347"/>
      <c r="DP2663" s="2505"/>
    </row>
    <row r="2664" spans="30:120">
      <c r="AD2664" s="1138"/>
      <c r="AP2664" s="347">
        <v>103.03</v>
      </c>
      <c r="AQ2664" s="347" t="s">
        <v>367</v>
      </c>
      <c r="BF2664" s="347">
        <v>909.03</v>
      </c>
      <c r="BG2664" s="347" t="s">
        <v>376</v>
      </c>
      <c r="BH2664" s="1790"/>
      <c r="BN2664" s="237">
        <v>70.040000000000006</v>
      </c>
      <c r="BO2664" s="237" t="s">
        <v>352</v>
      </c>
      <c r="BT2664" s="347">
        <v>107.04</v>
      </c>
      <c r="BU2664" s="347" t="s">
        <v>367</v>
      </c>
      <c r="CD2664" s="237">
        <v>153</v>
      </c>
      <c r="CE2664" s="237" t="s">
        <v>323</v>
      </c>
      <c r="CJ2664" s="347">
        <v>907.02</v>
      </c>
      <c r="CK2664" s="347" t="s">
        <v>376</v>
      </c>
      <c r="CL2664" s="1789"/>
      <c r="CR2664" s="345"/>
      <c r="CS2664" s="345"/>
      <c r="CX2664" s="347"/>
      <c r="CY2664" s="347"/>
      <c r="DH2664" s="237"/>
      <c r="DI2664" s="237"/>
      <c r="DN2664" s="347"/>
      <c r="DO2664" s="347"/>
      <c r="DP2664" s="2505"/>
    </row>
    <row r="2665" spans="30:120">
      <c r="AD2665" s="1138"/>
      <c r="AP2665" s="347">
        <v>105.04</v>
      </c>
      <c r="AQ2665" s="347" t="s">
        <v>367</v>
      </c>
      <c r="BF2665" s="347">
        <v>909.04</v>
      </c>
      <c r="BG2665" s="347" t="s">
        <v>376</v>
      </c>
      <c r="BH2665" s="1790"/>
      <c r="BN2665" s="237">
        <v>70.05</v>
      </c>
      <c r="BO2665" s="237" t="s">
        <v>352</v>
      </c>
      <c r="BT2665" s="347">
        <v>107.07</v>
      </c>
      <c r="BU2665" s="347" t="s">
        <v>367</v>
      </c>
      <c r="CD2665" s="237">
        <v>153</v>
      </c>
      <c r="CE2665" s="237" t="s">
        <v>352</v>
      </c>
      <c r="CJ2665" s="347">
        <v>908.02</v>
      </c>
      <c r="CK2665" s="347" t="s">
        <v>310</v>
      </c>
      <c r="CL2665" s="1789"/>
      <c r="CR2665" s="345"/>
      <c r="CS2665" s="345"/>
      <c r="CX2665" s="347"/>
      <c r="CY2665" s="347"/>
      <c r="DH2665" s="237"/>
      <c r="DI2665" s="237"/>
      <c r="DN2665" s="347"/>
      <c r="DO2665" s="347"/>
      <c r="DP2665" s="2505"/>
    </row>
    <row r="2666" spans="30:120">
      <c r="AD2666" s="1138"/>
      <c r="AP2666" s="347">
        <v>105.06</v>
      </c>
      <c r="AQ2666" s="347" t="s">
        <v>367</v>
      </c>
      <c r="BF2666" s="347">
        <v>909.05</v>
      </c>
      <c r="BG2666" s="347" t="s">
        <v>376</v>
      </c>
      <c r="BH2666" s="1790"/>
      <c r="BN2666" s="237">
        <v>70.06</v>
      </c>
      <c r="BO2666" s="237" t="s">
        <v>352</v>
      </c>
      <c r="BT2666" s="347">
        <v>107.09</v>
      </c>
      <c r="BU2666" s="347" t="s">
        <v>367</v>
      </c>
      <c r="CD2666" s="237">
        <v>153</v>
      </c>
      <c r="CE2666" s="237" t="s">
        <v>359</v>
      </c>
      <c r="CJ2666" s="347">
        <v>908.03</v>
      </c>
      <c r="CK2666" s="347" t="s">
        <v>376</v>
      </c>
      <c r="CL2666" s="1789"/>
      <c r="CR2666" s="345"/>
      <c r="CS2666" s="345"/>
      <c r="CX2666" s="347"/>
      <c r="CY2666" s="347"/>
      <c r="DH2666" s="237"/>
      <c r="DI2666" s="237"/>
      <c r="DN2666" s="347"/>
      <c r="DO2666" s="347"/>
      <c r="DP2666" s="2505"/>
    </row>
    <row r="2667" spans="30:120">
      <c r="AD2667" s="1138"/>
      <c r="AP2667" s="347">
        <v>107.04</v>
      </c>
      <c r="AQ2667" s="347" t="s">
        <v>367</v>
      </c>
      <c r="BF2667" s="347">
        <v>909.06</v>
      </c>
      <c r="BG2667" s="347" t="s">
        <v>376</v>
      </c>
      <c r="BH2667" s="1790"/>
      <c r="BN2667" s="237">
        <v>70.069999999999993</v>
      </c>
      <c r="BO2667" s="237" t="s">
        <v>352</v>
      </c>
      <c r="BT2667" s="347">
        <v>107.11</v>
      </c>
      <c r="BU2667" s="347" t="s">
        <v>367</v>
      </c>
      <c r="CD2667" s="237">
        <v>153.01</v>
      </c>
      <c r="CE2667" s="237" t="s">
        <v>365</v>
      </c>
      <c r="CJ2667" s="347">
        <v>908.08</v>
      </c>
      <c r="CK2667" s="347" t="s">
        <v>376</v>
      </c>
      <c r="CL2667" s="1789"/>
      <c r="CR2667" s="345"/>
      <c r="CS2667" s="345"/>
      <c r="CX2667" s="347"/>
      <c r="CY2667" s="347"/>
      <c r="DH2667" s="237"/>
      <c r="DI2667" s="237"/>
      <c r="DN2667" s="347"/>
      <c r="DO2667" s="347"/>
      <c r="DP2667" s="2505"/>
    </row>
    <row r="2668" spans="30:120">
      <c r="AD2668" s="1138"/>
      <c r="AP2668" s="347">
        <v>107.07</v>
      </c>
      <c r="AQ2668" s="347" t="s">
        <v>367</v>
      </c>
      <c r="BF2668" s="347">
        <v>910</v>
      </c>
      <c r="BG2668" s="347" t="s">
        <v>310</v>
      </c>
      <c r="BH2668" s="1790"/>
      <c r="BN2668" s="237">
        <v>71.010000000000005</v>
      </c>
      <c r="BO2668" s="237" t="s">
        <v>352</v>
      </c>
      <c r="BT2668" s="347">
        <v>107.12</v>
      </c>
      <c r="BU2668" s="347" t="s">
        <v>367</v>
      </c>
      <c r="CD2668" s="237">
        <v>153.02000000000001</v>
      </c>
      <c r="CE2668" s="237" t="s">
        <v>365</v>
      </c>
      <c r="CJ2668" s="347">
        <v>909</v>
      </c>
      <c r="CK2668" s="347" t="s">
        <v>310</v>
      </c>
      <c r="CL2668" s="1789"/>
      <c r="CR2668" s="345"/>
      <c r="CS2668" s="345"/>
      <c r="CX2668" s="347"/>
      <c r="CY2668" s="347"/>
      <c r="DH2668" s="237"/>
      <c r="DI2668" s="237"/>
      <c r="DN2668" s="347"/>
      <c r="DO2668" s="347"/>
      <c r="DP2668" s="2505"/>
    </row>
    <row r="2669" spans="30:120">
      <c r="AD2669" s="1138"/>
      <c r="AP2669" s="347">
        <v>107.1</v>
      </c>
      <c r="AQ2669" s="347" t="s">
        <v>367</v>
      </c>
      <c r="BF2669" s="347">
        <v>910.01</v>
      </c>
      <c r="BG2669" s="347" t="s">
        <v>376</v>
      </c>
      <c r="BH2669" s="1790"/>
      <c r="BN2669" s="237">
        <v>71.03</v>
      </c>
      <c r="BO2669" s="237" t="s">
        <v>352</v>
      </c>
      <c r="BT2669" s="347">
        <v>108.02</v>
      </c>
      <c r="BU2669" s="347" t="s">
        <v>367</v>
      </c>
      <c r="CD2669" s="237">
        <v>154</v>
      </c>
      <c r="CE2669" s="237" t="s">
        <v>323</v>
      </c>
      <c r="CJ2669" s="347">
        <v>909.03</v>
      </c>
      <c r="CK2669" s="347" t="s">
        <v>376</v>
      </c>
      <c r="CL2669" s="1789"/>
      <c r="CR2669" s="345"/>
      <c r="CS2669" s="345"/>
      <c r="CX2669" s="347"/>
      <c r="CY2669" s="347"/>
      <c r="DH2669" s="237"/>
      <c r="DI2669" s="237"/>
      <c r="DN2669" s="347"/>
      <c r="DO2669" s="347"/>
      <c r="DP2669" s="2505"/>
    </row>
    <row r="2670" spans="30:120">
      <c r="AD2670" s="1138"/>
      <c r="AP2670" s="347">
        <v>107.12</v>
      </c>
      <c r="AQ2670" s="347" t="s">
        <v>367</v>
      </c>
      <c r="BF2670" s="347">
        <v>910.05</v>
      </c>
      <c r="BG2670" s="347" t="s">
        <v>376</v>
      </c>
      <c r="BH2670" s="1790"/>
      <c r="BN2670" s="237">
        <v>71.040000000000006</v>
      </c>
      <c r="BO2670" s="237" t="s">
        <v>352</v>
      </c>
      <c r="BT2670" s="347">
        <v>108.12</v>
      </c>
      <c r="BU2670" s="347" t="s">
        <v>367</v>
      </c>
      <c r="CD2670" s="237">
        <v>154</v>
      </c>
      <c r="CE2670" s="237" t="s">
        <v>352</v>
      </c>
      <c r="CJ2670" s="347">
        <v>909.04</v>
      </c>
      <c r="CK2670" s="347" t="s">
        <v>376</v>
      </c>
      <c r="CL2670" s="1789"/>
      <c r="CR2670" s="345"/>
      <c r="CS2670" s="345"/>
      <c r="CX2670" s="347"/>
      <c r="CY2670" s="347"/>
      <c r="DH2670" s="237"/>
      <c r="DI2670" s="237"/>
      <c r="DN2670" s="347"/>
      <c r="DO2670" s="347"/>
      <c r="DP2670" s="2505"/>
    </row>
    <row r="2671" spans="30:120">
      <c r="AD2671" s="1138"/>
      <c r="AP2671" s="347">
        <v>108.02</v>
      </c>
      <c r="AQ2671" s="347" t="s">
        <v>367</v>
      </c>
      <c r="BF2671" s="347">
        <v>910.15</v>
      </c>
      <c r="BG2671" s="347" t="s">
        <v>376</v>
      </c>
      <c r="BH2671" s="1790"/>
      <c r="BN2671" s="237">
        <v>72</v>
      </c>
      <c r="BO2671" s="237" t="s">
        <v>352</v>
      </c>
      <c r="BT2671" s="347">
        <v>108.13</v>
      </c>
      <c r="BU2671" s="347" t="s">
        <v>367</v>
      </c>
      <c r="CD2671" s="237">
        <v>154.01</v>
      </c>
      <c r="CE2671" s="237" t="s">
        <v>365</v>
      </c>
      <c r="CJ2671" s="347">
        <v>909.05</v>
      </c>
      <c r="CK2671" s="347" t="s">
        <v>376</v>
      </c>
      <c r="CL2671" s="1789"/>
      <c r="CR2671" s="345"/>
      <c r="CS2671" s="345"/>
      <c r="CX2671" s="347"/>
      <c r="CY2671" s="347"/>
      <c r="DH2671" s="237"/>
      <c r="DI2671" s="237"/>
      <c r="DN2671" s="347"/>
      <c r="DO2671" s="347"/>
      <c r="DP2671" s="2505"/>
    </row>
    <row r="2672" spans="30:120">
      <c r="AD2672" s="1138"/>
      <c r="AP2672" s="347">
        <v>108.12</v>
      </c>
      <c r="AQ2672" s="347" t="s">
        <v>367</v>
      </c>
      <c r="BF2672" s="347">
        <v>910.16</v>
      </c>
      <c r="BG2672" s="347" t="s">
        <v>376</v>
      </c>
      <c r="BH2672" s="1790"/>
      <c r="BN2672" s="237">
        <v>73</v>
      </c>
      <c r="BO2672" s="237" t="s">
        <v>352</v>
      </c>
      <c r="BT2672" s="347">
        <v>108.14</v>
      </c>
      <c r="BU2672" s="347" t="s">
        <v>367</v>
      </c>
      <c r="CD2672" s="237">
        <v>154.02000000000001</v>
      </c>
      <c r="CE2672" s="237" t="s">
        <v>365</v>
      </c>
      <c r="CJ2672" s="347">
        <v>909.06</v>
      </c>
      <c r="CK2672" s="347" t="s">
        <v>376</v>
      </c>
      <c r="CL2672" s="1789"/>
      <c r="CR2672" s="345"/>
      <c r="CS2672" s="345"/>
      <c r="CX2672" s="347"/>
      <c r="CY2672" s="347"/>
      <c r="DH2672" s="237"/>
      <c r="DI2672" s="237"/>
      <c r="DN2672" s="347"/>
      <c r="DO2672" s="347"/>
      <c r="DP2672" s="2505"/>
    </row>
    <row r="2673" spans="30:120">
      <c r="AD2673" s="1138"/>
      <c r="AP2673" s="347">
        <v>108.13</v>
      </c>
      <c r="AQ2673" s="347" t="s">
        <v>367</v>
      </c>
      <c r="BF2673" s="347">
        <v>910.17</v>
      </c>
      <c r="BG2673" s="347" t="s">
        <v>376</v>
      </c>
      <c r="BH2673" s="1790"/>
      <c r="BN2673" s="237">
        <v>74.010000000000005</v>
      </c>
      <c r="BO2673" s="237" t="s">
        <v>352</v>
      </c>
      <c r="BT2673" s="347">
        <v>108.2</v>
      </c>
      <c r="BU2673" s="347" t="s">
        <v>367</v>
      </c>
      <c r="CD2673" s="237">
        <v>154.04</v>
      </c>
      <c r="CE2673" s="237" t="s">
        <v>365</v>
      </c>
      <c r="CJ2673" s="347">
        <v>910</v>
      </c>
      <c r="CK2673" s="347" t="s">
        <v>310</v>
      </c>
      <c r="CL2673" s="1789"/>
      <c r="CR2673" s="345"/>
      <c r="CS2673" s="345"/>
      <c r="CX2673" s="347"/>
      <c r="CY2673" s="347"/>
      <c r="DH2673" s="237"/>
      <c r="DI2673" s="237"/>
      <c r="DN2673" s="347"/>
      <c r="DO2673" s="347"/>
      <c r="DP2673" s="2505"/>
    </row>
    <row r="2674" spans="30:120">
      <c r="AD2674" s="1138"/>
      <c r="AP2674" s="347">
        <v>108.14</v>
      </c>
      <c r="AQ2674" s="347" t="s">
        <v>367</v>
      </c>
      <c r="BF2674" s="347">
        <v>910.18</v>
      </c>
      <c r="BG2674" s="347" t="s">
        <v>376</v>
      </c>
      <c r="BH2674" s="1790"/>
      <c r="BN2674" s="237">
        <v>74.02</v>
      </c>
      <c r="BO2674" s="237" t="s">
        <v>352</v>
      </c>
      <c r="BT2674" s="347">
        <v>108.21</v>
      </c>
      <c r="BU2674" s="347" t="s">
        <v>367</v>
      </c>
      <c r="CD2674" s="237">
        <v>154.05000000000001</v>
      </c>
      <c r="CE2674" s="237" t="s">
        <v>365</v>
      </c>
      <c r="CJ2674" s="347">
        <v>910.01</v>
      </c>
      <c r="CK2674" s="347" t="s">
        <v>376</v>
      </c>
      <c r="CL2674" s="1789"/>
      <c r="CR2674" s="345"/>
      <c r="CS2674" s="345"/>
      <c r="CX2674" s="347"/>
      <c r="CY2674" s="347"/>
      <c r="DH2674" s="237"/>
      <c r="DI2674" s="237"/>
      <c r="DN2674" s="347"/>
      <c r="DO2674" s="347"/>
      <c r="DP2674" s="2505"/>
    </row>
    <row r="2675" spans="30:120">
      <c r="AD2675" s="1138"/>
      <c r="AP2675" s="347">
        <v>108.2</v>
      </c>
      <c r="AQ2675" s="347" t="s">
        <v>367</v>
      </c>
      <c r="BF2675" s="347">
        <v>910.19</v>
      </c>
      <c r="BG2675" s="347" t="s">
        <v>376</v>
      </c>
      <c r="BH2675" s="1790"/>
      <c r="BN2675" s="237">
        <v>74.03</v>
      </c>
      <c r="BO2675" s="237" t="s">
        <v>352</v>
      </c>
      <c r="BT2675" s="347">
        <v>108.22</v>
      </c>
      <c r="BU2675" s="347" t="s">
        <v>367</v>
      </c>
      <c r="CD2675" s="237">
        <v>155</v>
      </c>
      <c r="CE2675" s="237" t="s">
        <v>365</v>
      </c>
      <c r="CJ2675" s="347">
        <v>910.05</v>
      </c>
      <c r="CK2675" s="347" t="s">
        <v>376</v>
      </c>
      <c r="CL2675" s="1789"/>
      <c r="CR2675" s="345"/>
      <c r="CS2675" s="345"/>
      <c r="CX2675" s="347"/>
      <c r="CY2675" s="347"/>
      <c r="DH2675" s="237"/>
      <c r="DI2675" s="237"/>
      <c r="DN2675" s="347"/>
      <c r="DO2675" s="347"/>
      <c r="DP2675" s="2505"/>
    </row>
    <row r="2676" spans="30:120">
      <c r="AD2676" s="1138"/>
      <c r="AP2676" s="347">
        <v>108.21</v>
      </c>
      <c r="AQ2676" s="347" t="s">
        <v>367</v>
      </c>
      <c r="BF2676" s="347">
        <v>910.2</v>
      </c>
      <c r="BG2676" s="347" t="s">
        <v>376</v>
      </c>
      <c r="BH2676" s="1790"/>
      <c r="BN2676" s="237">
        <v>75.010000000000005</v>
      </c>
      <c r="BO2676" s="237" t="s">
        <v>352</v>
      </c>
      <c r="BT2676" s="347">
        <v>108.24</v>
      </c>
      <c r="BU2676" s="347" t="s">
        <v>367</v>
      </c>
      <c r="CD2676" s="237">
        <v>155.01</v>
      </c>
      <c r="CE2676" s="237" t="s">
        <v>323</v>
      </c>
      <c r="CJ2676" s="347">
        <v>910.15</v>
      </c>
      <c r="CK2676" s="347" t="s">
        <v>376</v>
      </c>
      <c r="CL2676" s="1789"/>
      <c r="CR2676" s="345"/>
      <c r="CS2676" s="345"/>
      <c r="CX2676" s="347"/>
      <c r="CY2676" s="347"/>
      <c r="DH2676" s="237"/>
      <c r="DI2676" s="237"/>
      <c r="DN2676" s="347"/>
      <c r="DO2676" s="347"/>
      <c r="DP2676" s="2505"/>
    </row>
    <row r="2677" spans="30:120">
      <c r="AD2677" s="1138"/>
      <c r="AP2677" s="347">
        <v>108.22</v>
      </c>
      <c r="AQ2677" s="347" t="s">
        <v>367</v>
      </c>
      <c r="BF2677" s="347">
        <v>910.21</v>
      </c>
      <c r="BG2677" s="347" t="s">
        <v>376</v>
      </c>
      <c r="BH2677" s="1790"/>
      <c r="BN2677" s="237">
        <v>75.03</v>
      </c>
      <c r="BO2677" s="237" t="s">
        <v>352</v>
      </c>
      <c r="BT2677" s="347">
        <v>108.25</v>
      </c>
      <c r="BU2677" s="347" t="s">
        <v>367</v>
      </c>
      <c r="CD2677" s="237">
        <v>155.01</v>
      </c>
      <c r="CE2677" s="237" t="s">
        <v>352</v>
      </c>
      <c r="CJ2677" s="347">
        <v>910.16</v>
      </c>
      <c r="CK2677" s="347" t="s">
        <v>376</v>
      </c>
      <c r="CL2677" s="1789"/>
      <c r="CR2677" s="345"/>
      <c r="CS2677" s="345"/>
      <c r="CX2677" s="347"/>
      <c r="CY2677" s="347"/>
      <c r="DH2677" s="237"/>
      <c r="DI2677" s="237"/>
      <c r="DN2677" s="347"/>
      <c r="DO2677" s="347"/>
      <c r="DP2677" s="2505"/>
    </row>
    <row r="2678" spans="30:120">
      <c r="AD2678" s="1138"/>
      <c r="AP2678" s="347">
        <v>108.24</v>
      </c>
      <c r="AQ2678" s="347" t="s">
        <v>367</v>
      </c>
      <c r="BF2678" s="347">
        <v>910.23</v>
      </c>
      <c r="BG2678" s="347" t="s">
        <v>376</v>
      </c>
      <c r="BH2678" s="1790"/>
      <c r="BN2678" s="237">
        <v>76.010000000000005</v>
      </c>
      <c r="BO2678" s="237" t="s">
        <v>352</v>
      </c>
      <c r="BT2678" s="347">
        <v>108.27</v>
      </c>
      <c r="BU2678" s="347" t="s">
        <v>367</v>
      </c>
      <c r="CD2678" s="237">
        <v>155.01</v>
      </c>
      <c r="CE2678" s="237" t="s">
        <v>359</v>
      </c>
      <c r="CJ2678" s="347">
        <v>910.17</v>
      </c>
      <c r="CK2678" s="347" t="s">
        <v>376</v>
      </c>
      <c r="CL2678" s="1789"/>
      <c r="CR2678" s="345"/>
      <c r="CS2678" s="345"/>
      <c r="CX2678" s="347"/>
      <c r="CY2678" s="347"/>
      <c r="DH2678" s="237"/>
      <c r="DI2678" s="237"/>
      <c r="DN2678" s="347"/>
      <c r="DO2678" s="347"/>
      <c r="DP2678" s="2505"/>
    </row>
    <row r="2679" spans="30:120">
      <c r="AD2679" s="1138"/>
      <c r="AP2679" s="347">
        <v>108.25</v>
      </c>
      <c r="AQ2679" s="347" t="s">
        <v>367</v>
      </c>
      <c r="BF2679" s="347">
        <v>910.25</v>
      </c>
      <c r="BG2679" s="347" t="s">
        <v>376</v>
      </c>
      <c r="BH2679" s="1790"/>
      <c r="BN2679" s="237">
        <v>76.03</v>
      </c>
      <c r="BO2679" s="237" t="s">
        <v>352</v>
      </c>
      <c r="BT2679" s="347">
        <v>108.28</v>
      </c>
      <c r="BU2679" s="347" t="s">
        <v>367</v>
      </c>
      <c r="CD2679" s="237">
        <v>155.02000000000001</v>
      </c>
      <c r="CE2679" s="237" t="s">
        <v>323</v>
      </c>
      <c r="CJ2679" s="347">
        <v>910.19</v>
      </c>
      <c r="CK2679" s="347" t="s">
        <v>376</v>
      </c>
      <c r="CL2679" s="1789"/>
      <c r="CR2679" s="345"/>
      <c r="CS2679" s="345"/>
      <c r="CX2679" s="347"/>
      <c r="CY2679" s="347"/>
      <c r="DH2679" s="237"/>
      <c r="DI2679" s="237"/>
      <c r="DN2679" s="347"/>
      <c r="DO2679" s="347"/>
      <c r="DP2679" s="2505"/>
    </row>
    <row r="2680" spans="30:120">
      <c r="AD2680" s="1138"/>
      <c r="AP2680" s="347">
        <v>108.27</v>
      </c>
      <c r="AQ2680" s="347" t="s">
        <v>367</v>
      </c>
      <c r="BF2680" s="347">
        <v>910.32</v>
      </c>
      <c r="BG2680" s="347" t="s">
        <v>376</v>
      </c>
      <c r="BH2680" s="1790"/>
      <c r="BN2680" s="237">
        <v>76.05</v>
      </c>
      <c r="BO2680" s="237" t="s">
        <v>352</v>
      </c>
      <c r="BT2680" s="347">
        <v>109</v>
      </c>
      <c r="BU2680" s="347" t="s">
        <v>367</v>
      </c>
      <c r="CD2680" s="237">
        <v>155.02000000000001</v>
      </c>
      <c r="CE2680" s="237" t="s">
        <v>352</v>
      </c>
      <c r="CJ2680" s="347">
        <v>910.2</v>
      </c>
      <c r="CK2680" s="347" t="s">
        <v>376</v>
      </c>
      <c r="CL2680" s="1789"/>
      <c r="CR2680" s="345"/>
      <c r="CS2680" s="345"/>
      <c r="CX2680" s="347"/>
      <c r="CY2680" s="347"/>
      <c r="DH2680" s="237"/>
      <c r="DI2680" s="237"/>
      <c r="DN2680" s="347"/>
      <c r="DO2680" s="347"/>
      <c r="DP2680" s="2505"/>
    </row>
    <row r="2681" spans="30:120">
      <c r="AD2681" s="1138"/>
      <c r="AP2681" s="347">
        <v>108.28</v>
      </c>
      <c r="AQ2681" s="347" t="s">
        <v>367</v>
      </c>
      <c r="BF2681" s="347">
        <v>910.33</v>
      </c>
      <c r="BG2681" s="347" t="s">
        <v>376</v>
      </c>
      <c r="BH2681" s="1790"/>
      <c r="BN2681" s="237">
        <v>76.069999999999993</v>
      </c>
      <c r="BO2681" s="237" t="s">
        <v>352</v>
      </c>
      <c r="BT2681" s="347">
        <v>1.03</v>
      </c>
      <c r="BU2681" s="347" t="s">
        <v>368</v>
      </c>
      <c r="CD2681" s="237">
        <v>156</v>
      </c>
      <c r="CE2681" s="237" t="s">
        <v>323</v>
      </c>
      <c r="CJ2681" s="347">
        <v>910.21</v>
      </c>
      <c r="CK2681" s="347" t="s">
        <v>376</v>
      </c>
      <c r="CL2681" s="1789"/>
      <c r="CR2681" s="345"/>
      <c r="CS2681" s="345"/>
      <c r="CX2681" s="347"/>
      <c r="CY2681" s="347"/>
      <c r="DH2681" s="237"/>
      <c r="DI2681" s="237"/>
      <c r="DN2681" s="347"/>
      <c r="DO2681" s="347"/>
      <c r="DP2681" s="2505"/>
    </row>
    <row r="2682" spans="30:120">
      <c r="AD2682" s="1138"/>
      <c r="AP2682" s="347">
        <v>109</v>
      </c>
      <c r="AQ2682" s="347" t="s">
        <v>367</v>
      </c>
      <c r="BF2682" s="347">
        <v>910.34</v>
      </c>
      <c r="BG2682" s="347" t="s">
        <v>376</v>
      </c>
      <c r="BH2682" s="1790"/>
      <c r="BN2682" s="237">
        <v>76.08</v>
      </c>
      <c r="BO2682" s="237" t="s">
        <v>352</v>
      </c>
      <c r="BT2682" s="347">
        <v>1.04</v>
      </c>
      <c r="BU2682" s="347" t="s">
        <v>368</v>
      </c>
      <c r="CD2682" s="237">
        <v>156</v>
      </c>
      <c r="CE2682" s="237" t="s">
        <v>352</v>
      </c>
      <c r="CJ2682" s="347">
        <v>910.23</v>
      </c>
      <c r="CK2682" s="347" t="s">
        <v>376</v>
      </c>
      <c r="CL2682" s="1789"/>
      <c r="CR2682" s="345"/>
      <c r="CS2682" s="345"/>
      <c r="CX2682" s="347"/>
      <c r="CY2682" s="347"/>
      <c r="DH2682" s="237"/>
      <c r="DI2682" s="237"/>
      <c r="DN2682" s="347"/>
      <c r="DO2682" s="347"/>
      <c r="DP2682" s="2505"/>
    </row>
    <row r="2683" spans="30:120">
      <c r="AD2683" s="1138"/>
      <c r="AP2683" s="347">
        <v>1.03</v>
      </c>
      <c r="AQ2683" s="347" t="s">
        <v>368</v>
      </c>
      <c r="BF2683" s="347">
        <v>910.35</v>
      </c>
      <c r="BG2683" s="347" t="s">
        <v>376</v>
      </c>
      <c r="BH2683" s="1790"/>
      <c r="BN2683" s="237">
        <v>76.09</v>
      </c>
      <c r="BO2683" s="237" t="s">
        <v>352</v>
      </c>
      <c r="BT2683" s="347">
        <v>4.05</v>
      </c>
      <c r="BU2683" s="347" t="s">
        <v>368</v>
      </c>
      <c r="CD2683" s="237">
        <v>156</v>
      </c>
      <c r="CE2683" s="237" t="s">
        <v>365</v>
      </c>
      <c r="CJ2683" s="347">
        <v>910.25</v>
      </c>
      <c r="CK2683" s="347" t="s">
        <v>376</v>
      </c>
      <c r="CL2683" s="1789"/>
      <c r="CR2683" s="345"/>
      <c r="CS2683" s="345"/>
      <c r="CX2683" s="347"/>
      <c r="CY2683" s="347"/>
      <c r="DH2683" s="237"/>
      <c r="DI2683" s="237"/>
      <c r="DN2683" s="347"/>
      <c r="DO2683" s="347"/>
      <c r="DP2683" s="2505"/>
    </row>
    <row r="2684" spans="30:120">
      <c r="AD2684" s="1138"/>
      <c r="AP2684" s="347">
        <v>1.04</v>
      </c>
      <c r="AQ2684" s="347" t="s">
        <v>368</v>
      </c>
      <c r="BF2684" s="347">
        <v>910.36</v>
      </c>
      <c r="BG2684" s="347" t="s">
        <v>376</v>
      </c>
      <c r="BH2684" s="1790"/>
      <c r="BN2684" s="237">
        <v>76.099999999999994</v>
      </c>
      <c r="BO2684" s="237" t="s">
        <v>352</v>
      </c>
      <c r="BT2684" s="347">
        <v>5.01</v>
      </c>
      <c r="BU2684" s="347" t="s">
        <v>368</v>
      </c>
      <c r="CD2684" s="237">
        <v>156.01</v>
      </c>
      <c r="CE2684" s="237" t="s">
        <v>359</v>
      </c>
      <c r="CJ2684" s="347">
        <v>910.29</v>
      </c>
      <c r="CK2684" s="347" t="s">
        <v>376</v>
      </c>
      <c r="CL2684" s="1789"/>
      <c r="CR2684" s="345"/>
      <c r="CS2684" s="345"/>
      <c r="CX2684" s="347"/>
      <c r="CY2684" s="347"/>
      <c r="DH2684" s="237"/>
      <c r="DI2684" s="237"/>
      <c r="DN2684" s="347"/>
      <c r="DO2684" s="347"/>
      <c r="DP2684" s="2505"/>
    </row>
    <row r="2685" spans="30:120">
      <c r="AD2685" s="1138"/>
      <c r="AP2685" s="347">
        <v>4.04</v>
      </c>
      <c r="AQ2685" s="347" t="s">
        <v>368</v>
      </c>
      <c r="BF2685" s="347">
        <v>910.37</v>
      </c>
      <c r="BG2685" s="347" t="s">
        <v>376</v>
      </c>
      <c r="BH2685" s="1790"/>
      <c r="BN2685" s="237">
        <v>77.040000000000006</v>
      </c>
      <c r="BO2685" s="237" t="s">
        <v>352</v>
      </c>
      <c r="BT2685" s="347">
        <v>5.0199999999999996</v>
      </c>
      <c r="BU2685" s="347" t="s">
        <v>368</v>
      </c>
      <c r="CD2685" s="237">
        <v>156.02000000000001</v>
      </c>
      <c r="CE2685" s="237" t="s">
        <v>359</v>
      </c>
      <c r="CJ2685" s="347">
        <v>910.32</v>
      </c>
      <c r="CK2685" s="347" t="s">
        <v>376</v>
      </c>
      <c r="CL2685" s="1789"/>
      <c r="CR2685" s="345"/>
      <c r="CS2685" s="345"/>
      <c r="CX2685" s="347"/>
      <c r="CY2685" s="347"/>
      <c r="DH2685" s="237"/>
      <c r="DI2685" s="237"/>
      <c r="DN2685" s="347"/>
      <c r="DO2685" s="347"/>
      <c r="DP2685" s="2505"/>
    </row>
    <row r="2686" spans="30:120">
      <c r="AD2686" s="1138"/>
      <c r="AP2686" s="347">
        <v>4.05</v>
      </c>
      <c r="AQ2686" s="347" t="s">
        <v>368</v>
      </c>
      <c r="BF2686" s="347">
        <v>910.38</v>
      </c>
      <c r="BG2686" s="347" t="s">
        <v>376</v>
      </c>
      <c r="BH2686" s="1790"/>
      <c r="BN2686" s="237">
        <v>77.05</v>
      </c>
      <c r="BO2686" s="237" t="s">
        <v>352</v>
      </c>
      <c r="BT2686" s="347">
        <v>6.01</v>
      </c>
      <c r="BU2686" s="347" t="s">
        <v>368</v>
      </c>
      <c r="CD2686" s="237">
        <v>157</v>
      </c>
      <c r="CE2686" s="237" t="s">
        <v>352</v>
      </c>
      <c r="CJ2686" s="347">
        <v>910.33</v>
      </c>
      <c r="CK2686" s="347" t="s">
        <v>376</v>
      </c>
      <c r="CL2686" s="1789"/>
      <c r="CR2686" s="345"/>
      <c r="CS2686" s="345"/>
      <c r="CX2686" s="347"/>
      <c r="CY2686" s="347"/>
      <c r="DH2686" s="237"/>
      <c r="DI2686" s="237"/>
      <c r="DN2686" s="347"/>
      <c r="DO2686" s="347"/>
      <c r="DP2686" s="2505"/>
    </row>
    <row r="2687" spans="30:120">
      <c r="AD2687" s="1138"/>
      <c r="AP2687" s="347">
        <v>5.01</v>
      </c>
      <c r="AQ2687" s="347" t="s">
        <v>368</v>
      </c>
      <c r="BF2687" s="347">
        <v>910.39</v>
      </c>
      <c r="BG2687" s="347" t="s">
        <v>376</v>
      </c>
      <c r="BH2687" s="1790"/>
      <c r="BN2687" s="237">
        <v>77.06</v>
      </c>
      <c r="BO2687" s="237" t="s">
        <v>352</v>
      </c>
      <c r="BT2687" s="347">
        <v>6.02</v>
      </c>
      <c r="BU2687" s="347" t="s">
        <v>368</v>
      </c>
      <c r="CD2687" s="237">
        <v>157.01</v>
      </c>
      <c r="CE2687" s="237" t="s">
        <v>323</v>
      </c>
      <c r="CJ2687" s="347">
        <v>910.35</v>
      </c>
      <c r="CK2687" s="347" t="s">
        <v>376</v>
      </c>
      <c r="CL2687" s="1789"/>
      <c r="CR2687" s="345"/>
      <c r="CS2687" s="345"/>
      <c r="CX2687" s="347"/>
      <c r="CY2687" s="347"/>
      <c r="DH2687" s="237"/>
      <c r="DI2687" s="237"/>
      <c r="DN2687" s="347"/>
      <c r="DO2687" s="347"/>
      <c r="DP2687" s="2505"/>
    </row>
    <row r="2688" spans="30:120">
      <c r="AD2688" s="1138"/>
      <c r="AP2688" s="347">
        <v>5.0199999999999996</v>
      </c>
      <c r="AQ2688" s="347" t="s">
        <v>368</v>
      </c>
      <c r="BF2688" s="347">
        <v>917.01</v>
      </c>
      <c r="BG2688" s="347" t="s">
        <v>310</v>
      </c>
      <c r="BH2688" s="1790"/>
      <c r="BN2688" s="237">
        <v>77.069999999999993</v>
      </c>
      <c r="BO2688" s="237" t="s">
        <v>352</v>
      </c>
      <c r="BT2688" s="347">
        <v>7</v>
      </c>
      <c r="BU2688" s="347" t="s">
        <v>368</v>
      </c>
      <c r="CD2688" s="237">
        <v>157.01</v>
      </c>
      <c r="CE2688" s="237" t="s">
        <v>359</v>
      </c>
      <c r="CJ2688" s="347">
        <v>910.36</v>
      </c>
      <c r="CK2688" s="347" t="s">
        <v>376</v>
      </c>
      <c r="CL2688" s="1789"/>
      <c r="CR2688" s="345"/>
      <c r="CS2688" s="345"/>
      <c r="CX2688" s="347"/>
      <c r="CY2688" s="347"/>
      <c r="DH2688" s="237"/>
      <c r="DI2688" s="237"/>
      <c r="DN2688" s="347"/>
      <c r="DO2688" s="347"/>
      <c r="DP2688" s="2505"/>
    </row>
    <row r="2689" spans="30:120">
      <c r="AD2689" s="1138"/>
      <c r="AP2689" s="347">
        <v>6.01</v>
      </c>
      <c r="AQ2689" s="347" t="s">
        <v>368</v>
      </c>
      <c r="BF2689" s="347">
        <v>917.02</v>
      </c>
      <c r="BG2689" s="347" t="s">
        <v>310</v>
      </c>
      <c r="BH2689" s="1790"/>
      <c r="BN2689" s="237">
        <v>77.08</v>
      </c>
      <c r="BO2689" s="237" t="s">
        <v>352</v>
      </c>
      <c r="BT2689" s="347">
        <v>8.01</v>
      </c>
      <c r="BU2689" s="347" t="s">
        <v>368</v>
      </c>
      <c r="CD2689" s="237">
        <v>157.01</v>
      </c>
      <c r="CE2689" s="237" t="s">
        <v>365</v>
      </c>
      <c r="CJ2689" s="347">
        <v>910.37</v>
      </c>
      <c r="CK2689" s="347" t="s">
        <v>376</v>
      </c>
      <c r="CL2689" s="1789"/>
      <c r="CR2689" s="345"/>
      <c r="CS2689" s="345"/>
      <c r="CX2689" s="347"/>
      <c r="CY2689" s="347"/>
      <c r="DH2689" s="237"/>
      <c r="DI2689" s="237"/>
      <c r="DN2689" s="347"/>
      <c r="DO2689" s="347"/>
      <c r="DP2689" s="2505"/>
    </row>
    <row r="2690" spans="30:120">
      <c r="AD2690" s="1138"/>
      <c r="AP2690" s="347">
        <v>6.02</v>
      </c>
      <c r="AQ2690" s="347" t="s">
        <v>368</v>
      </c>
      <c r="BF2690" s="347">
        <v>918.04</v>
      </c>
      <c r="BG2690" s="347" t="s">
        <v>310</v>
      </c>
      <c r="BH2690" s="1790"/>
      <c r="BN2690" s="237">
        <v>77.09</v>
      </c>
      <c r="BO2690" s="237" t="s">
        <v>352</v>
      </c>
      <c r="BT2690" s="347">
        <v>8.02</v>
      </c>
      <c r="BU2690" s="347" t="s">
        <v>368</v>
      </c>
      <c r="CD2690" s="237">
        <v>157.02000000000001</v>
      </c>
      <c r="CE2690" s="237" t="s">
        <v>323</v>
      </c>
      <c r="CJ2690" s="347">
        <v>910.38</v>
      </c>
      <c r="CK2690" s="347" t="s">
        <v>376</v>
      </c>
      <c r="CL2690" s="1789"/>
      <c r="CR2690" s="345"/>
      <c r="CS2690" s="345"/>
      <c r="CX2690" s="347"/>
      <c r="CY2690" s="347"/>
      <c r="DH2690" s="237"/>
      <c r="DI2690" s="237"/>
      <c r="DN2690" s="347"/>
      <c r="DO2690" s="347"/>
      <c r="DP2690" s="2505"/>
    </row>
    <row r="2691" spans="30:120">
      <c r="AD2691" s="1138"/>
      <c r="AP2691" s="347">
        <v>7</v>
      </c>
      <c r="AQ2691" s="347" t="s">
        <v>368</v>
      </c>
      <c r="BF2691" s="347">
        <v>919.01</v>
      </c>
      <c r="BG2691" s="347" t="s">
        <v>310</v>
      </c>
      <c r="BH2691" s="1790"/>
      <c r="BN2691" s="237">
        <v>78.010000000000005</v>
      </c>
      <c r="BO2691" s="237" t="s">
        <v>352</v>
      </c>
      <c r="BT2691" s="347">
        <v>9</v>
      </c>
      <c r="BU2691" s="347" t="s">
        <v>368</v>
      </c>
      <c r="CD2691" s="237">
        <v>157.02000000000001</v>
      </c>
      <c r="CE2691" s="237" t="s">
        <v>359</v>
      </c>
      <c r="CJ2691" s="347">
        <v>917.02</v>
      </c>
      <c r="CK2691" s="347" t="s">
        <v>310</v>
      </c>
      <c r="CL2691" s="1789"/>
      <c r="CR2691" s="345"/>
      <c r="CS2691" s="345"/>
      <c r="CX2691" s="347"/>
      <c r="CY2691" s="347"/>
      <c r="DH2691" s="237"/>
      <c r="DI2691" s="237"/>
      <c r="DN2691" s="347"/>
      <c r="DO2691" s="347"/>
      <c r="DP2691" s="2505"/>
    </row>
    <row r="2692" spans="30:120">
      <c r="AD2692" s="1138"/>
      <c r="AP2692" s="347">
        <v>8.01</v>
      </c>
      <c r="AQ2692" s="347" t="s">
        <v>368</v>
      </c>
      <c r="BF2692" s="347">
        <v>919.03</v>
      </c>
      <c r="BG2692" s="347" t="s">
        <v>310</v>
      </c>
      <c r="BH2692" s="1790"/>
      <c r="BN2692" s="237">
        <v>78.05</v>
      </c>
      <c r="BO2692" s="237" t="s">
        <v>352</v>
      </c>
      <c r="BT2692" s="347">
        <v>12.03</v>
      </c>
      <c r="BU2692" s="347" t="s">
        <v>368</v>
      </c>
      <c r="CD2692" s="237">
        <v>157.02000000000001</v>
      </c>
      <c r="CE2692" s="237" t="s">
        <v>365</v>
      </c>
      <c r="CJ2692" s="347">
        <v>918.04</v>
      </c>
      <c r="CK2692" s="347" t="s">
        <v>310</v>
      </c>
      <c r="CL2692" s="1789"/>
      <c r="CR2692" s="345"/>
      <c r="CS2692" s="345"/>
      <c r="CX2692" s="347"/>
      <c r="CY2692" s="347"/>
      <c r="DH2692" s="237"/>
      <c r="DI2692" s="237"/>
      <c r="DN2692" s="347"/>
      <c r="DO2692" s="347"/>
      <c r="DP2692" s="2505"/>
    </row>
    <row r="2693" spans="30:120">
      <c r="AD2693" s="1138"/>
      <c r="AP2693" s="347">
        <v>8.02</v>
      </c>
      <c r="AQ2693" s="347" t="s">
        <v>368</v>
      </c>
      <c r="BF2693" s="347">
        <v>920</v>
      </c>
      <c r="BG2693" s="347" t="s">
        <v>310</v>
      </c>
      <c r="BH2693" s="1790"/>
      <c r="BN2693" s="237">
        <v>78.06</v>
      </c>
      <c r="BO2693" s="237" t="s">
        <v>352</v>
      </c>
      <c r="BT2693" s="347">
        <v>12.04</v>
      </c>
      <c r="BU2693" s="347" t="s">
        <v>368</v>
      </c>
      <c r="CD2693" s="237">
        <v>158</v>
      </c>
      <c r="CE2693" s="237" t="s">
        <v>352</v>
      </c>
      <c r="CJ2693" s="347">
        <v>919.01</v>
      </c>
      <c r="CK2693" s="347" t="s">
        <v>310</v>
      </c>
      <c r="CL2693" s="1789"/>
      <c r="CR2693" s="345"/>
      <c r="CS2693" s="345"/>
      <c r="CX2693" s="347"/>
      <c r="CY2693" s="347"/>
      <c r="DH2693" s="237"/>
      <c r="DI2693" s="237"/>
      <c r="DN2693" s="347"/>
      <c r="DO2693" s="347"/>
      <c r="DP2693" s="2505"/>
    </row>
    <row r="2694" spans="30:120">
      <c r="AD2694" s="1138"/>
      <c r="AP2694" s="347">
        <v>9</v>
      </c>
      <c r="AQ2694" s="347" t="s">
        <v>368</v>
      </c>
      <c r="BF2694" s="347">
        <v>925</v>
      </c>
      <c r="BG2694" s="347" t="s">
        <v>376</v>
      </c>
      <c r="BH2694" s="1790"/>
      <c r="BN2694" s="237">
        <v>78.069999999999993</v>
      </c>
      <c r="BO2694" s="237" t="s">
        <v>352</v>
      </c>
      <c r="BT2694" s="347">
        <v>12.05</v>
      </c>
      <c r="BU2694" s="347" t="s">
        <v>368</v>
      </c>
      <c r="CD2694" s="237">
        <v>158.01</v>
      </c>
      <c r="CE2694" s="237" t="s">
        <v>359</v>
      </c>
      <c r="CJ2694" s="347">
        <v>920</v>
      </c>
      <c r="CK2694" s="347" t="s">
        <v>310</v>
      </c>
      <c r="CL2694" s="1789"/>
      <c r="CR2694" s="345"/>
      <c r="CS2694" s="345"/>
      <c r="CX2694" s="347"/>
      <c r="CY2694" s="347"/>
      <c r="DH2694" s="237"/>
      <c r="DI2694" s="237"/>
      <c r="DN2694" s="347"/>
      <c r="DO2694" s="347"/>
      <c r="DP2694" s="2505"/>
    </row>
    <row r="2695" spans="30:120">
      <c r="AD2695" s="1138"/>
      <c r="AP2695" s="347">
        <v>12.02</v>
      </c>
      <c r="AQ2695" s="347" t="s">
        <v>368</v>
      </c>
      <c r="BF2695" s="347">
        <v>1001.05</v>
      </c>
      <c r="BG2695" s="347" t="s">
        <v>310</v>
      </c>
      <c r="BH2695" s="1790"/>
      <c r="BN2695" s="237">
        <v>78.08</v>
      </c>
      <c r="BO2695" s="237" t="s">
        <v>352</v>
      </c>
      <c r="BT2695" s="347">
        <v>12.06</v>
      </c>
      <c r="BU2695" s="347" t="s">
        <v>368</v>
      </c>
      <c r="CD2695" s="237">
        <v>158.01</v>
      </c>
      <c r="CE2695" s="237" t="s">
        <v>365</v>
      </c>
      <c r="CJ2695" s="347">
        <v>1001.05</v>
      </c>
      <c r="CK2695" s="347" t="s">
        <v>310</v>
      </c>
      <c r="CL2695" s="1789"/>
      <c r="CR2695" s="345"/>
      <c r="CS2695" s="345"/>
      <c r="CX2695" s="347"/>
      <c r="CY2695" s="347"/>
      <c r="DH2695" s="237"/>
      <c r="DI2695" s="237"/>
      <c r="DN2695" s="347"/>
      <c r="DO2695" s="347"/>
      <c r="DP2695" s="2505"/>
    </row>
    <row r="2696" spans="30:120">
      <c r="AD2696" s="1138"/>
      <c r="AP2696" s="347">
        <v>12.03</v>
      </c>
      <c r="AQ2696" s="347" t="s">
        <v>368</v>
      </c>
      <c r="BF2696" s="347">
        <v>1001.06</v>
      </c>
      <c r="BG2696" s="347" t="s">
        <v>310</v>
      </c>
      <c r="BH2696" s="1790"/>
      <c r="BN2696" s="237">
        <v>78.09</v>
      </c>
      <c r="BO2696" s="237" t="s">
        <v>352</v>
      </c>
      <c r="BT2696" s="347">
        <v>13.01</v>
      </c>
      <c r="BU2696" s="347" t="s">
        <v>368</v>
      </c>
      <c r="CD2696" s="237">
        <v>158.02000000000001</v>
      </c>
      <c r="CE2696" s="237" t="s">
        <v>359</v>
      </c>
      <c r="CJ2696" s="347">
        <v>1001.06</v>
      </c>
      <c r="CK2696" s="347" t="s">
        <v>310</v>
      </c>
      <c r="CL2696" s="1789"/>
      <c r="CR2696" s="345"/>
      <c r="CS2696" s="345"/>
      <c r="CX2696" s="347"/>
      <c r="CY2696" s="347"/>
      <c r="DH2696" s="237"/>
      <c r="DI2696" s="237"/>
      <c r="DN2696" s="347"/>
      <c r="DO2696" s="347"/>
      <c r="DP2696" s="2505"/>
    </row>
    <row r="2697" spans="30:120">
      <c r="AD2697" s="1138"/>
      <c r="AP2697" s="347">
        <v>12.04</v>
      </c>
      <c r="AQ2697" s="347" t="s">
        <v>368</v>
      </c>
      <c r="BF2697" s="347">
        <v>1001.07</v>
      </c>
      <c r="BG2697" s="347" t="s">
        <v>310</v>
      </c>
      <c r="BH2697" s="1790"/>
      <c r="BN2697" s="237">
        <v>79.010000000000005</v>
      </c>
      <c r="BO2697" s="237" t="s">
        <v>352</v>
      </c>
      <c r="BT2697" s="347">
        <v>13.02</v>
      </c>
      <c r="BU2697" s="347" t="s">
        <v>368</v>
      </c>
      <c r="CD2697" s="237">
        <v>158.02000000000001</v>
      </c>
      <c r="CE2697" s="237" t="s">
        <v>365</v>
      </c>
      <c r="CJ2697" s="347">
        <v>1001.07</v>
      </c>
      <c r="CK2697" s="347" t="s">
        <v>310</v>
      </c>
      <c r="CL2697" s="1789"/>
      <c r="CR2697" s="345"/>
      <c r="CS2697" s="345"/>
      <c r="CX2697" s="347"/>
      <c r="CY2697" s="347"/>
      <c r="DH2697" s="237"/>
      <c r="DI2697" s="237"/>
      <c r="DN2697" s="347"/>
      <c r="DO2697" s="347"/>
      <c r="DP2697" s="2505"/>
    </row>
    <row r="2698" spans="30:120">
      <c r="AD2698" s="1138"/>
      <c r="AP2698" s="347">
        <v>12.05</v>
      </c>
      <c r="AQ2698" s="347" t="s">
        <v>368</v>
      </c>
      <c r="BF2698" s="347">
        <v>1001.08</v>
      </c>
      <c r="BG2698" s="347" t="s">
        <v>310</v>
      </c>
      <c r="BH2698" s="1790"/>
      <c r="BN2698" s="237">
        <v>79.02</v>
      </c>
      <c r="BO2698" s="237" t="s">
        <v>352</v>
      </c>
      <c r="BT2698" s="347">
        <v>13.03</v>
      </c>
      <c r="BU2698" s="347" t="s">
        <v>368</v>
      </c>
      <c r="CD2698" s="237">
        <v>158.03</v>
      </c>
      <c r="CE2698" s="237" t="s">
        <v>323</v>
      </c>
      <c r="CJ2698" s="347">
        <v>1001.08</v>
      </c>
      <c r="CK2698" s="347" t="s">
        <v>310</v>
      </c>
      <c r="CL2698" s="1789"/>
      <c r="CR2698" s="345"/>
      <c r="CS2698" s="345"/>
      <c r="CX2698" s="347"/>
      <c r="CY2698" s="347"/>
      <c r="DH2698" s="237"/>
      <c r="DI2698" s="237"/>
      <c r="DN2698" s="347"/>
      <c r="DO2698" s="347"/>
      <c r="DP2698" s="2505"/>
    </row>
    <row r="2699" spans="30:120">
      <c r="AD2699" s="1138"/>
      <c r="AP2699" s="347">
        <v>12.06</v>
      </c>
      <c r="AQ2699" s="347" t="s">
        <v>368</v>
      </c>
      <c r="BF2699" s="347">
        <v>1101</v>
      </c>
      <c r="BG2699" s="347" t="s">
        <v>348</v>
      </c>
      <c r="BH2699" s="1790"/>
      <c r="BN2699" s="237">
        <v>80</v>
      </c>
      <c r="BO2699" s="237" t="s">
        <v>352</v>
      </c>
      <c r="BT2699" s="347">
        <v>13.04</v>
      </c>
      <c r="BU2699" s="347" t="s">
        <v>368</v>
      </c>
      <c r="CD2699" s="237">
        <v>158.04</v>
      </c>
      <c r="CE2699" s="237" t="s">
        <v>323</v>
      </c>
      <c r="CJ2699" s="347">
        <v>1101</v>
      </c>
      <c r="CK2699" s="347" t="s">
        <v>348</v>
      </c>
      <c r="CL2699" s="1789"/>
      <c r="CR2699" s="345"/>
      <c r="CS2699" s="345"/>
      <c r="CX2699" s="347"/>
      <c r="CY2699" s="347"/>
      <c r="DH2699" s="237"/>
      <c r="DI2699" s="237"/>
      <c r="DN2699" s="347"/>
      <c r="DO2699" s="347"/>
      <c r="DP2699" s="2505"/>
    </row>
    <row r="2700" spans="30:120">
      <c r="AD2700" s="1138"/>
      <c r="AP2700" s="347">
        <v>13.01</v>
      </c>
      <c r="AQ2700" s="347" t="s">
        <v>368</v>
      </c>
      <c r="BF2700" s="347">
        <v>1102.01</v>
      </c>
      <c r="BG2700" s="347" t="s">
        <v>319</v>
      </c>
      <c r="BH2700" s="1790"/>
      <c r="BN2700" s="237">
        <v>81.010000000000005</v>
      </c>
      <c r="BO2700" s="237" t="s">
        <v>352</v>
      </c>
      <c r="BT2700" s="347">
        <v>14.02</v>
      </c>
      <c r="BU2700" s="347" t="s">
        <v>368</v>
      </c>
      <c r="CD2700" s="237">
        <v>158.05000000000001</v>
      </c>
      <c r="CE2700" s="237" t="s">
        <v>323</v>
      </c>
      <c r="CJ2700" s="347">
        <v>1102</v>
      </c>
      <c r="CK2700" s="347" t="s">
        <v>348</v>
      </c>
      <c r="CL2700" s="1789"/>
      <c r="CR2700" s="345"/>
      <c r="CS2700" s="345"/>
      <c r="CX2700" s="347"/>
      <c r="CY2700" s="347"/>
      <c r="DH2700" s="237"/>
      <c r="DI2700" s="237"/>
      <c r="DN2700" s="347"/>
      <c r="DO2700" s="347"/>
      <c r="DP2700" s="2505"/>
    </row>
    <row r="2701" spans="30:120">
      <c r="AD2701" s="1138"/>
      <c r="AP2701" s="347">
        <v>13.02</v>
      </c>
      <c r="AQ2701" s="347" t="s">
        <v>368</v>
      </c>
      <c r="BF2701" s="347">
        <v>1103.03</v>
      </c>
      <c r="BG2701" s="347" t="s">
        <v>310</v>
      </c>
      <c r="BH2701" s="1790"/>
      <c r="BN2701" s="237">
        <v>81.02</v>
      </c>
      <c r="BO2701" s="237" t="s">
        <v>352</v>
      </c>
      <c r="BT2701" s="347">
        <v>14.03</v>
      </c>
      <c r="BU2701" s="347" t="s">
        <v>368</v>
      </c>
      <c r="CD2701" s="237">
        <v>158.06</v>
      </c>
      <c r="CE2701" s="237" t="s">
        <v>323</v>
      </c>
      <c r="CJ2701" s="347">
        <v>1102.01</v>
      </c>
      <c r="CK2701" s="347" t="s">
        <v>319</v>
      </c>
      <c r="CL2701" s="1789"/>
      <c r="CR2701" s="345"/>
      <c r="CS2701" s="345"/>
      <c r="CX2701" s="347"/>
      <c r="CY2701" s="347"/>
      <c r="DH2701" s="237"/>
      <c r="DI2701" s="237"/>
      <c r="DN2701" s="347"/>
      <c r="DO2701" s="347"/>
      <c r="DP2701" s="2505"/>
    </row>
    <row r="2702" spans="30:120">
      <c r="AD2702" s="1138"/>
      <c r="AP2702" s="347">
        <v>13.03</v>
      </c>
      <c r="AQ2702" s="347" t="s">
        <v>368</v>
      </c>
      <c r="BF2702" s="347">
        <v>1103.07</v>
      </c>
      <c r="BG2702" s="347" t="s">
        <v>310</v>
      </c>
      <c r="BH2702" s="1790"/>
      <c r="BN2702" s="237">
        <v>82.02</v>
      </c>
      <c r="BO2702" s="237" t="s">
        <v>352</v>
      </c>
      <c r="BT2702" s="347">
        <v>14.04</v>
      </c>
      <c r="BU2702" s="347" t="s">
        <v>368</v>
      </c>
      <c r="CD2702" s="237">
        <v>159</v>
      </c>
      <c r="CE2702" s="237" t="s">
        <v>352</v>
      </c>
      <c r="CJ2702" s="347">
        <v>1103.01</v>
      </c>
      <c r="CK2702" s="347" t="s">
        <v>348</v>
      </c>
      <c r="CL2702" s="1789"/>
      <c r="CR2702" s="345"/>
      <c r="CS2702" s="345"/>
      <c r="CX2702" s="347"/>
      <c r="CY2702" s="347"/>
      <c r="DH2702" s="237"/>
      <c r="DI2702" s="237"/>
      <c r="DN2702" s="347"/>
      <c r="DO2702" s="347"/>
      <c r="DP2702" s="2505"/>
    </row>
    <row r="2703" spans="30:120">
      <c r="AD2703" s="1138"/>
      <c r="AP2703" s="347">
        <v>13.04</v>
      </c>
      <c r="AQ2703" s="347" t="s">
        <v>368</v>
      </c>
      <c r="BF2703" s="347">
        <v>1103.0899999999999</v>
      </c>
      <c r="BG2703" s="347" t="s">
        <v>310</v>
      </c>
      <c r="BH2703" s="1790"/>
      <c r="BN2703" s="237">
        <v>82.05</v>
      </c>
      <c r="BO2703" s="237" t="s">
        <v>352</v>
      </c>
      <c r="BT2703" s="347">
        <v>14.05</v>
      </c>
      <c r="BU2703" s="347" t="s">
        <v>368</v>
      </c>
      <c r="CD2703" s="237">
        <v>159</v>
      </c>
      <c r="CE2703" s="237" t="s">
        <v>365</v>
      </c>
      <c r="CJ2703" s="347">
        <v>1103.03</v>
      </c>
      <c r="CK2703" s="347" t="s">
        <v>310</v>
      </c>
      <c r="CL2703" s="1789"/>
      <c r="CR2703" s="345"/>
      <c r="CS2703" s="345"/>
      <c r="CX2703" s="347"/>
      <c r="CY2703" s="347"/>
      <c r="DH2703" s="237"/>
      <c r="DI2703" s="237"/>
      <c r="DN2703" s="347"/>
      <c r="DO2703" s="347"/>
      <c r="DP2703" s="2505"/>
    </row>
    <row r="2704" spans="30:120">
      <c r="AD2704" s="1138"/>
      <c r="AP2704" s="347">
        <v>14.02</v>
      </c>
      <c r="AQ2704" s="347" t="s">
        <v>368</v>
      </c>
      <c r="BF2704" s="347">
        <v>1103.1099999999999</v>
      </c>
      <c r="BG2704" s="347" t="s">
        <v>310</v>
      </c>
      <c r="BH2704" s="1790"/>
      <c r="BN2704" s="237">
        <v>82.06</v>
      </c>
      <c r="BO2704" s="237" t="s">
        <v>352</v>
      </c>
      <c r="BT2704" s="347">
        <v>15.04</v>
      </c>
      <c r="BU2704" s="347" t="s">
        <v>368</v>
      </c>
      <c r="CD2704" s="237">
        <v>159.01</v>
      </c>
      <c r="CE2704" s="237" t="s">
        <v>359</v>
      </c>
      <c r="CJ2704" s="347">
        <v>1103.07</v>
      </c>
      <c r="CK2704" s="347" t="s">
        <v>310</v>
      </c>
      <c r="CL2704" s="1789"/>
      <c r="CR2704" s="345"/>
      <c r="CS2704" s="345"/>
      <c r="CX2704" s="347"/>
      <c r="CY2704" s="347"/>
      <c r="DH2704" s="237"/>
      <c r="DI2704" s="237"/>
      <c r="DN2704" s="347"/>
      <c r="DO2704" s="347"/>
      <c r="DP2704" s="2505"/>
    </row>
    <row r="2705" spans="30:120">
      <c r="AD2705" s="1138"/>
      <c r="AP2705" s="347">
        <v>14.03</v>
      </c>
      <c r="AQ2705" s="347" t="s">
        <v>368</v>
      </c>
      <c r="BF2705" s="347">
        <v>1103.19</v>
      </c>
      <c r="BG2705" s="347" t="s">
        <v>310</v>
      </c>
      <c r="BH2705" s="1790"/>
      <c r="BN2705" s="237">
        <v>82.07</v>
      </c>
      <c r="BO2705" s="237" t="s">
        <v>352</v>
      </c>
      <c r="BT2705" s="347">
        <v>15.05</v>
      </c>
      <c r="BU2705" s="347" t="s">
        <v>368</v>
      </c>
      <c r="CD2705" s="237">
        <v>159.22</v>
      </c>
      <c r="CE2705" s="237" t="s">
        <v>323</v>
      </c>
      <c r="CJ2705" s="347">
        <v>1103.08</v>
      </c>
      <c r="CK2705" s="347" t="s">
        <v>310</v>
      </c>
      <c r="CL2705" s="1789"/>
      <c r="CR2705" s="345"/>
      <c r="CS2705" s="345"/>
      <c r="CX2705" s="347"/>
      <c r="CY2705" s="347"/>
      <c r="DH2705" s="237"/>
      <c r="DI2705" s="237"/>
      <c r="DN2705" s="347"/>
      <c r="DO2705" s="347"/>
      <c r="DP2705" s="2505"/>
    </row>
    <row r="2706" spans="30:120">
      <c r="AD2706" s="1138"/>
      <c r="AP2706" s="347">
        <v>14.04</v>
      </c>
      <c r="AQ2706" s="347" t="s">
        <v>368</v>
      </c>
      <c r="BF2706" s="347">
        <v>1103.21</v>
      </c>
      <c r="BG2706" s="347" t="s">
        <v>310</v>
      </c>
      <c r="BH2706" s="1790"/>
      <c r="BN2706" s="237">
        <v>82.08</v>
      </c>
      <c r="BO2706" s="237" t="s">
        <v>352</v>
      </c>
      <c r="BT2706" s="347">
        <v>15.08</v>
      </c>
      <c r="BU2706" s="347" t="s">
        <v>368</v>
      </c>
      <c r="CD2706" s="237">
        <v>159.24</v>
      </c>
      <c r="CE2706" s="237" t="s">
        <v>323</v>
      </c>
      <c r="CJ2706" s="347">
        <v>1103.1099999999999</v>
      </c>
      <c r="CK2706" s="347" t="s">
        <v>310</v>
      </c>
      <c r="CL2706" s="1789"/>
      <c r="CR2706" s="345"/>
      <c r="CS2706" s="345"/>
      <c r="CX2706" s="347"/>
      <c r="CY2706" s="347"/>
      <c r="DH2706" s="237"/>
      <c r="DI2706" s="237"/>
      <c r="DN2706" s="347"/>
      <c r="DO2706" s="347"/>
      <c r="DP2706" s="2505"/>
    </row>
    <row r="2707" spans="30:120">
      <c r="AD2707" s="1138"/>
      <c r="AP2707" s="347">
        <v>14.05</v>
      </c>
      <c r="AQ2707" s="347" t="s">
        <v>368</v>
      </c>
      <c r="BF2707" s="347">
        <v>1103.23</v>
      </c>
      <c r="BG2707" s="347" t="s">
        <v>310</v>
      </c>
      <c r="BH2707" s="1790"/>
      <c r="BN2707" s="237">
        <v>82.09</v>
      </c>
      <c r="BO2707" s="237" t="s">
        <v>352</v>
      </c>
      <c r="BT2707" s="347">
        <v>15.09</v>
      </c>
      <c r="BU2707" s="347" t="s">
        <v>368</v>
      </c>
      <c r="CD2707" s="237">
        <v>159.25</v>
      </c>
      <c r="CE2707" s="237" t="s">
        <v>323</v>
      </c>
      <c r="CJ2707" s="347">
        <v>1103.1300000000001</v>
      </c>
      <c r="CK2707" s="347" t="s">
        <v>310</v>
      </c>
      <c r="CL2707" s="1789"/>
      <c r="CR2707" s="345"/>
      <c r="CS2707" s="345"/>
      <c r="CX2707" s="347"/>
      <c r="CY2707" s="347"/>
      <c r="DH2707" s="237"/>
      <c r="DI2707" s="237"/>
      <c r="DN2707" s="347"/>
      <c r="DO2707" s="347"/>
      <c r="DP2707" s="2505"/>
    </row>
    <row r="2708" spans="30:120">
      <c r="AD2708" s="1138"/>
      <c r="AP2708" s="347">
        <v>15.04</v>
      </c>
      <c r="AQ2708" s="347" t="s">
        <v>368</v>
      </c>
      <c r="BF2708" s="347">
        <v>1103.26</v>
      </c>
      <c r="BG2708" s="347" t="s">
        <v>310</v>
      </c>
      <c r="BH2708" s="1790"/>
      <c r="BN2708" s="237">
        <v>83.05</v>
      </c>
      <c r="BO2708" s="237" t="s">
        <v>352</v>
      </c>
      <c r="BT2708" s="347">
        <v>15.1</v>
      </c>
      <c r="BU2708" s="347" t="s">
        <v>368</v>
      </c>
      <c r="CD2708" s="237">
        <v>159.26</v>
      </c>
      <c r="CE2708" s="237" t="s">
        <v>323</v>
      </c>
      <c r="CJ2708" s="347">
        <v>1103.19</v>
      </c>
      <c r="CK2708" s="347" t="s">
        <v>310</v>
      </c>
      <c r="CL2708" s="1789"/>
      <c r="CR2708" s="345"/>
      <c r="CS2708" s="345"/>
      <c r="CX2708" s="347"/>
      <c r="CY2708" s="347"/>
      <c r="DH2708" s="237"/>
      <c r="DI2708" s="237"/>
      <c r="DN2708" s="347"/>
      <c r="DO2708" s="347"/>
      <c r="DP2708" s="2505"/>
    </row>
    <row r="2709" spans="30:120">
      <c r="AD2709" s="1138"/>
      <c r="AP2709" s="347">
        <v>15.05</v>
      </c>
      <c r="AQ2709" s="347" t="s">
        <v>368</v>
      </c>
      <c r="BF2709" s="347">
        <v>1103.27</v>
      </c>
      <c r="BG2709" s="347" t="s">
        <v>310</v>
      </c>
      <c r="BH2709" s="1790"/>
      <c r="BN2709" s="237">
        <v>83.08</v>
      </c>
      <c r="BO2709" s="237" t="s">
        <v>352</v>
      </c>
      <c r="BT2709" s="347">
        <v>15.11</v>
      </c>
      <c r="BU2709" s="347" t="s">
        <v>368</v>
      </c>
      <c r="CD2709" s="237">
        <v>159.27000000000001</v>
      </c>
      <c r="CE2709" s="237" t="s">
        <v>323</v>
      </c>
      <c r="CJ2709" s="347">
        <v>1103.21</v>
      </c>
      <c r="CK2709" s="347" t="s">
        <v>310</v>
      </c>
      <c r="CL2709" s="1789"/>
      <c r="CR2709" s="345"/>
      <c r="CS2709" s="345"/>
      <c r="CX2709" s="347"/>
      <c r="CY2709" s="347"/>
      <c r="DH2709" s="237"/>
      <c r="DI2709" s="237"/>
      <c r="DN2709" s="347"/>
      <c r="DO2709" s="347"/>
      <c r="DP2709" s="2505"/>
    </row>
    <row r="2710" spans="30:120">
      <c r="AD2710" s="1138"/>
      <c r="AP2710" s="347">
        <v>15.08</v>
      </c>
      <c r="AQ2710" s="347" t="s">
        <v>368</v>
      </c>
      <c r="BF2710" s="347">
        <v>1103.28</v>
      </c>
      <c r="BG2710" s="347" t="s">
        <v>310</v>
      </c>
      <c r="BH2710" s="1790"/>
      <c r="BN2710" s="237">
        <v>83.09</v>
      </c>
      <c r="BO2710" s="237" t="s">
        <v>352</v>
      </c>
      <c r="BT2710" s="347">
        <v>16.02</v>
      </c>
      <c r="BU2710" s="347" t="s">
        <v>368</v>
      </c>
      <c r="CD2710" s="237">
        <v>159.28</v>
      </c>
      <c r="CE2710" s="237" t="s">
        <v>323</v>
      </c>
      <c r="CJ2710" s="347">
        <v>1103.26</v>
      </c>
      <c r="CK2710" s="347" t="s">
        <v>310</v>
      </c>
      <c r="CL2710" s="1789"/>
      <c r="CR2710" s="345"/>
      <c r="CS2710" s="345"/>
      <c r="CX2710" s="347"/>
      <c r="CY2710" s="347"/>
      <c r="DH2710" s="237"/>
      <c r="DI2710" s="237"/>
      <c r="DN2710" s="347"/>
      <c r="DO2710" s="347"/>
      <c r="DP2710" s="2505"/>
    </row>
    <row r="2711" spans="30:120">
      <c r="AD2711" s="1138"/>
      <c r="AP2711" s="347">
        <v>15.09</v>
      </c>
      <c r="AQ2711" s="347" t="s">
        <v>368</v>
      </c>
      <c r="BF2711" s="347">
        <v>1103.3</v>
      </c>
      <c r="BG2711" s="347" t="s">
        <v>310</v>
      </c>
      <c r="BH2711" s="1790"/>
      <c r="BN2711" s="237">
        <v>83.1</v>
      </c>
      <c r="BO2711" s="237" t="s">
        <v>352</v>
      </c>
      <c r="BT2711" s="347">
        <v>17.02</v>
      </c>
      <c r="BU2711" s="347" t="s">
        <v>368</v>
      </c>
      <c r="CD2711" s="237">
        <v>159.29</v>
      </c>
      <c r="CE2711" s="237" t="s">
        <v>323</v>
      </c>
      <c r="CJ2711" s="347">
        <v>1103.27</v>
      </c>
      <c r="CK2711" s="347" t="s">
        <v>310</v>
      </c>
      <c r="CL2711" s="1789"/>
      <c r="CR2711" s="345"/>
      <c r="CS2711" s="345"/>
      <c r="CX2711" s="347"/>
      <c r="CY2711" s="347"/>
      <c r="DH2711" s="237"/>
      <c r="DI2711" s="237"/>
      <c r="DN2711" s="347"/>
      <c r="DO2711" s="347"/>
      <c r="DP2711" s="2505"/>
    </row>
    <row r="2712" spans="30:120">
      <c r="AD2712" s="1138"/>
      <c r="AP2712" s="347">
        <v>15.11</v>
      </c>
      <c r="AQ2712" s="347" t="s">
        <v>368</v>
      </c>
      <c r="BF2712" s="347">
        <v>1103.32</v>
      </c>
      <c r="BG2712" s="347" t="s">
        <v>310</v>
      </c>
      <c r="BH2712" s="1790"/>
      <c r="BN2712" s="237">
        <v>83.11</v>
      </c>
      <c r="BO2712" s="237" t="s">
        <v>352</v>
      </c>
      <c r="BT2712" s="347">
        <v>17.04</v>
      </c>
      <c r="BU2712" s="347" t="s">
        <v>368</v>
      </c>
      <c r="CD2712" s="237">
        <v>160</v>
      </c>
      <c r="CE2712" s="237" t="s">
        <v>352</v>
      </c>
      <c r="CJ2712" s="347">
        <v>1103.28</v>
      </c>
      <c r="CK2712" s="347" t="s">
        <v>310</v>
      </c>
      <c r="CL2712" s="1789"/>
      <c r="CR2712" s="345"/>
      <c r="CS2712" s="345"/>
      <c r="CX2712" s="347"/>
      <c r="CY2712" s="347"/>
      <c r="DH2712" s="237"/>
      <c r="DI2712" s="237"/>
      <c r="DN2712" s="347"/>
      <c r="DO2712" s="347"/>
      <c r="DP2712" s="2505"/>
    </row>
    <row r="2713" spans="30:120">
      <c r="AD2713" s="1138"/>
      <c r="AP2713" s="347">
        <v>16.02</v>
      </c>
      <c r="AQ2713" s="347" t="s">
        <v>368</v>
      </c>
      <c r="BF2713" s="347">
        <v>1103.33</v>
      </c>
      <c r="BG2713" s="347" t="s">
        <v>310</v>
      </c>
      <c r="BH2713" s="1790"/>
      <c r="BN2713" s="237">
        <v>83.12</v>
      </c>
      <c r="BO2713" s="237" t="s">
        <v>352</v>
      </c>
      <c r="BT2713" s="347">
        <v>18.010000000000002</v>
      </c>
      <c r="BU2713" s="347" t="s">
        <v>368</v>
      </c>
      <c r="CD2713" s="237">
        <v>160.01</v>
      </c>
      <c r="CE2713" s="237" t="s">
        <v>323</v>
      </c>
      <c r="CJ2713" s="347">
        <v>1103.3</v>
      </c>
      <c r="CK2713" s="347" t="s">
        <v>310</v>
      </c>
      <c r="CL2713" s="1789"/>
      <c r="CR2713" s="345"/>
      <c r="CS2713" s="345"/>
      <c r="CX2713" s="347"/>
      <c r="CY2713" s="347"/>
      <c r="DH2713" s="237"/>
      <c r="DI2713" s="237"/>
      <c r="DN2713" s="347"/>
      <c r="DO2713" s="347"/>
      <c r="DP2713" s="2505"/>
    </row>
    <row r="2714" spans="30:120">
      <c r="AD2714" s="1138"/>
      <c r="AP2714" s="347">
        <v>17.02</v>
      </c>
      <c r="AQ2714" s="347" t="s">
        <v>368</v>
      </c>
      <c r="BF2714" s="347">
        <v>1103.3699999999999</v>
      </c>
      <c r="BG2714" s="347" t="s">
        <v>310</v>
      </c>
      <c r="BH2714" s="1790"/>
      <c r="BN2714" s="237">
        <v>83.13</v>
      </c>
      <c r="BO2714" s="237" t="s">
        <v>352</v>
      </c>
      <c r="BT2714" s="347">
        <v>18.05</v>
      </c>
      <c r="BU2714" s="347" t="s">
        <v>368</v>
      </c>
      <c r="CD2714" s="237">
        <v>160.01</v>
      </c>
      <c r="CE2714" s="237" t="s">
        <v>359</v>
      </c>
      <c r="CJ2714" s="347">
        <v>1103.32</v>
      </c>
      <c r="CK2714" s="347" t="s">
        <v>310</v>
      </c>
      <c r="CL2714" s="1789"/>
      <c r="CR2714" s="345"/>
      <c r="CS2714" s="345"/>
      <c r="CX2714" s="347"/>
      <c r="CY2714" s="347"/>
      <c r="DH2714" s="237"/>
      <c r="DI2714" s="237"/>
      <c r="DN2714" s="347"/>
      <c r="DO2714" s="347"/>
      <c r="DP2714" s="2505"/>
    </row>
    <row r="2715" spans="30:120">
      <c r="AD2715" s="1138"/>
      <c r="AP2715" s="347">
        <v>18.010000000000002</v>
      </c>
      <c r="AQ2715" s="347" t="s">
        <v>368</v>
      </c>
      <c r="BF2715" s="347">
        <v>1103.3900000000001</v>
      </c>
      <c r="BG2715" s="347" t="s">
        <v>310</v>
      </c>
      <c r="BH2715" s="1790"/>
      <c r="BN2715" s="237">
        <v>83.14</v>
      </c>
      <c r="BO2715" s="237" t="s">
        <v>352</v>
      </c>
      <c r="BT2715" s="347">
        <v>19.03</v>
      </c>
      <c r="BU2715" s="347" t="s">
        <v>368</v>
      </c>
      <c r="CD2715" s="237">
        <v>160.01</v>
      </c>
      <c r="CE2715" s="237" t="s">
        <v>365</v>
      </c>
      <c r="CJ2715" s="347">
        <v>1103.33</v>
      </c>
      <c r="CK2715" s="347" t="s">
        <v>310</v>
      </c>
      <c r="CL2715" s="1789"/>
      <c r="CR2715" s="345"/>
      <c r="CS2715" s="345"/>
      <c r="CX2715" s="347"/>
      <c r="CY2715" s="347"/>
      <c r="DH2715" s="237"/>
      <c r="DI2715" s="237"/>
      <c r="DN2715" s="347"/>
      <c r="DO2715" s="347"/>
      <c r="DP2715" s="2505"/>
    </row>
    <row r="2716" spans="30:120">
      <c r="AD2716" s="1138"/>
      <c r="AP2716" s="347">
        <v>18.05</v>
      </c>
      <c r="AQ2716" s="347" t="s">
        <v>368</v>
      </c>
      <c r="BF2716" s="347">
        <v>1103.44</v>
      </c>
      <c r="BG2716" s="347" t="s">
        <v>310</v>
      </c>
      <c r="BH2716" s="1790"/>
      <c r="BN2716" s="237">
        <v>83.15</v>
      </c>
      <c r="BO2716" s="237" t="s">
        <v>352</v>
      </c>
      <c r="BT2716" s="347">
        <v>19.04</v>
      </c>
      <c r="BU2716" s="347" t="s">
        <v>368</v>
      </c>
      <c r="CD2716" s="237">
        <v>160.02000000000001</v>
      </c>
      <c r="CE2716" s="237" t="s">
        <v>323</v>
      </c>
      <c r="CJ2716" s="347">
        <v>1103.3699999999999</v>
      </c>
      <c r="CK2716" s="347" t="s">
        <v>310</v>
      </c>
      <c r="CL2716" s="1789"/>
      <c r="CR2716" s="345"/>
      <c r="CS2716" s="345"/>
      <c r="CX2716" s="347"/>
      <c r="CY2716" s="347"/>
      <c r="DH2716" s="237"/>
      <c r="DI2716" s="237"/>
      <c r="DN2716" s="347"/>
      <c r="DO2716" s="347"/>
      <c r="DP2716" s="2505"/>
    </row>
    <row r="2717" spans="30:120">
      <c r="AD2717" s="1138"/>
      <c r="AP2717" s="347">
        <v>19.03</v>
      </c>
      <c r="AQ2717" s="347" t="s">
        <v>368</v>
      </c>
      <c r="BF2717" s="347">
        <v>1103.45</v>
      </c>
      <c r="BG2717" s="347" t="s">
        <v>310</v>
      </c>
      <c r="BH2717" s="1790"/>
      <c r="BN2717" s="237">
        <v>84.09</v>
      </c>
      <c r="BO2717" s="237" t="s">
        <v>352</v>
      </c>
      <c r="BT2717" s="347">
        <v>19.05</v>
      </c>
      <c r="BU2717" s="347" t="s">
        <v>368</v>
      </c>
      <c r="CD2717" s="237">
        <v>160.02000000000001</v>
      </c>
      <c r="CE2717" s="237" t="s">
        <v>359</v>
      </c>
      <c r="CJ2717" s="347">
        <v>1103.44</v>
      </c>
      <c r="CK2717" s="347" t="s">
        <v>310</v>
      </c>
      <c r="CL2717" s="1789"/>
      <c r="CR2717" s="345"/>
      <c r="CS2717" s="345"/>
      <c r="CX2717" s="347"/>
      <c r="CY2717" s="347"/>
      <c r="DH2717" s="237"/>
      <c r="DI2717" s="237"/>
      <c r="DN2717" s="347"/>
      <c r="DO2717" s="347"/>
      <c r="DP2717" s="2505"/>
    </row>
    <row r="2718" spans="30:120">
      <c r="AD2718" s="1138"/>
      <c r="AP2718" s="347">
        <v>19.04</v>
      </c>
      <c r="AQ2718" s="347" t="s">
        <v>368</v>
      </c>
      <c r="BF2718" s="347">
        <v>1103.46</v>
      </c>
      <c r="BG2718" s="347" t="s">
        <v>310</v>
      </c>
      <c r="BH2718" s="1790"/>
      <c r="BN2718" s="237">
        <v>84.15</v>
      </c>
      <c r="BO2718" s="237" t="s">
        <v>352</v>
      </c>
      <c r="BT2718" s="347">
        <v>19.09</v>
      </c>
      <c r="BU2718" s="347" t="s">
        <v>368</v>
      </c>
      <c r="CD2718" s="237">
        <v>160.02000000000001</v>
      </c>
      <c r="CE2718" s="237" t="s">
        <v>365</v>
      </c>
      <c r="CJ2718" s="347">
        <v>1103.45</v>
      </c>
      <c r="CK2718" s="347" t="s">
        <v>310</v>
      </c>
      <c r="CL2718" s="1789"/>
      <c r="CR2718" s="345"/>
      <c r="CS2718" s="345"/>
      <c r="CX2718" s="347"/>
      <c r="CY2718" s="347"/>
      <c r="DH2718" s="237"/>
      <c r="DI2718" s="237"/>
      <c r="DN2718" s="347"/>
      <c r="DO2718" s="347"/>
      <c r="DP2718" s="2505"/>
    </row>
    <row r="2719" spans="30:120">
      <c r="AD2719" s="1138"/>
      <c r="AP2719" s="347">
        <v>19.05</v>
      </c>
      <c r="AQ2719" s="347" t="s">
        <v>368</v>
      </c>
      <c r="BF2719" s="347">
        <v>1103.47</v>
      </c>
      <c r="BG2719" s="347" t="s">
        <v>310</v>
      </c>
      <c r="BH2719" s="1790"/>
      <c r="BN2719" s="237">
        <v>84.16</v>
      </c>
      <c r="BO2719" s="237" t="s">
        <v>352</v>
      </c>
      <c r="BT2719" s="347">
        <v>20.04</v>
      </c>
      <c r="BU2719" s="347" t="s">
        <v>368</v>
      </c>
      <c r="CD2719" s="237">
        <v>160.03</v>
      </c>
      <c r="CE2719" s="237" t="s">
        <v>365</v>
      </c>
      <c r="CJ2719" s="347">
        <v>1103.46</v>
      </c>
      <c r="CK2719" s="347" t="s">
        <v>310</v>
      </c>
      <c r="CL2719" s="1789"/>
      <c r="CR2719" s="345"/>
      <c r="CS2719" s="345"/>
      <c r="CX2719" s="347"/>
      <c r="CY2719" s="347"/>
      <c r="DH2719" s="237"/>
      <c r="DI2719" s="237"/>
      <c r="DN2719" s="347"/>
      <c r="DO2719" s="347"/>
      <c r="DP2719" s="2505"/>
    </row>
    <row r="2720" spans="30:120">
      <c r="AD2720" s="1138"/>
      <c r="AP2720" s="347">
        <v>19.09</v>
      </c>
      <c r="AQ2720" s="347" t="s">
        <v>368</v>
      </c>
      <c r="BF2720" s="347">
        <v>1103.48</v>
      </c>
      <c r="BG2720" s="347" t="s">
        <v>310</v>
      </c>
      <c r="BH2720" s="1790"/>
      <c r="BN2720" s="237">
        <v>84.18</v>
      </c>
      <c r="BO2720" s="237" t="s">
        <v>352</v>
      </c>
      <c r="BT2720" s="347">
        <v>20.07</v>
      </c>
      <c r="BU2720" s="347" t="s">
        <v>368</v>
      </c>
      <c r="CD2720" s="237">
        <v>161</v>
      </c>
      <c r="CE2720" s="237" t="s">
        <v>352</v>
      </c>
      <c r="CJ2720" s="347">
        <v>1103.47</v>
      </c>
      <c r="CK2720" s="347" t="s">
        <v>310</v>
      </c>
      <c r="CL2720" s="1789"/>
      <c r="CR2720" s="345"/>
      <c r="CS2720" s="345"/>
      <c r="CX2720" s="347"/>
      <c r="CY2720" s="347"/>
      <c r="DH2720" s="237"/>
      <c r="DI2720" s="237"/>
      <c r="DN2720" s="347"/>
      <c r="DO2720" s="347"/>
      <c r="DP2720" s="2505"/>
    </row>
    <row r="2721" spans="30:120">
      <c r="AD2721" s="1138"/>
      <c r="AP2721" s="347">
        <v>20.04</v>
      </c>
      <c r="AQ2721" s="347" t="s">
        <v>368</v>
      </c>
      <c r="BF2721" s="347">
        <v>1103.49</v>
      </c>
      <c r="BG2721" s="347" t="s">
        <v>310</v>
      </c>
      <c r="BH2721" s="1790"/>
      <c r="BN2721" s="237">
        <v>84.19</v>
      </c>
      <c r="BO2721" s="237" t="s">
        <v>352</v>
      </c>
      <c r="BT2721" s="347">
        <v>20.079999999999998</v>
      </c>
      <c r="BU2721" s="347" t="s">
        <v>368</v>
      </c>
      <c r="CD2721" s="237">
        <v>161</v>
      </c>
      <c r="CE2721" s="237" t="s">
        <v>359</v>
      </c>
      <c r="CJ2721" s="347">
        <v>1103.48</v>
      </c>
      <c r="CK2721" s="347" t="s">
        <v>310</v>
      </c>
      <c r="CL2721" s="1789"/>
      <c r="CR2721" s="345"/>
      <c r="CS2721" s="345"/>
      <c r="CX2721" s="347"/>
      <c r="CY2721" s="347"/>
      <c r="DH2721" s="237"/>
      <c r="DI2721" s="237"/>
      <c r="DN2721" s="347"/>
      <c r="DO2721" s="347"/>
      <c r="DP2721" s="2505"/>
    </row>
    <row r="2722" spans="30:120">
      <c r="AD2722" s="1138"/>
      <c r="AP2722" s="347">
        <v>20.07</v>
      </c>
      <c r="AQ2722" s="347" t="s">
        <v>368</v>
      </c>
      <c r="BF2722" s="347">
        <v>1103.5</v>
      </c>
      <c r="BG2722" s="347" t="s">
        <v>310</v>
      </c>
      <c r="BH2722" s="1790"/>
      <c r="BN2722" s="237">
        <v>84.2</v>
      </c>
      <c r="BO2722" s="237" t="s">
        <v>352</v>
      </c>
      <c r="BT2722" s="347">
        <v>20.12</v>
      </c>
      <c r="BU2722" s="347" t="s">
        <v>368</v>
      </c>
      <c r="CD2722" s="237">
        <v>161</v>
      </c>
      <c r="CE2722" s="237" t="s">
        <v>365</v>
      </c>
      <c r="CJ2722" s="347">
        <v>1103.49</v>
      </c>
      <c r="CK2722" s="347" t="s">
        <v>310</v>
      </c>
      <c r="CL2722" s="1789"/>
      <c r="CR2722" s="345"/>
      <c r="CS2722" s="345"/>
      <c r="CX2722" s="347"/>
      <c r="CY2722" s="347"/>
      <c r="DH2722" s="237"/>
      <c r="DI2722" s="237"/>
      <c r="DN2722" s="347"/>
      <c r="DO2722" s="347"/>
      <c r="DP2722" s="2505"/>
    </row>
    <row r="2723" spans="30:120">
      <c r="AD2723" s="1138"/>
      <c r="AP2723" s="347">
        <v>20.079999999999998</v>
      </c>
      <c r="AQ2723" s="347" t="s">
        <v>368</v>
      </c>
      <c r="BF2723" s="347">
        <v>1103.53</v>
      </c>
      <c r="BG2723" s="347" t="s">
        <v>310</v>
      </c>
      <c r="BH2723" s="1790"/>
      <c r="BN2723" s="237">
        <v>84.21</v>
      </c>
      <c r="BO2723" s="237" t="s">
        <v>352</v>
      </c>
      <c r="BT2723" s="347">
        <v>20.13</v>
      </c>
      <c r="BU2723" s="347" t="s">
        <v>368</v>
      </c>
      <c r="CD2723" s="237">
        <v>161.01</v>
      </c>
      <c r="CE2723" s="237" t="s">
        <v>323</v>
      </c>
      <c r="CJ2723" s="347">
        <v>1103.5</v>
      </c>
      <c r="CK2723" s="347" t="s">
        <v>310</v>
      </c>
      <c r="CL2723" s="1789"/>
      <c r="CR2723" s="345"/>
      <c r="CS2723" s="345"/>
      <c r="CX2723" s="347"/>
      <c r="CY2723" s="347"/>
      <c r="DH2723" s="237"/>
      <c r="DI2723" s="237"/>
      <c r="DN2723" s="347"/>
      <c r="DO2723" s="347"/>
      <c r="DP2723" s="2505"/>
    </row>
    <row r="2724" spans="30:120">
      <c r="AD2724" s="1138"/>
      <c r="AP2724" s="347">
        <v>20.12</v>
      </c>
      <c r="AQ2724" s="347" t="s">
        <v>368</v>
      </c>
      <c r="BF2724" s="347">
        <v>1103.56</v>
      </c>
      <c r="BG2724" s="347" t="s">
        <v>310</v>
      </c>
      <c r="BH2724" s="1790"/>
      <c r="BN2724" s="237">
        <v>84.22</v>
      </c>
      <c r="BO2724" s="237" t="s">
        <v>352</v>
      </c>
      <c r="BT2724" s="347">
        <v>20.14</v>
      </c>
      <c r="BU2724" s="347" t="s">
        <v>368</v>
      </c>
      <c r="CD2724" s="237">
        <v>161.02000000000001</v>
      </c>
      <c r="CE2724" s="237" t="s">
        <v>323</v>
      </c>
      <c r="CJ2724" s="347">
        <v>1103.52</v>
      </c>
      <c r="CK2724" s="347" t="s">
        <v>310</v>
      </c>
      <c r="CL2724" s="1789"/>
      <c r="CR2724" s="345"/>
      <c r="CS2724" s="345"/>
      <c r="CX2724" s="347"/>
      <c r="CY2724" s="347"/>
      <c r="DH2724" s="237"/>
      <c r="DI2724" s="237"/>
      <c r="DN2724" s="347"/>
      <c r="DO2724" s="347"/>
      <c r="DP2724" s="2505"/>
    </row>
    <row r="2725" spans="30:120">
      <c r="AD2725" s="1138"/>
      <c r="AP2725" s="347">
        <v>20.13</v>
      </c>
      <c r="AQ2725" s="347" t="s">
        <v>368</v>
      </c>
      <c r="BF2725" s="347">
        <v>1103.57</v>
      </c>
      <c r="BG2725" s="347" t="s">
        <v>310</v>
      </c>
      <c r="BH2725" s="1790"/>
      <c r="BN2725" s="237">
        <v>84.23</v>
      </c>
      <c r="BO2725" s="237" t="s">
        <v>352</v>
      </c>
      <c r="BT2725" s="347">
        <v>20.149999999999999</v>
      </c>
      <c r="BU2725" s="347" t="s">
        <v>368</v>
      </c>
      <c r="CD2725" s="237">
        <v>162</v>
      </c>
      <c r="CE2725" s="237" t="s">
        <v>323</v>
      </c>
      <c r="CJ2725" s="347">
        <v>1103.53</v>
      </c>
      <c r="CK2725" s="347" t="s">
        <v>310</v>
      </c>
      <c r="CL2725" s="1789"/>
      <c r="CR2725" s="345"/>
      <c r="CS2725" s="345"/>
      <c r="CX2725" s="347"/>
      <c r="CY2725" s="347"/>
      <c r="DH2725" s="237"/>
      <c r="DI2725" s="237"/>
      <c r="DN2725" s="347"/>
      <c r="DO2725" s="347"/>
      <c r="DP2725" s="2505"/>
    </row>
    <row r="2726" spans="30:120">
      <c r="AD2726" s="1138"/>
      <c r="AP2726" s="347">
        <v>20.14</v>
      </c>
      <c r="AQ2726" s="347" t="s">
        <v>368</v>
      </c>
      <c r="BF2726" s="347">
        <v>1103.5899999999999</v>
      </c>
      <c r="BG2726" s="347" t="s">
        <v>310</v>
      </c>
      <c r="BH2726" s="1790"/>
      <c r="BN2726" s="237">
        <v>84.24</v>
      </c>
      <c r="BO2726" s="237" t="s">
        <v>352</v>
      </c>
      <c r="BT2726" s="347">
        <v>20.16</v>
      </c>
      <c r="BU2726" s="347" t="s">
        <v>368</v>
      </c>
      <c r="CD2726" s="237">
        <v>162</v>
      </c>
      <c r="CE2726" s="237" t="s">
        <v>352</v>
      </c>
      <c r="CJ2726" s="347">
        <v>1103.56</v>
      </c>
      <c r="CK2726" s="347" t="s">
        <v>310</v>
      </c>
      <c r="CL2726" s="1789"/>
      <c r="CR2726" s="345"/>
      <c r="CS2726" s="345"/>
      <c r="CX2726" s="347"/>
      <c r="CY2726" s="347"/>
      <c r="DH2726" s="237"/>
      <c r="DI2726" s="237"/>
      <c r="DN2726" s="347"/>
      <c r="DO2726" s="347"/>
      <c r="DP2726" s="2505"/>
    </row>
    <row r="2727" spans="30:120">
      <c r="AD2727" s="1138"/>
      <c r="AP2727" s="347">
        <v>20.16</v>
      </c>
      <c r="AQ2727" s="347" t="s">
        <v>368</v>
      </c>
      <c r="BF2727" s="347">
        <v>1103.5999999999999</v>
      </c>
      <c r="BG2727" s="347" t="s">
        <v>310</v>
      </c>
      <c r="BH2727" s="1790"/>
      <c r="BN2727" s="237">
        <v>84.25</v>
      </c>
      <c r="BO2727" s="237" t="s">
        <v>352</v>
      </c>
      <c r="BT2727" s="347">
        <v>21.01</v>
      </c>
      <c r="BU2727" s="347" t="s">
        <v>368</v>
      </c>
      <c r="CD2727" s="237">
        <v>162</v>
      </c>
      <c r="CE2727" s="237" t="s">
        <v>359</v>
      </c>
      <c r="CJ2727" s="347">
        <v>1103.57</v>
      </c>
      <c r="CK2727" s="347" t="s">
        <v>310</v>
      </c>
      <c r="CL2727" s="1789"/>
      <c r="CR2727" s="345"/>
      <c r="CS2727" s="345"/>
      <c r="CX2727" s="347"/>
      <c r="CY2727" s="347"/>
      <c r="DH2727" s="237"/>
      <c r="DI2727" s="237"/>
      <c r="DN2727" s="347"/>
      <c r="DO2727" s="347"/>
      <c r="DP2727" s="2505"/>
    </row>
    <row r="2728" spans="30:120">
      <c r="AD2728" s="1138"/>
      <c r="AP2728" s="347">
        <v>21.01</v>
      </c>
      <c r="AQ2728" s="347" t="s">
        <v>368</v>
      </c>
      <c r="BF2728" s="347">
        <v>1103.6099999999999</v>
      </c>
      <c r="BG2728" s="347" t="s">
        <v>310</v>
      </c>
      <c r="BH2728" s="1790"/>
      <c r="BN2728" s="237">
        <v>84.26</v>
      </c>
      <c r="BO2728" s="237" t="s">
        <v>352</v>
      </c>
      <c r="BT2728" s="347">
        <v>21.02</v>
      </c>
      <c r="BU2728" s="347" t="s">
        <v>368</v>
      </c>
      <c r="CD2728" s="237">
        <v>163</v>
      </c>
      <c r="CE2728" s="237" t="s">
        <v>323</v>
      </c>
      <c r="CJ2728" s="347">
        <v>1103.58</v>
      </c>
      <c r="CK2728" s="347" t="s">
        <v>310</v>
      </c>
      <c r="CL2728" s="1789"/>
      <c r="CR2728" s="345"/>
      <c r="CS2728" s="345"/>
      <c r="CX2728" s="347"/>
      <c r="CY2728" s="347"/>
      <c r="DH2728" s="237"/>
      <c r="DI2728" s="237"/>
      <c r="DN2728" s="347"/>
      <c r="DO2728" s="347"/>
      <c r="DP2728" s="2505"/>
    </row>
    <row r="2729" spans="30:120">
      <c r="AD2729" s="1138"/>
      <c r="AP2729" s="347">
        <v>21.02</v>
      </c>
      <c r="AQ2729" s="347" t="s">
        <v>368</v>
      </c>
      <c r="BF2729" s="347">
        <v>1103.6300000000001</v>
      </c>
      <c r="BG2729" s="347" t="s">
        <v>310</v>
      </c>
      <c r="BH2729" s="1790"/>
      <c r="BN2729" s="237">
        <v>84.27</v>
      </c>
      <c r="BO2729" s="237" t="s">
        <v>352</v>
      </c>
      <c r="BT2729" s="347">
        <v>22.04</v>
      </c>
      <c r="BU2729" s="347" t="s">
        <v>368</v>
      </c>
      <c r="CD2729" s="237">
        <v>163</v>
      </c>
      <c r="CE2729" s="237" t="s">
        <v>352</v>
      </c>
      <c r="CJ2729" s="347">
        <v>1103.5899999999999</v>
      </c>
      <c r="CK2729" s="347" t="s">
        <v>310</v>
      </c>
      <c r="CL2729" s="1789"/>
      <c r="CR2729" s="345"/>
      <c r="CS2729" s="345"/>
      <c r="CX2729" s="347"/>
      <c r="CY2729" s="347"/>
      <c r="DH2729" s="237"/>
      <c r="DI2729" s="237"/>
      <c r="DN2729" s="347"/>
      <c r="DO2729" s="347"/>
      <c r="DP2729" s="2505"/>
    </row>
    <row r="2730" spans="30:120">
      <c r="AD2730" s="1138"/>
      <c r="AP2730" s="347">
        <v>22.04</v>
      </c>
      <c r="AQ2730" s="347" t="s">
        <v>368</v>
      </c>
      <c r="BF2730" s="347">
        <v>1103.6400000000001</v>
      </c>
      <c r="BG2730" s="347" t="s">
        <v>310</v>
      </c>
      <c r="BH2730" s="1790"/>
      <c r="BN2730" s="237">
        <v>84.28</v>
      </c>
      <c r="BO2730" s="237" t="s">
        <v>352</v>
      </c>
      <c r="BT2730" s="347">
        <v>22.05</v>
      </c>
      <c r="BU2730" s="347" t="s">
        <v>368</v>
      </c>
      <c r="CD2730" s="237">
        <v>163.01</v>
      </c>
      <c r="CE2730" s="237" t="s">
        <v>359</v>
      </c>
      <c r="CJ2730" s="347">
        <v>1103.5999999999999</v>
      </c>
      <c r="CK2730" s="347" t="s">
        <v>310</v>
      </c>
      <c r="CL2730" s="1789"/>
      <c r="CR2730" s="345"/>
      <c r="CS2730" s="345"/>
      <c r="CX2730" s="347"/>
      <c r="CY2730" s="347"/>
      <c r="DH2730" s="237"/>
      <c r="DI2730" s="237"/>
      <c r="DN2730" s="347"/>
      <c r="DO2730" s="347"/>
      <c r="DP2730" s="2505"/>
    </row>
    <row r="2731" spans="30:120">
      <c r="AD2731" s="1138"/>
      <c r="AP2731" s="347">
        <v>22.05</v>
      </c>
      <c r="AQ2731" s="347" t="s">
        <v>368</v>
      </c>
      <c r="BF2731" s="347">
        <v>1103.6500000000001</v>
      </c>
      <c r="BG2731" s="347" t="s">
        <v>310</v>
      </c>
      <c r="BH2731" s="1790"/>
      <c r="BN2731" s="237">
        <v>84.29</v>
      </c>
      <c r="BO2731" s="237" t="s">
        <v>352</v>
      </c>
      <c r="BT2731" s="347">
        <v>23.06</v>
      </c>
      <c r="BU2731" s="347" t="s">
        <v>368</v>
      </c>
      <c r="CD2731" s="237">
        <v>163.02000000000001</v>
      </c>
      <c r="CE2731" s="237" t="s">
        <v>359</v>
      </c>
      <c r="CJ2731" s="347">
        <v>1103.6099999999999</v>
      </c>
      <c r="CK2731" s="347" t="s">
        <v>310</v>
      </c>
      <c r="CL2731" s="1789"/>
      <c r="CR2731" s="345"/>
      <c r="CS2731" s="345"/>
      <c r="CX2731" s="347"/>
      <c r="CY2731" s="347"/>
      <c r="DH2731" s="237"/>
      <c r="DI2731" s="237"/>
      <c r="DN2731" s="347"/>
      <c r="DO2731" s="347"/>
      <c r="DP2731" s="2505"/>
    </row>
    <row r="2732" spans="30:120">
      <c r="AD2732" s="1138"/>
      <c r="AP2732" s="347">
        <v>23.04</v>
      </c>
      <c r="AQ2732" s="347" t="s">
        <v>368</v>
      </c>
      <c r="BF2732" s="347">
        <v>1103.68</v>
      </c>
      <c r="BG2732" s="347" t="s">
        <v>310</v>
      </c>
      <c r="BH2732" s="1790"/>
      <c r="BN2732" s="237">
        <v>84.3</v>
      </c>
      <c r="BO2732" s="237" t="s">
        <v>352</v>
      </c>
      <c r="BT2732" s="347">
        <v>24.01</v>
      </c>
      <c r="BU2732" s="347" t="s">
        <v>368</v>
      </c>
      <c r="CD2732" s="237">
        <v>164</v>
      </c>
      <c r="CE2732" s="237" t="s">
        <v>323</v>
      </c>
      <c r="CJ2732" s="347">
        <v>1103.6199999999999</v>
      </c>
      <c r="CK2732" s="347" t="s">
        <v>310</v>
      </c>
      <c r="CL2732" s="1789"/>
      <c r="CR2732" s="345"/>
      <c r="CS2732" s="345"/>
      <c r="CX2732" s="347"/>
      <c r="CY2732" s="347"/>
      <c r="DH2732" s="237"/>
      <c r="DI2732" s="237"/>
      <c r="DN2732" s="347"/>
      <c r="DO2732" s="347"/>
      <c r="DP2732" s="2505"/>
    </row>
    <row r="2733" spans="30:120">
      <c r="AD2733" s="1138"/>
      <c r="AP2733" s="347">
        <v>23.05</v>
      </c>
      <c r="AQ2733" s="347" t="s">
        <v>368</v>
      </c>
      <c r="BF2733" s="347">
        <v>1104</v>
      </c>
      <c r="BG2733" s="347" t="s">
        <v>348</v>
      </c>
      <c r="BH2733" s="1790"/>
      <c r="BN2733" s="237">
        <v>84.31</v>
      </c>
      <c r="BO2733" s="237" t="s">
        <v>352</v>
      </c>
      <c r="BT2733" s="347">
        <v>25.05</v>
      </c>
      <c r="BU2733" s="347" t="s">
        <v>368</v>
      </c>
      <c r="CD2733" s="237">
        <v>164</v>
      </c>
      <c r="CE2733" s="237" t="s">
        <v>365</v>
      </c>
      <c r="CJ2733" s="347">
        <v>1103.6300000000001</v>
      </c>
      <c r="CK2733" s="347" t="s">
        <v>310</v>
      </c>
      <c r="CL2733" s="1789"/>
      <c r="CR2733" s="345"/>
      <c r="CS2733" s="345"/>
      <c r="CX2733" s="347"/>
      <c r="CY2733" s="347"/>
      <c r="DH2733" s="237"/>
      <c r="DI2733" s="237"/>
      <c r="DN2733" s="347"/>
      <c r="DO2733" s="347"/>
      <c r="DP2733" s="2505"/>
    </row>
    <row r="2734" spans="30:120">
      <c r="AD2734" s="1138"/>
      <c r="AP2734" s="347">
        <v>23.06</v>
      </c>
      <c r="AQ2734" s="347" t="s">
        <v>368</v>
      </c>
      <c r="BF2734" s="347">
        <v>1104.02</v>
      </c>
      <c r="BG2734" s="347" t="s">
        <v>310</v>
      </c>
      <c r="BH2734" s="1790"/>
      <c r="BN2734" s="237">
        <v>85.02</v>
      </c>
      <c r="BO2734" s="237" t="s">
        <v>352</v>
      </c>
      <c r="BT2734" s="347">
        <v>25.1</v>
      </c>
      <c r="BU2734" s="347" t="s">
        <v>368</v>
      </c>
      <c r="CD2734" s="237">
        <v>164.01</v>
      </c>
      <c r="CE2734" s="237" t="s">
        <v>352</v>
      </c>
      <c r="CJ2734" s="347">
        <v>1103.6400000000001</v>
      </c>
      <c r="CK2734" s="347" t="s">
        <v>310</v>
      </c>
      <c r="CL2734" s="1789"/>
      <c r="CR2734" s="345"/>
      <c r="CS2734" s="345"/>
      <c r="CX2734" s="347"/>
      <c r="CY2734" s="347"/>
      <c r="DH2734" s="237"/>
      <c r="DI2734" s="237"/>
      <c r="DN2734" s="347"/>
      <c r="DO2734" s="347"/>
      <c r="DP2734" s="2505"/>
    </row>
    <row r="2735" spans="30:120">
      <c r="AD2735" s="1138"/>
      <c r="AP2735" s="347">
        <v>24.01</v>
      </c>
      <c r="AQ2735" s="347" t="s">
        <v>368</v>
      </c>
      <c r="BF2735" s="347">
        <v>1105</v>
      </c>
      <c r="BG2735" s="347" t="s">
        <v>319</v>
      </c>
      <c r="BH2735" s="1790"/>
      <c r="BN2735" s="237">
        <v>85.03</v>
      </c>
      <c r="BO2735" s="237" t="s">
        <v>352</v>
      </c>
      <c r="BT2735" s="347">
        <v>25.11</v>
      </c>
      <c r="BU2735" s="347" t="s">
        <v>368</v>
      </c>
      <c r="CD2735" s="237">
        <v>164.02</v>
      </c>
      <c r="CE2735" s="237" t="s">
        <v>352</v>
      </c>
      <c r="CJ2735" s="347">
        <v>1103.6500000000001</v>
      </c>
      <c r="CK2735" s="347" t="s">
        <v>310</v>
      </c>
      <c r="CL2735" s="1789"/>
      <c r="CR2735" s="345"/>
      <c r="CS2735" s="345"/>
      <c r="CX2735" s="347"/>
      <c r="CY2735" s="347"/>
      <c r="DH2735" s="237"/>
      <c r="DI2735" s="237"/>
      <c r="DN2735" s="347"/>
      <c r="DO2735" s="347"/>
      <c r="DP2735" s="2505"/>
    </row>
    <row r="2736" spans="30:120">
      <c r="AD2736" s="1138"/>
      <c r="AP2736" s="347">
        <v>25.04</v>
      </c>
      <c r="AQ2736" s="347" t="s">
        <v>368</v>
      </c>
      <c r="BF2736" s="347">
        <v>1105.01</v>
      </c>
      <c r="BG2736" s="347" t="s">
        <v>310</v>
      </c>
      <c r="BH2736" s="1790"/>
      <c r="BN2736" s="237">
        <v>85.04</v>
      </c>
      <c r="BO2736" s="237" t="s">
        <v>352</v>
      </c>
      <c r="BT2736" s="347">
        <v>26.01</v>
      </c>
      <c r="BU2736" s="347" t="s">
        <v>368</v>
      </c>
      <c r="CD2736" s="237">
        <v>164.02</v>
      </c>
      <c r="CE2736" s="237" t="s">
        <v>359</v>
      </c>
      <c r="CJ2736" s="347">
        <v>1103.68</v>
      </c>
      <c r="CK2736" s="347" t="s">
        <v>310</v>
      </c>
      <c r="CL2736" s="1789"/>
      <c r="CR2736" s="345"/>
      <c r="CS2736" s="345"/>
      <c r="CX2736" s="347"/>
      <c r="CY2736" s="347"/>
      <c r="DH2736" s="237"/>
      <c r="DI2736" s="237"/>
      <c r="DN2736" s="347"/>
      <c r="DO2736" s="347"/>
      <c r="DP2736" s="2505"/>
    </row>
    <row r="2737" spans="30:120">
      <c r="AD2737" s="1138"/>
      <c r="AP2737" s="347">
        <v>25.05</v>
      </c>
      <c r="AQ2737" s="347" t="s">
        <v>368</v>
      </c>
      <c r="BF2737" s="347">
        <v>1106</v>
      </c>
      <c r="BG2737" s="347" t="s">
        <v>310</v>
      </c>
      <c r="BH2737" s="1790"/>
      <c r="BN2737" s="237">
        <v>86.01</v>
      </c>
      <c r="BO2737" s="237" t="s">
        <v>352</v>
      </c>
      <c r="BT2737" s="347">
        <v>26.04</v>
      </c>
      <c r="BU2737" s="347" t="s">
        <v>368</v>
      </c>
      <c r="CD2737" s="237">
        <v>164.06</v>
      </c>
      <c r="CE2737" s="237" t="s">
        <v>359</v>
      </c>
      <c r="CJ2737" s="347">
        <v>1104</v>
      </c>
      <c r="CK2737" s="347" t="s">
        <v>348</v>
      </c>
      <c r="CL2737" s="1789"/>
      <c r="CR2737" s="345"/>
      <c r="CS2737" s="345"/>
      <c r="CX2737" s="347"/>
      <c r="CY2737" s="347"/>
      <c r="DH2737" s="237"/>
      <c r="DI2737" s="237"/>
      <c r="DN2737" s="347"/>
      <c r="DO2737" s="347"/>
      <c r="DP2737" s="2505"/>
    </row>
    <row r="2738" spans="30:120">
      <c r="AD2738" s="1138"/>
      <c r="AP2738" s="347">
        <v>25.1</v>
      </c>
      <c r="AQ2738" s="347" t="s">
        <v>368</v>
      </c>
      <c r="BF2738" s="347">
        <v>1106.02</v>
      </c>
      <c r="BG2738" s="347" t="s">
        <v>319</v>
      </c>
      <c r="BH2738" s="1790"/>
      <c r="BN2738" s="237">
        <v>86.03</v>
      </c>
      <c r="BO2738" s="237" t="s">
        <v>352</v>
      </c>
      <c r="BT2738" s="347">
        <v>27.16</v>
      </c>
      <c r="BU2738" s="347" t="s">
        <v>368</v>
      </c>
      <c r="CD2738" s="237">
        <v>164.07</v>
      </c>
      <c r="CE2738" s="237" t="s">
        <v>359</v>
      </c>
      <c r="CJ2738" s="347">
        <v>1104.02</v>
      </c>
      <c r="CK2738" s="347" t="s">
        <v>310</v>
      </c>
      <c r="CL2738" s="1789"/>
      <c r="CR2738" s="345"/>
      <c r="CS2738" s="345"/>
      <c r="CX2738" s="347"/>
      <c r="CY2738" s="347"/>
      <c r="DH2738" s="237"/>
      <c r="DI2738" s="237"/>
      <c r="DN2738" s="347"/>
      <c r="DO2738" s="347"/>
      <c r="DP2738" s="2505"/>
    </row>
    <row r="2739" spans="30:120">
      <c r="AD2739" s="1138"/>
      <c r="AP2739" s="347">
        <v>25.11</v>
      </c>
      <c r="AQ2739" s="347" t="s">
        <v>368</v>
      </c>
      <c r="BF2739" s="347">
        <v>1106.04</v>
      </c>
      <c r="BG2739" s="347" t="s">
        <v>319</v>
      </c>
      <c r="BH2739" s="1790"/>
      <c r="BN2739" s="237">
        <v>86.04</v>
      </c>
      <c r="BO2739" s="237" t="s">
        <v>352</v>
      </c>
      <c r="BT2739" s="347">
        <v>27.2</v>
      </c>
      <c r="BU2739" s="347" t="s">
        <v>368</v>
      </c>
      <c r="CD2739" s="237">
        <v>164.08</v>
      </c>
      <c r="CE2739" s="237" t="s">
        <v>359</v>
      </c>
      <c r="CJ2739" s="347">
        <v>1105.01</v>
      </c>
      <c r="CK2739" s="347" t="s">
        <v>310</v>
      </c>
      <c r="CL2739" s="1789"/>
      <c r="CR2739" s="345"/>
      <c r="CS2739" s="345"/>
      <c r="CX2739" s="347"/>
      <c r="CY2739" s="347"/>
      <c r="DH2739" s="237"/>
      <c r="DI2739" s="237"/>
      <c r="DN2739" s="347"/>
      <c r="DO2739" s="347"/>
      <c r="DP2739" s="2505"/>
    </row>
    <row r="2740" spans="30:120">
      <c r="AD2740" s="1138"/>
      <c r="AP2740" s="347">
        <v>26.01</v>
      </c>
      <c r="AQ2740" s="347" t="s">
        <v>368</v>
      </c>
      <c r="BF2740" s="347">
        <v>1107</v>
      </c>
      <c r="BG2740" s="347" t="s">
        <v>319</v>
      </c>
      <c r="BH2740" s="1790"/>
      <c r="BN2740" s="237">
        <v>87.02</v>
      </c>
      <c r="BO2740" s="237" t="s">
        <v>352</v>
      </c>
      <c r="BT2740" s="347">
        <v>27.25</v>
      </c>
      <c r="BU2740" s="347" t="s">
        <v>368</v>
      </c>
      <c r="CD2740" s="237">
        <v>164.09</v>
      </c>
      <c r="CE2740" s="237" t="s">
        <v>359</v>
      </c>
      <c r="CJ2740" s="347">
        <v>1106</v>
      </c>
      <c r="CK2740" s="347" t="s">
        <v>310</v>
      </c>
      <c r="CL2740" s="1789"/>
      <c r="CR2740" s="345"/>
      <c r="CS2740" s="345"/>
      <c r="CX2740" s="347"/>
      <c r="CY2740" s="347"/>
      <c r="DH2740" s="237"/>
      <c r="DI2740" s="237"/>
      <c r="DN2740" s="347"/>
      <c r="DO2740" s="347"/>
      <c r="DP2740" s="2505"/>
    </row>
    <row r="2741" spans="30:120">
      <c r="AD2741" s="1138"/>
      <c r="AP2741" s="347">
        <v>27.14</v>
      </c>
      <c r="AQ2741" s="347" t="s">
        <v>368</v>
      </c>
      <c r="BF2741" s="347">
        <v>1108</v>
      </c>
      <c r="BG2741" s="347" t="s">
        <v>297</v>
      </c>
      <c r="BH2741" s="1790"/>
      <c r="BN2741" s="237">
        <v>87.03</v>
      </c>
      <c r="BO2741" s="237" t="s">
        <v>352</v>
      </c>
      <c r="BT2741" s="347">
        <v>27.26</v>
      </c>
      <c r="BU2741" s="347" t="s">
        <v>368</v>
      </c>
      <c r="CD2741" s="237">
        <v>164.11</v>
      </c>
      <c r="CE2741" s="237" t="s">
        <v>359</v>
      </c>
      <c r="CJ2741" s="347">
        <v>1106.02</v>
      </c>
      <c r="CK2741" s="347" t="s">
        <v>319</v>
      </c>
      <c r="CL2741" s="1789"/>
      <c r="CR2741" s="345"/>
      <c r="CS2741" s="345"/>
      <c r="CX2741" s="347"/>
      <c r="CY2741" s="347"/>
      <c r="DH2741" s="237"/>
      <c r="DI2741" s="237"/>
      <c r="DN2741" s="347"/>
      <c r="DO2741" s="347"/>
      <c r="DP2741" s="2505"/>
    </row>
    <row r="2742" spans="30:120">
      <c r="AD2742" s="1138"/>
      <c r="AP2742" s="347">
        <v>27.16</v>
      </c>
      <c r="AQ2742" s="347" t="s">
        <v>368</v>
      </c>
      <c r="BF2742" s="347">
        <v>1109.04</v>
      </c>
      <c r="BG2742" s="347" t="s">
        <v>319</v>
      </c>
      <c r="BH2742" s="1790"/>
      <c r="BN2742" s="237">
        <v>87.04</v>
      </c>
      <c r="BO2742" s="237" t="s">
        <v>352</v>
      </c>
      <c r="BT2742" s="347">
        <v>27.27</v>
      </c>
      <c r="BU2742" s="347" t="s">
        <v>368</v>
      </c>
      <c r="CD2742" s="237">
        <v>164.12</v>
      </c>
      <c r="CE2742" s="237" t="s">
        <v>359</v>
      </c>
      <c r="CJ2742" s="347">
        <v>1106.04</v>
      </c>
      <c r="CK2742" s="347" t="s">
        <v>319</v>
      </c>
      <c r="CL2742" s="1789"/>
      <c r="CR2742" s="345"/>
      <c r="CS2742" s="345"/>
      <c r="CX2742" s="347"/>
      <c r="CY2742" s="347"/>
      <c r="DH2742" s="237"/>
      <c r="DI2742" s="237"/>
      <c r="DN2742" s="347"/>
      <c r="DO2742" s="347"/>
      <c r="DP2742" s="2505"/>
    </row>
    <row r="2743" spans="30:120">
      <c r="AD2743" s="1138"/>
      <c r="AP2743" s="347">
        <v>27.2</v>
      </c>
      <c r="AQ2743" s="347" t="s">
        <v>368</v>
      </c>
      <c r="BF2743" s="347">
        <v>2101</v>
      </c>
      <c r="BG2743" s="347" t="s">
        <v>340</v>
      </c>
      <c r="BH2743" s="1790"/>
      <c r="BN2743" s="237">
        <v>88.05</v>
      </c>
      <c r="BO2743" s="237" t="s">
        <v>352</v>
      </c>
      <c r="BT2743" s="347">
        <v>27.28</v>
      </c>
      <c r="BU2743" s="347" t="s">
        <v>368</v>
      </c>
      <c r="CD2743" s="237">
        <v>164.13</v>
      </c>
      <c r="CE2743" s="237" t="s">
        <v>359</v>
      </c>
      <c r="CJ2743" s="347">
        <v>1107</v>
      </c>
      <c r="CK2743" s="347" t="s">
        <v>319</v>
      </c>
      <c r="CL2743" s="1789"/>
      <c r="CR2743" s="345"/>
      <c r="CS2743" s="345"/>
      <c r="CX2743" s="347"/>
      <c r="CY2743" s="347"/>
      <c r="DH2743" s="237"/>
      <c r="DI2743" s="237"/>
      <c r="DN2743" s="347"/>
      <c r="DO2743" s="347"/>
      <c r="DP2743" s="2505"/>
    </row>
    <row r="2744" spans="30:120">
      <c r="AD2744" s="1138"/>
      <c r="AP2744" s="347">
        <v>27.25</v>
      </c>
      <c r="AQ2744" s="347" t="s">
        <v>368</v>
      </c>
      <c r="BF2744" s="347">
        <v>2103.0100000000002</v>
      </c>
      <c r="BG2744" s="347" t="s">
        <v>340</v>
      </c>
      <c r="BH2744" s="1790"/>
      <c r="BN2744" s="237">
        <v>88.06</v>
      </c>
      <c r="BO2744" s="237" t="s">
        <v>352</v>
      </c>
      <c r="BT2744" s="347">
        <v>27.3</v>
      </c>
      <c r="BU2744" s="347" t="s">
        <v>368</v>
      </c>
      <c r="CD2744" s="237">
        <v>164.14</v>
      </c>
      <c r="CE2744" s="237" t="s">
        <v>359</v>
      </c>
      <c r="CJ2744" s="347">
        <v>1108</v>
      </c>
      <c r="CK2744" s="347" t="s">
        <v>297</v>
      </c>
      <c r="CL2744" s="1789"/>
      <c r="CR2744" s="345"/>
      <c r="CS2744" s="345"/>
      <c r="CX2744" s="347"/>
      <c r="CY2744" s="347"/>
      <c r="DH2744" s="237"/>
      <c r="DI2744" s="237"/>
      <c r="DN2744" s="347"/>
      <c r="DO2744" s="347"/>
      <c r="DP2744" s="2505"/>
    </row>
    <row r="2745" spans="30:120">
      <c r="AD2745" s="1138"/>
      <c r="AP2745" s="347">
        <v>27.26</v>
      </c>
      <c r="AQ2745" s="347" t="s">
        <v>368</v>
      </c>
      <c r="BF2745" s="347">
        <v>2104</v>
      </c>
      <c r="BG2745" s="347" t="s">
        <v>340</v>
      </c>
      <c r="BH2745" s="1790"/>
      <c r="BN2745" s="237">
        <v>88.07</v>
      </c>
      <c r="BO2745" s="237" t="s">
        <v>352</v>
      </c>
      <c r="BT2745" s="347">
        <v>27.31</v>
      </c>
      <c r="BU2745" s="347" t="s">
        <v>368</v>
      </c>
      <c r="CD2745" s="237">
        <v>165</v>
      </c>
      <c r="CE2745" s="237" t="s">
        <v>323</v>
      </c>
      <c r="CJ2745" s="347">
        <v>1108</v>
      </c>
      <c r="CK2745" s="347" t="s">
        <v>319</v>
      </c>
      <c r="CL2745" s="1789"/>
      <c r="CR2745" s="345"/>
      <c r="CS2745" s="345"/>
      <c r="CX2745" s="347"/>
      <c r="CY2745" s="347"/>
      <c r="DH2745" s="237"/>
      <c r="DI2745" s="237"/>
      <c r="DN2745" s="347"/>
      <c r="DO2745" s="347"/>
      <c r="DP2745" s="2505"/>
    </row>
    <row r="2746" spans="30:120">
      <c r="AD2746" s="1138"/>
      <c r="AP2746" s="347">
        <v>27.27</v>
      </c>
      <c r="AQ2746" s="347" t="s">
        <v>368</v>
      </c>
      <c r="BF2746" s="347">
        <v>2105</v>
      </c>
      <c r="BG2746" s="347" t="s">
        <v>340</v>
      </c>
      <c r="BH2746" s="1790"/>
      <c r="BN2746" s="237">
        <v>88.08</v>
      </c>
      <c r="BO2746" s="237" t="s">
        <v>352</v>
      </c>
      <c r="BT2746" s="347">
        <v>27.32</v>
      </c>
      <c r="BU2746" s="347" t="s">
        <v>368</v>
      </c>
      <c r="CD2746" s="237">
        <v>165.01</v>
      </c>
      <c r="CE2746" s="237" t="s">
        <v>352</v>
      </c>
      <c r="CJ2746" s="347">
        <v>1109.03</v>
      </c>
      <c r="CK2746" s="347" t="s">
        <v>319</v>
      </c>
      <c r="CL2746" s="1789"/>
      <c r="CR2746" s="345"/>
      <c r="CS2746" s="345"/>
      <c r="CX2746" s="347"/>
      <c r="CY2746" s="347"/>
      <c r="DH2746" s="237"/>
      <c r="DI2746" s="237"/>
      <c r="DN2746" s="347"/>
      <c r="DO2746" s="347"/>
      <c r="DP2746" s="2505"/>
    </row>
    <row r="2747" spans="30:120">
      <c r="AD2747" s="1138"/>
      <c r="AP2747" s="347">
        <v>27.28</v>
      </c>
      <c r="AQ2747" s="347" t="s">
        <v>368</v>
      </c>
      <c r="BF2747" s="347">
        <v>2107</v>
      </c>
      <c r="BG2747" s="347" t="s">
        <v>340</v>
      </c>
      <c r="BH2747" s="1790"/>
      <c r="BN2747" s="237">
        <v>88.09</v>
      </c>
      <c r="BO2747" s="237" t="s">
        <v>352</v>
      </c>
      <c r="BT2747" s="347">
        <v>27.33</v>
      </c>
      <c r="BU2747" s="347" t="s">
        <v>368</v>
      </c>
      <c r="CD2747" s="237">
        <v>165.02</v>
      </c>
      <c r="CE2747" s="237" t="s">
        <v>352</v>
      </c>
      <c r="CJ2747" s="347">
        <v>1109.04</v>
      </c>
      <c r="CK2747" s="347" t="s">
        <v>319</v>
      </c>
      <c r="CL2747" s="1789"/>
      <c r="CR2747" s="345"/>
      <c r="CS2747" s="345"/>
      <c r="CX2747" s="347"/>
      <c r="CY2747" s="347"/>
      <c r="DH2747" s="237"/>
      <c r="DI2747" s="237"/>
      <c r="DN2747" s="347"/>
      <c r="DO2747" s="347"/>
      <c r="DP2747" s="2505"/>
    </row>
    <row r="2748" spans="30:120">
      <c r="AD2748" s="1138"/>
      <c r="AP2748" s="347">
        <v>27.3</v>
      </c>
      <c r="AQ2748" s="347" t="s">
        <v>368</v>
      </c>
      <c r="BF2748" s="347">
        <v>2109.0100000000002</v>
      </c>
      <c r="BG2748" s="347" t="s">
        <v>340</v>
      </c>
      <c r="BH2748" s="1790"/>
      <c r="BN2748" s="237">
        <v>88.1</v>
      </c>
      <c r="BO2748" s="237" t="s">
        <v>352</v>
      </c>
      <c r="BT2748" s="347">
        <v>27.34</v>
      </c>
      <c r="BU2748" s="347" t="s">
        <v>368</v>
      </c>
      <c r="CD2748" s="237">
        <v>165.03</v>
      </c>
      <c r="CE2748" s="237" t="s">
        <v>359</v>
      </c>
      <c r="CJ2748" s="347">
        <v>2101</v>
      </c>
      <c r="CK2748" s="347" t="s">
        <v>340</v>
      </c>
      <c r="CL2748" s="1789"/>
      <c r="CR2748" s="345"/>
      <c r="CS2748" s="345"/>
      <c r="CX2748" s="347"/>
      <c r="CY2748" s="347"/>
      <c r="DH2748" s="237"/>
      <c r="DI2748" s="237"/>
      <c r="DN2748" s="347"/>
      <c r="DO2748" s="347"/>
      <c r="DP2748" s="2505"/>
    </row>
    <row r="2749" spans="30:120">
      <c r="AD2749" s="1138"/>
      <c r="AP2749" s="347">
        <v>27.31</v>
      </c>
      <c r="AQ2749" s="347" t="s">
        <v>368</v>
      </c>
      <c r="BF2749" s="347">
        <v>2110</v>
      </c>
      <c r="BG2749" s="347" t="s">
        <v>340</v>
      </c>
      <c r="BH2749" s="1790"/>
      <c r="BN2749" s="237">
        <v>89.04</v>
      </c>
      <c r="BO2749" s="237" t="s">
        <v>352</v>
      </c>
      <c r="BT2749" s="347">
        <v>27.35</v>
      </c>
      <c r="BU2749" s="347" t="s">
        <v>368</v>
      </c>
      <c r="CD2749" s="237">
        <v>165.04</v>
      </c>
      <c r="CE2749" s="237" t="s">
        <v>359</v>
      </c>
      <c r="CJ2749" s="347">
        <v>2103.0100000000002</v>
      </c>
      <c r="CK2749" s="347" t="s">
        <v>340</v>
      </c>
      <c r="CL2749" s="1789"/>
      <c r="CR2749" s="345"/>
      <c r="CS2749" s="345"/>
      <c r="CX2749" s="347"/>
      <c r="CY2749" s="347"/>
      <c r="DH2749" s="237"/>
      <c r="DI2749" s="237"/>
      <c r="DN2749" s="347"/>
      <c r="DO2749" s="347"/>
      <c r="DP2749" s="2505"/>
    </row>
    <row r="2750" spans="30:120">
      <c r="AD2750" s="1138"/>
      <c r="AP2750" s="347">
        <v>27.32</v>
      </c>
      <c r="AQ2750" s="347" t="s">
        <v>368</v>
      </c>
      <c r="BF2750" s="347">
        <v>2111</v>
      </c>
      <c r="BG2750" s="347" t="s">
        <v>340</v>
      </c>
      <c r="BH2750" s="1790"/>
      <c r="BN2750" s="237">
        <v>89.06</v>
      </c>
      <c r="BO2750" s="237" t="s">
        <v>352</v>
      </c>
      <c r="BT2750" s="347">
        <v>27.36</v>
      </c>
      <c r="BU2750" s="347" t="s">
        <v>368</v>
      </c>
      <c r="CD2750" s="237">
        <v>165.05</v>
      </c>
      <c r="CE2750" s="237" t="s">
        <v>359</v>
      </c>
      <c r="CJ2750" s="347">
        <v>2103.02</v>
      </c>
      <c r="CK2750" s="347" t="s">
        <v>340</v>
      </c>
      <c r="CL2750" s="1789"/>
      <c r="CR2750" s="345"/>
      <c r="CS2750" s="345"/>
      <c r="CX2750" s="347"/>
      <c r="CY2750" s="347"/>
      <c r="DH2750" s="237"/>
      <c r="DI2750" s="237"/>
      <c r="DN2750" s="347"/>
      <c r="DO2750" s="347"/>
      <c r="DP2750" s="2505"/>
    </row>
    <row r="2751" spans="30:120">
      <c r="AD2751" s="1138"/>
      <c r="AP2751" s="347">
        <v>27.33</v>
      </c>
      <c r="AQ2751" s="347" t="s">
        <v>368</v>
      </c>
      <c r="BF2751" s="347">
        <v>2501.04</v>
      </c>
      <c r="BG2751" s="347" t="s">
        <v>341</v>
      </c>
      <c r="BH2751" s="1790"/>
      <c r="BN2751" s="237">
        <v>89.07</v>
      </c>
      <c r="BO2751" s="237" t="s">
        <v>352</v>
      </c>
      <c r="BT2751" s="347">
        <v>27.37</v>
      </c>
      <c r="BU2751" s="347" t="s">
        <v>368</v>
      </c>
      <c r="CD2751" s="237">
        <v>165.09</v>
      </c>
      <c r="CE2751" s="237" t="s">
        <v>359</v>
      </c>
      <c r="CJ2751" s="347">
        <v>2104</v>
      </c>
      <c r="CK2751" s="347" t="s">
        <v>340</v>
      </c>
      <c r="CL2751" s="1789"/>
      <c r="CR2751" s="345"/>
      <c r="CS2751" s="345"/>
      <c r="CX2751" s="347"/>
      <c r="CY2751" s="347"/>
      <c r="DH2751" s="237"/>
      <c r="DI2751" s="237"/>
      <c r="DN2751" s="347"/>
      <c r="DO2751" s="347"/>
      <c r="DP2751" s="2505"/>
    </row>
    <row r="2752" spans="30:120">
      <c r="AD2752" s="1138"/>
      <c r="AP2752" s="347">
        <v>27.34</v>
      </c>
      <c r="AQ2752" s="347" t="s">
        <v>368</v>
      </c>
      <c r="BF2752" s="347">
        <v>2501.0500000000002</v>
      </c>
      <c r="BG2752" s="347" t="s">
        <v>341</v>
      </c>
      <c r="BH2752" s="1790"/>
      <c r="BN2752" s="237">
        <v>89.08</v>
      </c>
      <c r="BO2752" s="237" t="s">
        <v>352</v>
      </c>
      <c r="BT2752" s="347">
        <v>27.38</v>
      </c>
      <c r="BU2752" s="347" t="s">
        <v>368</v>
      </c>
      <c r="CD2752" s="237">
        <v>165.1</v>
      </c>
      <c r="CE2752" s="237" t="s">
        <v>359</v>
      </c>
      <c r="CJ2752" s="347">
        <v>2105</v>
      </c>
      <c r="CK2752" s="347" t="s">
        <v>340</v>
      </c>
      <c r="CL2752" s="1789"/>
      <c r="CR2752" s="345"/>
      <c r="CS2752" s="345"/>
      <c r="CX2752" s="347"/>
      <c r="CY2752" s="347"/>
      <c r="DH2752" s="237"/>
      <c r="DI2752" s="237"/>
      <c r="DN2752" s="347"/>
      <c r="DO2752" s="347"/>
      <c r="DP2752" s="2505"/>
    </row>
    <row r="2753" spans="30:120">
      <c r="AD2753" s="1138"/>
      <c r="AP2753" s="347">
        <v>27.35</v>
      </c>
      <c r="AQ2753" s="347" t="s">
        <v>368</v>
      </c>
      <c r="BF2753" s="347">
        <v>2501.06</v>
      </c>
      <c r="BG2753" s="347" t="s">
        <v>341</v>
      </c>
      <c r="BH2753" s="1790"/>
      <c r="BN2753" s="237">
        <v>89.09</v>
      </c>
      <c r="BO2753" s="237" t="s">
        <v>352</v>
      </c>
      <c r="BT2753" s="347">
        <v>27.42</v>
      </c>
      <c r="BU2753" s="347" t="s">
        <v>368</v>
      </c>
      <c r="CD2753" s="237">
        <v>165.11</v>
      </c>
      <c r="CE2753" s="237" t="s">
        <v>359</v>
      </c>
      <c r="CJ2753" s="347">
        <v>2107</v>
      </c>
      <c r="CK2753" s="347" t="s">
        <v>340</v>
      </c>
      <c r="CL2753" s="1789"/>
      <c r="CR2753" s="345"/>
      <c r="CS2753" s="345"/>
      <c r="CX2753" s="347"/>
      <c r="CY2753" s="347"/>
      <c r="DH2753" s="237"/>
      <c r="DI2753" s="237"/>
      <c r="DN2753" s="347"/>
      <c r="DO2753" s="347"/>
      <c r="DP2753" s="2505"/>
    </row>
    <row r="2754" spans="30:120">
      <c r="AD2754" s="1138"/>
      <c r="AP2754" s="347">
        <v>27.37</v>
      </c>
      <c r="AQ2754" s="347" t="s">
        <v>368</v>
      </c>
      <c r="BF2754" s="347">
        <v>2502</v>
      </c>
      <c r="BG2754" s="347" t="s">
        <v>341</v>
      </c>
      <c r="BH2754" s="1790"/>
      <c r="BN2754" s="237">
        <v>89.1</v>
      </c>
      <c r="BO2754" s="237" t="s">
        <v>352</v>
      </c>
      <c r="BT2754" s="347">
        <v>27.44</v>
      </c>
      <c r="BU2754" s="347" t="s">
        <v>368</v>
      </c>
      <c r="CD2754" s="237">
        <v>165.12</v>
      </c>
      <c r="CE2754" s="237" t="s">
        <v>359</v>
      </c>
      <c r="CJ2754" s="347">
        <v>2109.02</v>
      </c>
      <c r="CK2754" s="347" t="s">
        <v>340</v>
      </c>
      <c r="CL2754" s="1789"/>
      <c r="CR2754" s="345"/>
      <c r="CS2754" s="345"/>
      <c r="CX2754" s="347"/>
      <c r="CY2754" s="347"/>
      <c r="DH2754" s="237"/>
      <c r="DI2754" s="237"/>
      <c r="DN2754" s="347"/>
      <c r="DO2754" s="347"/>
      <c r="DP2754" s="2505"/>
    </row>
    <row r="2755" spans="30:120">
      <c r="AD2755" s="1138"/>
      <c r="AP2755" s="347">
        <v>27.38</v>
      </c>
      <c r="AQ2755" s="347" t="s">
        <v>368</v>
      </c>
      <c r="BF2755" s="347">
        <v>3807</v>
      </c>
      <c r="BG2755" s="347" t="s">
        <v>371</v>
      </c>
      <c r="BH2755" s="1790"/>
      <c r="BN2755" s="237">
        <v>89.11</v>
      </c>
      <c r="BO2755" s="237" t="s">
        <v>352</v>
      </c>
      <c r="BT2755" s="347">
        <v>27.47</v>
      </c>
      <c r="BU2755" s="347" t="s">
        <v>368</v>
      </c>
      <c r="CD2755" s="237">
        <v>165.13</v>
      </c>
      <c r="CE2755" s="237" t="s">
        <v>359</v>
      </c>
      <c r="CJ2755" s="347">
        <v>2111</v>
      </c>
      <c r="CK2755" s="347" t="s">
        <v>340</v>
      </c>
      <c r="CL2755" s="1789"/>
      <c r="CR2755" s="345"/>
      <c r="CS2755" s="345"/>
      <c r="CX2755" s="347"/>
      <c r="CY2755" s="347"/>
      <c r="DH2755" s="237"/>
      <c r="DI2755" s="237"/>
      <c r="DN2755" s="347"/>
      <c r="DO2755" s="347"/>
      <c r="DP2755" s="2505"/>
    </row>
    <row r="2756" spans="30:120">
      <c r="AD2756" s="1138"/>
      <c r="AP2756" s="347">
        <v>27.42</v>
      </c>
      <c r="AQ2756" s="347" t="s">
        <v>368</v>
      </c>
      <c r="BF2756" s="347">
        <v>3810</v>
      </c>
      <c r="BG2756" s="347" t="s">
        <v>371</v>
      </c>
      <c r="BH2756" s="1790"/>
      <c r="BN2756" s="237">
        <v>90.1</v>
      </c>
      <c r="BO2756" s="237" t="s">
        <v>352</v>
      </c>
      <c r="BT2756" s="347">
        <v>27.48</v>
      </c>
      <c r="BU2756" s="347" t="s">
        <v>368</v>
      </c>
      <c r="CD2756" s="237">
        <v>165.14</v>
      </c>
      <c r="CE2756" s="237" t="s">
        <v>359</v>
      </c>
      <c r="CJ2756" s="347">
        <v>2501.04</v>
      </c>
      <c r="CK2756" s="347" t="s">
        <v>341</v>
      </c>
      <c r="CL2756" s="1789"/>
      <c r="CR2756" s="345"/>
      <c r="CS2756" s="345"/>
      <c r="CX2756" s="347"/>
      <c r="CY2756" s="347"/>
      <c r="DH2756" s="237"/>
      <c r="DI2756" s="237"/>
      <c r="DN2756" s="347"/>
      <c r="DO2756" s="347"/>
      <c r="DP2756" s="2505"/>
    </row>
    <row r="2757" spans="30:120">
      <c r="AD2757" s="1138"/>
      <c r="AP2757" s="347">
        <v>27.45</v>
      </c>
      <c r="AQ2757" s="347" t="s">
        <v>368</v>
      </c>
      <c r="BF2757" s="347">
        <v>3811.05</v>
      </c>
      <c r="BG2757" s="347" t="s">
        <v>371</v>
      </c>
      <c r="BH2757" s="1790"/>
      <c r="BN2757" s="237">
        <v>90.14</v>
      </c>
      <c r="BO2757" s="237" t="s">
        <v>352</v>
      </c>
      <c r="BT2757" s="347">
        <v>206.02</v>
      </c>
      <c r="BU2757" s="347" t="s">
        <v>369</v>
      </c>
      <c r="CD2757" s="237">
        <v>165.15</v>
      </c>
      <c r="CE2757" s="237" t="s">
        <v>359</v>
      </c>
      <c r="CJ2757" s="347">
        <v>2501.0500000000002</v>
      </c>
      <c r="CK2757" s="347" t="s">
        <v>341</v>
      </c>
      <c r="CL2757" s="1789"/>
      <c r="CR2757" s="345"/>
      <c r="CS2757" s="345"/>
      <c r="CX2757" s="347"/>
      <c r="CY2757" s="347"/>
      <c r="DH2757" s="237"/>
      <c r="DI2757" s="237"/>
      <c r="DN2757" s="347"/>
      <c r="DO2757" s="347"/>
      <c r="DP2757" s="2505"/>
    </row>
    <row r="2758" spans="30:120">
      <c r="AD2758" s="1138"/>
      <c r="AP2758" s="347">
        <v>27.47</v>
      </c>
      <c r="AQ2758" s="347" t="s">
        <v>368</v>
      </c>
      <c r="BF2758" s="347">
        <v>3811.06</v>
      </c>
      <c r="BG2758" s="347" t="s">
        <v>371</v>
      </c>
      <c r="BH2758" s="1790"/>
      <c r="BN2758" s="237">
        <v>90.15</v>
      </c>
      <c r="BO2758" s="237" t="s">
        <v>352</v>
      </c>
      <c r="BT2758" s="347">
        <v>207.03</v>
      </c>
      <c r="BU2758" s="347" t="s">
        <v>369</v>
      </c>
      <c r="CD2758" s="237">
        <v>166</v>
      </c>
      <c r="CE2758" s="237" t="s">
        <v>352</v>
      </c>
      <c r="CJ2758" s="347">
        <v>2501.06</v>
      </c>
      <c r="CK2758" s="347" t="s">
        <v>341</v>
      </c>
      <c r="CL2758" s="1789"/>
      <c r="CR2758" s="345"/>
      <c r="CS2758" s="345"/>
      <c r="CX2758" s="347"/>
      <c r="CY2758" s="347"/>
      <c r="DH2758" s="237"/>
      <c r="DI2758" s="237"/>
      <c r="DN2758" s="347"/>
      <c r="DO2758" s="347"/>
      <c r="DP2758" s="2505"/>
    </row>
    <row r="2759" spans="30:120">
      <c r="AD2759" s="1138"/>
      <c r="AP2759" s="347">
        <v>206.02</v>
      </c>
      <c r="AQ2759" s="347" t="s">
        <v>369</v>
      </c>
      <c r="BF2759" s="347">
        <v>3812.04</v>
      </c>
      <c r="BG2759" s="347" t="s">
        <v>371</v>
      </c>
      <c r="BH2759" s="1790"/>
      <c r="BN2759" s="237">
        <v>90.2</v>
      </c>
      <c r="BO2759" s="237" t="s">
        <v>352</v>
      </c>
      <c r="BT2759" s="347">
        <v>207.04</v>
      </c>
      <c r="BU2759" s="347" t="s">
        <v>369</v>
      </c>
      <c r="CD2759" s="237">
        <v>166.03</v>
      </c>
      <c r="CE2759" s="237" t="s">
        <v>323</v>
      </c>
      <c r="CJ2759" s="347">
        <v>3807</v>
      </c>
      <c r="CK2759" s="347" t="s">
        <v>371</v>
      </c>
      <c r="CL2759" s="1789"/>
      <c r="CR2759" s="345"/>
      <c r="CS2759" s="345"/>
      <c r="CX2759" s="347"/>
      <c r="CY2759" s="347"/>
      <c r="DH2759" s="237"/>
      <c r="DI2759" s="237"/>
      <c r="DN2759" s="347"/>
      <c r="DO2759" s="347"/>
      <c r="DP2759" s="2505"/>
    </row>
    <row r="2760" spans="30:120">
      <c r="AD2760" s="1138"/>
      <c r="AP2760" s="347">
        <v>207.03</v>
      </c>
      <c r="AQ2760" s="347" t="s">
        <v>369</v>
      </c>
      <c r="BF2760" s="347">
        <v>3813</v>
      </c>
      <c r="BG2760" s="347" t="s">
        <v>371</v>
      </c>
      <c r="BH2760" s="1790"/>
      <c r="BN2760" s="237">
        <v>90.21</v>
      </c>
      <c r="BO2760" s="237" t="s">
        <v>352</v>
      </c>
      <c r="BT2760" s="347">
        <v>207.05</v>
      </c>
      <c r="BU2760" s="347" t="s">
        <v>369</v>
      </c>
      <c r="CD2760" s="237">
        <v>166.03</v>
      </c>
      <c r="CE2760" s="237" t="s">
        <v>359</v>
      </c>
      <c r="CJ2760" s="347">
        <v>3811.05</v>
      </c>
      <c r="CK2760" s="347" t="s">
        <v>371</v>
      </c>
      <c r="CL2760" s="1789"/>
      <c r="CR2760" s="345"/>
      <c r="CS2760" s="345"/>
      <c r="CX2760" s="347"/>
      <c r="CY2760" s="347"/>
      <c r="DH2760" s="237"/>
      <c r="DI2760" s="237"/>
      <c r="DN2760" s="347"/>
      <c r="DO2760" s="347"/>
      <c r="DP2760" s="2505"/>
    </row>
    <row r="2761" spans="30:120">
      <c r="AD2761" s="1138"/>
      <c r="AP2761" s="347">
        <v>207.04</v>
      </c>
      <c r="AQ2761" s="347" t="s">
        <v>369</v>
      </c>
      <c r="BF2761" s="347">
        <v>3815.04</v>
      </c>
      <c r="BG2761" s="347" t="s">
        <v>371</v>
      </c>
      <c r="BH2761" s="1790"/>
      <c r="BN2761" s="237">
        <v>90.22</v>
      </c>
      <c r="BO2761" s="237" t="s">
        <v>352</v>
      </c>
      <c r="BT2761" s="347">
        <v>207.06</v>
      </c>
      <c r="BU2761" s="347" t="s">
        <v>369</v>
      </c>
      <c r="CD2761" s="237">
        <v>166.04</v>
      </c>
      <c r="CE2761" s="237" t="s">
        <v>323</v>
      </c>
      <c r="CJ2761" s="347">
        <v>3811.06</v>
      </c>
      <c r="CK2761" s="347" t="s">
        <v>371</v>
      </c>
      <c r="CL2761" s="1789"/>
      <c r="CR2761" s="345"/>
      <c r="CS2761" s="345"/>
      <c r="CX2761" s="347"/>
      <c r="CY2761" s="347"/>
      <c r="DH2761" s="237"/>
      <c r="DI2761" s="237"/>
      <c r="DN2761" s="347"/>
      <c r="DO2761" s="347"/>
      <c r="DP2761" s="2505"/>
    </row>
    <row r="2762" spans="30:120">
      <c r="AD2762" s="1138"/>
      <c r="AP2762" s="347">
        <v>207.05</v>
      </c>
      <c r="AQ2762" s="347" t="s">
        <v>369</v>
      </c>
      <c r="BF2762" s="347">
        <v>3815.05</v>
      </c>
      <c r="BG2762" s="347" t="s">
        <v>371</v>
      </c>
      <c r="BH2762" s="1790"/>
      <c r="BN2762" s="237">
        <v>90.24</v>
      </c>
      <c r="BO2762" s="237" t="s">
        <v>352</v>
      </c>
      <c r="BT2762" s="347">
        <v>207.07</v>
      </c>
      <c r="BU2762" s="347" t="s">
        <v>369</v>
      </c>
      <c r="CD2762" s="237">
        <v>166.04</v>
      </c>
      <c r="CE2762" s="237" t="s">
        <v>359</v>
      </c>
      <c r="CJ2762" s="347">
        <v>3812.04</v>
      </c>
      <c r="CK2762" s="347" t="s">
        <v>371</v>
      </c>
      <c r="CL2762" s="1789"/>
      <c r="CR2762" s="345"/>
      <c r="CS2762" s="345"/>
      <c r="CX2762" s="347"/>
      <c r="CY2762" s="347"/>
      <c r="DH2762" s="237"/>
      <c r="DI2762" s="237"/>
      <c r="DN2762" s="347"/>
      <c r="DO2762" s="347"/>
      <c r="DP2762" s="2505"/>
    </row>
    <row r="2763" spans="30:120">
      <c r="AD2763" s="1138"/>
      <c r="AP2763" s="347">
        <v>207.06</v>
      </c>
      <c r="AQ2763" s="347" t="s">
        <v>369</v>
      </c>
      <c r="BF2763" s="347">
        <v>3815.06</v>
      </c>
      <c r="BG2763" s="347" t="s">
        <v>371</v>
      </c>
      <c r="BH2763" s="1790"/>
      <c r="BN2763" s="237">
        <v>90.26</v>
      </c>
      <c r="BO2763" s="237" t="s">
        <v>352</v>
      </c>
      <c r="BT2763" s="347">
        <v>208.03</v>
      </c>
      <c r="BU2763" s="347" t="s">
        <v>369</v>
      </c>
      <c r="CD2763" s="237">
        <v>166.05</v>
      </c>
      <c r="CE2763" s="237" t="s">
        <v>323</v>
      </c>
      <c r="CJ2763" s="347">
        <v>3813</v>
      </c>
      <c r="CK2763" s="347" t="s">
        <v>371</v>
      </c>
      <c r="CL2763" s="1789"/>
      <c r="CR2763" s="345"/>
      <c r="CS2763" s="345"/>
      <c r="CX2763" s="347"/>
      <c r="CY2763" s="347"/>
      <c r="DH2763" s="237"/>
      <c r="DI2763" s="237"/>
      <c r="DN2763" s="347"/>
      <c r="DO2763" s="347"/>
      <c r="DP2763" s="2505"/>
    </row>
    <row r="2764" spans="30:120">
      <c r="AD2764" s="1138"/>
      <c r="AP2764" s="347">
        <v>207.07</v>
      </c>
      <c r="AQ2764" s="347" t="s">
        <v>369</v>
      </c>
      <c r="BF2764" s="347">
        <v>3815.08</v>
      </c>
      <c r="BG2764" s="347" t="s">
        <v>371</v>
      </c>
      <c r="BH2764" s="1790"/>
      <c r="BN2764" s="237">
        <v>90.27</v>
      </c>
      <c r="BO2764" s="237" t="s">
        <v>352</v>
      </c>
      <c r="BT2764" s="347">
        <v>208.05</v>
      </c>
      <c r="BU2764" s="347" t="s">
        <v>369</v>
      </c>
      <c r="CD2764" s="237">
        <v>166.05</v>
      </c>
      <c r="CE2764" s="237" t="s">
        <v>359</v>
      </c>
      <c r="CJ2764" s="347">
        <v>3815.05</v>
      </c>
      <c r="CK2764" s="347" t="s">
        <v>371</v>
      </c>
      <c r="CL2764" s="1789"/>
      <c r="CR2764" s="345"/>
      <c r="CS2764" s="345"/>
      <c r="CX2764" s="347"/>
      <c r="CY2764" s="347"/>
      <c r="DH2764" s="237"/>
      <c r="DI2764" s="237"/>
      <c r="DN2764" s="347"/>
      <c r="DO2764" s="347"/>
      <c r="DP2764" s="2505"/>
    </row>
    <row r="2765" spans="30:120">
      <c r="AD2765" s="1138"/>
      <c r="AP2765" s="347">
        <v>208.03</v>
      </c>
      <c r="AQ2765" s="347" t="s">
        <v>369</v>
      </c>
      <c r="BF2765" s="347">
        <v>3816.02</v>
      </c>
      <c r="BG2765" s="347" t="s">
        <v>371</v>
      </c>
      <c r="BH2765" s="1790"/>
      <c r="BN2765" s="237">
        <v>90.28</v>
      </c>
      <c r="BO2765" s="237" t="s">
        <v>352</v>
      </c>
      <c r="BT2765" s="347">
        <v>208.06</v>
      </c>
      <c r="BU2765" s="347" t="s">
        <v>369</v>
      </c>
      <c r="CD2765" s="237">
        <v>166.06</v>
      </c>
      <c r="CE2765" s="237" t="s">
        <v>323</v>
      </c>
      <c r="CJ2765" s="347">
        <v>3815.06</v>
      </c>
      <c r="CK2765" s="347" t="s">
        <v>371</v>
      </c>
      <c r="CL2765" s="1789"/>
      <c r="CR2765" s="345"/>
      <c r="CS2765" s="345"/>
      <c r="CX2765" s="347"/>
      <c r="CY2765" s="347"/>
      <c r="DH2765" s="237"/>
      <c r="DI2765" s="237"/>
      <c r="DN2765" s="347"/>
      <c r="DO2765" s="347"/>
      <c r="DP2765" s="2505"/>
    </row>
    <row r="2766" spans="30:120">
      <c r="AD2766" s="1138"/>
      <c r="AP2766" s="347">
        <v>208.05</v>
      </c>
      <c r="AQ2766" s="347" t="s">
        <v>369</v>
      </c>
      <c r="BF2766" s="347">
        <v>3816.04</v>
      </c>
      <c r="BG2766" s="347" t="s">
        <v>371</v>
      </c>
      <c r="BH2766" s="1790"/>
      <c r="BN2766" s="237">
        <v>90.29</v>
      </c>
      <c r="BO2766" s="237" t="s">
        <v>352</v>
      </c>
      <c r="BT2766" s="347">
        <v>208.08</v>
      </c>
      <c r="BU2766" s="347" t="s">
        <v>369</v>
      </c>
      <c r="CD2766" s="237">
        <v>166.06</v>
      </c>
      <c r="CE2766" s="237" t="s">
        <v>359</v>
      </c>
      <c r="CJ2766" s="347">
        <v>3815.08</v>
      </c>
      <c r="CK2766" s="347" t="s">
        <v>371</v>
      </c>
      <c r="CL2766" s="1789"/>
      <c r="CR2766" s="345"/>
      <c r="CS2766" s="345"/>
      <c r="CX2766" s="347"/>
      <c r="CY2766" s="347"/>
      <c r="DH2766" s="237"/>
      <c r="DI2766" s="237"/>
      <c r="DN2766" s="347"/>
      <c r="DO2766" s="347"/>
      <c r="DP2766" s="2505"/>
    </row>
    <row r="2767" spans="30:120">
      <c r="AD2767" s="1138"/>
      <c r="AP2767" s="347">
        <v>208.08</v>
      </c>
      <c r="AQ2767" s="347" t="s">
        <v>369</v>
      </c>
      <c r="BF2767" s="347">
        <v>3817.01</v>
      </c>
      <c r="BG2767" s="347" t="s">
        <v>371</v>
      </c>
      <c r="BH2767" s="1790"/>
      <c r="BN2767" s="237">
        <v>90.3</v>
      </c>
      <c r="BO2767" s="237" t="s">
        <v>352</v>
      </c>
      <c r="BT2767" s="347">
        <v>208.1</v>
      </c>
      <c r="BU2767" s="347" t="s">
        <v>369</v>
      </c>
      <c r="CD2767" s="237">
        <v>166.07</v>
      </c>
      <c r="CE2767" s="237" t="s">
        <v>359</v>
      </c>
      <c r="CJ2767" s="347">
        <v>3816.02</v>
      </c>
      <c r="CK2767" s="347" t="s">
        <v>371</v>
      </c>
      <c r="CL2767" s="1789"/>
      <c r="CR2767" s="345"/>
      <c r="CS2767" s="345"/>
      <c r="CX2767" s="347"/>
      <c r="CY2767" s="347"/>
      <c r="DH2767" s="237"/>
      <c r="DI2767" s="237"/>
      <c r="DN2767" s="347"/>
      <c r="DO2767" s="347"/>
      <c r="DP2767" s="2505"/>
    </row>
    <row r="2768" spans="30:120">
      <c r="AD2768" s="1138"/>
      <c r="AP2768" s="347">
        <v>208.1</v>
      </c>
      <c r="AQ2768" s="347" t="s">
        <v>369</v>
      </c>
      <c r="BF2768" s="347">
        <v>3817.02</v>
      </c>
      <c r="BG2768" s="347" t="s">
        <v>371</v>
      </c>
      <c r="BH2768" s="1790"/>
      <c r="BN2768" s="237">
        <v>90.31</v>
      </c>
      <c r="BO2768" s="237" t="s">
        <v>352</v>
      </c>
      <c r="BT2768" s="347">
        <v>208.11</v>
      </c>
      <c r="BU2768" s="347" t="s">
        <v>369</v>
      </c>
      <c r="CD2768" s="237">
        <v>167</v>
      </c>
      <c r="CE2768" s="237" t="s">
        <v>352</v>
      </c>
      <c r="CJ2768" s="347">
        <v>3816.03</v>
      </c>
      <c r="CK2768" s="347" t="s">
        <v>371</v>
      </c>
      <c r="CL2768" s="1789"/>
      <c r="CR2768" s="345"/>
      <c r="CS2768" s="345"/>
      <c r="CX2768" s="347"/>
      <c r="CY2768" s="347"/>
      <c r="DH2768" s="237"/>
      <c r="DI2768" s="237"/>
      <c r="DN2768" s="347"/>
      <c r="DO2768" s="347"/>
      <c r="DP2768" s="2505"/>
    </row>
    <row r="2769" spans="30:120">
      <c r="AD2769" s="1138"/>
      <c r="AP2769" s="347">
        <v>208.11</v>
      </c>
      <c r="AQ2769" s="347" t="s">
        <v>369</v>
      </c>
      <c r="BF2769" s="347">
        <v>3818.03</v>
      </c>
      <c r="BG2769" s="347" t="s">
        <v>371</v>
      </c>
      <c r="BH2769" s="1790"/>
      <c r="BN2769" s="237">
        <v>90.39</v>
      </c>
      <c r="BO2769" s="237" t="s">
        <v>352</v>
      </c>
      <c r="BT2769" s="347">
        <v>209.05</v>
      </c>
      <c r="BU2769" s="347" t="s">
        <v>369</v>
      </c>
      <c r="CD2769" s="237">
        <v>167.09</v>
      </c>
      <c r="CE2769" s="237" t="s">
        <v>359</v>
      </c>
      <c r="CJ2769" s="347">
        <v>3816.04</v>
      </c>
      <c r="CK2769" s="347" t="s">
        <v>371</v>
      </c>
      <c r="CL2769" s="1789"/>
      <c r="CR2769" s="345"/>
      <c r="CS2769" s="345"/>
      <c r="CX2769" s="347"/>
      <c r="CY2769" s="347"/>
      <c r="DH2769" s="237"/>
      <c r="DI2769" s="237"/>
      <c r="DN2769" s="347"/>
      <c r="DO2769" s="347"/>
      <c r="DP2769" s="2505"/>
    </row>
    <row r="2770" spans="30:120">
      <c r="AD2770" s="1138"/>
      <c r="AP2770" s="347">
        <v>210</v>
      </c>
      <c r="AQ2770" s="347" t="s">
        <v>369</v>
      </c>
      <c r="BF2770" s="347">
        <v>3819</v>
      </c>
      <c r="BG2770" s="347" t="s">
        <v>371</v>
      </c>
      <c r="BH2770" s="1790"/>
      <c r="BN2770" s="237">
        <v>90.4</v>
      </c>
      <c r="BO2770" s="237" t="s">
        <v>352</v>
      </c>
      <c r="BT2770" s="347">
        <v>210</v>
      </c>
      <c r="BU2770" s="347" t="s">
        <v>369</v>
      </c>
      <c r="CD2770" s="237">
        <v>167.1</v>
      </c>
      <c r="CE2770" s="237" t="s">
        <v>359</v>
      </c>
      <c r="CJ2770" s="347">
        <v>3817.01</v>
      </c>
      <c r="CK2770" s="347" t="s">
        <v>371</v>
      </c>
      <c r="CL2770" s="1789"/>
      <c r="CR2770" s="345"/>
      <c r="CS2770" s="345"/>
      <c r="CX2770" s="347"/>
      <c r="CY2770" s="347"/>
      <c r="DH2770" s="237"/>
      <c r="DI2770" s="237"/>
      <c r="DN2770" s="347"/>
      <c r="DO2770" s="347"/>
      <c r="DP2770" s="2505"/>
    </row>
    <row r="2771" spans="30:120">
      <c r="AD2771" s="1138"/>
      <c r="AP2771" s="347">
        <v>211</v>
      </c>
      <c r="AQ2771" s="347" t="s">
        <v>369</v>
      </c>
      <c r="BF2771" s="347">
        <v>3820.07</v>
      </c>
      <c r="BG2771" s="347" t="s">
        <v>371</v>
      </c>
      <c r="BH2771" s="1790"/>
      <c r="BN2771" s="237">
        <v>90.43</v>
      </c>
      <c r="BO2771" s="237" t="s">
        <v>352</v>
      </c>
      <c r="BT2771" s="347">
        <v>211</v>
      </c>
      <c r="BU2771" s="347" t="s">
        <v>369</v>
      </c>
      <c r="CD2771" s="237">
        <v>167.11</v>
      </c>
      <c r="CE2771" s="237" t="s">
        <v>323</v>
      </c>
      <c r="CJ2771" s="347">
        <v>3817.02</v>
      </c>
      <c r="CK2771" s="347" t="s">
        <v>371</v>
      </c>
      <c r="CL2771" s="1789"/>
      <c r="CR2771" s="345"/>
      <c r="CS2771" s="345"/>
      <c r="CX2771" s="347"/>
      <c r="CY2771" s="347"/>
      <c r="DH2771" s="237"/>
      <c r="DI2771" s="237"/>
      <c r="DN2771" s="347"/>
      <c r="DO2771" s="347"/>
      <c r="DP2771" s="2505"/>
    </row>
    <row r="2772" spans="30:120">
      <c r="AD2772" s="1138"/>
      <c r="AP2772" s="347">
        <v>212.01</v>
      </c>
      <c r="AQ2772" s="347" t="s">
        <v>369</v>
      </c>
      <c r="BF2772" s="347">
        <v>3820.08</v>
      </c>
      <c r="BG2772" s="347" t="s">
        <v>371</v>
      </c>
      <c r="BH2772" s="1790"/>
      <c r="BN2772" s="237">
        <v>90.44</v>
      </c>
      <c r="BO2772" s="237" t="s">
        <v>352</v>
      </c>
      <c r="BT2772" s="347">
        <v>212.01</v>
      </c>
      <c r="BU2772" s="347" t="s">
        <v>369</v>
      </c>
      <c r="CD2772" s="237">
        <v>167.13</v>
      </c>
      <c r="CE2772" s="237" t="s">
        <v>359</v>
      </c>
      <c r="CJ2772" s="347">
        <v>3818.03</v>
      </c>
      <c r="CK2772" s="347" t="s">
        <v>371</v>
      </c>
      <c r="CL2772" s="1789"/>
      <c r="CR2772" s="345"/>
      <c r="CS2772" s="345"/>
      <c r="CX2772" s="347"/>
      <c r="CY2772" s="347"/>
      <c r="DH2772" s="237"/>
      <c r="DI2772" s="237"/>
      <c r="DN2772" s="347"/>
      <c r="DO2772" s="347"/>
      <c r="DP2772" s="2505"/>
    </row>
    <row r="2773" spans="30:120">
      <c r="AD2773" s="1138"/>
      <c r="AP2773" s="347">
        <v>212.03</v>
      </c>
      <c r="AQ2773" s="347" t="s">
        <v>369</v>
      </c>
      <c r="BF2773" s="347">
        <v>3820.09</v>
      </c>
      <c r="BG2773" s="347" t="s">
        <v>371</v>
      </c>
      <c r="BH2773" s="1790"/>
      <c r="BN2773" s="237">
        <v>90.48</v>
      </c>
      <c r="BO2773" s="237" t="s">
        <v>352</v>
      </c>
      <c r="BT2773" s="347">
        <v>212.03</v>
      </c>
      <c r="BU2773" s="347" t="s">
        <v>369</v>
      </c>
      <c r="CD2773" s="237">
        <v>167.14</v>
      </c>
      <c r="CE2773" s="237" t="s">
        <v>359</v>
      </c>
      <c r="CJ2773" s="347">
        <v>3819</v>
      </c>
      <c r="CK2773" s="347" t="s">
        <v>371</v>
      </c>
      <c r="CL2773" s="1789"/>
      <c r="CR2773" s="345"/>
      <c r="CS2773" s="345"/>
      <c r="CX2773" s="347"/>
      <c r="CY2773" s="347"/>
      <c r="DH2773" s="237"/>
      <c r="DI2773" s="237"/>
      <c r="DN2773" s="347"/>
      <c r="DO2773" s="347"/>
      <c r="DP2773" s="2505"/>
    </row>
    <row r="2774" spans="30:120">
      <c r="AD2774" s="1138"/>
      <c r="AP2774" s="347">
        <v>212.05</v>
      </c>
      <c r="AQ2774" s="347" t="s">
        <v>369</v>
      </c>
      <c r="BF2774" s="347">
        <v>3820.11</v>
      </c>
      <c r="BG2774" s="347" t="s">
        <v>371</v>
      </c>
      <c r="BH2774" s="1790"/>
      <c r="BN2774" s="237">
        <v>90.49</v>
      </c>
      <c r="BO2774" s="237" t="s">
        <v>352</v>
      </c>
      <c r="BT2774" s="347">
        <v>212.05</v>
      </c>
      <c r="BU2774" s="347" t="s">
        <v>369</v>
      </c>
      <c r="CD2774" s="237">
        <v>167.15</v>
      </c>
      <c r="CE2774" s="237" t="s">
        <v>359</v>
      </c>
      <c r="CJ2774" s="347">
        <v>3820.07</v>
      </c>
      <c r="CK2774" s="347" t="s">
        <v>371</v>
      </c>
      <c r="CL2774" s="1789"/>
      <c r="CR2774" s="345"/>
      <c r="CS2774" s="345"/>
      <c r="CX2774" s="347"/>
      <c r="CY2774" s="347"/>
      <c r="DH2774" s="237"/>
      <c r="DI2774" s="237"/>
      <c r="DN2774" s="347"/>
      <c r="DO2774" s="347"/>
      <c r="DP2774" s="2505"/>
    </row>
    <row r="2775" spans="30:120">
      <c r="AD2775" s="1138"/>
      <c r="AP2775" s="347">
        <v>212.06</v>
      </c>
      <c r="AQ2775" s="347" t="s">
        <v>369</v>
      </c>
      <c r="BF2775" s="347">
        <v>3820.16</v>
      </c>
      <c r="BG2775" s="347" t="s">
        <v>371</v>
      </c>
      <c r="BH2775" s="1790"/>
      <c r="BN2775" s="237">
        <v>90.5</v>
      </c>
      <c r="BO2775" s="237" t="s">
        <v>352</v>
      </c>
      <c r="BT2775" s="347">
        <v>212.06</v>
      </c>
      <c r="BU2775" s="347" t="s">
        <v>369</v>
      </c>
      <c r="CD2775" s="237">
        <v>167.16</v>
      </c>
      <c r="CE2775" s="237" t="s">
        <v>359</v>
      </c>
      <c r="CJ2775" s="347">
        <v>3820.08</v>
      </c>
      <c r="CK2775" s="347" t="s">
        <v>371</v>
      </c>
      <c r="CL2775" s="1789"/>
      <c r="CR2775" s="345"/>
      <c r="CS2775" s="345"/>
      <c r="CX2775" s="347"/>
      <c r="CY2775" s="347"/>
      <c r="DH2775" s="237"/>
      <c r="DI2775" s="237"/>
      <c r="DN2775" s="347"/>
      <c r="DO2775" s="347"/>
      <c r="DP2775" s="2505"/>
    </row>
    <row r="2776" spans="30:120">
      <c r="AD2776" s="1138"/>
      <c r="AP2776" s="347">
        <v>213.06</v>
      </c>
      <c r="AQ2776" s="347" t="s">
        <v>369</v>
      </c>
      <c r="BF2776" s="347">
        <v>3821.1</v>
      </c>
      <c r="BG2776" s="347" t="s">
        <v>371</v>
      </c>
      <c r="BH2776" s="1790"/>
      <c r="BN2776" s="237">
        <v>90.51</v>
      </c>
      <c r="BO2776" s="237" t="s">
        <v>352</v>
      </c>
      <c r="BT2776" s="347">
        <v>213.06</v>
      </c>
      <c r="BU2776" s="347" t="s">
        <v>369</v>
      </c>
      <c r="CD2776" s="237">
        <v>167.17</v>
      </c>
      <c r="CE2776" s="237" t="s">
        <v>359</v>
      </c>
      <c r="CJ2776" s="347">
        <v>3820.09</v>
      </c>
      <c r="CK2776" s="347" t="s">
        <v>371</v>
      </c>
      <c r="CL2776" s="1789"/>
      <c r="CR2776" s="345"/>
      <c r="CS2776" s="345"/>
      <c r="CX2776" s="347"/>
      <c r="CY2776" s="347"/>
      <c r="DH2776" s="237"/>
      <c r="DI2776" s="237"/>
      <c r="DN2776" s="347"/>
      <c r="DO2776" s="347"/>
      <c r="DP2776" s="2505"/>
    </row>
    <row r="2777" spans="30:120">
      <c r="AD2777" s="1138"/>
      <c r="AP2777" s="347">
        <v>213.07</v>
      </c>
      <c r="AQ2777" s="347" t="s">
        <v>369</v>
      </c>
      <c r="BF2777" s="347">
        <v>3821.14</v>
      </c>
      <c r="BG2777" s="347" t="s">
        <v>371</v>
      </c>
      <c r="BH2777" s="1790"/>
      <c r="BN2777" s="237">
        <v>90.52</v>
      </c>
      <c r="BO2777" s="237" t="s">
        <v>352</v>
      </c>
      <c r="BT2777" s="347">
        <v>213.07</v>
      </c>
      <c r="BU2777" s="347" t="s">
        <v>369</v>
      </c>
      <c r="CD2777" s="237">
        <v>167.23</v>
      </c>
      <c r="CE2777" s="237" t="s">
        <v>359</v>
      </c>
      <c r="CJ2777" s="347">
        <v>3820.11</v>
      </c>
      <c r="CK2777" s="347" t="s">
        <v>371</v>
      </c>
      <c r="CL2777" s="1789"/>
      <c r="CR2777" s="345"/>
      <c r="CS2777" s="345"/>
      <c r="CX2777" s="347"/>
      <c r="CY2777" s="347"/>
      <c r="DH2777" s="237"/>
      <c r="DI2777" s="237"/>
      <c r="DN2777" s="347"/>
      <c r="DO2777" s="347"/>
      <c r="DP2777" s="2505"/>
    </row>
    <row r="2778" spans="30:120">
      <c r="AD2778" s="1138"/>
      <c r="AP2778" s="347">
        <v>213.11</v>
      </c>
      <c r="AQ2778" s="347" t="s">
        <v>369</v>
      </c>
      <c r="BF2778" s="347">
        <v>3821.16</v>
      </c>
      <c r="BG2778" s="347" t="s">
        <v>371</v>
      </c>
      <c r="BH2778" s="1790"/>
      <c r="BN2778" s="237">
        <v>90.53</v>
      </c>
      <c r="BO2778" s="237" t="s">
        <v>352</v>
      </c>
      <c r="BT2778" s="347">
        <v>213.11</v>
      </c>
      <c r="BU2778" s="347" t="s">
        <v>369</v>
      </c>
      <c r="CD2778" s="237">
        <v>167.24</v>
      </c>
      <c r="CE2778" s="237" t="s">
        <v>323</v>
      </c>
      <c r="CJ2778" s="347">
        <v>3820.16</v>
      </c>
      <c r="CK2778" s="347" t="s">
        <v>371</v>
      </c>
      <c r="CL2778" s="1789"/>
      <c r="CR2778" s="345"/>
      <c r="CS2778" s="345"/>
      <c r="CX2778" s="347"/>
      <c r="CY2778" s="347"/>
      <c r="DH2778" s="237"/>
      <c r="DI2778" s="237"/>
      <c r="DN2778" s="347"/>
      <c r="DO2778" s="347"/>
      <c r="DP2778" s="2505"/>
    </row>
    <row r="2779" spans="30:120">
      <c r="AD2779" s="1138"/>
      <c r="AP2779" s="347">
        <v>213.12</v>
      </c>
      <c r="AQ2779" s="347" t="s">
        <v>369</v>
      </c>
      <c r="BF2779" s="347">
        <v>3821.17</v>
      </c>
      <c r="BG2779" s="347" t="s">
        <v>371</v>
      </c>
      <c r="BH2779" s="1790"/>
      <c r="BN2779" s="237">
        <v>90.54</v>
      </c>
      <c r="BO2779" s="237" t="s">
        <v>352</v>
      </c>
      <c r="BT2779" s="347">
        <v>213.12</v>
      </c>
      <c r="BU2779" s="347" t="s">
        <v>369</v>
      </c>
      <c r="CD2779" s="237">
        <v>167.24</v>
      </c>
      <c r="CE2779" s="237" t="s">
        <v>359</v>
      </c>
      <c r="CJ2779" s="347">
        <v>3821.14</v>
      </c>
      <c r="CK2779" s="347" t="s">
        <v>371</v>
      </c>
      <c r="CL2779" s="1789"/>
      <c r="CR2779" s="345"/>
      <c r="CS2779" s="345"/>
      <c r="CX2779" s="347"/>
      <c r="CY2779" s="347"/>
      <c r="DH2779" s="237"/>
      <c r="DI2779" s="237"/>
      <c r="DN2779" s="347"/>
      <c r="DO2779" s="347"/>
      <c r="DP2779" s="2505"/>
    </row>
    <row r="2780" spans="30:120">
      <c r="AD2780" s="1138"/>
      <c r="AP2780" s="347">
        <v>213.13</v>
      </c>
      <c r="AQ2780" s="347" t="s">
        <v>369</v>
      </c>
      <c r="BF2780" s="347">
        <v>3821.18</v>
      </c>
      <c r="BG2780" s="347" t="s">
        <v>371</v>
      </c>
      <c r="BH2780" s="1790"/>
      <c r="BN2780" s="237">
        <v>90.55</v>
      </c>
      <c r="BO2780" s="237" t="s">
        <v>352</v>
      </c>
      <c r="BT2780" s="347">
        <v>213.13</v>
      </c>
      <c r="BU2780" s="347" t="s">
        <v>369</v>
      </c>
      <c r="CD2780" s="237">
        <v>167.25</v>
      </c>
      <c r="CE2780" s="237" t="s">
        <v>323</v>
      </c>
      <c r="CJ2780" s="347">
        <v>3821.16</v>
      </c>
      <c r="CK2780" s="347" t="s">
        <v>371</v>
      </c>
      <c r="CL2780" s="1789"/>
      <c r="CR2780" s="345"/>
      <c r="CS2780" s="345"/>
      <c r="CX2780" s="347"/>
      <c r="CY2780" s="347"/>
      <c r="DH2780" s="237"/>
      <c r="DI2780" s="237"/>
      <c r="DN2780" s="347"/>
      <c r="DO2780" s="347"/>
      <c r="DP2780" s="2505"/>
    </row>
    <row r="2781" spans="30:120">
      <c r="AD2781" s="1138"/>
      <c r="AP2781" s="347">
        <v>213.14</v>
      </c>
      <c r="AQ2781" s="347" t="s">
        <v>369</v>
      </c>
      <c r="BF2781" s="347">
        <v>3821.19</v>
      </c>
      <c r="BG2781" s="347" t="s">
        <v>371</v>
      </c>
      <c r="BH2781" s="1790"/>
      <c r="BN2781" s="237">
        <v>90.56</v>
      </c>
      <c r="BO2781" s="237" t="s">
        <v>352</v>
      </c>
      <c r="BT2781" s="347">
        <v>213.14</v>
      </c>
      <c r="BU2781" s="347" t="s">
        <v>369</v>
      </c>
      <c r="CD2781" s="237">
        <v>167.26</v>
      </c>
      <c r="CE2781" s="237" t="s">
        <v>323</v>
      </c>
      <c r="CJ2781" s="347">
        <v>3821.17</v>
      </c>
      <c r="CK2781" s="347" t="s">
        <v>371</v>
      </c>
      <c r="CL2781" s="1789"/>
      <c r="CR2781" s="345"/>
      <c r="CS2781" s="345"/>
      <c r="CX2781" s="347"/>
      <c r="CY2781" s="347"/>
      <c r="DH2781" s="237"/>
      <c r="DI2781" s="237"/>
      <c r="DN2781" s="347"/>
      <c r="DO2781" s="347"/>
      <c r="DP2781" s="2505"/>
    </row>
    <row r="2782" spans="30:120">
      <c r="AD2782" s="1138"/>
      <c r="AP2782" s="347">
        <v>213.16</v>
      </c>
      <c r="AQ2782" s="347" t="s">
        <v>369</v>
      </c>
      <c r="BF2782" s="347">
        <v>3821.2</v>
      </c>
      <c r="BG2782" s="347" t="s">
        <v>371</v>
      </c>
      <c r="BH2782" s="1790"/>
      <c r="BN2782" s="237">
        <v>90.57</v>
      </c>
      <c r="BO2782" s="237" t="s">
        <v>352</v>
      </c>
      <c r="BT2782" s="347">
        <v>213.16</v>
      </c>
      <c r="BU2782" s="347" t="s">
        <v>369</v>
      </c>
      <c r="CD2782" s="237">
        <v>167.27</v>
      </c>
      <c r="CE2782" s="237" t="s">
        <v>323</v>
      </c>
      <c r="CJ2782" s="347">
        <v>3821.18</v>
      </c>
      <c r="CK2782" s="347" t="s">
        <v>371</v>
      </c>
      <c r="CL2782" s="1789"/>
      <c r="CR2782" s="345"/>
      <c r="CS2782" s="345"/>
      <c r="CX2782" s="347"/>
      <c r="CY2782" s="347"/>
      <c r="DH2782" s="237"/>
      <c r="DI2782" s="237"/>
      <c r="DN2782" s="347"/>
      <c r="DO2782" s="347"/>
      <c r="DP2782" s="2505"/>
    </row>
    <row r="2783" spans="30:120">
      <c r="AD2783" s="1138"/>
      <c r="AP2783" s="347">
        <v>213.17</v>
      </c>
      <c r="AQ2783" s="347" t="s">
        <v>369</v>
      </c>
      <c r="BF2783" s="347">
        <v>3821.21</v>
      </c>
      <c r="BG2783" s="347" t="s">
        <v>371</v>
      </c>
      <c r="BH2783" s="1790"/>
      <c r="BN2783" s="237">
        <v>90.58</v>
      </c>
      <c r="BO2783" s="237" t="s">
        <v>352</v>
      </c>
      <c r="BT2783" s="347">
        <v>213.17</v>
      </c>
      <c r="BU2783" s="347" t="s">
        <v>369</v>
      </c>
      <c r="CD2783" s="237">
        <v>167.28</v>
      </c>
      <c r="CE2783" s="237" t="s">
        <v>323</v>
      </c>
      <c r="CJ2783" s="347">
        <v>3821.19</v>
      </c>
      <c r="CK2783" s="347" t="s">
        <v>371</v>
      </c>
      <c r="CL2783" s="1789"/>
      <c r="CR2783" s="345"/>
      <c r="CS2783" s="345"/>
      <c r="CX2783" s="347"/>
      <c r="CY2783" s="347"/>
      <c r="DH2783" s="237"/>
      <c r="DI2783" s="237"/>
      <c r="DN2783" s="347"/>
      <c r="DO2783" s="347"/>
      <c r="DP2783" s="2505"/>
    </row>
    <row r="2784" spans="30:120">
      <c r="AD2784" s="1138"/>
      <c r="AP2784" s="347">
        <v>213.18</v>
      </c>
      <c r="AQ2784" s="347" t="s">
        <v>369</v>
      </c>
      <c r="BF2784" s="347">
        <v>3821.22</v>
      </c>
      <c r="BG2784" s="347" t="s">
        <v>371</v>
      </c>
      <c r="BH2784" s="1790"/>
      <c r="BN2784" s="237">
        <v>90.59</v>
      </c>
      <c r="BO2784" s="237" t="s">
        <v>352</v>
      </c>
      <c r="BT2784" s="347">
        <v>213.18</v>
      </c>
      <c r="BU2784" s="347" t="s">
        <v>369</v>
      </c>
      <c r="CD2784" s="237">
        <v>167.28</v>
      </c>
      <c r="CE2784" s="237" t="s">
        <v>359</v>
      </c>
      <c r="CJ2784" s="347">
        <v>3821.2</v>
      </c>
      <c r="CK2784" s="347" t="s">
        <v>371</v>
      </c>
      <c r="CL2784" s="1789"/>
      <c r="CR2784" s="345"/>
      <c r="CS2784" s="345"/>
      <c r="CX2784" s="347"/>
      <c r="CY2784" s="347"/>
      <c r="DH2784" s="237"/>
      <c r="DI2784" s="237"/>
      <c r="DN2784" s="347"/>
      <c r="DO2784" s="347"/>
      <c r="DP2784" s="2505"/>
    </row>
    <row r="2785" spans="30:120">
      <c r="AD2785" s="1138"/>
      <c r="AP2785" s="347">
        <v>213.19</v>
      </c>
      <c r="AQ2785" s="347" t="s">
        <v>369</v>
      </c>
      <c r="BF2785" s="347">
        <v>3821.24</v>
      </c>
      <c r="BG2785" s="347" t="s">
        <v>371</v>
      </c>
      <c r="BH2785" s="1790"/>
      <c r="BN2785" s="237">
        <v>90.6</v>
      </c>
      <c r="BO2785" s="237" t="s">
        <v>352</v>
      </c>
      <c r="BT2785" s="347">
        <v>213.19</v>
      </c>
      <c r="BU2785" s="347" t="s">
        <v>369</v>
      </c>
      <c r="CD2785" s="237">
        <v>167.29</v>
      </c>
      <c r="CE2785" s="237" t="s">
        <v>323</v>
      </c>
      <c r="CJ2785" s="347">
        <v>3821.21</v>
      </c>
      <c r="CK2785" s="347" t="s">
        <v>371</v>
      </c>
      <c r="CL2785" s="1789"/>
      <c r="CR2785" s="345"/>
      <c r="CS2785" s="345"/>
      <c r="CX2785" s="347"/>
      <c r="CY2785" s="347"/>
      <c r="DH2785" s="237"/>
      <c r="DI2785" s="237"/>
      <c r="DN2785" s="347"/>
      <c r="DO2785" s="347"/>
      <c r="DP2785" s="2505"/>
    </row>
    <row r="2786" spans="30:120">
      <c r="AD2786" s="1138"/>
      <c r="AP2786" s="347">
        <v>213.2</v>
      </c>
      <c r="AQ2786" s="347" t="s">
        <v>369</v>
      </c>
      <c r="BF2786" s="347">
        <v>3821.25</v>
      </c>
      <c r="BG2786" s="347" t="s">
        <v>371</v>
      </c>
      <c r="BH2786" s="1790"/>
      <c r="BN2786" s="237">
        <v>90.61</v>
      </c>
      <c r="BO2786" s="237" t="s">
        <v>352</v>
      </c>
      <c r="BT2786" s="347">
        <v>213.2</v>
      </c>
      <c r="BU2786" s="347" t="s">
        <v>369</v>
      </c>
      <c r="CD2786" s="237">
        <v>167.3</v>
      </c>
      <c r="CE2786" s="237" t="s">
        <v>323</v>
      </c>
      <c r="CJ2786" s="347">
        <v>3821.22</v>
      </c>
      <c r="CK2786" s="347" t="s">
        <v>371</v>
      </c>
      <c r="CL2786" s="1789"/>
      <c r="CR2786" s="345"/>
      <c r="CS2786" s="345"/>
      <c r="CX2786" s="347"/>
      <c r="CY2786" s="347"/>
      <c r="DH2786" s="237"/>
      <c r="DI2786" s="237"/>
      <c r="DN2786" s="347"/>
      <c r="DO2786" s="347"/>
      <c r="DP2786" s="2505"/>
    </row>
    <row r="2787" spans="30:120">
      <c r="AD2787" s="1138"/>
      <c r="AP2787" s="347">
        <v>213.21</v>
      </c>
      <c r="AQ2787" s="347" t="s">
        <v>369</v>
      </c>
      <c r="BF2787" s="347">
        <v>3821.26</v>
      </c>
      <c r="BG2787" s="347" t="s">
        <v>371</v>
      </c>
      <c r="BH2787" s="1790"/>
      <c r="BN2787" s="237">
        <v>90.62</v>
      </c>
      <c r="BO2787" s="237" t="s">
        <v>352</v>
      </c>
      <c r="BT2787" s="347">
        <v>213.21</v>
      </c>
      <c r="BU2787" s="347" t="s">
        <v>369</v>
      </c>
      <c r="CD2787" s="237">
        <v>167.31</v>
      </c>
      <c r="CE2787" s="237" t="s">
        <v>323</v>
      </c>
      <c r="CJ2787" s="347">
        <v>3821.24</v>
      </c>
      <c r="CK2787" s="347" t="s">
        <v>371</v>
      </c>
      <c r="CL2787" s="1789"/>
      <c r="CR2787" s="345"/>
      <c r="CS2787" s="345"/>
      <c r="CX2787" s="347"/>
      <c r="CY2787" s="347"/>
      <c r="DH2787" s="237"/>
      <c r="DI2787" s="237"/>
      <c r="DN2787" s="347"/>
      <c r="DO2787" s="347"/>
      <c r="DP2787" s="2505"/>
    </row>
    <row r="2788" spans="30:120">
      <c r="AD2788" s="1138"/>
      <c r="AP2788" s="347">
        <v>214.03</v>
      </c>
      <c r="AQ2788" s="347" t="s">
        <v>369</v>
      </c>
      <c r="BF2788" s="347">
        <v>3821.27</v>
      </c>
      <c r="BG2788" s="347" t="s">
        <v>371</v>
      </c>
      <c r="BH2788" s="1790"/>
      <c r="BN2788" s="237">
        <v>90.63</v>
      </c>
      <c r="BO2788" s="237" t="s">
        <v>352</v>
      </c>
      <c r="BT2788" s="347">
        <v>214.03</v>
      </c>
      <c r="BU2788" s="347" t="s">
        <v>369</v>
      </c>
      <c r="CD2788" s="237">
        <v>167.31</v>
      </c>
      <c r="CE2788" s="237" t="s">
        <v>359</v>
      </c>
      <c r="CJ2788" s="347">
        <v>3821.25</v>
      </c>
      <c r="CK2788" s="347" t="s">
        <v>371</v>
      </c>
      <c r="CL2788" s="1789"/>
      <c r="CR2788" s="345"/>
      <c r="CS2788" s="345"/>
      <c r="CX2788" s="347"/>
      <c r="CY2788" s="347"/>
      <c r="DH2788" s="237"/>
      <c r="DI2788" s="237"/>
      <c r="DN2788" s="347"/>
      <c r="DO2788" s="347"/>
      <c r="DP2788" s="2505"/>
    </row>
    <row r="2789" spans="30:120">
      <c r="AD2789" s="1138"/>
      <c r="AP2789" s="347">
        <v>215.05</v>
      </c>
      <c r="AQ2789" s="347" t="s">
        <v>369</v>
      </c>
      <c r="BF2789" s="347">
        <v>3821.28</v>
      </c>
      <c r="BG2789" s="347" t="s">
        <v>371</v>
      </c>
      <c r="BH2789" s="1790"/>
      <c r="BN2789" s="237">
        <v>90.64</v>
      </c>
      <c r="BO2789" s="237" t="s">
        <v>352</v>
      </c>
      <c r="BT2789" s="347">
        <v>214.04</v>
      </c>
      <c r="BU2789" s="347" t="s">
        <v>369</v>
      </c>
      <c r="CD2789" s="237">
        <v>167.33</v>
      </c>
      <c r="CE2789" s="237" t="s">
        <v>359</v>
      </c>
      <c r="CJ2789" s="347">
        <v>3821.26</v>
      </c>
      <c r="CK2789" s="347" t="s">
        <v>371</v>
      </c>
      <c r="CL2789" s="1789"/>
      <c r="CR2789" s="345"/>
      <c r="CS2789" s="345"/>
      <c r="CX2789" s="347"/>
      <c r="CY2789" s="347"/>
      <c r="DH2789" s="237"/>
      <c r="DI2789" s="237"/>
      <c r="DN2789" s="347"/>
      <c r="DO2789" s="347"/>
      <c r="DP2789" s="2505"/>
    </row>
    <row r="2790" spans="30:120">
      <c r="AD2790" s="1138"/>
      <c r="AP2790" s="347">
        <v>216.04</v>
      </c>
      <c r="AQ2790" s="347" t="s">
        <v>369</v>
      </c>
      <c r="BF2790" s="347">
        <v>3821.3</v>
      </c>
      <c r="BG2790" s="347" t="s">
        <v>371</v>
      </c>
      <c r="BH2790" s="1790"/>
      <c r="BN2790" s="237">
        <v>90.65</v>
      </c>
      <c r="BO2790" s="237" t="s">
        <v>352</v>
      </c>
      <c r="BT2790" s="347">
        <v>215.04</v>
      </c>
      <c r="BU2790" s="347" t="s">
        <v>369</v>
      </c>
      <c r="CD2790" s="237">
        <v>167.35</v>
      </c>
      <c r="CE2790" s="237" t="s">
        <v>359</v>
      </c>
      <c r="CJ2790" s="347">
        <v>3821.27</v>
      </c>
      <c r="CK2790" s="347" t="s">
        <v>371</v>
      </c>
      <c r="CL2790" s="1789"/>
      <c r="CR2790" s="345"/>
      <c r="CS2790" s="345"/>
      <c r="CX2790" s="347"/>
      <c r="CY2790" s="347"/>
      <c r="DH2790" s="237"/>
      <c r="DI2790" s="237"/>
      <c r="DN2790" s="347"/>
      <c r="DO2790" s="347"/>
      <c r="DP2790" s="2505"/>
    </row>
    <row r="2791" spans="30:120">
      <c r="AD2791" s="1138"/>
      <c r="AP2791" s="347">
        <v>216.06</v>
      </c>
      <c r="AQ2791" s="347" t="s">
        <v>369</v>
      </c>
      <c r="BF2791" s="347">
        <v>3822.02</v>
      </c>
      <c r="BG2791" s="347" t="s">
        <v>371</v>
      </c>
      <c r="BH2791" s="1790"/>
      <c r="BN2791" s="237">
        <v>90.66</v>
      </c>
      <c r="BO2791" s="237" t="s">
        <v>352</v>
      </c>
      <c r="BT2791" s="347">
        <v>215.05</v>
      </c>
      <c r="BU2791" s="347" t="s">
        <v>369</v>
      </c>
      <c r="CD2791" s="237">
        <v>167.36</v>
      </c>
      <c r="CE2791" s="237" t="s">
        <v>359</v>
      </c>
      <c r="CJ2791" s="347">
        <v>3821.28</v>
      </c>
      <c r="CK2791" s="347" t="s">
        <v>371</v>
      </c>
      <c r="CL2791" s="1789"/>
      <c r="CR2791" s="345"/>
      <c r="CS2791" s="345"/>
      <c r="CX2791" s="347"/>
      <c r="CY2791" s="347"/>
      <c r="DH2791" s="237"/>
      <c r="DI2791" s="237"/>
      <c r="DN2791" s="347"/>
      <c r="DO2791" s="347"/>
      <c r="DP2791" s="2505"/>
    </row>
    <row r="2792" spans="30:120">
      <c r="AD2792" s="1138"/>
      <c r="AP2792" s="347">
        <v>216.09</v>
      </c>
      <c r="AQ2792" s="347" t="s">
        <v>369</v>
      </c>
      <c r="BF2792" s="347">
        <v>4501.03</v>
      </c>
      <c r="BG2792" s="347" t="s">
        <v>316</v>
      </c>
      <c r="BH2792" s="1790"/>
      <c r="BN2792" s="237">
        <v>91.01</v>
      </c>
      <c r="BO2792" s="237" t="s">
        <v>352</v>
      </c>
      <c r="BT2792" s="347">
        <v>215.06</v>
      </c>
      <c r="BU2792" s="347" t="s">
        <v>369</v>
      </c>
      <c r="CD2792" s="237">
        <v>167.37</v>
      </c>
      <c r="CE2792" s="237" t="s">
        <v>359</v>
      </c>
      <c r="CJ2792" s="347">
        <v>3821.3</v>
      </c>
      <c r="CK2792" s="347" t="s">
        <v>371</v>
      </c>
      <c r="CL2792" s="1789"/>
      <c r="CR2792" s="345"/>
      <c r="CS2792" s="345"/>
      <c r="CX2792" s="347"/>
      <c r="CY2792" s="347"/>
      <c r="DH2792" s="237"/>
      <c r="DI2792" s="237"/>
      <c r="DN2792" s="347"/>
      <c r="DO2792" s="347"/>
      <c r="DP2792" s="2505"/>
    </row>
    <row r="2793" spans="30:120">
      <c r="AD2793" s="1138"/>
      <c r="AP2793" s="347">
        <v>216.11</v>
      </c>
      <c r="AQ2793" s="347" t="s">
        <v>369</v>
      </c>
      <c r="BF2793" s="347">
        <v>4501.04</v>
      </c>
      <c r="BG2793" s="347" t="s">
        <v>316</v>
      </c>
      <c r="BH2793" s="1790"/>
      <c r="BN2793" s="237">
        <v>91.02</v>
      </c>
      <c r="BO2793" s="237" t="s">
        <v>352</v>
      </c>
      <c r="BT2793" s="347">
        <v>216.04</v>
      </c>
      <c r="BU2793" s="347" t="s">
        <v>369</v>
      </c>
      <c r="CD2793" s="237">
        <v>167.38</v>
      </c>
      <c r="CE2793" s="237" t="s">
        <v>359</v>
      </c>
      <c r="CJ2793" s="347">
        <v>3822.02</v>
      </c>
      <c r="CK2793" s="347" t="s">
        <v>371</v>
      </c>
      <c r="CL2793" s="1789"/>
      <c r="CR2793" s="345"/>
      <c r="CS2793" s="345"/>
      <c r="CX2793" s="347"/>
      <c r="CY2793" s="347"/>
      <c r="DH2793" s="237"/>
      <c r="DI2793" s="237"/>
      <c r="DN2793" s="347"/>
      <c r="DO2793" s="347"/>
      <c r="DP2793" s="2505"/>
    </row>
    <row r="2794" spans="30:120">
      <c r="AD2794" s="1138"/>
      <c r="AP2794" s="347">
        <v>216.12</v>
      </c>
      <c r="AQ2794" s="347" t="s">
        <v>369</v>
      </c>
      <c r="BF2794" s="347">
        <v>4502.0200000000004</v>
      </c>
      <c r="BG2794" s="347" t="s">
        <v>316</v>
      </c>
      <c r="BH2794" s="1790"/>
      <c r="BN2794" s="237">
        <v>92</v>
      </c>
      <c r="BO2794" s="237" t="s">
        <v>352</v>
      </c>
      <c r="BT2794" s="347">
        <v>216.09</v>
      </c>
      <c r="BU2794" s="347" t="s">
        <v>369</v>
      </c>
      <c r="CD2794" s="237">
        <v>167.39</v>
      </c>
      <c r="CE2794" s="237" t="s">
        <v>359</v>
      </c>
      <c r="CJ2794" s="347">
        <v>4501.03</v>
      </c>
      <c r="CK2794" s="347" t="s">
        <v>316</v>
      </c>
      <c r="CL2794" s="1789"/>
      <c r="CR2794" s="345"/>
      <c r="CS2794" s="345"/>
      <c r="CX2794" s="347"/>
      <c r="CY2794" s="347"/>
      <c r="DH2794" s="237"/>
      <c r="DI2794" s="237"/>
      <c r="DN2794" s="347"/>
      <c r="DO2794" s="347"/>
      <c r="DP2794" s="2505"/>
    </row>
    <row r="2795" spans="30:120">
      <c r="AD2795" s="1138"/>
      <c r="AP2795" s="347">
        <v>216.14</v>
      </c>
      <c r="AQ2795" s="347" t="s">
        <v>369</v>
      </c>
      <c r="BF2795" s="347">
        <v>4503.05</v>
      </c>
      <c r="BG2795" s="347" t="s">
        <v>316</v>
      </c>
      <c r="BH2795" s="1790"/>
      <c r="BN2795" s="237">
        <v>93.05</v>
      </c>
      <c r="BO2795" s="237" t="s">
        <v>352</v>
      </c>
      <c r="BT2795" s="347">
        <v>216.11</v>
      </c>
      <c r="BU2795" s="347" t="s">
        <v>369</v>
      </c>
      <c r="CD2795" s="237">
        <v>167.4</v>
      </c>
      <c r="CE2795" s="237" t="s">
        <v>359</v>
      </c>
      <c r="CJ2795" s="347">
        <v>4501.04</v>
      </c>
      <c r="CK2795" s="347" t="s">
        <v>316</v>
      </c>
      <c r="CL2795" s="1789"/>
      <c r="CR2795" s="345"/>
      <c r="CS2795" s="345"/>
      <c r="CX2795" s="347"/>
      <c r="CY2795" s="347"/>
      <c r="DH2795" s="237"/>
      <c r="DI2795" s="237"/>
      <c r="DN2795" s="347"/>
      <c r="DO2795" s="347"/>
      <c r="DP2795" s="2505"/>
    </row>
    <row r="2796" spans="30:120">
      <c r="AD2796" s="1138"/>
      <c r="AP2796" s="347">
        <v>216.17</v>
      </c>
      <c r="AQ2796" s="347" t="s">
        <v>369</v>
      </c>
      <c r="BF2796" s="347">
        <v>4503.07</v>
      </c>
      <c r="BG2796" s="347" t="s">
        <v>316</v>
      </c>
      <c r="BH2796" s="1790"/>
      <c r="BN2796" s="237">
        <v>93.12</v>
      </c>
      <c r="BO2796" s="237" t="s">
        <v>352</v>
      </c>
      <c r="BT2796" s="347">
        <v>216.12</v>
      </c>
      <c r="BU2796" s="347" t="s">
        <v>369</v>
      </c>
      <c r="CD2796" s="237">
        <v>167.41</v>
      </c>
      <c r="CE2796" s="237" t="s">
        <v>359</v>
      </c>
      <c r="CJ2796" s="347">
        <v>4503.05</v>
      </c>
      <c r="CK2796" s="347" t="s">
        <v>316</v>
      </c>
      <c r="CL2796" s="1789"/>
      <c r="CR2796" s="345"/>
      <c r="CS2796" s="345"/>
      <c r="CX2796" s="347"/>
      <c r="CY2796" s="347"/>
      <c r="DH2796" s="237"/>
      <c r="DI2796" s="237"/>
      <c r="DN2796" s="347"/>
      <c r="DO2796" s="347"/>
      <c r="DP2796" s="2505"/>
    </row>
    <row r="2797" spans="30:120">
      <c r="AD2797" s="1138"/>
      <c r="AP2797" s="347">
        <v>217.04</v>
      </c>
      <c r="AQ2797" s="347" t="s">
        <v>369</v>
      </c>
      <c r="BF2797" s="347">
        <v>4503.08</v>
      </c>
      <c r="BG2797" s="347" t="s">
        <v>316</v>
      </c>
      <c r="BH2797" s="1790"/>
      <c r="BN2797" s="237">
        <v>93.14</v>
      </c>
      <c r="BO2797" s="237" t="s">
        <v>352</v>
      </c>
      <c r="BT2797" s="347">
        <v>216.13</v>
      </c>
      <c r="BU2797" s="347" t="s">
        <v>369</v>
      </c>
      <c r="CD2797" s="237">
        <v>167.42</v>
      </c>
      <c r="CE2797" s="237" t="s">
        <v>359</v>
      </c>
      <c r="CJ2797" s="347">
        <v>4503.07</v>
      </c>
      <c r="CK2797" s="347" t="s">
        <v>316</v>
      </c>
      <c r="CL2797" s="1789"/>
      <c r="CR2797" s="345"/>
      <c r="CS2797" s="345"/>
      <c r="CX2797" s="347"/>
      <c r="CY2797" s="347"/>
      <c r="DH2797" s="237"/>
      <c r="DI2797" s="237"/>
      <c r="DN2797" s="347"/>
      <c r="DO2797" s="347"/>
      <c r="DP2797" s="2505"/>
    </row>
    <row r="2798" spans="30:120">
      <c r="AD2798" s="1138"/>
      <c r="AP2798" s="347">
        <v>217.06</v>
      </c>
      <c r="AQ2798" s="347" t="s">
        <v>369</v>
      </c>
      <c r="BF2798" s="347">
        <v>4504.0200000000004</v>
      </c>
      <c r="BG2798" s="347" t="s">
        <v>316</v>
      </c>
      <c r="BH2798" s="1790"/>
      <c r="BN2798" s="237">
        <v>93.15</v>
      </c>
      <c r="BO2798" s="237" t="s">
        <v>352</v>
      </c>
      <c r="BT2798" s="347">
        <v>216.14</v>
      </c>
      <c r="BU2798" s="347" t="s">
        <v>369</v>
      </c>
      <c r="CD2798" s="237">
        <v>167.43</v>
      </c>
      <c r="CE2798" s="237" t="s">
        <v>359</v>
      </c>
      <c r="CJ2798" s="347">
        <v>4503.08</v>
      </c>
      <c r="CK2798" s="347" t="s">
        <v>316</v>
      </c>
      <c r="CL2798" s="1789"/>
      <c r="CR2798" s="345"/>
      <c r="CS2798" s="345"/>
      <c r="CX2798" s="347"/>
      <c r="CY2798" s="347"/>
      <c r="DH2798" s="237"/>
      <c r="DI2798" s="237"/>
      <c r="DN2798" s="347"/>
      <c r="DO2798" s="347"/>
      <c r="DP2798" s="2505"/>
    </row>
    <row r="2799" spans="30:120">
      <c r="AD2799" s="1138"/>
      <c r="AP2799" s="347">
        <v>217.07</v>
      </c>
      <c r="AQ2799" s="347" t="s">
        <v>369</v>
      </c>
      <c r="BF2799" s="347">
        <v>4505.01</v>
      </c>
      <c r="BG2799" s="347" t="s">
        <v>316</v>
      </c>
      <c r="BH2799" s="1790"/>
      <c r="BN2799" s="237">
        <v>93.16</v>
      </c>
      <c r="BO2799" s="237" t="s">
        <v>352</v>
      </c>
      <c r="BT2799" s="347">
        <v>216.17</v>
      </c>
      <c r="BU2799" s="347" t="s">
        <v>369</v>
      </c>
      <c r="CD2799" s="237">
        <v>167.44</v>
      </c>
      <c r="CE2799" s="237" t="s">
        <v>359</v>
      </c>
      <c r="CJ2799" s="347">
        <v>4503.09</v>
      </c>
      <c r="CK2799" s="347" t="s">
        <v>316</v>
      </c>
      <c r="CL2799" s="1789"/>
      <c r="CR2799" s="345"/>
      <c r="CS2799" s="345"/>
      <c r="CX2799" s="347"/>
      <c r="CY2799" s="347"/>
      <c r="DH2799" s="237"/>
      <c r="DI2799" s="237"/>
      <c r="DN2799" s="347"/>
      <c r="DO2799" s="347"/>
      <c r="DP2799" s="2505"/>
    </row>
    <row r="2800" spans="30:120">
      <c r="AD2800" s="1138"/>
      <c r="AP2800" s="347">
        <v>217.08</v>
      </c>
      <c r="AQ2800" s="347" t="s">
        <v>369</v>
      </c>
      <c r="BF2800" s="347">
        <v>4505.0200000000004</v>
      </c>
      <c r="BG2800" s="347" t="s">
        <v>316</v>
      </c>
      <c r="BH2800" s="1790"/>
      <c r="BN2800" s="237">
        <v>93.17</v>
      </c>
      <c r="BO2800" s="237" t="s">
        <v>352</v>
      </c>
      <c r="BT2800" s="347">
        <v>217.04</v>
      </c>
      <c r="BU2800" s="347" t="s">
        <v>369</v>
      </c>
      <c r="CD2800" s="237">
        <v>167.45</v>
      </c>
      <c r="CE2800" s="237" t="s">
        <v>359</v>
      </c>
      <c r="CJ2800" s="347">
        <v>4503.1000000000004</v>
      </c>
      <c r="CK2800" s="347" t="s">
        <v>316</v>
      </c>
      <c r="CL2800" s="1789"/>
      <c r="CR2800" s="345"/>
      <c r="CS2800" s="345"/>
      <c r="CX2800" s="347"/>
      <c r="CY2800" s="347"/>
      <c r="DH2800" s="237"/>
      <c r="DI2800" s="237"/>
      <c r="DN2800" s="347"/>
      <c r="DO2800" s="347"/>
      <c r="DP2800" s="2505"/>
    </row>
    <row r="2801" spans="30:120">
      <c r="AD2801" s="1138"/>
      <c r="AP2801" s="347">
        <v>218.03</v>
      </c>
      <c r="AQ2801" s="347" t="s">
        <v>369</v>
      </c>
      <c r="BF2801" s="347">
        <v>4506.0200000000004</v>
      </c>
      <c r="BG2801" s="347" t="s">
        <v>316</v>
      </c>
      <c r="BH2801" s="1790"/>
      <c r="BN2801" s="237">
        <v>93.18</v>
      </c>
      <c r="BO2801" s="237" t="s">
        <v>352</v>
      </c>
      <c r="BT2801" s="347">
        <v>217.07</v>
      </c>
      <c r="BU2801" s="347" t="s">
        <v>369</v>
      </c>
      <c r="CD2801" s="237">
        <v>167.46</v>
      </c>
      <c r="CE2801" s="237" t="s">
        <v>359</v>
      </c>
      <c r="CJ2801" s="347">
        <v>4504.0200000000004</v>
      </c>
      <c r="CK2801" s="347" t="s">
        <v>316</v>
      </c>
      <c r="CL2801" s="1789"/>
      <c r="CR2801" s="345"/>
      <c r="CS2801" s="345"/>
      <c r="CX2801" s="347"/>
      <c r="CY2801" s="347"/>
      <c r="DH2801" s="237"/>
      <c r="DI2801" s="237"/>
      <c r="DN2801" s="347"/>
      <c r="DO2801" s="347"/>
      <c r="DP2801" s="2505"/>
    </row>
    <row r="2802" spans="30:120">
      <c r="AD2802" s="1138"/>
      <c r="AP2802" s="347">
        <v>218.05</v>
      </c>
      <c r="AQ2802" s="347" t="s">
        <v>369</v>
      </c>
      <c r="BF2802" s="347">
        <v>4507.03</v>
      </c>
      <c r="BG2802" s="347" t="s">
        <v>316</v>
      </c>
      <c r="BH2802" s="1790"/>
      <c r="BN2802" s="237">
        <v>93.19</v>
      </c>
      <c r="BO2802" s="237" t="s">
        <v>352</v>
      </c>
      <c r="BT2802" s="347">
        <v>217.08</v>
      </c>
      <c r="BU2802" s="347" t="s">
        <v>369</v>
      </c>
      <c r="CD2802" s="237">
        <v>167.47</v>
      </c>
      <c r="CE2802" s="237" t="s">
        <v>359</v>
      </c>
      <c r="CJ2802" s="347">
        <v>4505.01</v>
      </c>
      <c r="CK2802" s="347" t="s">
        <v>316</v>
      </c>
      <c r="CL2802" s="1789"/>
      <c r="CR2802" s="345"/>
      <c r="CS2802" s="345"/>
      <c r="CX2802" s="347"/>
      <c r="CY2802" s="347"/>
      <c r="DH2802" s="237"/>
      <c r="DI2802" s="237"/>
      <c r="DN2802" s="347"/>
      <c r="DO2802" s="347"/>
      <c r="DP2802" s="2505"/>
    </row>
    <row r="2803" spans="30:120">
      <c r="AD2803" s="1138"/>
      <c r="AP2803" s="347">
        <v>218.06</v>
      </c>
      <c r="AQ2803" s="347" t="s">
        <v>369</v>
      </c>
      <c r="BF2803" s="347">
        <v>4507.04</v>
      </c>
      <c r="BG2803" s="347" t="s">
        <v>316</v>
      </c>
      <c r="BH2803" s="1790"/>
      <c r="BN2803" s="237">
        <v>93.2</v>
      </c>
      <c r="BO2803" s="237" t="s">
        <v>352</v>
      </c>
      <c r="BT2803" s="347">
        <v>218.05</v>
      </c>
      <c r="BU2803" s="347" t="s">
        <v>369</v>
      </c>
      <c r="CD2803" s="237">
        <v>167.48</v>
      </c>
      <c r="CE2803" s="237" t="s">
        <v>359</v>
      </c>
      <c r="CJ2803" s="347">
        <v>4505.0200000000004</v>
      </c>
      <c r="CK2803" s="347" t="s">
        <v>316</v>
      </c>
      <c r="CL2803" s="1789"/>
      <c r="CR2803" s="345"/>
      <c r="CS2803" s="345"/>
      <c r="CX2803" s="347"/>
      <c r="CY2803" s="347"/>
      <c r="DH2803" s="237"/>
      <c r="DI2803" s="237"/>
      <c r="DN2803" s="347"/>
      <c r="DO2803" s="347"/>
      <c r="DP2803" s="2505"/>
    </row>
    <row r="2804" spans="30:120">
      <c r="AD2804" s="1138"/>
      <c r="AP2804" s="347">
        <v>219.01</v>
      </c>
      <c r="AQ2804" s="347" t="s">
        <v>369</v>
      </c>
      <c r="BF2804" s="347">
        <v>4509.01</v>
      </c>
      <c r="BG2804" s="347" t="s">
        <v>316</v>
      </c>
      <c r="BH2804" s="1790"/>
      <c r="BN2804" s="237">
        <v>93.21</v>
      </c>
      <c r="BO2804" s="237" t="s">
        <v>352</v>
      </c>
      <c r="BT2804" s="347">
        <v>218.06</v>
      </c>
      <c r="BU2804" s="347" t="s">
        <v>369</v>
      </c>
      <c r="CD2804" s="237">
        <v>167.49</v>
      </c>
      <c r="CE2804" s="237" t="s">
        <v>359</v>
      </c>
      <c r="CJ2804" s="347">
        <v>4507.03</v>
      </c>
      <c r="CK2804" s="347" t="s">
        <v>316</v>
      </c>
      <c r="CL2804" s="1789"/>
      <c r="CR2804" s="345"/>
      <c r="CS2804" s="345"/>
      <c r="CX2804" s="347"/>
      <c r="CY2804" s="347"/>
      <c r="DH2804" s="237"/>
      <c r="DI2804" s="237"/>
      <c r="DN2804" s="347"/>
      <c r="DO2804" s="347"/>
      <c r="DP2804" s="2505"/>
    </row>
    <row r="2805" spans="30:120">
      <c r="AD2805" s="1138"/>
      <c r="AP2805" s="347">
        <v>220.02</v>
      </c>
      <c r="AQ2805" s="347" t="s">
        <v>369</v>
      </c>
      <c r="BF2805" s="347">
        <v>4509.0200000000004</v>
      </c>
      <c r="BG2805" s="347" t="s">
        <v>316</v>
      </c>
      <c r="BH2805" s="1790"/>
      <c r="BN2805" s="237">
        <v>93.22</v>
      </c>
      <c r="BO2805" s="237" t="s">
        <v>352</v>
      </c>
      <c r="BT2805" s="347">
        <v>219.02</v>
      </c>
      <c r="BU2805" s="347" t="s">
        <v>369</v>
      </c>
      <c r="CD2805" s="237">
        <v>167.5</v>
      </c>
      <c r="CE2805" s="237" t="s">
        <v>359</v>
      </c>
      <c r="CJ2805" s="347">
        <v>4507.05</v>
      </c>
      <c r="CK2805" s="347" t="s">
        <v>316</v>
      </c>
      <c r="CL2805" s="1789"/>
      <c r="CR2805" s="345"/>
      <c r="CS2805" s="345"/>
      <c r="CX2805" s="347"/>
      <c r="CY2805" s="347"/>
      <c r="DH2805" s="237"/>
      <c r="DI2805" s="237"/>
      <c r="DN2805" s="347"/>
      <c r="DO2805" s="347"/>
      <c r="DP2805" s="2505"/>
    </row>
    <row r="2806" spans="30:120">
      <c r="AD2806" s="1138"/>
      <c r="AP2806" s="347">
        <v>220.04</v>
      </c>
      <c r="AQ2806" s="347" t="s">
        <v>369</v>
      </c>
      <c r="BF2806" s="347">
        <v>4510.01</v>
      </c>
      <c r="BG2806" s="347" t="s">
        <v>316</v>
      </c>
      <c r="BH2806" s="1790"/>
      <c r="BN2806" s="237">
        <v>93.23</v>
      </c>
      <c r="BO2806" s="237" t="s">
        <v>352</v>
      </c>
      <c r="BT2806" s="347">
        <v>220.02</v>
      </c>
      <c r="BU2806" s="347" t="s">
        <v>369</v>
      </c>
      <c r="CD2806" s="237">
        <v>167.51</v>
      </c>
      <c r="CE2806" s="237" t="s">
        <v>359</v>
      </c>
      <c r="CJ2806" s="347">
        <v>4507.0600000000004</v>
      </c>
      <c r="CK2806" s="347" t="s">
        <v>316</v>
      </c>
      <c r="CL2806" s="1789"/>
      <c r="CR2806" s="345"/>
      <c r="CS2806" s="345"/>
      <c r="CX2806" s="347"/>
      <c r="CY2806" s="347"/>
      <c r="DH2806" s="237"/>
      <c r="DI2806" s="237"/>
      <c r="DN2806" s="347"/>
      <c r="DO2806" s="347"/>
      <c r="DP2806" s="2505"/>
    </row>
    <row r="2807" spans="30:120">
      <c r="AD2807" s="1138"/>
      <c r="AP2807" s="347">
        <v>220.07</v>
      </c>
      <c r="AQ2807" s="347" t="s">
        <v>369</v>
      </c>
      <c r="BF2807" s="347">
        <v>4511.01</v>
      </c>
      <c r="BG2807" s="347" t="s">
        <v>316</v>
      </c>
      <c r="BH2807" s="1790"/>
      <c r="BN2807" s="237">
        <v>93.24</v>
      </c>
      <c r="BO2807" s="237" t="s">
        <v>352</v>
      </c>
      <c r="BT2807" s="347">
        <v>220.04</v>
      </c>
      <c r="BU2807" s="347" t="s">
        <v>369</v>
      </c>
      <c r="CD2807" s="237">
        <v>167.52</v>
      </c>
      <c r="CE2807" s="237" t="s">
        <v>359</v>
      </c>
      <c r="CJ2807" s="347">
        <v>4509.01</v>
      </c>
      <c r="CK2807" s="347" t="s">
        <v>316</v>
      </c>
      <c r="CL2807" s="1789"/>
      <c r="CR2807" s="345"/>
      <c r="CS2807" s="345"/>
      <c r="CX2807" s="347"/>
      <c r="CY2807" s="347"/>
      <c r="DH2807" s="237"/>
      <c r="DI2807" s="237"/>
      <c r="DN2807" s="347"/>
      <c r="DO2807" s="347"/>
      <c r="DP2807" s="2505"/>
    </row>
    <row r="2808" spans="30:120">
      <c r="AD2808" s="1138"/>
      <c r="AP2808" s="347">
        <v>221.04</v>
      </c>
      <c r="AQ2808" s="347" t="s">
        <v>369</v>
      </c>
      <c r="BF2808" s="347">
        <v>4511.04</v>
      </c>
      <c r="BG2808" s="347" t="s">
        <v>316</v>
      </c>
      <c r="BH2808" s="1790"/>
      <c r="BN2808" s="237">
        <v>93.25</v>
      </c>
      <c r="BO2808" s="237" t="s">
        <v>352</v>
      </c>
      <c r="BT2808" s="347">
        <v>220.07</v>
      </c>
      <c r="BU2808" s="347" t="s">
        <v>369</v>
      </c>
      <c r="CD2808" s="237">
        <v>167.53</v>
      </c>
      <c r="CE2808" s="237" t="s">
        <v>359</v>
      </c>
      <c r="CJ2808" s="347">
        <v>4509.0200000000004</v>
      </c>
      <c r="CK2808" s="347" t="s">
        <v>316</v>
      </c>
      <c r="CL2808" s="1789"/>
      <c r="CR2808" s="345"/>
      <c r="CS2808" s="345"/>
      <c r="CX2808" s="347"/>
      <c r="CY2808" s="347"/>
      <c r="DH2808" s="237"/>
      <c r="DI2808" s="237"/>
      <c r="DN2808" s="347"/>
      <c r="DO2808" s="347"/>
      <c r="DP2808" s="2505"/>
    </row>
    <row r="2809" spans="30:120">
      <c r="AD2809" s="1138"/>
      <c r="AP2809" s="347">
        <v>221.05</v>
      </c>
      <c r="AQ2809" s="347" t="s">
        <v>369</v>
      </c>
      <c r="BF2809" s="347">
        <v>4513</v>
      </c>
      <c r="BG2809" s="347" t="s">
        <v>316</v>
      </c>
      <c r="BH2809" s="1790"/>
      <c r="BN2809" s="237">
        <v>93.26</v>
      </c>
      <c r="BO2809" s="237" t="s">
        <v>352</v>
      </c>
      <c r="BT2809" s="347">
        <v>221.06</v>
      </c>
      <c r="BU2809" s="347" t="s">
        <v>369</v>
      </c>
      <c r="CD2809" s="237">
        <v>167.54</v>
      </c>
      <c r="CE2809" s="237" t="s">
        <v>359</v>
      </c>
      <c r="CJ2809" s="347">
        <v>4510.01</v>
      </c>
      <c r="CK2809" s="347" t="s">
        <v>316</v>
      </c>
      <c r="CL2809" s="1789"/>
      <c r="CR2809" s="345"/>
      <c r="CS2809" s="345"/>
      <c r="CX2809" s="347"/>
      <c r="CY2809" s="347"/>
      <c r="DH2809" s="237"/>
      <c r="DI2809" s="237"/>
      <c r="DN2809" s="347"/>
      <c r="DO2809" s="347"/>
      <c r="DP2809" s="2505"/>
    </row>
    <row r="2810" spans="30:120">
      <c r="AD2810" s="1138"/>
      <c r="AP2810" s="347">
        <v>221.06</v>
      </c>
      <c r="AQ2810" s="347" t="s">
        <v>369</v>
      </c>
      <c r="BF2810" s="347">
        <v>4516.03</v>
      </c>
      <c r="BG2810" s="347" t="s">
        <v>316</v>
      </c>
      <c r="BH2810" s="1790"/>
      <c r="BN2810" s="237">
        <v>93.27</v>
      </c>
      <c r="BO2810" s="237" t="s">
        <v>352</v>
      </c>
      <c r="BT2810" s="347">
        <v>222.01</v>
      </c>
      <c r="BU2810" s="347" t="s">
        <v>369</v>
      </c>
      <c r="CD2810" s="237">
        <v>167.55</v>
      </c>
      <c r="CE2810" s="237" t="s">
        <v>359</v>
      </c>
      <c r="CJ2810" s="347">
        <v>4511.01</v>
      </c>
      <c r="CK2810" s="347" t="s">
        <v>316</v>
      </c>
      <c r="CL2810" s="1789"/>
      <c r="CR2810" s="345"/>
      <c r="CS2810" s="345"/>
      <c r="CX2810" s="347"/>
      <c r="CY2810" s="347"/>
      <c r="DH2810" s="237"/>
      <c r="DI2810" s="237"/>
      <c r="DN2810" s="347"/>
      <c r="DO2810" s="347"/>
      <c r="DP2810" s="2505"/>
    </row>
    <row r="2811" spans="30:120">
      <c r="AD2811" s="1138"/>
      <c r="AP2811" s="347">
        <v>222.01</v>
      </c>
      <c r="AQ2811" s="347" t="s">
        <v>369</v>
      </c>
      <c r="BF2811" s="347">
        <v>4516.04</v>
      </c>
      <c r="BG2811" s="347" t="s">
        <v>316</v>
      </c>
      <c r="BH2811" s="1790"/>
      <c r="BN2811" s="237">
        <v>94.01</v>
      </c>
      <c r="BO2811" s="237" t="s">
        <v>352</v>
      </c>
      <c r="BT2811" s="347">
        <v>222.05</v>
      </c>
      <c r="BU2811" s="347" t="s">
        <v>369</v>
      </c>
      <c r="CD2811" s="237">
        <v>167.56</v>
      </c>
      <c r="CE2811" s="237" t="s">
        <v>359</v>
      </c>
      <c r="CJ2811" s="347">
        <v>4511.04</v>
      </c>
      <c r="CK2811" s="347" t="s">
        <v>316</v>
      </c>
      <c r="CL2811" s="1789"/>
      <c r="CR2811" s="345"/>
      <c r="CS2811" s="345"/>
      <c r="CX2811" s="347"/>
      <c r="CY2811" s="347"/>
      <c r="DH2811" s="237"/>
      <c r="DI2811" s="237"/>
      <c r="DN2811" s="347"/>
      <c r="DO2811" s="347"/>
      <c r="DP2811" s="2505"/>
    </row>
    <row r="2812" spans="30:120">
      <c r="AD2812" s="1138"/>
      <c r="AP2812" s="347">
        <v>222.05</v>
      </c>
      <c r="AQ2812" s="347" t="s">
        <v>369</v>
      </c>
      <c r="BF2812" s="347">
        <v>4516.0600000000004</v>
      </c>
      <c r="BG2812" s="347" t="s">
        <v>316</v>
      </c>
      <c r="BH2812" s="1790"/>
      <c r="BN2812" s="237">
        <v>94.02</v>
      </c>
      <c r="BO2812" s="237" t="s">
        <v>352</v>
      </c>
      <c r="BT2812" s="347">
        <v>222.06</v>
      </c>
      <c r="BU2812" s="347" t="s">
        <v>369</v>
      </c>
      <c r="CD2812" s="237">
        <v>168</v>
      </c>
      <c r="CE2812" s="237" t="s">
        <v>352</v>
      </c>
      <c r="CJ2812" s="347">
        <v>4513</v>
      </c>
      <c r="CK2812" s="347" t="s">
        <v>316</v>
      </c>
      <c r="CL2812" s="1789"/>
      <c r="CR2812" s="345"/>
      <c r="CS2812" s="345"/>
      <c r="CX2812" s="347"/>
      <c r="CY2812" s="347"/>
      <c r="DH2812" s="237"/>
      <c r="DI2812" s="237"/>
      <c r="DN2812" s="347"/>
      <c r="DO2812" s="347"/>
      <c r="DP2812" s="2505"/>
    </row>
    <row r="2813" spans="30:120">
      <c r="AD2813" s="1138"/>
      <c r="AP2813" s="347">
        <v>222.06</v>
      </c>
      <c r="AQ2813" s="347" t="s">
        <v>369</v>
      </c>
      <c r="BF2813" s="347">
        <v>4517.01</v>
      </c>
      <c r="BG2813" s="347" t="s">
        <v>316</v>
      </c>
      <c r="BH2813" s="1790"/>
      <c r="BN2813" s="237">
        <v>95.03</v>
      </c>
      <c r="BO2813" s="237" t="s">
        <v>352</v>
      </c>
      <c r="BT2813" s="347">
        <v>222.07</v>
      </c>
      <c r="BU2813" s="347" t="s">
        <v>369</v>
      </c>
      <c r="CD2813" s="237">
        <v>168.01</v>
      </c>
      <c r="CE2813" s="237" t="s">
        <v>323</v>
      </c>
      <c r="CJ2813" s="347">
        <v>4516.03</v>
      </c>
      <c r="CK2813" s="347" t="s">
        <v>316</v>
      </c>
      <c r="CL2813" s="1789"/>
      <c r="CR2813" s="345"/>
      <c r="CS2813" s="345"/>
      <c r="CX2813" s="347"/>
      <c r="CY2813" s="347"/>
      <c r="DH2813" s="237"/>
      <c r="DI2813" s="237"/>
      <c r="DN2813" s="347"/>
      <c r="DO2813" s="347"/>
      <c r="DP2813" s="2505"/>
    </row>
    <row r="2814" spans="30:120">
      <c r="AD2814" s="1138"/>
      <c r="AP2814" s="347">
        <v>222.07</v>
      </c>
      <c r="AQ2814" s="347" t="s">
        <v>369</v>
      </c>
      <c r="BF2814" s="347">
        <v>4901</v>
      </c>
      <c r="BG2814" s="347" t="s">
        <v>352</v>
      </c>
      <c r="BH2814" s="1790"/>
      <c r="BN2814" s="237">
        <v>95.04</v>
      </c>
      <c r="BO2814" s="237" t="s">
        <v>352</v>
      </c>
      <c r="BT2814" s="347">
        <v>9101</v>
      </c>
      <c r="BU2814" s="347" t="s">
        <v>372</v>
      </c>
      <c r="CD2814" s="237">
        <v>168.02</v>
      </c>
      <c r="CE2814" s="237" t="s">
        <v>359</v>
      </c>
      <c r="CJ2814" s="347">
        <v>4516.04</v>
      </c>
      <c r="CK2814" s="347" t="s">
        <v>316</v>
      </c>
      <c r="CL2814" s="1789"/>
      <c r="CR2814" s="345"/>
      <c r="CS2814" s="345"/>
      <c r="CX2814" s="347"/>
      <c r="CY2814" s="347"/>
      <c r="DH2814" s="237"/>
      <c r="DI2814" s="237"/>
      <c r="DN2814" s="347"/>
      <c r="DO2814" s="347"/>
      <c r="DP2814" s="2505"/>
    </row>
    <row r="2815" spans="30:120">
      <c r="AD2815" s="1138"/>
      <c r="AP2815" s="347">
        <v>9101</v>
      </c>
      <c r="AQ2815" s="347" t="s">
        <v>372</v>
      </c>
      <c r="BF2815" s="347">
        <v>9101</v>
      </c>
      <c r="BG2815" s="347" t="s">
        <v>372</v>
      </c>
      <c r="BH2815" s="1790"/>
      <c r="BN2815" s="237">
        <v>95.05</v>
      </c>
      <c r="BO2815" s="237" t="s">
        <v>352</v>
      </c>
      <c r="BT2815" s="347">
        <v>9103</v>
      </c>
      <c r="BU2815" s="347" t="s">
        <v>372</v>
      </c>
      <c r="CD2815" s="237">
        <v>168.03</v>
      </c>
      <c r="CE2815" s="237" t="s">
        <v>323</v>
      </c>
      <c r="CJ2815" s="347">
        <v>4516.0600000000004</v>
      </c>
      <c r="CK2815" s="347" t="s">
        <v>316</v>
      </c>
      <c r="CL2815" s="1789"/>
      <c r="CR2815" s="345"/>
      <c r="CS2815" s="345"/>
      <c r="CX2815" s="347"/>
      <c r="CY2815" s="347"/>
      <c r="DH2815" s="237"/>
      <c r="DI2815" s="237"/>
      <c r="DN2815" s="347"/>
      <c r="DO2815" s="347"/>
      <c r="DP2815" s="2505"/>
    </row>
    <row r="2816" spans="30:120">
      <c r="AD2816" s="1138"/>
      <c r="AP2816" s="347">
        <v>9103</v>
      </c>
      <c r="AQ2816" s="347" t="s">
        <v>372</v>
      </c>
      <c r="BF2816" s="347">
        <v>9101.01</v>
      </c>
      <c r="BG2816" s="347" t="s">
        <v>358</v>
      </c>
      <c r="BH2816" s="1790"/>
      <c r="BN2816" s="237">
        <v>95.06</v>
      </c>
      <c r="BO2816" s="237" t="s">
        <v>352</v>
      </c>
      <c r="BT2816" s="347">
        <v>9107.02</v>
      </c>
      <c r="BU2816" s="347" t="s">
        <v>372</v>
      </c>
      <c r="CD2816" s="237">
        <v>168.03</v>
      </c>
      <c r="CE2816" s="237" t="s">
        <v>359</v>
      </c>
      <c r="CJ2816" s="347">
        <v>4517.01</v>
      </c>
      <c r="CK2816" s="347" t="s">
        <v>316</v>
      </c>
      <c r="CL2816" s="1789"/>
      <c r="CR2816" s="345"/>
      <c r="CS2816" s="345"/>
      <c r="CX2816" s="347"/>
      <c r="CY2816" s="347"/>
      <c r="DH2816" s="237"/>
      <c r="DI2816" s="237"/>
      <c r="DN2816" s="347"/>
      <c r="DO2816" s="347"/>
      <c r="DP2816" s="2505"/>
    </row>
    <row r="2817" spans="30:120">
      <c r="AD2817" s="1138"/>
      <c r="AP2817" s="347">
        <v>9107.02</v>
      </c>
      <c r="AQ2817" s="347" t="s">
        <v>372</v>
      </c>
      <c r="BF2817" s="347">
        <v>9101.02</v>
      </c>
      <c r="BG2817" s="347" t="s">
        <v>358</v>
      </c>
      <c r="BH2817" s="1790"/>
      <c r="BN2817" s="237">
        <v>96.01</v>
      </c>
      <c r="BO2817" s="237" t="s">
        <v>352</v>
      </c>
      <c r="BT2817" s="347">
        <v>9108</v>
      </c>
      <c r="BU2817" s="347" t="s">
        <v>372</v>
      </c>
      <c r="CD2817" s="237">
        <v>168.04</v>
      </c>
      <c r="CE2817" s="237" t="s">
        <v>323</v>
      </c>
      <c r="CJ2817" s="347">
        <v>4901</v>
      </c>
      <c r="CK2817" s="347" t="s">
        <v>352</v>
      </c>
      <c r="CL2817" s="1789"/>
      <c r="CR2817" s="345"/>
      <c r="CS2817" s="345"/>
      <c r="CX2817" s="347"/>
      <c r="CY2817" s="347"/>
      <c r="DH2817" s="237"/>
      <c r="DI2817" s="237"/>
      <c r="DN2817" s="347"/>
      <c r="DO2817" s="347"/>
      <c r="DP2817" s="2505"/>
    </row>
    <row r="2818" spans="30:120">
      <c r="AD2818" s="1138"/>
      <c r="AP2818" s="347">
        <v>9108</v>
      </c>
      <c r="AQ2818" s="347" t="s">
        <v>372</v>
      </c>
      <c r="BF2818" s="347">
        <v>9102.01</v>
      </c>
      <c r="BG2818" s="347" t="s">
        <v>358</v>
      </c>
      <c r="BH2818" s="1790"/>
      <c r="BN2818" s="237">
        <v>96.02</v>
      </c>
      <c r="BO2818" s="237" t="s">
        <v>352</v>
      </c>
      <c r="BT2818" s="347">
        <v>9112.01</v>
      </c>
      <c r="BU2818" s="347" t="s">
        <v>372</v>
      </c>
      <c r="CD2818" s="237">
        <v>168.04</v>
      </c>
      <c r="CE2818" s="237" t="s">
        <v>359</v>
      </c>
      <c r="CJ2818" s="347">
        <v>9101</v>
      </c>
      <c r="CK2818" s="347" t="s">
        <v>372</v>
      </c>
      <c r="CL2818" s="1789"/>
      <c r="CR2818" s="345"/>
      <c r="CS2818" s="345"/>
      <c r="CX2818" s="347"/>
      <c r="CY2818" s="347"/>
      <c r="DH2818" s="237"/>
      <c r="DI2818" s="237"/>
      <c r="DN2818" s="347"/>
      <c r="DO2818" s="347"/>
      <c r="DP2818" s="2505"/>
    </row>
    <row r="2819" spans="30:120">
      <c r="AD2819" s="1138"/>
      <c r="AP2819" s="347">
        <v>9112.01</v>
      </c>
      <c r="AQ2819" s="347" t="s">
        <v>372</v>
      </c>
      <c r="BF2819" s="347">
        <v>9103</v>
      </c>
      <c r="BG2819" s="347" t="s">
        <v>372</v>
      </c>
      <c r="BH2819" s="1790"/>
      <c r="BN2819" s="237">
        <v>97.03</v>
      </c>
      <c r="BO2819" s="237" t="s">
        <v>352</v>
      </c>
      <c r="BT2819" s="347">
        <v>9112.02</v>
      </c>
      <c r="BU2819" s="347" t="s">
        <v>372</v>
      </c>
      <c r="CD2819" s="237">
        <v>168.07</v>
      </c>
      <c r="CE2819" s="237" t="s">
        <v>323</v>
      </c>
      <c r="CJ2819" s="347">
        <v>9101.01</v>
      </c>
      <c r="CK2819" s="347" t="s">
        <v>358</v>
      </c>
      <c r="CL2819" s="1789"/>
      <c r="CR2819" s="345"/>
      <c r="CS2819" s="345"/>
      <c r="CX2819" s="347"/>
      <c r="CY2819" s="347"/>
      <c r="DH2819" s="237"/>
      <c r="DI2819" s="237"/>
      <c r="DN2819" s="347"/>
      <c r="DO2819" s="347"/>
      <c r="DP2819" s="2505"/>
    </row>
    <row r="2820" spans="30:120">
      <c r="AD2820" s="1138"/>
      <c r="AP2820" s="347">
        <v>9112.0300000000007</v>
      </c>
      <c r="AQ2820" s="347" t="s">
        <v>372</v>
      </c>
      <c r="BF2820" s="347">
        <v>9104.01</v>
      </c>
      <c r="BG2820" s="347" t="s">
        <v>358</v>
      </c>
      <c r="BH2820" s="1790"/>
      <c r="BN2820" s="237">
        <v>97.04</v>
      </c>
      <c r="BO2820" s="237" t="s">
        <v>352</v>
      </c>
      <c r="BT2820" s="347">
        <v>9112.0300000000007</v>
      </c>
      <c r="BU2820" s="347" t="s">
        <v>372</v>
      </c>
      <c r="CD2820" s="237">
        <v>168.08</v>
      </c>
      <c r="CE2820" s="237" t="s">
        <v>323</v>
      </c>
      <c r="CJ2820" s="347">
        <v>9101.02</v>
      </c>
      <c r="CK2820" s="347" t="s">
        <v>358</v>
      </c>
      <c r="CL2820" s="1789"/>
      <c r="CR2820" s="345"/>
      <c r="CS2820" s="345"/>
      <c r="CX2820" s="347"/>
      <c r="CY2820" s="347"/>
      <c r="DH2820" s="237"/>
      <c r="DI2820" s="237"/>
      <c r="DN2820" s="347"/>
      <c r="DO2820" s="347"/>
      <c r="DP2820" s="2505"/>
    </row>
    <row r="2821" spans="30:120">
      <c r="AD2821" s="1138"/>
      <c r="AP2821" s="347">
        <v>9112.0400000000009</v>
      </c>
      <c r="AQ2821" s="347" t="s">
        <v>372</v>
      </c>
      <c r="BF2821" s="347">
        <v>9105</v>
      </c>
      <c r="BG2821" s="347" t="s">
        <v>358</v>
      </c>
      <c r="BH2821" s="1790"/>
      <c r="BN2821" s="237">
        <v>97.05</v>
      </c>
      <c r="BO2821" s="237" t="s">
        <v>352</v>
      </c>
      <c r="BT2821" s="347">
        <v>9112.0400000000009</v>
      </c>
      <c r="BU2821" s="347" t="s">
        <v>372</v>
      </c>
      <c r="CD2821" s="237">
        <v>168.08</v>
      </c>
      <c r="CE2821" s="237" t="s">
        <v>359</v>
      </c>
      <c r="CJ2821" s="347">
        <v>9102.02</v>
      </c>
      <c r="CK2821" s="347" t="s">
        <v>358</v>
      </c>
      <c r="CL2821" s="1789"/>
      <c r="CR2821" s="345"/>
      <c r="CS2821" s="345"/>
      <c r="CX2821" s="347"/>
      <c r="CY2821" s="347"/>
      <c r="DH2821" s="237"/>
      <c r="DI2821" s="237"/>
      <c r="DN2821" s="347"/>
      <c r="DO2821" s="347"/>
      <c r="DP2821" s="2505"/>
    </row>
    <row r="2822" spans="30:120">
      <c r="AD2822" s="1138"/>
      <c r="AP2822" s="347">
        <v>9112.0499999999993</v>
      </c>
      <c r="AQ2822" s="347" t="s">
        <v>372</v>
      </c>
      <c r="BF2822" s="347">
        <v>9106.01</v>
      </c>
      <c r="BG2822" s="347" t="s">
        <v>358</v>
      </c>
      <c r="BH2822" s="1790"/>
      <c r="BN2822" s="237">
        <v>97.06</v>
      </c>
      <c r="BO2822" s="237" t="s">
        <v>352</v>
      </c>
      <c r="BT2822" s="347">
        <v>9112.0499999999993</v>
      </c>
      <c r="BU2822" s="347" t="s">
        <v>372</v>
      </c>
      <c r="CD2822" s="237">
        <v>168.09</v>
      </c>
      <c r="CE2822" s="237" t="s">
        <v>323</v>
      </c>
      <c r="CJ2822" s="347">
        <v>9103</v>
      </c>
      <c r="CK2822" s="347" t="s">
        <v>372</v>
      </c>
      <c r="CL2822" s="1789"/>
      <c r="CR2822" s="345"/>
      <c r="CS2822" s="345"/>
      <c r="CX2822" s="347"/>
      <c r="CY2822" s="347"/>
      <c r="DH2822" s="237"/>
      <c r="DI2822" s="237"/>
      <c r="DN2822" s="347"/>
      <c r="DO2822" s="347"/>
      <c r="DP2822" s="2505"/>
    </row>
    <row r="2823" spans="30:120">
      <c r="AD2823" s="1138"/>
      <c r="AP2823" s="347">
        <v>9112.06</v>
      </c>
      <c r="AQ2823" s="347" t="s">
        <v>372</v>
      </c>
      <c r="BF2823" s="347">
        <v>9106.02</v>
      </c>
      <c r="BG2823" s="347" t="s">
        <v>358</v>
      </c>
      <c r="BH2823" s="1790"/>
      <c r="BN2823" s="237">
        <v>98.03</v>
      </c>
      <c r="BO2823" s="237" t="s">
        <v>352</v>
      </c>
      <c r="BT2823" s="347">
        <v>9112.06</v>
      </c>
      <c r="BU2823" s="347" t="s">
        <v>372</v>
      </c>
      <c r="CD2823" s="237">
        <v>168.09</v>
      </c>
      <c r="CE2823" s="237" t="s">
        <v>359</v>
      </c>
      <c r="CJ2823" s="347">
        <v>9104.01</v>
      </c>
      <c r="CK2823" s="347" t="s">
        <v>358</v>
      </c>
      <c r="CL2823" s="1789"/>
      <c r="CR2823" s="345"/>
      <c r="CS2823" s="345"/>
      <c r="CX2823" s="347"/>
      <c r="CY2823" s="347"/>
      <c r="DH2823" s="237"/>
      <c r="DI2823" s="237"/>
      <c r="DN2823" s="347"/>
      <c r="DO2823" s="347"/>
      <c r="DP2823" s="2505"/>
    </row>
    <row r="2824" spans="30:120">
      <c r="AD2824" s="1138"/>
      <c r="AP2824" s="347">
        <v>9112.07</v>
      </c>
      <c r="AQ2824" s="347" t="s">
        <v>372</v>
      </c>
      <c r="BF2824" s="347">
        <v>9107.02</v>
      </c>
      <c r="BG2824" s="347" t="s">
        <v>372</v>
      </c>
      <c r="BH2824" s="1790"/>
      <c r="BN2824" s="237">
        <v>98.04</v>
      </c>
      <c r="BO2824" s="237" t="s">
        <v>352</v>
      </c>
      <c r="BT2824" s="347">
        <v>9112.07</v>
      </c>
      <c r="BU2824" s="347" t="s">
        <v>372</v>
      </c>
      <c r="CD2824" s="237">
        <v>168.1</v>
      </c>
      <c r="CE2824" s="237" t="s">
        <v>323</v>
      </c>
      <c r="CJ2824" s="347">
        <v>9105</v>
      </c>
      <c r="CK2824" s="347" t="s">
        <v>358</v>
      </c>
      <c r="CL2824" s="1789"/>
      <c r="CR2824" s="345"/>
      <c r="CS2824" s="345"/>
      <c r="CX2824" s="347"/>
      <c r="CY2824" s="347"/>
      <c r="DH2824" s="237"/>
      <c r="DI2824" s="237"/>
      <c r="DN2824" s="347"/>
      <c r="DO2824" s="347"/>
      <c r="DP2824" s="2505"/>
    </row>
    <row r="2825" spans="30:120">
      <c r="AD2825" s="1138"/>
      <c r="AP2825" s="347">
        <v>9114.01</v>
      </c>
      <c r="AQ2825" s="347" t="s">
        <v>372</v>
      </c>
      <c r="BF2825" s="347">
        <v>9108</v>
      </c>
      <c r="BG2825" s="347" t="s">
        <v>372</v>
      </c>
      <c r="BH2825" s="1790"/>
      <c r="BN2825" s="237">
        <v>98.06</v>
      </c>
      <c r="BO2825" s="237" t="s">
        <v>352</v>
      </c>
      <c r="BT2825" s="347">
        <v>9114.01</v>
      </c>
      <c r="BU2825" s="347" t="s">
        <v>372</v>
      </c>
      <c r="CD2825" s="237">
        <v>168.1</v>
      </c>
      <c r="CE2825" s="237" t="s">
        <v>359</v>
      </c>
      <c r="CJ2825" s="347">
        <v>9106.01</v>
      </c>
      <c r="CK2825" s="347" t="s">
        <v>358</v>
      </c>
      <c r="CL2825" s="1789"/>
      <c r="CR2825" s="345"/>
      <c r="CS2825" s="345"/>
      <c r="CX2825" s="347"/>
      <c r="CY2825" s="347"/>
      <c r="DH2825" s="237"/>
      <c r="DI2825" s="237"/>
      <c r="DN2825" s="347"/>
      <c r="DO2825" s="347"/>
      <c r="DP2825" s="2505"/>
    </row>
    <row r="2826" spans="30:120">
      <c r="AD2826" s="1138"/>
      <c r="AP2826" s="347">
        <v>9114.02</v>
      </c>
      <c r="AQ2826" s="347" t="s">
        <v>372</v>
      </c>
      <c r="BF2826" s="347">
        <v>9112.01</v>
      </c>
      <c r="BG2826" s="347" t="s">
        <v>372</v>
      </c>
      <c r="BH2826" s="1790"/>
      <c r="BN2826" s="237">
        <v>98.09</v>
      </c>
      <c r="BO2826" s="237" t="s">
        <v>352</v>
      </c>
      <c r="BT2826" s="347">
        <v>9114.02</v>
      </c>
      <c r="BU2826" s="347" t="s">
        <v>372</v>
      </c>
      <c r="CD2826" s="237">
        <v>168.11</v>
      </c>
      <c r="CE2826" s="237" t="s">
        <v>323</v>
      </c>
      <c r="CJ2826" s="347">
        <v>9106.02</v>
      </c>
      <c r="CK2826" s="347" t="s">
        <v>358</v>
      </c>
      <c r="CL2826" s="1789"/>
      <c r="CR2826" s="345"/>
      <c r="CS2826" s="345"/>
      <c r="CX2826" s="347"/>
      <c r="CY2826" s="347"/>
      <c r="DH2826" s="237"/>
      <c r="DI2826" s="237"/>
      <c r="DN2826" s="347"/>
      <c r="DO2826" s="347"/>
      <c r="DP2826" s="2505"/>
    </row>
    <row r="2827" spans="30:120">
      <c r="AD2827" s="1138"/>
      <c r="AP2827" s="347">
        <v>9115</v>
      </c>
      <c r="AQ2827" s="347" t="s">
        <v>372</v>
      </c>
      <c r="BF2827" s="347">
        <v>9112.0300000000007</v>
      </c>
      <c r="BG2827" s="347" t="s">
        <v>372</v>
      </c>
      <c r="BH2827" s="1790"/>
      <c r="BN2827" s="237">
        <v>98.1</v>
      </c>
      <c r="BO2827" s="237" t="s">
        <v>352</v>
      </c>
      <c r="BT2827" s="347">
        <v>9117.0300000000007</v>
      </c>
      <c r="BU2827" s="347" t="s">
        <v>372</v>
      </c>
      <c r="CD2827" s="237">
        <v>168.11</v>
      </c>
      <c r="CE2827" s="237" t="s">
        <v>359</v>
      </c>
      <c r="CJ2827" s="347">
        <v>9107.02</v>
      </c>
      <c r="CK2827" s="347" t="s">
        <v>372</v>
      </c>
      <c r="CL2827" s="1789"/>
      <c r="CR2827" s="345"/>
      <c r="CS2827" s="345"/>
      <c r="CX2827" s="347"/>
      <c r="CY2827" s="347"/>
      <c r="DH2827" s="237"/>
      <c r="DI2827" s="237"/>
      <c r="DN2827" s="347"/>
      <c r="DO2827" s="347"/>
      <c r="DP2827" s="2505"/>
    </row>
    <row r="2828" spans="30:120">
      <c r="AD2828" s="1138"/>
      <c r="AP2828" s="347">
        <v>9117.0300000000007</v>
      </c>
      <c r="AQ2828" s="347" t="s">
        <v>372</v>
      </c>
      <c r="BF2828" s="347">
        <v>9112.0400000000009</v>
      </c>
      <c r="BG2828" s="347" t="s">
        <v>372</v>
      </c>
      <c r="BH2828" s="1790"/>
      <c r="BN2828" s="237">
        <v>98.11</v>
      </c>
      <c r="BO2828" s="237" t="s">
        <v>352</v>
      </c>
      <c r="BT2828" s="347">
        <v>9117.0400000000009</v>
      </c>
      <c r="BU2828" s="347" t="s">
        <v>372</v>
      </c>
      <c r="CD2828" s="237">
        <v>168.12</v>
      </c>
      <c r="CE2828" s="237" t="s">
        <v>323</v>
      </c>
      <c r="CJ2828" s="347">
        <v>9108</v>
      </c>
      <c r="CK2828" s="347" t="s">
        <v>372</v>
      </c>
      <c r="CL2828" s="1789"/>
      <c r="CR2828" s="345"/>
      <c r="CS2828" s="345"/>
      <c r="CX2828" s="347"/>
      <c r="CY2828" s="347"/>
      <c r="DH2828" s="237"/>
      <c r="DI2828" s="237"/>
      <c r="DN2828" s="347"/>
      <c r="DO2828" s="347"/>
      <c r="DP2828" s="2505"/>
    </row>
    <row r="2829" spans="30:120">
      <c r="AD2829" s="1138"/>
      <c r="AP2829" s="347">
        <v>9117.0400000000009</v>
      </c>
      <c r="AQ2829" s="347" t="s">
        <v>372</v>
      </c>
      <c r="BF2829" s="347">
        <v>9112.0499999999993</v>
      </c>
      <c r="BG2829" s="347" t="s">
        <v>372</v>
      </c>
      <c r="BH2829" s="1790"/>
      <c r="BN2829" s="237">
        <v>98.12</v>
      </c>
      <c r="BO2829" s="237" t="s">
        <v>352</v>
      </c>
      <c r="BT2829" s="347">
        <v>9701</v>
      </c>
      <c r="BU2829" s="347" t="s">
        <v>373</v>
      </c>
      <c r="CD2829" s="237">
        <v>168.12</v>
      </c>
      <c r="CE2829" s="237" t="s">
        <v>359</v>
      </c>
      <c r="CJ2829" s="347">
        <v>9112.01</v>
      </c>
      <c r="CK2829" s="347" t="s">
        <v>372</v>
      </c>
      <c r="CL2829" s="1789"/>
      <c r="CR2829" s="345"/>
      <c r="CS2829" s="345"/>
      <c r="CX2829" s="347"/>
      <c r="CY2829" s="347"/>
      <c r="DH2829" s="237"/>
      <c r="DI2829" s="237"/>
      <c r="DN2829" s="347"/>
      <c r="DO2829" s="347"/>
      <c r="DP2829" s="2505"/>
    </row>
    <row r="2830" spans="30:120">
      <c r="AD2830" s="1138"/>
      <c r="AP2830" s="347">
        <v>9701</v>
      </c>
      <c r="AQ2830" s="347" t="s">
        <v>373</v>
      </c>
      <c r="BF2830" s="347">
        <v>9112.06</v>
      </c>
      <c r="BG2830" s="347" t="s">
        <v>372</v>
      </c>
      <c r="BH2830" s="1790"/>
      <c r="BN2830" s="237">
        <v>99.03</v>
      </c>
      <c r="BO2830" s="237" t="s">
        <v>352</v>
      </c>
      <c r="BT2830" s="347">
        <v>9702</v>
      </c>
      <c r="BU2830" s="347" t="s">
        <v>373</v>
      </c>
      <c r="CD2830" s="237">
        <v>168.13</v>
      </c>
      <c r="CE2830" s="237" t="s">
        <v>323</v>
      </c>
      <c r="CJ2830" s="347">
        <v>9112.02</v>
      </c>
      <c r="CK2830" s="347" t="s">
        <v>372</v>
      </c>
      <c r="CL2830" s="1789"/>
      <c r="CR2830" s="345"/>
      <c r="CS2830" s="345"/>
      <c r="CX2830" s="347"/>
      <c r="CY2830" s="347"/>
      <c r="DH2830" s="237"/>
      <c r="DI2830" s="237"/>
      <c r="DN2830" s="347"/>
      <c r="DO2830" s="347"/>
      <c r="DP2830" s="2505"/>
    </row>
    <row r="2831" spans="30:120">
      <c r="AD2831" s="1138"/>
      <c r="AP2831" s="347">
        <v>9702</v>
      </c>
      <c r="AQ2831" s="347" t="s">
        <v>373</v>
      </c>
      <c r="BF2831" s="347">
        <v>9112.07</v>
      </c>
      <c r="BG2831" s="347" t="s">
        <v>372</v>
      </c>
      <c r="BH2831" s="1790"/>
      <c r="BN2831" s="237">
        <v>99.04</v>
      </c>
      <c r="BO2831" s="237" t="s">
        <v>352</v>
      </c>
      <c r="BT2831" s="347">
        <v>9704.01</v>
      </c>
      <c r="BU2831" s="347" t="s">
        <v>373</v>
      </c>
      <c r="CD2831" s="237">
        <v>168.13</v>
      </c>
      <c r="CE2831" s="237" t="s">
        <v>359</v>
      </c>
      <c r="CJ2831" s="347">
        <v>9112.0300000000007</v>
      </c>
      <c r="CK2831" s="347" t="s">
        <v>372</v>
      </c>
      <c r="CL2831" s="1789"/>
      <c r="CR2831" s="345"/>
      <c r="CS2831" s="345"/>
      <c r="CX2831" s="347"/>
      <c r="CY2831" s="347"/>
      <c r="DH2831" s="237"/>
      <c r="DI2831" s="237"/>
      <c r="DN2831" s="347"/>
      <c r="DO2831" s="347"/>
      <c r="DP2831" s="2505"/>
    </row>
    <row r="2832" spans="30:120">
      <c r="AD2832" s="1138"/>
      <c r="AP2832" s="347">
        <v>9704.01</v>
      </c>
      <c r="AQ2832" s="347" t="s">
        <v>373</v>
      </c>
      <c r="BF2832" s="347">
        <v>9114.01</v>
      </c>
      <c r="BG2832" s="347" t="s">
        <v>372</v>
      </c>
      <c r="BH2832" s="1790"/>
      <c r="BN2832" s="237">
        <v>99.05</v>
      </c>
      <c r="BO2832" s="237" t="s">
        <v>352</v>
      </c>
      <c r="BT2832" s="347">
        <v>9704.02</v>
      </c>
      <c r="BU2832" s="347" t="s">
        <v>373</v>
      </c>
      <c r="CD2832" s="237">
        <v>168.14</v>
      </c>
      <c r="CE2832" s="237" t="s">
        <v>359</v>
      </c>
      <c r="CJ2832" s="347">
        <v>9112.0400000000009</v>
      </c>
      <c r="CK2832" s="347" t="s">
        <v>372</v>
      </c>
      <c r="CL2832" s="1789"/>
      <c r="CR2832" s="345"/>
      <c r="CS2832" s="345"/>
      <c r="CX2832" s="347"/>
      <c r="CY2832" s="347"/>
      <c r="DH2832" s="237"/>
      <c r="DI2832" s="237"/>
      <c r="DN2832" s="347"/>
      <c r="DO2832" s="347"/>
      <c r="DP2832" s="2505"/>
    </row>
    <row r="2833" spans="30:120">
      <c r="AD2833" s="1138"/>
      <c r="AP2833" s="347">
        <v>9704.02</v>
      </c>
      <c r="AQ2833" s="347" t="s">
        <v>373</v>
      </c>
      <c r="BF2833" s="347">
        <v>9114.02</v>
      </c>
      <c r="BG2833" s="347" t="s">
        <v>372</v>
      </c>
      <c r="BH2833" s="1790"/>
      <c r="BN2833" s="237">
        <v>99.06</v>
      </c>
      <c r="BO2833" s="237" t="s">
        <v>352</v>
      </c>
      <c r="BT2833" s="347">
        <v>9705.01</v>
      </c>
      <c r="BU2833" s="347" t="s">
        <v>373</v>
      </c>
      <c r="CD2833" s="237">
        <v>169</v>
      </c>
      <c r="CE2833" s="237" t="s">
        <v>352</v>
      </c>
      <c r="CJ2833" s="347">
        <v>9112.0499999999993</v>
      </c>
      <c r="CK2833" s="347" t="s">
        <v>372</v>
      </c>
      <c r="CL2833" s="1789"/>
      <c r="CR2833" s="345"/>
      <c r="CS2833" s="345"/>
      <c r="CX2833" s="347"/>
      <c r="CY2833" s="347"/>
      <c r="DH2833" s="237"/>
      <c r="DI2833" s="237"/>
      <c r="DN2833" s="347"/>
      <c r="DO2833" s="347"/>
      <c r="DP2833" s="2505"/>
    </row>
    <row r="2834" spans="30:120">
      <c r="AD2834" s="1138"/>
      <c r="AP2834" s="347">
        <v>9705.01</v>
      </c>
      <c r="AQ2834" s="347" t="s">
        <v>373</v>
      </c>
      <c r="BF2834" s="347">
        <v>9115</v>
      </c>
      <c r="BG2834" s="347" t="s">
        <v>372</v>
      </c>
      <c r="BH2834" s="1790"/>
      <c r="BN2834" s="237">
        <v>99.07</v>
      </c>
      <c r="BO2834" s="237" t="s">
        <v>352</v>
      </c>
      <c r="BT2834" s="347">
        <v>9705.02</v>
      </c>
      <c r="BU2834" s="347" t="s">
        <v>373</v>
      </c>
      <c r="CD2834" s="237">
        <v>169.02</v>
      </c>
      <c r="CE2834" s="237" t="s">
        <v>359</v>
      </c>
      <c r="CJ2834" s="347">
        <v>9112.06</v>
      </c>
      <c r="CK2834" s="347" t="s">
        <v>372</v>
      </c>
      <c r="CL2834" s="1789"/>
      <c r="CR2834" s="345"/>
      <c r="CS2834" s="345"/>
      <c r="CX2834" s="347"/>
      <c r="CY2834" s="347"/>
      <c r="DH2834" s="237"/>
      <c r="DI2834" s="237"/>
      <c r="DN2834" s="347"/>
      <c r="DO2834" s="347"/>
      <c r="DP2834" s="2505"/>
    </row>
    <row r="2835" spans="30:120">
      <c r="AD2835" s="1138"/>
      <c r="AP2835" s="347">
        <v>9705.02</v>
      </c>
      <c r="AQ2835" s="347" t="s">
        <v>373</v>
      </c>
      <c r="BF2835" s="347">
        <v>9117.0300000000007</v>
      </c>
      <c r="BG2835" s="347" t="s">
        <v>372</v>
      </c>
      <c r="BH2835" s="1790"/>
      <c r="BN2835" s="237">
        <v>99.08</v>
      </c>
      <c r="BO2835" s="237" t="s">
        <v>352</v>
      </c>
      <c r="BT2835" s="347">
        <v>9706.01</v>
      </c>
      <c r="BU2835" s="347" t="s">
        <v>373</v>
      </c>
      <c r="CD2835" s="237">
        <v>169.04</v>
      </c>
      <c r="CE2835" s="237" t="s">
        <v>359</v>
      </c>
      <c r="CJ2835" s="347">
        <v>9112.07</v>
      </c>
      <c r="CK2835" s="347" t="s">
        <v>372</v>
      </c>
      <c r="CL2835" s="1789"/>
      <c r="CR2835" s="345"/>
      <c r="CS2835" s="345"/>
      <c r="CX2835" s="347"/>
      <c r="CY2835" s="347"/>
      <c r="DH2835" s="237"/>
      <c r="DI2835" s="237"/>
      <c r="DN2835" s="347"/>
      <c r="DO2835" s="347"/>
      <c r="DP2835" s="2505"/>
    </row>
    <row r="2836" spans="30:120">
      <c r="AD2836" s="1138"/>
      <c r="AP2836" s="347">
        <v>9706.01</v>
      </c>
      <c r="AQ2836" s="347" t="s">
        <v>373</v>
      </c>
      <c r="BF2836" s="347">
        <v>9117.0400000000009</v>
      </c>
      <c r="BG2836" s="347" t="s">
        <v>372</v>
      </c>
      <c r="BH2836" s="1790"/>
      <c r="BN2836" s="237">
        <v>99.09</v>
      </c>
      <c r="BO2836" s="237" t="s">
        <v>352</v>
      </c>
      <c r="BT2836" s="347">
        <v>9706.02</v>
      </c>
      <c r="BU2836" s="347" t="s">
        <v>373</v>
      </c>
      <c r="CD2836" s="237">
        <v>169.06</v>
      </c>
      <c r="CE2836" s="237" t="s">
        <v>359</v>
      </c>
      <c r="CJ2836" s="347">
        <v>9114.01</v>
      </c>
      <c r="CK2836" s="347" t="s">
        <v>372</v>
      </c>
      <c r="CL2836" s="1789"/>
      <c r="CR2836" s="345"/>
      <c r="CS2836" s="345"/>
      <c r="CX2836" s="347"/>
      <c r="CY2836" s="347"/>
      <c r="DH2836" s="237"/>
      <c r="DI2836" s="237"/>
      <c r="DN2836" s="347"/>
      <c r="DO2836" s="347"/>
      <c r="DP2836" s="2505"/>
    </row>
    <row r="2837" spans="30:120">
      <c r="AD2837" s="1138"/>
      <c r="AP2837" s="347">
        <v>9706.02</v>
      </c>
      <c r="AQ2837" s="347" t="s">
        <v>373</v>
      </c>
      <c r="BF2837" s="347">
        <v>9501</v>
      </c>
      <c r="BG2837" s="347" t="s">
        <v>347</v>
      </c>
      <c r="BH2837" s="1790"/>
      <c r="BN2837" s="237">
        <v>100.1</v>
      </c>
      <c r="BO2837" s="237" t="s">
        <v>352</v>
      </c>
      <c r="BT2837" s="347">
        <v>9501</v>
      </c>
      <c r="BU2837" s="347" t="s">
        <v>374</v>
      </c>
      <c r="CD2837" s="237">
        <v>169.07</v>
      </c>
      <c r="CE2837" s="237" t="s">
        <v>359</v>
      </c>
      <c r="CJ2837" s="347">
        <v>9114.02</v>
      </c>
      <c r="CK2837" s="347" t="s">
        <v>372</v>
      </c>
      <c r="CL2837" s="1789"/>
      <c r="CR2837" s="345"/>
      <c r="CS2837" s="345"/>
      <c r="CX2837" s="347"/>
      <c r="CY2837" s="347"/>
      <c r="DH2837" s="237"/>
      <c r="DI2837" s="237"/>
      <c r="DN2837" s="347"/>
      <c r="DO2837" s="347"/>
      <c r="DP2837" s="2505"/>
    </row>
    <row r="2838" spans="30:120">
      <c r="AD2838" s="1138"/>
      <c r="AP2838" s="347">
        <v>9501</v>
      </c>
      <c r="AQ2838" s="347" t="s">
        <v>374</v>
      </c>
      <c r="BF2838" s="347">
        <v>9501</v>
      </c>
      <c r="BG2838" s="347" t="s">
        <v>374</v>
      </c>
      <c r="BH2838" s="1790"/>
      <c r="BN2838" s="237">
        <v>100.12</v>
      </c>
      <c r="BO2838" s="237" t="s">
        <v>352</v>
      </c>
      <c r="BT2838" s="347">
        <v>9502.02</v>
      </c>
      <c r="BU2838" s="347" t="s">
        <v>374</v>
      </c>
      <c r="CD2838" s="237">
        <v>169.08</v>
      </c>
      <c r="CE2838" s="237" t="s">
        <v>359</v>
      </c>
      <c r="CJ2838" s="347">
        <v>9117.0300000000007</v>
      </c>
      <c r="CK2838" s="347" t="s">
        <v>372</v>
      </c>
      <c r="CL2838" s="1789"/>
      <c r="CR2838" s="345"/>
      <c r="CS2838" s="345"/>
      <c r="CX2838" s="347"/>
      <c r="CY2838" s="347"/>
      <c r="DH2838" s="237"/>
      <c r="DI2838" s="237"/>
      <c r="DN2838" s="347"/>
      <c r="DO2838" s="347"/>
      <c r="DP2838" s="2505"/>
    </row>
    <row r="2839" spans="30:120">
      <c r="AD2839" s="1138"/>
      <c r="AP2839" s="347">
        <v>9502.02</v>
      </c>
      <c r="AQ2839" s="347" t="s">
        <v>374</v>
      </c>
      <c r="BF2839" s="347">
        <v>9501.02</v>
      </c>
      <c r="BG2839" s="347" t="s">
        <v>378</v>
      </c>
      <c r="BH2839" s="1790"/>
      <c r="BN2839" s="237">
        <v>100.13</v>
      </c>
      <c r="BO2839" s="237" t="s">
        <v>352</v>
      </c>
      <c r="BT2839" s="347">
        <v>9503.02</v>
      </c>
      <c r="BU2839" s="347" t="s">
        <v>374</v>
      </c>
      <c r="CD2839" s="237">
        <v>169.09</v>
      </c>
      <c r="CE2839" s="237" t="s">
        <v>359</v>
      </c>
      <c r="CJ2839" s="347">
        <v>9117.0400000000009</v>
      </c>
      <c r="CK2839" s="347" t="s">
        <v>372</v>
      </c>
      <c r="CL2839" s="1789"/>
      <c r="CR2839" s="345"/>
      <c r="CS2839" s="345"/>
      <c r="CX2839" s="347"/>
      <c r="CY2839" s="347"/>
      <c r="DH2839" s="237"/>
      <c r="DI2839" s="237"/>
      <c r="DN2839" s="347"/>
      <c r="DO2839" s="347"/>
      <c r="DP2839" s="2505"/>
    </row>
    <row r="2840" spans="30:120">
      <c r="AD2840" s="1138"/>
      <c r="AP2840" s="347">
        <v>9503.02</v>
      </c>
      <c r="AQ2840" s="347" t="s">
        <v>374</v>
      </c>
      <c r="BF2840" s="347">
        <v>9502.01</v>
      </c>
      <c r="BG2840" s="347" t="s">
        <v>329</v>
      </c>
      <c r="BH2840" s="1790"/>
      <c r="BN2840" s="237">
        <v>100.15</v>
      </c>
      <c r="BO2840" s="237" t="s">
        <v>352</v>
      </c>
      <c r="BT2840" s="347">
        <v>9504.01</v>
      </c>
      <c r="BU2840" s="347" t="s">
        <v>374</v>
      </c>
      <c r="CD2840" s="237">
        <v>169.1</v>
      </c>
      <c r="CE2840" s="237" t="s">
        <v>359</v>
      </c>
      <c r="CJ2840" s="347">
        <v>9501</v>
      </c>
      <c r="CK2840" s="347" t="s">
        <v>347</v>
      </c>
      <c r="CL2840" s="1789"/>
      <c r="CR2840" s="345"/>
      <c r="CS2840" s="345"/>
      <c r="CX2840" s="347"/>
      <c r="CY2840" s="347"/>
      <c r="DH2840" s="237"/>
      <c r="DI2840" s="237"/>
      <c r="DN2840" s="347"/>
      <c r="DO2840" s="347"/>
      <c r="DP2840" s="2505"/>
    </row>
    <row r="2841" spans="30:120">
      <c r="AD2841" s="1138"/>
      <c r="AP2841" s="347">
        <v>9504.01</v>
      </c>
      <c r="AQ2841" s="347" t="s">
        <v>374</v>
      </c>
      <c r="BF2841" s="347">
        <v>9502.01</v>
      </c>
      <c r="BG2841" s="347" t="s">
        <v>347</v>
      </c>
      <c r="BH2841" s="1790"/>
      <c r="BN2841" s="237">
        <v>100.16</v>
      </c>
      <c r="BO2841" s="237" t="s">
        <v>352</v>
      </c>
      <c r="BT2841" s="347">
        <v>9601</v>
      </c>
      <c r="BU2841" s="347" t="s">
        <v>375</v>
      </c>
      <c r="CD2841" s="237">
        <v>169.11</v>
      </c>
      <c r="CE2841" s="237" t="s">
        <v>359</v>
      </c>
      <c r="CJ2841" s="347">
        <v>9501</v>
      </c>
      <c r="CK2841" s="347" t="s">
        <v>366</v>
      </c>
      <c r="CL2841" s="1789"/>
      <c r="CR2841" s="345"/>
      <c r="CS2841" s="345"/>
      <c r="CX2841" s="347"/>
      <c r="CY2841" s="347"/>
      <c r="DH2841" s="237"/>
      <c r="DI2841" s="237"/>
      <c r="DN2841" s="347"/>
      <c r="DO2841" s="347"/>
      <c r="DP2841" s="2505"/>
    </row>
    <row r="2842" spans="30:120">
      <c r="AD2842" s="1138"/>
      <c r="AP2842" s="347">
        <v>9504.02</v>
      </c>
      <c r="AQ2842" s="347" t="s">
        <v>374</v>
      </c>
      <c r="BF2842" s="347">
        <v>9502.02</v>
      </c>
      <c r="BG2842" s="347" t="s">
        <v>329</v>
      </c>
      <c r="BH2842" s="1790"/>
      <c r="BN2842" s="237">
        <v>100.17</v>
      </c>
      <c r="BO2842" s="237" t="s">
        <v>352</v>
      </c>
      <c r="BT2842" s="347">
        <v>9602.02</v>
      </c>
      <c r="BU2842" s="347" t="s">
        <v>375</v>
      </c>
      <c r="CD2842" s="237">
        <v>170</v>
      </c>
      <c r="CE2842" s="237" t="s">
        <v>352</v>
      </c>
      <c r="CJ2842" s="347">
        <v>9501</v>
      </c>
      <c r="CK2842" s="347" t="s">
        <v>374</v>
      </c>
      <c r="CL2842" s="1789"/>
      <c r="CR2842" s="345"/>
      <c r="CS2842" s="345"/>
      <c r="CX2842" s="347"/>
      <c r="CY2842" s="347"/>
      <c r="DH2842" s="237"/>
      <c r="DI2842" s="237"/>
      <c r="DN2842" s="347"/>
      <c r="DO2842" s="347"/>
      <c r="DP2842" s="2505"/>
    </row>
    <row r="2843" spans="30:120">
      <c r="AD2843" s="1138"/>
      <c r="AP2843" s="347">
        <v>9602.01</v>
      </c>
      <c r="AQ2843" s="347" t="s">
        <v>375</v>
      </c>
      <c r="BF2843" s="347">
        <v>9502.02</v>
      </c>
      <c r="BG2843" s="347" t="s">
        <v>347</v>
      </c>
      <c r="BH2843" s="1790"/>
      <c r="BN2843" s="237">
        <v>100.18</v>
      </c>
      <c r="BO2843" s="237" t="s">
        <v>352</v>
      </c>
      <c r="BT2843" s="347">
        <v>9603</v>
      </c>
      <c r="BU2843" s="347" t="s">
        <v>375</v>
      </c>
      <c r="CD2843" s="237">
        <v>170.01</v>
      </c>
      <c r="CE2843" s="237" t="s">
        <v>359</v>
      </c>
      <c r="CJ2843" s="347">
        <v>9501.02</v>
      </c>
      <c r="CK2843" s="347" t="s">
        <v>378</v>
      </c>
      <c r="CL2843" s="1789"/>
      <c r="CR2843" s="345"/>
      <c r="CS2843" s="345"/>
      <c r="CX2843" s="347"/>
      <c r="CY2843" s="347"/>
      <c r="DH2843" s="237"/>
      <c r="DI2843" s="237"/>
      <c r="DN2843" s="347"/>
      <c r="DO2843" s="347"/>
      <c r="DP2843" s="2505"/>
    </row>
    <row r="2844" spans="30:120">
      <c r="AD2844" s="1138"/>
      <c r="AP2844" s="347">
        <v>9602.02</v>
      </c>
      <c r="AQ2844" s="347" t="s">
        <v>375</v>
      </c>
      <c r="BF2844" s="347">
        <v>9502.02</v>
      </c>
      <c r="BG2844" s="347" t="s">
        <v>374</v>
      </c>
      <c r="BH2844" s="1790"/>
      <c r="BN2844" s="237">
        <v>100.19</v>
      </c>
      <c r="BO2844" s="237" t="s">
        <v>352</v>
      </c>
      <c r="BT2844" s="347">
        <v>801.01</v>
      </c>
      <c r="BU2844" s="347" t="s">
        <v>376</v>
      </c>
      <c r="CD2844" s="237">
        <v>170.04</v>
      </c>
      <c r="CE2844" s="237" t="s">
        <v>359</v>
      </c>
      <c r="CJ2844" s="347">
        <v>9502.01</v>
      </c>
      <c r="CK2844" s="347" t="s">
        <v>329</v>
      </c>
      <c r="CL2844" s="1789"/>
      <c r="CR2844" s="345"/>
      <c r="CS2844" s="345"/>
      <c r="CX2844" s="347"/>
      <c r="CY2844" s="347"/>
      <c r="DH2844" s="237"/>
      <c r="DI2844" s="237"/>
      <c r="DN2844" s="347"/>
      <c r="DO2844" s="347"/>
      <c r="DP2844" s="2505"/>
    </row>
    <row r="2845" spans="30:120">
      <c r="AD2845" s="1138"/>
      <c r="AP2845" s="347">
        <v>9603</v>
      </c>
      <c r="AQ2845" s="347" t="s">
        <v>375</v>
      </c>
      <c r="BF2845" s="347">
        <v>9502.0300000000007</v>
      </c>
      <c r="BG2845" s="347" t="s">
        <v>329</v>
      </c>
      <c r="BH2845" s="1790"/>
      <c r="BN2845" s="237">
        <v>100.2</v>
      </c>
      <c r="BO2845" s="237" t="s">
        <v>352</v>
      </c>
      <c r="BT2845" s="347">
        <v>801.02</v>
      </c>
      <c r="BU2845" s="347" t="s">
        <v>376</v>
      </c>
      <c r="CD2845" s="237">
        <v>170.06</v>
      </c>
      <c r="CE2845" s="237" t="s">
        <v>359</v>
      </c>
      <c r="CJ2845" s="347">
        <v>9502.01</v>
      </c>
      <c r="CK2845" s="347" t="s">
        <v>347</v>
      </c>
      <c r="CL2845" s="1789"/>
      <c r="CR2845" s="345"/>
      <c r="CS2845" s="345"/>
      <c r="CX2845" s="347"/>
      <c r="CY2845" s="347"/>
      <c r="DH2845" s="237"/>
      <c r="DI2845" s="237"/>
      <c r="DN2845" s="347"/>
      <c r="DO2845" s="347"/>
      <c r="DP2845" s="2505"/>
    </row>
    <row r="2846" spans="30:120">
      <c r="AD2846" s="1138"/>
      <c r="AP2846" s="347">
        <v>801.01</v>
      </c>
      <c r="AQ2846" s="347" t="s">
        <v>376</v>
      </c>
      <c r="BF2846" s="347">
        <v>9503</v>
      </c>
      <c r="BG2846" s="347" t="s">
        <v>366</v>
      </c>
      <c r="BH2846" s="1790"/>
      <c r="BN2846" s="237">
        <v>100.21</v>
      </c>
      <c r="BO2846" s="237" t="s">
        <v>352</v>
      </c>
      <c r="BT2846" s="347">
        <v>802.01</v>
      </c>
      <c r="BU2846" s="347" t="s">
        <v>376</v>
      </c>
      <c r="CD2846" s="237">
        <v>170.11</v>
      </c>
      <c r="CE2846" s="237" t="s">
        <v>359</v>
      </c>
      <c r="CJ2846" s="347">
        <v>9502.01</v>
      </c>
      <c r="CK2846" s="347" t="s">
        <v>366</v>
      </c>
      <c r="CL2846" s="1789"/>
      <c r="CR2846" s="345"/>
      <c r="CS2846" s="345"/>
      <c r="CX2846" s="347"/>
      <c r="CY2846" s="347"/>
      <c r="DH2846" s="237"/>
      <c r="DI2846" s="237"/>
      <c r="DN2846" s="347"/>
      <c r="DO2846" s="347"/>
      <c r="DP2846" s="2505"/>
    </row>
    <row r="2847" spans="30:120">
      <c r="AD2847" s="1138"/>
      <c r="AP2847" s="347">
        <v>801.02</v>
      </c>
      <c r="AQ2847" s="347" t="s">
        <v>376</v>
      </c>
      <c r="BF2847" s="347">
        <v>9503.02</v>
      </c>
      <c r="BG2847" s="347" t="s">
        <v>374</v>
      </c>
      <c r="BH2847" s="1790"/>
      <c r="BN2847" s="237">
        <v>100.22</v>
      </c>
      <c r="BO2847" s="237" t="s">
        <v>352</v>
      </c>
      <c r="BT2847" s="347">
        <v>802.02</v>
      </c>
      <c r="BU2847" s="347" t="s">
        <v>376</v>
      </c>
      <c r="CD2847" s="237">
        <v>170.12</v>
      </c>
      <c r="CE2847" s="237" t="s">
        <v>359</v>
      </c>
      <c r="CJ2847" s="347">
        <v>9502.02</v>
      </c>
      <c r="CK2847" s="347" t="s">
        <v>329</v>
      </c>
      <c r="CL2847" s="1789"/>
      <c r="CR2847" s="345"/>
      <c r="CS2847" s="345"/>
      <c r="CX2847" s="347"/>
      <c r="CY2847" s="347"/>
      <c r="DH2847" s="237"/>
      <c r="DI2847" s="237"/>
      <c r="DN2847" s="347"/>
      <c r="DO2847" s="347"/>
      <c r="DP2847" s="2505"/>
    </row>
    <row r="2848" spans="30:120">
      <c r="AD2848" s="1138"/>
      <c r="AP2848" s="347">
        <v>802.01</v>
      </c>
      <c r="AQ2848" s="347" t="s">
        <v>376</v>
      </c>
      <c r="BF2848" s="347">
        <v>9503.0300000000007</v>
      </c>
      <c r="BG2848" s="347" t="s">
        <v>378</v>
      </c>
      <c r="BH2848" s="1790"/>
      <c r="BN2848" s="237">
        <v>100.23</v>
      </c>
      <c r="BO2848" s="237" t="s">
        <v>352</v>
      </c>
      <c r="BT2848" s="347">
        <v>804</v>
      </c>
      <c r="BU2848" s="347" t="s">
        <v>376</v>
      </c>
      <c r="CD2848" s="237">
        <v>170.13</v>
      </c>
      <c r="CE2848" s="237" t="s">
        <v>359</v>
      </c>
      <c r="CJ2848" s="347">
        <v>9502.02</v>
      </c>
      <c r="CK2848" s="347" t="s">
        <v>374</v>
      </c>
      <c r="CL2848" s="1789"/>
      <c r="CR2848" s="345"/>
      <c r="CS2848" s="345"/>
      <c r="CX2848" s="347"/>
      <c r="CY2848" s="347"/>
      <c r="DH2848" s="237"/>
      <c r="DI2848" s="237"/>
      <c r="DN2848" s="347"/>
      <c r="DO2848" s="347"/>
      <c r="DP2848" s="2505"/>
    </row>
    <row r="2849" spans="30:120">
      <c r="AD2849" s="1138"/>
      <c r="AP2849" s="347">
        <v>802.02</v>
      </c>
      <c r="AQ2849" s="347" t="s">
        <v>376</v>
      </c>
      <c r="BF2849" s="347">
        <v>9503.06</v>
      </c>
      <c r="BG2849" s="347" t="s">
        <v>378</v>
      </c>
      <c r="BH2849" s="1790"/>
      <c r="BN2849" s="237">
        <v>100.24</v>
      </c>
      <c r="BO2849" s="237" t="s">
        <v>352</v>
      </c>
      <c r="BT2849" s="347">
        <v>805</v>
      </c>
      <c r="BU2849" s="347" t="s">
        <v>376</v>
      </c>
      <c r="CD2849" s="237">
        <v>170.15</v>
      </c>
      <c r="CE2849" s="237" t="s">
        <v>359</v>
      </c>
      <c r="CJ2849" s="347">
        <v>9502.0300000000007</v>
      </c>
      <c r="CK2849" s="347" t="s">
        <v>329</v>
      </c>
      <c r="CL2849" s="1789"/>
      <c r="CR2849" s="345"/>
      <c r="CS2849" s="345"/>
      <c r="CX2849" s="347"/>
      <c r="CY2849" s="347"/>
      <c r="DH2849" s="237"/>
      <c r="DI2849" s="237"/>
      <c r="DN2849" s="347"/>
      <c r="DO2849" s="347"/>
      <c r="DP2849" s="2505"/>
    </row>
    <row r="2850" spans="30:120">
      <c r="AD2850" s="1138"/>
      <c r="AP2850" s="347">
        <v>804</v>
      </c>
      <c r="AQ2850" s="347" t="s">
        <v>376</v>
      </c>
      <c r="BF2850" s="347">
        <v>9504</v>
      </c>
      <c r="BG2850" s="347" t="s">
        <v>366</v>
      </c>
      <c r="BH2850" s="1790"/>
      <c r="BN2850" s="237">
        <v>100.25</v>
      </c>
      <c r="BO2850" s="237" t="s">
        <v>352</v>
      </c>
      <c r="BT2850" s="347">
        <v>807</v>
      </c>
      <c r="BU2850" s="347" t="s">
        <v>376</v>
      </c>
      <c r="CD2850" s="237">
        <v>170.18</v>
      </c>
      <c r="CE2850" s="237" t="s">
        <v>359</v>
      </c>
      <c r="CJ2850" s="347">
        <v>9503</v>
      </c>
      <c r="CK2850" s="347" t="s">
        <v>366</v>
      </c>
      <c r="CL2850" s="1789"/>
      <c r="CR2850" s="345"/>
      <c r="CS2850" s="345"/>
      <c r="CX2850" s="347"/>
      <c r="CY2850" s="347"/>
      <c r="DH2850" s="237"/>
      <c r="DI2850" s="237"/>
      <c r="DN2850" s="347"/>
      <c r="DO2850" s="347"/>
      <c r="DP2850" s="2505"/>
    </row>
    <row r="2851" spans="30:120">
      <c r="AD2851" s="1138"/>
      <c r="AP2851" s="347">
        <v>805</v>
      </c>
      <c r="AQ2851" s="347" t="s">
        <v>376</v>
      </c>
      <c r="BF2851" s="347">
        <v>9504.01</v>
      </c>
      <c r="BG2851" s="347" t="s">
        <v>374</v>
      </c>
      <c r="BH2851" s="1790"/>
      <c r="BN2851" s="237">
        <v>100.26</v>
      </c>
      <c r="BO2851" s="237" t="s">
        <v>352</v>
      </c>
      <c r="BT2851" s="347">
        <v>808.03</v>
      </c>
      <c r="BU2851" s="347" t="s">
        <v>376</v>
      </c>
      <c r="CD2851" s="237">
        <v>170.19</v>
      </c>
      <c r="CE2851" s="237" t="s">
        <v>359</v>
      </c>
      <c r="CJ2851" s="347">
        <v>9503.02</v>
      </c>
      <c r="CK2851" s="347" t="s">
        <v>374</v>
      </c>
      <c r="CL2851" s="1789"/>
      <c r="CR2851" s="345"/>
      <c r="CS2851" s="345"/>
      <c r="CX2851" s="347"/>
      <c r="CY2851" s="347"/>
      <c r="DH2851" s="237"/>
      <c r="DI2851" s="237"/>
      <c r="DN2851" s="347"/>
      <c r="DO2851" s="347"/>
      <c r="DP2851" s="2505"/>
    </row>
    <row r="2852" spans="30:120">
      <c r="AD2852" s="1138"/>
      <c r="AP2852" s="347">
        <v>807</v>
      </c>
      <c r="AQ2852" s="347" t="s">
        <v>376</v>
      </c>
      <c r="BF2852" s="347">
        <v>9504.02</v>
      </c>
      <c r="BG2852" s="347" t="s">
        <v>374</v>
      </c>
      <c r="BH2852" s="1790"/>
      <c r="BN2852" s="237">
        <v>101.93</v>
      </c>
      <c r="BO2852" s="237" t="s">
        <v>352</v>
      </c>
      <c r="BT2852" s="347">
        <v>808.06</v>
      </c>
      <c r="BU2852" s="347" t="s">
        <v>376</v>
      </c>
      <c r="CD2852" s="237">
        <v>170.2</v>
      </c>
      <c r="CE2852" s="237" t="s">
        <v>359</v>
      </c>
      <c r="CJ2852" s="347">
        <v>9504</v>
      </c>
      <c r="CK2852" s="347" t="s">
        <v>366</v>
      </c>
      <c r="CL2852" s="1789"/>
      <c r="CR2852" s="345"/>
      <c r="CS2852" s="345"/>
      <c r="CX2852" s="347"/>
      <c r="CY2852" s="347"/>
      <c r="DH2852" s="237"/>
      <c r="DI2852" s="237"/>
      <c r="DN2852" s="347"/>
      <c r="DO2852" s="347"/>
      <c r="DP2852" s="2505"/>
    </row>
    <row r="2853" spans="30:120">
      <c r="AD2853" s="1138"/>
      <c r="AP2853" s="347">
        <v>808.03</v>
      </c>
      <c r="AQ2853" s="347" t="s">
        <v>376</v>
      </c>
      <c r="BF2853" s="347">
        <v>9505</v>
      </c>
      <c r="BG2853" s="347" t="s">
        <v>366</v>
      </c>
      <c r="BH2853" s="1790"/>
      <c r="BN2853" s="237">
        <v>101.98</v>
      </c>
      <c r="BO2853" s="237" t="s">
        <v>352</v>
      </c>
      <c r="BT2853" s="347">
        <v>808.07</v>
      </c>
      <c r="BU2853" s="347" t="s">
        <v>376</v>
      </c>
      <c r="CD2853" s="237">
        <v>170.21</v>
      </c>
      <c r="CE2853" s="237" t="s">
        <v>359</v>
      </c>
      <c r="CJ2853" s="347">
        <v>9504.01</v>
      </c>
      <c r="CK2853" s="347" t="s">
        <v>374</v>
      </c>
      <c r="CL2853" s="1789"/>
      <c r="CR2853" s="345"/>
      <c r="CS2853" s="345"/>
      <c r="CX2853" s="347"/>
      <c r="CY2853" s="347"/>
      <c r="DH2853" s="237"/>
      <c r="DI2853" s="237"/>
      <c r="DN2853" s="347"/>
      <c r="DO2853" s="347"/>
      <c r="DP2853" s="2505"/>
    </row>
    <row r="2854" spans="30:120">
      <c r="AD2854" s="1138"/>
      <c r="AP2854" s="347">
        <v>808.06</v>
      </c>
      <c r="AQ2854" s="347" t="s">
        <v>376</v>
      </c>
      <c r="BF2854" s="347">
        <v>9505.01</v>
      </c>
      <c r="BG2854" s="347" t="s">
        <v>378</v>
      </c>
      <c r="BH2854" s="1790"/>
      <c r="BN2854" s="237">
        <v>102.01</v>
      </c>
      <c r="BO2854" s="237" t="s">
        <v>352</v>
      </c>
      <c r="BT2854" s="347">
        <v>808.08</v>
      </c>
      <c r="BU2854" s="347" t="s">
        <v>376</v>
      </c>
      <c r="CD2854" s="237">
        <v>170.22</v>
      </c>
      <c r="CE2854" s="237" t="s">
        <v>359</v>
      </c>
      <c r="CJ2854" s="347">
        <v>9505</v>
      </c>
      <c r="CK2854" s="347" t="s">
        <v>366</v>
      </c>
      <c r="CL2854" s="1789"/>
      <c r="CR2854" s="345"/>
      <c r="CS2854" s="345"/>
      <c r="CX2854" s="347"/>
      <c r="CY2854" s="347"/>
      <c r="DH2854" s="237"/>
      <c r="DI2854" s="237"/>
      <c r="DN2854" s="347"/>
      <c r="DO2854" s="347"/>
      <c r="DP2854" s="2505"/>
    </row>
    <row r="2855" spans="30:120">
      <c r="AD2855" s="1138"/>
      <c r="AP2855" s="347">
        <v>808.07</v>
      </c>
      <c r="AQ2855" s="347" t="s">
        <v>376</v>
      </c>
      <c r="BF2855" s="347">
        <v>9505.02</v>
      </c>
      <c r="BG2855" s="347" t="s">
        <v>378</v>
      </c>
      <c r="BH2855" s="1790"/>
      <c r="BN2855" s="237">
        <v>102.05</v>
      </c>
      <c r="BO2855" s="237" t="s">
        <v>352</v>
      </c>
      <c r="BT2855" s="347">
        <v>811.01</v>
      </c>
      <c r="BU2855" s="347" t="s">
        <v>376</v>
      </c>
      <c r="CD2855" s="237">
        <v>170.23</v>
      </c>
      <c r="CE2855" s="237" t="s">
        <v>359</v>
      </c>
      <c r="CJ2855" s="347">
        <v>9505.02</v>
      </c>
      <c r="CK2855" s="347" t="s">
        <v>378</v>
      </c>
      <c r="CL2855" s="1789"/>
      <c r="CR2855" s="345"/>
      <c r="CS2855" s="345"/>
      <c r="CX2855" s="347"/>
      <c r="CY2855" s="347"/>
      <c r="DH2855" s="237"/>
      <c r="DI2855" s="237"/>
      <c r="DN2855" s="347"/>
      <c r="DO2855" s="347"/>
      <c r="DP2855" s="2505"/>
    </row>
    <row r="2856" spans="30:120">
      <c r="AD2856" s="1138"/>
      <c r="AP2856" s="347">
        <v>808.08</v>
      </c>
      <c r="AQ2856" s="347" t="s">
        <v>376</v>
      </c>
      <c r="BF2856" s="347">
        <v>9506</v>
      </c>
      <c r="BG2856" s="347" t="s">
        <v>366</v>
      </c>
      <c r="BH2856" s="1790"/>
      <c r="BN2856" s="237">
        <v>102.07</v>
      </c>
      <c r="BO2856" s="237" t="s">
        <v>352</v>
      </c>
      <c r="BT2856" s="347">
        <v>811.02</v>
      </c>
      <c r="BU2856" s="347" t="s">
        <v>376</v>
      </c>
      <c r="CD2856" s="237">
        <v>170.24</v>
      </c>
      <c r="CE2856" s="237" t="s">
        <v>359</v>
      </c>
      <c r="CJ2856" s="347">
        <v>9506</v>
      </c>
      <c r="CK2856" s="347" t="s">
        <v>366</v>
      </c>
      <c r="CL2856" s="1789"/>
      <c r="CR2856" s="345"/>
      <c r="CS2856" s="345"/>
      <c r="CX2856" s="347"/>
      <c r="CY2856" s="347"/>
      <c r="DH2856" s="237"/>
      <c r="DI2856" s="237"/>
      <c r="DN2856" s="347"/>
      <c r="DO2856" s="347"/>
      <c r="DP2856" s="2505"/>
    </row>
    <row r="2857" spans="30:120">
      <c r="AD2857" s="1138"/>
      <c r="AP2857" s="347">
        <v>811.02</v>
      </c>
      <c r="AQ2857" s="347" t="s">
        <v>376</v>
      </c>
      <c r="BF2857" s="347">
        <v>9506.0400000000009</v>
      </c>
      <c r="BG2857" s="347" t="s">
        <v>378</v>
      </c>
      <c r="BH2857" s="1790"/>
      <c r="BN2857" s="237">
        <v>102.08</v>
      </c>
      <c r="BO2857" s="237" t="s">
        <v>352</v>
      </c>
      <c r="BT2857" s="347">
        <v>823.03</v>
      </c>
      <c r="BU2857" s="347" t="s">
        <v>376</v>
      </c>
      <c r="CD2857" s="237">
        <v>170.25</v>
      </c>
      <c r="CE2857" s="237" t="s">
        <v>359</v>
      </c>
      <c r="CJ2857" s="347">
        <v>9506.0400000000009</v>
      </c>
      <c r="CK2857" s="347" t="s">
        <v>378</v>
      </c>
      <c r="CL2857" s="1789"/>
      <c r="CR2857" s="345"/>
      <c r="CS2857" s="345"/>
      <c r="CX2857" s="347"/>
      <c r="CY2857" s="347"/>
      <c r="DH2857" s="237"/>
      <c r="DI2857" s="237"/>
      <c r="DN2857" s="347"/>
      <c r="DO2857" s="347"/>
      <c r="DP2857" s="2505"/>
    </row>
    <row r="2858" spans="30:120">
      <c r="AD2858" s="1138"/>
      <c r="AP2858" s="347">
        <v>812.01</v>
      </c>
      <c r="AQ2858" s="347" t="s">
        <v>376</v>
      </c>
      <c r="BF2858" s="347">
        <v>9506.0499999999993</v>
      </c>
      <c r="BG2858" s="347" t="s">
        <v>378</v>
      </c>
      <c r="BH2858" s="1790"/>
      <c r="BN2858" s="237">
        <v>102.09</v>
      </c>
      <c r="BO2858" s="237" t="s">
        <v>352</v>
      </c>
      <c r="BT2858" s="347">
        <v>824.05</v>
      </c>
      <c r="BU2858" s="347" t="s">
        <v>376</v>
      </c>
      <c r="CD2858" s="237">
        <v>170.26</v>
      </c>
      <c r="CE2858" s="237" t="s">
        <v>359</v>
      </c>
      <c r="CJ2858" s="347">
        <v>9506.0499999999993</v>
      </c>
      <c r="CK2858" s="347" t="s">
        <v>378</v>
      </c>
      <c r="CL2858" s="1789"/>
      <c r="CR2858" s="345"/>
      <c r="CS2858" s="345"/>
      <c r="CX2858" s="347"/>
      <c r="CY2858" s="347"/>
      <c r="DH2858" s="237"/>
      <c r="DI2858" s="237"/>
      <c r="DN2858" s="347"/>
      <c r="DO2858" s="347"/>
      <c r="DP2858" s="2505"/>
    </row>
    <row r="2859" spans="30:120">
      <c r="AD2859" s="1138"/>
      <c r="AP2859" s="347">
        <v>813</v>
      </c>
      <c r="AQ2859" s="347" t="s">
        <v>376</v>
      </c>
      <c r="BF2859" s="347">
        <v>9506.06</v>
      </c>
      <c r="BG2859" s="347" t="s">
        <v>378</v>
      </c>
      <c r="BH2859" s="1790"/>
      <c r="BN2859" s="237">
        <v>102.11</v>
      </c>
      <c r="BO2859" s="237" t="s">
        <v>352</v>
      </c>
      <c r="BT2859" s="347">
        <v>824.06</v>
      </c>
      <c r="BU2859" s="347" t="s">
        <v>376</v>
      </c>
      <c r="CD2859" s="237">
        <v>171.01</v>
      </c>
      <c r="CE2859" s="237" t="s">
        <v>323</v>
      </c>
      <c r="CJ2859" s="347">
        <v>9506.06</v>
      </c>
      <c r="CK2859" s="347" t="s">
        <v>378</v>
      </c>
      <c r="CL2859" s="1789"/>
      <c r="CR2859" s="345"/>
      <c r="CS2859" s="345"/>
      <c r="CX2859" s="347"/>
      <c r="CY2859" s="347"/>
      <c r="DH2859" s="237"/>
      <c r="DI2859" s="237"/>
      <c r="DN2859" s="347"/>
      <c r="DO2859" s="347"/>
      <c r="DP2859" s="2505"/>
    </row>
    <row r="2860" spans="30:120">
      <c r="AD2860" s="1138"/>
      <c r="AP2860" s="347">
        <v>823.03</v>
      </c>
      <c r="AQ2860" s="347" t="s">
        <v>376</v>
      </c>
      <c r="BF2860" s="347">
        <v>9506.07</v>
      </c>
      <c r="BG2860" s="347" t="s">
        <v>378</v>
      </c>
      <c r="BH2860" s="1790"/>
      <c r="BN2860" s="237">
        <v>102.12</v>
      </c>
      <c r="BO2860" s="237" t="s">
        <v>352</v>
      </c>
      <c r="BT2860" s="347">
        <v>824.1</v>
      </c>
      <c r="BU2860" s="347" t="s">
        <v>376</v>
      </c>
      <c r="CD2860" s="237">
        <v>171.01</v>
      </c>
      <c r="CE2860" s="237" t="s">
        <v>352</v>
      </c>
      <c r="CJ2860" s="347">
        <v>9506.07</v>
      </c>
      <c r="CK2860" s="347" t="s">
        <v>378</v>
      </c>
      <c r="CL2860" s="1789"/>
      <c r="CR2860" s="345"/>
      <c r="CS2860" s="345"/>
      <c r="CX2860" s="347"/>
      <c r="CY2860" s="347"/>
      <c r="DH2860" s="237"/>
      <c r="DI2860" s="237"/>
      <c r="DN2860" s="347"/>
      <c r="DO2860" s="347"/>
      <c r="DP2860" s="2505"/>
    </row>
    <row r="2861" spans="30:120">
      <c r="AD2861" s="1138"/>
      <c r="AP2861" s="347">
        <v>824.05</v>
      </c>
      <c r="AQ2861" s="347" t="s">
        <v>376</v>
      </c>
      <c r="BF2861" s="347">
        <v>9506.08</v>
      </c>
      <c r="BG2861" s="347" t="s">
        <v>378</v>
      </c>
      <c r="BH2861" s="1790"/>
      <c r="BN2861" s="237">
        <v>102.13</v>
      </c>
      <c r="BO2861" s="237" t="s">
        <v>352</v>
      </c>
      <c r="BT2861" s="347">
        <v>824.12</v>
      </c>
      <c r="BU2861" s="347" t="s">
        <v>376</v>
      </c>
      <c r="CD2861" s="237">
        <v>171.02</v>
      </c>
      <c r="CE2861" s="237" t="s">
        <v>323</v>
      </c>
      <c r="CJ2861" s="347">
        <v>9506.08</v>
      </c>
      <c r="CK2861" s="347" t="s">
        <v>378</v>
      </c>
      <c r="CL2861" s="1789"/>
      <c r="CR2861" s="345"/>
      <c r="CS2861" s="345"/>
      <c r="CX2861" s="347"/>
      <c r="CY2861" s="347"/>
      <c r="DH2861" s="237"/>
      <c r="DI2861" s="237"/>
      <c r="DN2861" s="347"/>
      <c r="DO2861" s="347"/>
      <c r="DP2861" s="2505"/>
    </row>
    <row r="2862" spans="30:120">
      <c r="AD2862" s="1138"/>
      <c r="AP2862" s="347">
        <v>824.06</v>
      </c>
      <c r="AQ2862" s="347" t="s">
        <v>376</v>
      </c>
      <c r="BF2862" s="347">
        <v>9506.09</v>
      </c>
      <c r="BG2862" s="347" t="s">
        <v>378</v>
      </c>
      <c r="BH2862" s="1790"/>
      <c r="BN2862" s="237">
        <v>102.14</v>
      </c>
      <c r="BO2862" s="237" t="s">
        <v>352</v>
      </c>
      <c r="BT2862" s="347">
        <v>824.13</v>
      </c>
      <c r="BU2862" s="347" t="s">
        <v>376</v>
      </c>
      <c r="CD2862" s="237">
        <v>171.02</v>
      </c>
      <c r="CE2862" s="237" t="s">
        <v>352</v>
      </c>
      <c r="CJ2862" s="347">
        <v>9506.09</v>
      </c>
      <c r="CK2862" s="347" t="s">
        <v>378</v>
      </c>
      <c r="CL2862" s="1789"/>
      <c r="CR2862" s="345"/>
      <c r="CS2862" s="345"/>
      <c r="CX2862" s="347"/>
      <c r="CY2862" s="347"/>
      <c r="DH2862" s="237"/>
      <c r="DI2862" s="237"/>
      <c r="DN2862" s="347"/>
      <c r="DO2862" s="347"/>
      <c r="DP2862" s="2505"/>
    </row>
    <row r="2863" spans="30:120">
      <c r="AD2863" s="1138"/>
      <c r="AP2863" s="347">
        <v>824.1</v>
      </c>
      <c r="AQ2863" s="347" t="s">
        <v>376</v>
      </c>
      <c r="BF2863" s="347">
        <v>9506.1</v>
      </c>
      <c r="BG2863" s="347" t="s">
        <v>378</v>
      </c>
      <c r="BH2863" s="1790"/>
      <c r="BN2863" s="237">
        <v>103.01</v>
      </c>
      <c r="BO2863" s="237" t="s">
        <v>352</v>
      </c>
      <c r="BT2863" s="347">
        <v>825.03</v>
      </c>
      <c r="BU2863" s="347" t="s">
        <v>376</v>
      </c>
      <c r="CD2863" s="237">
        <v>171.08</v>
      </c>
      <c r="CE2863" s="237" t="s">
        <v>359</v>
      </c>
      <c r="CJ2863" s="347">
        <v>9506.1</v>
      </c>
      <c r="CK2863" s="347" t="s">
        <v>378</v>
      </c>
      <c r="CL2863" s="1789"/>
      <c r="CR2863" s="345"/>
      <c r="CS2863" s="345"/>
      <c r="CX2863" s="347"/>
      <c r="CY2863" s="347"/>
      <c r="DH2863" s="237"/>
      <c r="DI2863" s="237"/>
      <c r="DN2863" s="347"/>
      <c r="DO2863" s="347"/>
      <c r="DP2863" s="2505"/>
    </row>
    <row r="2864" spans="30:120">
      <c r="AD2864" s="1138"/>
      <c r="AP2864" s="347">
        <v>824.13</v>
      </c>
      <c r="AQ2864" s="347" t="s">
        <v>376</v>
      </c>
      <c r="BF2864" s="347">
        <v>9506.11</v>
      </c>
      <c r="BG2864" s="347" t="s">
        <v>378</v>
      </c>
      <c r="BH2864" s="1790"/>
      <c r="BN2864" s="237">
        <v>103.02</v>
      </c>
      <c r="BO2864" s="237" t="s">
        <v>352</v>
      </c>
      <c r="BT2864" s="347">
        <v>825.08</v>
      </c>
      <c r="BU2864" s="347" t="s">
        <v>376</v>
      </c>
      <c r="CD2864" s="237">
        <v>171.09</v>
      </c>
      <c r="CE2864" s="237" t="s">
        <v>359</v>
      </c>
      <c r="CJ2864" s="347">
        <v>9506.11</v>
      </c>
      <c r="CK2864" s="347" t="s">
        <v>378</v>
      </c>
      <c r="CL2864" s="1789"/>
      <c r="CR2864" s="345"/>
      <c r="CS2864" s="345"/>
      <c r="CX2864" s="347"/>
      <c r="CY2864" s="347"/>
      <c r="DH2864" s="237"/>
      <c r="DI2864" s="237"/>
      <c r="DN2864" s="347"/>
      <c r="DO2864" s="347"/>
      <c r="DP2864" s="2505"/>
    </row>
    <row r="2865" spans="30:120">
      <c r="AD2865" s="1138"/>
      <c r="AP2865" s="347">
        <v>825.08</v>
      </c>
      <c r="AQ2865" s="347" t="s">
        <v>376</v>
      </c>
      <c r="BF2865" s="347">
        <v>9509</v>
      </c>
      <c r="BG2865" s="347" t="s">
        <v>366</v>
      </c>
      <c r="BH2865" s="1790"/>
      <c r="BN2865" s="237">
        <v>103.03</v>
      </c>
      <c r="BO2865" s="237" t="s">
        <v>352</v>
      </c>
      <c r="BT2865" s="347">
        <v>825.09</v>
      </c>
      <c r="BU2865" s="347" t="s">
        <v>376</v>
      </c>
      <c r="CD2865" s="237">
        <v>171.1</v>
      </c>
      <c r="CE2865" s="237" t="s">
        <v>359</v>
      </c>
      <c r="CJ2865" s="347">
        <v>9510</v>
      </c>
      <c r="CK2865" s="347" t="s">
        <v>366</v>
      </c>
      <c r="CL2865" s="1789"/>
      <c r="CR2865" s="345"/>
      <c r="CS2865" s="345"/>
      <c r="CX2865" s="347"/>
      <c r="CY2865" s="347"/>
      <c r="DH2865" s="237"/>
      <c r="DI2865" s="237"/>
      <c r="DN2865" s="347"/>
      <c r="DO2865" s="347"/>
      <c r="DP2865" s="2505"/>
    </row>
    <row r="2866" spans="30:120">
      <c r="AD2866" s="1138"/>
      <c r="AP2866" s="347">
        <v>825.09</v>
      </c>
      <c r="AQ2866" s="347" t="s">
        <v>376</v>
      </c>
      <c r="BF2866" s="347">
        <v>9510</v>
      </c>
      <c r="BG2866" s="347" t="s">
        <v>366</v>
      </c>
      <c r="BH2866" s="1790"/>
      <c r="BN2866" s="237">
        <v>104</v>
      </c>
      <c r="BO2866" s="237" t="s">
        <v>352</v>
      </c>
      <c r="BT2866" s="347">
        <v>825.12</v>
      </c>
      <c r="BU2866" s="347" t="s">
        <v>376</v>
      </c>
      <c r="CD2866" s="237">
        <v>171.11</v>
      </c>
      <c r="CE2866" s="237" t="s">
        <v>359</v>
      </c>
      <c r="CJ2866" s="347">
        <v>9511</v>
      </c>
      <c r="CK2866" s="347" t="s">
        <v>366</v>
      </c>
      <c r="CL2866" s="1789"/>
      <c r="CR2866" s="345"/>
      <c r="CS2866" s="345"/>
      <c r="CX2866" s="347"/>
      <c r="CY2866" s="347"/>
      <c r="DH2866" s="237"/>
      <c r="DI2866" s="237"/>
      <c r="DN2866" s="347"/>
      <c r="DO2866" s="347"/>
      <c r="DP2866" s="2505"/>
    </row>
    <row r="2867" spans="30:120">
      <c r="AD2867" s="1138"/>
      <c r="AP2867" s="347">
        <v>825.12</v>
      </c>
      <c r="AQ2867" s="347" t="s">
        <v>376</v>
      </c>
      <c r="BF2867" s="347">
        <v>9511</v>
      </c>
      <c r="BG2867" s="347" t="s">
        <v>366</v>
      </c>
      <c r="BH2867" s="1790"/>
      <c r="BN2867" s="237">
        <v>105.01</v>
      </c>
      <c r="BO2867" s="237" t="s">
        <v>352</v>
      </c>
      <c r="BT2867" s="347">
        <v>826.04</v>
      </c>
      <c r="BU2867" s="347" t="s">
        <v>376</v>
      </c>
      <c r="CD2867" s="237">
        <v>171.12</v>
      </c>
      <c r="CE2867" s="237" t="s">
        <v>359</v>
      </c>
      <c r="CJ2867" s="347">
        <v>9513</v>
      </c>
      <c r="CK2867" s="347" t="s">
        <v>366</v>
      </c>
      <c r="CL2867" s="1789"/>
      <c r="CR2867" s="345"/>
      <c r="CS2867" s="345"/>
      <c r="CX2867" s="347"/>
      <c r="CY2867" s="347"/>
      <c r="DH2867" s="237"/>
      <c r="DI2867" s="237"/>
      <c r="DN2867" s="347"/>
      <c r="DO2867" s="347"/>
      <c r="DP2867" s="2505"/>
    </row>
    <row r="2868" spans="30:120">
      <c r="AD2868" s="1138"/>
      <c r="AP2868" s="347">
        <v>826.05</v>
      </c>
      <c r="AQ2868" s="347" t="s">
        <v>376</v>
      </c>
      <c r="BF2868" s="347">
        <v>9513</v>
      </c>
      <c r="BG2868" s="347" t="s">
        <v>366</v>
      </c>
      <c r="BH2868" s="1790"/>
      <c r="BN2868" s="237">
        <v>105.02</v>
      </c>
      <c r="BO2868" s="237" t="s">
        <v>352</v>
      </c>
      <c r="BT2868" s="347">
        <v>826.05</v>
      </c>
      <c r="BU2868" s="347" t="s">
        <v>376</v>
      </c>
      <c r="CD2868" s="237">
        <v>171.13</v>
      </c>
      <c r="CE2868" s="237" t="s">
        <v>359</v>
      </c>
      <c r="CJ2868" s="347">
        <v>9601</v>
      </c>
      <c r="CK2868" s="347" t="s">
        <v>338</v>
      </c>
      <c r="CL2868" s="1789"/>
      <c r="CR2868" s="345"/>
      <c r="CS2868" s="345"/>
      <c r="CX2868" s="347"/>
      <c r="CY2868" s="347"/>
      <c r="DH2868" s="237"/>
      <c r="DI2868" s="237"/>
      <c r="DN2868" s="347"/>
      <c r="DO2868" s="347"/>
      <c r="DP2868" s="2505"/>
    </row>
    <row r="2869" spans="30:120">
      <c r="AD2869" s="1138"/>
      <c r="AP2869" s="347">
        <v>826.06</v>
      </c>
      <c r="AQ2869" s="347" t="s">
        <v>376</v>
      </c>
      <c r="BF2869" s="347">
        <v>9601</v>
      </c>
      <c r="BG2869" s="347" t="s">
        <v>338</v>
      </c>
      <c r="BH2869" s="1790"/>
      <c r="BN2869" s="237">
        <v>106.04</v>
      </c>
      <c r="BO2869" s="237" t="s">
        <v>352</v>
      </c>
      <c r="BT2869" s="347">
        <v>826.06</v>
      </c>
      <c r="BU2869" s="347" t="s">
        <v>376</v>
      </c>
      <c r="CD2869" s="237">
        <v>171.14</v>
      </c>
      <c r="CE2869" s="237" t="s">
        <v>359</v>
      </c>
      <c r="CJ2869" s="347">
        <v>9601</v>
      </c>
      <c r="CK2869" s="347" t="s">
        <v>375</v>
      </c>
      <c r="CL2869" s="1789"/>
      <c r="CR2869" s="345"/>
      <c r="CS2869" s="345"/>
      <c r="CX2869" s="347"/>
      <c r="CY2869" s="347"/>
      <c r="DH2869" s="237"/>
      <c r="DI2869" s="237"/>
      <c r="DN2869" s="347"/>
      <c r="DO2869" s="347"/>
      <c r="DP2869" s="2505"/>
    </row>
    <row r="2870" spans="30:120">
      <c r="AD2870" s="1138"/>
      <c r="AP2870" s="347">
        <v>826.07</v>
      </c>
      <c r="AQ2870" s="347" t="s">
        <v>376</v>
      </c>
      <c r="BF2870" s="347">
        <v>9601.01</v>
      </c>
      <c r="BG2870" s="347" t="s">
        <v>331</v>
      </c>
      <c r="BH2870" s="1790"/>
      <c r="BN2870" s="237">
        <v>106.08</v>
      </c>
      <c r="BO2870" s="237" t="s">
        <v>352</v>
      </c>
      <c r="BT2870" s="347">
        <v>826.07</v>
      </c>
      <c r="BU2870" s="347" t="s">
        <v>376</v>
      </c>
      <c r="CD2870" s="237">
        <v>171.15</v>
      </c>
      <c r="CE2870" s="237" t="s">
        <v>359</v>
      </c>
      <c r="CJ2870" s="347">
        <v>9601.01</v>
      </c>
      <c r="CK2870" s="347" t="s">
        <v>336</v>
      </c>
      <c r="CL2870" s="1789"/>
      <c r="CR2870" s="345"/>
      <c r="CS2870" s="345"/>
      <c r="CX2870" s="347"/>
      <c r="CY2870" s="347"/>
      <c r="DH2870" s="237"/>
      <c r="DI2870" s="237"/>
      <c r="DN2870" s="347"/>
      <c r="DO2870" s="347"/>
      <c r="DP2870" s="2505"/>
    </row>
    <row r="2871" spans="30:120">
      <c r="AD2871" s="1138"/>
      <c r="AP2871" s="347">
        <v>827.01</v>
      </c>
      <c r="AQ2871" s="347" t="s">
        <v>376</v>
      </c>
      <c r="BF2871" s="347">
        <v>9601.01</v>
      </c>
      <c r="BG2871" s="347" t="s">
        <v>336</v>
      </c>
      <c r="BH2871" s="1790"/>
      <c r="BN2871" s="237">
        <v>106.09</v>
      </c>
      <c r="BO2871" s="237" t="s">
        <v>352</v>
      </c>
      <c r="BT2871" s="347">
        <v>827.01</v>
      </c>
      <c r="BU2871" s="347" t="s">
        <v>376</v>
      </c>
      <c r="CD2871" s="237">
        <v>171.16</v>
      </c>
      <c r="CE2871" s="237" t="s">
        <v>359</v>
      </c>
      <c r="CJ2871" s="347">
        <v>9601.02</v>
      </c>
      <c r="CK2871" s="347" t="s">
        <v>332</v>
      </c>
      <c r="CL2871" s="1789"/>
      <c r="CR2871" s="345"/>
      <c r="CS2871" s="345"/>
      <c r="CX2871" s="347"/>
      <c r="CY2871" s="347"/>
      <c r="DH2871" s="237"/>
      <c r="DI2871" s="237"/>
      <c r="DN2871" s="347"/>
      <c r="DO2871" s="347"/>
      <c r="DP2871" s="2505"/>
    </row>
    <row r="2872" spans="30:120">
      <c r="AD2872" s="1138"/>
      <c r="AP2872" s="347">
        <v>827.03</v>
      </c>
      <c r="AQ2872" s="347" t="s">
        <v>376</v>
      </c>
      <c r="BF2872" s="347">
        <v>9601.02</v>
      </c>
      <c r="BG2872" s="347" t="s">
        <v>332</v>
      </c>
      <c r="BH2872" s="1790"/>
      <c r="BN2872" s="237">
        <v>106.1</v>
      </c>
      <c r="BO2872" s="237" t="s">
        <v>352</v>
      </c>
      <c r="BT2872" s="347">
        <v>827.03</v>
      </c>
      <c r="BU2872" s="347" t="s">
        <v>376</v>
      </c>
      <c r="CD2872" s="237">
        <v>171.17</v>
      </c>
      <c r="CE2872" s="237" t="s">
        <v>359</v>
      </c>
      <c r="CJ2872" s="347">
        <v>9601.02</v>
      </c>
      <c r="CK2872" s="347" t="s">
        <v>336</v>
      </c>
      <c r="CL2872" s="1789"/>
      <c r="CR2872" s="345"/>
      <c r="CS2872" s="345"/>
      <c r="CX2872" s="347"/>
      <c r="CY2872" s="347"/>
      <c r="DH2872" s="237"/>
      <c r="DI2872" s="237"/>
      <c r="DN2872" s="347"/>
      <c r="DO2872" s="347"/>
      <c r="DP2872" s="2505"/>
    </row>
    <row r="2873" spans="30:120">
      <c r="AD2873" s="1138"/>
      <c r="AP2873" s="347">
        <v>827.04</v>
      </c>
      <c r="AQ2873" s="347" t="s">
        <v>376</v>
      </c>
      <c r="BF2873" s="347">
        <v>9601.02</v>
      </c>
      <c r="BG2873" s="347" t="s">
        <v>336</v>
      </c>
      <c r="BH2873" s="1790"/>
      <c r="BN2873" s="237">
        <v>106.13</v>
      </c>
      <c r="BO2873" s="237" t="s">
        <v>352</v>
      </c>
      <c r="BT2873" s="347">
        <v>827.04</v>
      </c>
      <c r="BU2873" s="347" t="s">
        <v>376</v>
      </c>
      <c r="CD2873" s="237">
        <v>171.18</v>
      </c>
      <c r="CE2873" s="237" t="s">
        <v>359</v>
      </c>
      <c r="CJ2873" s="347">
        <v>9601.0400000000009</v>
      </c>
      <c r="CK2873" s="347" t="s">
        <v>336</v>
      </c>
      <c r="CL2873" s="1789"/>
      <c r="CR2873" s="345"/>
      <c r="CS2873" s="345"/>
      <c r="CX2873" s="347"/>
      <c r="CY2873" s="347"/>
      <c r="DH2873" s="237"/>
      <c r="DI2873" s="237"/>
      <c r="DN2873" s="347"/>
      <c r="DO2873" s="347"/>
      <c r="DP2873" s="2505"/>
    </row>
    <row r="2874" spans="30:120">
      <c r="AD2874" s="1138"/>
      <c r="AP2874" s="347">
        <v>827.05</v>
      </c>
      <c r="AQ2874" s="347" t="s">
        <v>376</v>
      </c>
      <c r="BF2874" s="347">
        <v>9601.0400000000009</v>
      </c>
      <c r="BG2874" s="347" t="s">
        <v>336</v>
      </c>
      <c r="BH2874" s="1790"/>
      <c r="BN2874" s="237">
        <v>106.18</v>
      </c>
      <c r="BO2874" s="237" t="s">
        <v>352</v>
      </c>
      <c r="BT2874" s="347">
        <v>827.05</v>
      </c>
      <c r="BU2874" s="347" t="s">
        <v>376</v>
      </c>
      <c r="CD2874" s="237">
        <v>171.19</v>
      </c>
      <c r="CE2874" s="237" t="s">
        <v>359</v>
      </c>
      <c r="CJ2874" s="347">
        <v>9602</v>
      </c>
      <c r="CK2874" s="347" t="s">
        <v>331</v>
      </c>
      <c r="CL2874" s="1789"/>
      <c r="CR2874" s="345"/>
      <c r="CS2874" s="345"/>
      <c r="CX2874" s="347"/>
      <c r="CY2874" s="347"/>
      <c r="DH2874" s="237"/>
      <c r="DI2874" s="237"/>
      <c r="DN2874" s="347"/>
      <c r="DO2874" s="347"/>
      <c r="DP2874" s="2505"/>
    </row>
    <row r="2875" spans="30:120">
      <c r="AD2875" s="1138"/>
      <c r="AP2875" s="347">
        <v>828.01</v>
      </c>
      <c r="AQ2875" s="347" t="s">
        <v>376</v>
      </c>
      <c r="BF2875" s="347">
        <v>9601.0499999999993</v>
      </c>
      <c r="BG2875" s="347" t="s">
        <v>336</v>
      </c>
      <c r="BH2875" s="1790"/>
      <c r="BN2875" s="237">
        <v>106.19</v>
      </c>
      <c r="BO2875" s="237" t="s">
        <v>352</v>
      </c>
      <c r="BT2875" s="347">
        <v>828.01</v>
      </c>
      <c r="BU2875" s="347" t="s">
        <v>376</v>
      </c>
      <c r="CD2875" s="237">
        <v>171.2</v>
      </c>
      <c r="CE2875" s="237" t="s">
        <v>359</v>
      </c>
      <c r="CJ2875" s="347">
        <v>9602.01</v>
      </c>
      <c r="CK2875" s="347" t="s">
        <v>338</v>
      </c>
      <c r="CL2875" s="1789"/>
      <c r="CR2875" s="345"/>
      <c r="CS2875" s="345"/>
      <c r="CX2875" s="347"/>
      <c r="CY2875" s="347"/>
      <c r="DH2875" s="237"/>
      <c r="DI2875" s="237"/>
      <c r="DN2875" s="347"/>
      <c r="DO2875" s="347"/>
      <c r="DP2875" s="2505"/>
    </row>
    <row r="2876" spans="30:120">
      <c r="AD2876" s="1138"/>
      <c r="AP2876" s="347">
        <v>828.02</v>
      </c>
      <c r="AQ2876" s="347" t="s">
        <v>376</v>
      </c>
      <c r="BF2876" s="347">
        <v>9602</v>
      </c>
      <c r="BG2876" s="347" t="s">
        <v>331</v>
      </c>
      <c r="BH2876" s="1790"/>
      <c r="BN2876" s="237">
        <v>106.2</v>
      </c>
      <c r="BO2876" s="237" t="s">
        <v>352</v>
      </c>
      <c r="BT2876" s="347">
        <v>828.02</v>
      </c>
      <c r="BU2876" s="347" t="s">
        <v>376</v>
      </c>
      <c r="CD2876" s="237">
        <v>171.21</v>
      </c>
      <c r="CE2876" s="237" t="s">
        <v>359</v>
      </c>
      <c r="CJ2876" s="347">
        <v>9602.02</v>
      </c>
      <c r="CK2876" s="347" t="s">
        <v>342</v>
      </c>
      <c r="CL2876" s="1789"/>
      <c r="CR2876" s="345"/>
      <c r="CS2876" s="345"/>
      <c r="CX2876" s="347"/>
      <c r="CY2876" s="347"/>
      <c r="DH2876" s="237"/>
      <c r="DI2876" s="237"/>
      <c r="DN2876" s="347"/>
      <c r="DO2876" s="347"/>
      <c r="DP2876" s="2505"/>
    </row>
    <row r="2877" spans="30:120">
      <c r="AD2877" s="1138"/>
      <c r="AP2877" s="347">
        <v>829.03</v>
      </c>
      <c r="AQ2877" s="347" t="s">
        <v>376</v>
      </c>
      <c r="BF2877" s="347">
        <v>9602.01</v>
      </c>
      <c r="BG2877" s="347" t="s">
        <v>338</v>
      </c>
      <c r="BH2877" s="1790"/>
      <c r="BN2877" s="237">
        <v>106.21</v>
      </c>
      <c r="BO2877" s="237" t="s">
        <v>352</v>
      </c>
      <c r="BT2877" s="347">
        <v>829.03</v>
      </c>
      <c r="BU2877" s="347" t="s">
        <v>376</v>
      </c>
      <c r="CD2877" s="237">
        <v>171.22</v>
      </c>
      <c r="CE2877" s="237" t="s">
        <v>359</v>
      </c>
      <c r="CJ2877" s="347">
        <v>9602.02</v>
      </c>
      <c r="CK2877" s="347" t="s">
        <v>375</v>
      </c>
      <c r="CL2877" s="1789"/>
      <c r="CR2877" s="345"/>
      <c r="CS2877" s="345"/>
      <c r="CX2877" s="347"/>
      <c r="CY2877" s="347"/>
      <c r="DH2877" s="237"/>
      <c r="DI2877" s="237"/>
      <c r="DN2877" s="347"/>
      <c r="DO2877" s="347"/>
      <c r="DP2877" s="2505"/>
    </row>
    <row r="2878" spans="30:120">
      <c r="AD2878" s="1138"/>
      <c r="AP2878" s="347">
        <v>829.04</v>
      </c>
      <c r="AQ2878" s="347" t="s">
        <v>376</v>
      </c>
      <c r="BF2878" s="347">
        <v>9602.01</v>
      </c>
      <c r="BG2878" s="347" t="s">
        <v>375</v>
      </c>
      <c r="BH2878" s="1790"/>
      <c r="BN2878" s="237">
        <v>106.22</v>
      </c>
      <c r="BO2878" s="237" t="s">
        <v>352</v>
      </c>
      <c r="BT2878" s="347">
        <v>829.04</v>
      </c>
      <c r="BU2878" s="347" t="s">
        <v>376</v>
      </c>
      <c r="CD2878" s="237">
        <v>171.23</v>
      </c>
      <c r="CE2878" s="237" t="s">
        <v>359</v>
      </c>
      <c r="CJ2878" s="347">
        <v>9603</v>
      </c>
      <c r="CK2878" s="347" t="s">
        <v>332</v>
      </c>
      <c r="CL2878" s="1789"/>
      <c r="CR2878" s="345"/>
      <c r="CS2878" s="345"/>
      <c r="CX2878" s="347"/>
      <c r="CY2878" s="347"/>
      <c r="DH2878" s="237"/>
      <c r="DI2878" s="237"/>
      <c r="DN2878" s="347"/>
      <c r="DO2878" s="347"/>
      <c r="DP2878" s="2505"/>
    </row>
    <row r="2879" spans="30:120">
      <c r="AD2879" s="1138"/>
      <c r="AP2879" s="347">
        <v>830.06</v>
      </c>
      <c r="AQ2879" s="347" t="s">
        <v>376</v>
      </c>
      <c r="BF2879" s="347">
        <v>9602.02</v>
      </c>
      <c r="BG2879" s="347" t="s">
        <v>342</v>
      </c>
      <c r="BH2879" s="1790"/>
      <c r="BN2879" s="237">
        <v>106.23</v>
      </c>
      <c r="BO2879" s="237" t="s">
        <v>352</v>
      </c>
      <c r="BT2879" s="347">
        <v>830.03</v>
      </c>
      <c r="BU2879" s="347" t="s">
        <v>376</v>
      </c>
      <c r="CD2879" s="237">
        <v>172</v>
      </c>
      <c r="CE2879" s="237" t="s">
        <v>323</v>
      </c>
      <c r="CJ2879" s="347">
        <v>9603</v>
      </c>
      <c r="CK2879" s="347" t="s">
        <v>338</v>
      </c>
      <c r="CL2879" s="1789"/>
      <c r="CR2879" s="345"/>
      <c r="CS2879" s="345"/>
      <c r="CX2879" s="347"/>
      <c r="CY2879" s="347"/>
      <c r="DH2879" s="237"/>
      <c r="DI2879" s="237"/>
      <c r="DN2879" s="347"/>
      <c r="DO2879" s="347"/>
      <c r="DP2879" s="2505"/>
    </row>
    <row r="2880" spans="30:120">
      <c r="AD2880" s="1138"/>
      <c r="AP2880" s="347">
        <v>830.07</v>
      </c>
      <c r="AQ2880" s="347" t="s">
        <v>376</v>
      </c>
      <c r="BF2880" s="347">
        <v>9602.02</v>
      </c>
      <c r="BG2880" s="347" t="s">
        <v>375</v>
      </c>
      <c r="BH2880" s="1790"/>
      <c r="BN2880" s="237">
        <v>106.24</v>
      </c>
      <c r="BO2880" s="237" t="s">
        <v>352</v>
      </c>
      <c r="BT2880" s="347">
        <v>830.07</v>
      </c>
      <c r="BU2880" s="347" t="s">
        <v>376</v>
      </c>
      <c r="CD2880" s="237">
        <v>172</v>
      </c>
      <c r="CE2880" s="237" t="s">
        <v>352</v>
      </c>
      <c r="CJ2880" s="347">
        <v>9603</v>
      </c>
      <c r="CK2880" s="347" t="s">
        <v>375</v>
      </c>
      <c r="CL2880" s="1789"/>
      <c r="CR2880" s="345"/>
      <c r="CS2880" s="345"/>
      <c r="CX2880" s="347"/>
      <c r="CY2880" s="347"/>
      <c r="DH2880" s="237"/>
      <c r="DI2880" s="237"/>
      <c r="DN2880" s="347"/>
      <c r="DO2880" s="347"/>
      <c r="DP2880" s="2505"/>
    </row>
    <row r="2881" spans="30:120">
      <c r="AD2881" s="1138"/>
      <c r="AP2881" s="347">
        <v>830.08</v>
      </c>
      <c r="AQ2881" s="347" t="s">
        <v>376</v>
      </c>
      <c r="BF2881" s="347">
        <v>9603</v>
      </c>
      <c r="BG2881" s="347" t="s">
        <v>332</v>
      </c>
      <c r="BH2881" s="1790"/>
      <c r="BN2881" s="237">
        <v>106.25</v>
      </c>
      <c r="BO2881" s="237" t="s">
        <v>352</v>
      </c>
      <c r="BT2881" s="347">
        <v>830.08</v>
      </c>
      <c r="BU2881" s="347" t="s">
        <v>376</v>
      </c>
      <c r="CD2881" s="237">
        <v>172</v>
      </c>
      <c r="CE2881" s="237" t="s">
        <v>359</v>
      </c>
      <c r="CJ2881" s="347">
        <v>9603.01</v>
      </c>
      <c r="CK2881" s="347" t="s">
        <v>331</v>
      </c>
      <c r="CL2881" s="1789"/>
      <c r="CR2881" s="345"/>
      <c r="CS2881" s="345"/>
      <c r="CX2881" s="347"/>
      <c r="CY2881" s="347"/>
      <c r="DH2881" s="237"/>
      <c r="DI2881" s="237"/>
      <c r="DN2881" s="347"/>
      <c r="DO2881" s="347"/>
      <c r="DP2881" s="2505"/>
    </row>
    <row r="2882" spans="30:120">
      <c r="AD2882" s="1138"/>
      <c r="AP2882" s="347">
        <v>832.03</v>
      </c>
      <c r="AQ2882" s="347" t="s">
        <v>376</v>
      </c>
      <c r="BF2882" s="347">
        <v>9603</v>
      </c>
      <c r="BG2882" s="347" t="s">
        <v>338</v>
      </c>
      <c r="BH2882" s="1790"/>
      <c r="BN2882" s="237">
        <v>106.26</v>
      </c>
      <c r="BO2882" s="237" t="s">
        <v>352</v>
      </c>
      <c r="BT2882" s="347">
        <v>832.03</v>
      </c>
      <c r="BU2882" s="347" t="s">
        <v>376</v>
      </c>
      <c r="CD2882" s="237">
        <v>173</v>
      </c>
      <c r="CE2882" s="237" t="s">
        <v>323</v>
      </c>
      <c r="CJ2882" s="347">
        <v>9603.02</v>
      </c>
      <c r="CK2882" s="347" t="s">
        <v>331</v>
      </c>
      <c r="CL2882" s="1789"/>
      <c r="CR2882" s="345"/>
      <c r="CS2882" s="345"/>
      <c r="CX2882" s="347"/>
      <c r="CY2882" s="347"/>
      <c r="DH2882" s="237"/>
      <c r="DI2882" s="237"/>
      <c r="DN2882" s="347"/>
      <c r="DO2882" s="347"/>
      <c r="DP2882" s="2505"/>
    </row>
    <row r="2883" spans="30:120">
      <c r="AD2883" s="1138"/>
      <c r="AP2883" s="347">
        <v>832.05</v>
      </c>
      <c r="AQ2883" s="347" t="s">
        <v>376</v>
      </c>
      <c r="BF2883" s="347">
        <v>9603</v>
      </c>
      <c r="BG2883" s="347" t="s">
        <v>375</v>
      </c>
      <c r="BH2883" s="1790"/>
      <c r="BN2883" s="237">
        <v>107.05</v>
      </c>
      <c r="BO2883" s="237" t="s">
        <v>352</v>
      </c>
      <c r="BT2883" s="347">
        <v>832.05</v>
      </c>
      <c r="BU2883" s="347" t="s">
        <v>376</v>
      </c>
      <c r="CD2883" s="237">
        <v>173</v>
      </c>
      <c r="CE2883" s="237" t="s">
        <v>352</v>
      </c>
      <c r="CJ2883" s="347">
        <v>9604.02</v>
      </c>
      <c r="CK2883" s="347" t="s">
        <v>336</v>
      </c>
      <c r="CL2883" s="1789"/>
      <c r="CR2883" s="345"/>
      <c r="CS2883" s="345"/>
      <c r="CX2883" s="347"/>
      <c r="CY2883" s="347"/>
      <c r="DH2883" s="237"/>
      <c r="DI2883" s="237"/>
      <c r="DN2883" s="347"/>
      <c r="DO2883" s="347"/>
      <c r="DP2883" s="2505"/>
    </row>
    <row r="2884" spans="30:120">
      <c r="AD2884" s="1138"/>
      <c r="AP2884" s="347">
        <v>832.07</v>
      </c>
      <c r="AQ2884" s="347" t="s">
        <v>376</v>
      </c>
      <c r="BF2884" s="347">
        <v>9603.01</v>
      </c>
      <c r="BG2884" s="347" t="s">
        <v>331</v>
      </c>
      <c r="BH2884" s="1790"/>
      <c r="BN2884" s="237">
        <v>107.06</v>
      </c>
      <c r="BO2884" s="237" t="s">
        <v>352</v>
      </c>
      <c r="BT2884" s="347">
        <v>832.06</v>
      </c>
      <c r="BU2884" s="347" t="s">
        <v>376</v>
      </c>
      <c r="CD2884" s="237">
        <v>173.01</v>
      </c>
      <c r="CE2884" s="237" t="s">
        <v>359</v>
      </c>
      <c r="CJ2884" s="347">
        <v>9604.02</v>
      </c>
      <c r="CK2884" s="347" t="s">
        <v>338</v>
      </c>
      <c r="CL2884" s="1789"/>
      <c r="CR2884" s="345"/>
      <c r="CS2884" s="345"/>
      <c r="CX2884" s="347"/>
      <c r="CY2884" s="347"/>
      <c r="DH2884" s="237"/>
      <c r="DI2884" s="237"/>
      <c r="DN2884" s="347"/>
      <c r="DO2884" s="347"/>
      <c r="DP2884" s="2505"/>
    </row>
    <row r="2885" spans="30:120">
      <c r="AD2885" s="1138"/>
      <c r="AP2885" s="347">
        <v>832.09</v>
      </c>
      <c r="AQ2885" s="347" t="s">
        <v>376</v>
      </c>
      <c r="BF2885" s="347">
        <v>9603.02</v>
      </c>
      <c r="BG2885" s="347" t="s">
        <v>331</v>
      </c>
      <c r="BH2885" s="1790"/>
      <c r="BN2885" s="237">
        <v>107.07</v>
      </c>
      <c r="BO2885" s="237" t="s">
        <v>352</v>
      </c>
      <c r="BT2885" s="347">
        <v>832.07</v>
      </c>
      <c r="BU2885" s="347" t="s">
        <v>376</v>
      </c>
      <c r="CD2885" s="237">
        <v>173.02</v>
      </c>
      <c r="CE2885" s="237" t="s">
        <v>359</v>
      </c>
      <c r="CJ2885" s="347">
        <v>9605.0300000000007</v>
      </c>
      <c r="CK2885" s="347" t="s">
        <v>336</v>
      </c>
      <c r="CL2885" s="1789"/>
      <c r="CR2885" s="345"/>
      <c r="CS2885" s="345"/>
      <c r="CX2885" s="347"/>
      <c r="CY2885" s="347"/>
      <c r="DH2885" s="237"/>
      <c r="DI2885" s="237"/>
      <c r="DN2885" s="347"/>
      <c r="DO2885" s="347"/>
      <c r="DP2885" s="2505"/>
    </row>
    <row r="2886" spans="30:120">
      <c r="AD2886" s="1138"/>
      <c r="AP2886" s="347">
        <v>832.1</v>
      </c>
      <c r="AQ2886" s="347" t="s">
        <v>376</v>
      </c>
      <c r="BF2886" s="347">
        <v>9604.02</v>
      </c>
      <c r="BG2886" s="347" t="s">
        <v>336</v>
      </c>
      <c r="BH2886" s="1790"/>
      <c r="BN2886" s="237">
        <v>107.08</v>
      </c>
      <c r="BO2886" s="237" t="s">
        <v>352</v>
      </c>
      <c r="BT2886" s="347">
        <v>832.09</v>
      </c>
      <c r="BU2886" s="347" t="s">
        <v>376</v>
      </c>
      <c r="CD2886" s="237">
        <v>174</v>
      </c>
      <c r="CE2886" s="237" t="s">
        <v>323</v>
      </c>
      <c r="CJ2886" s="347">
        <v>9606.01</v>
      </c>
      <c r="CK2886" s="347" t="s">
        <v>336</v>
      </c>
      <c r="CL2886" s="1789"/>
      <c r="CR2886" s="345"/>
      <c r="CS2886" s="345"/>
      <c r="CX2886" s="347"/>
      <c r="CY2886" s="347"/>
      <c r="DH2886" s="237"/>
      <c r="DI2886" s="237"/>
      <c r="DN2886" s="347"/>
      <c r="DO2886" s="347"/>
      <c r="DP2886" s="2505"/>
    </row>
    <row r="2887" spans="30:120">
      <c r="AD2887" s="1138"/>
      <c r="AP2887" s="347">
        <v>832.11</v>
      </c>
      <c r="AQ2887" s="347" t="s">
        <v>376</v>
      </c>
      <c r="BF2887" s="347">
        <v>9604.02</v>
      </c>
      <c r="BG2887" s="347" t="s">
        <v>338</v>
      </c>
      <c r="BH2887" s="1790"/>
      <c r="BN2887" s="237">
        <v>107.09</v>
      </c>
      <c r="BO2887" s="237" t="s">
        <v>352</v>
      </c>
      <c r="BT2887" s="347">
        <v>832.1</v>
      </c>
      <c r="BU2887" s="347" t="s">
        <v>376</v>
      </c>
      <c r="CD2887" s="237">
        <v>174.01</v>
      </c>
      <c r="CE2887" s="237" t="s">
        <v>352</v>
      </c>
      <c r="CJ2887" s="347">
        <v>9606.02</v>
      </c>
      <c r="CK2887" s="347" t="s">
        <v>336</v>
      </c>
      <c r="CL2887" s="1789"/>
      <c r="CR2887" s="345"/>
      <c r="CS2887" s="345"/>
      <c r="CX2887" s="347"/>
      <c r="CY2887" s="347"/>
      <c r="DH2887" s="237"/>
      <c r="DI2887" s="237"/>
      <c r="DN2887" s="347"/>
      <c r="DO2887" s="347"/>
      <c r="DP2887" s="2505"/>
    </row>
    <row r="2888" spans="30:120">
      <c r="AD2888" s="1138"/>
      <c r="AP2888" s="347">
        <v>901.01</v>
      </c>
      <c r="AQ2888" s="347" t="s">
        <v>376</v>
      </c>
      <c r="BF2888" s="347">
        <v>9604.0300000000007</v>
      </c>
      <c r="BG2888" s="347" t="s">
        <v>338</v>
      </c>
      <c r="BH2888" s="1790"/>
      <c r="BN2888" s="237">
        <v>107.1</v>
      </c>
      <c r="BO2888" s="237" t="s">
        <v>352</v>
      </c>
      <c r="BT2888" s="347">
        <v>832.11</v>
      </c>
      <c r="BU2888" s="347" t="s">
        <v>376</v>
      </c>
      <c r="CD2888" s="237">
        <v>174.01</v>
      </c>
      <c r="CE2888" s="237" t="s">
        <v>359</v>
      </c>
      <c r="CJ2888" s="347">
        <v>9607</v>
      </c>
      <c r="CK2888" s="347" t="s">
        <v>336</v>
      </c>
      <c r="CL2888" s="1789"/>
      <c r="CR2888" s="345"/>
      <c r="CS2888" s="345"/>
      <c r="CX2888" s="347"/>
      <c r="CY2888" s="347"/>
      <c r="DH2888" s="237"/>
      <c r="DI2888" s="237"/>
      <c r="DN2888" s="347"/>
      <c r="DO2888" s="347"/>
      <c r="DP2888" s="2505"/>
    </row>
    <row r="2889" spans="30:120">
      <c r="AD2889" s="1138"/>
      <c r="AP2889" s="347">
        <v>901.02</v>
      </c>
      <c r="AQ2889" s="347" t="s">
        <v>376</v>
      </c>
      <c r="BF2889" s="347">
        <v>9605.0300000000007</v>
      </c>
      <c r="BG2889" s="347" t="s">
        <v>336</v>
      </c>
      <c r="BH2889" s="1790"/>
      <c r="BN2889" s="237">
        <v>108.03</v>
      </c>
      <c r="BO2889" s="237" t="s">
        <v>352</v>
      </c>
      <c r="BT2889" s="347">
        <v>901.01</v>
      </c>
      <c r="BU2889" s="347" t="s">
        <v>376</v>
      </c>
      <c r="CD2889" s="237">
        <v>174.02</v>
      </c>
      <c r="CE2889" s="237" t="s">
        <v>352</v>
      </c>
      <c r="CJ2889" s="347">
        <v>9610</v>
      </c>
      <c r="CK2889" s="347" t="s">
        <v>336</v>
      </c>
      <c r="CL2889" s="1789"/>
      <c r="CR2889" s="345"/>
      <c r="CS2889" s="345"/>
      <c r="CX2889" s="347"/>
      <c r="CY2889" s="347"/>
      <c r="DH2889" s="237"/>
      <c r="DI2889" s="237"/>
      <c r="DN2889" s="347"/>
      <c r="DO2889" s="347"/>
      <c r="DP2889" s="2505"/>
    </row>
    <row r="2890" spans="30:120">
      <c r="AD2890" s="1138"/>
      <c r="AP2890" s="347">
        <v>902.02</v>
      </c>
      <c r="AQ2890" s="347" t="s">
        <v>376</v>
      </c>
      <c r="BF2890" s="347">
        <v>9605.0400000000009</v>
      </c>
      <c r="BG2890" s="347" t="s">
        <v>336</v>
      </c>
      <c r="BH2890" s="1790"/>
      <c r="BN2890" s="237">
        <v>108.04</v>
      </c>
      <c r="BO2890" s="237" t="s">
        <v>352</v>
      </c>
      <c r="BT2890" s="347">
        <v>901.02</v>
      </c>
      <c r="BU2890" s="347" t="s">
        <v>376</v>
      </c>
      <c r="CD2890" s="237">
        <v>174.02</v>
      </c>
      <c r="CE2890" s="237" t="s">
        <v>359</v>
      </c>
      <c r="CJ2890" s="347">
        <v>9613.01</v>
      </c>
      <c r="CK2890" s="347" t="s">
        <v>336</v>
      </c>
      <c r="CL2890" s="1789"/>
      <c r="CR2890" s="345"/>
      <c r="CS2890" s="345"/>
      <c r="CX2890" s="347"/>
      <c r="CY2890" s="347"/>
      <c r="DH2890" s="237"/>
      <c r="DI2890" s="237"/>
      <c r="DN2890" s="347"/>
      <c r="DO2890" s="347"/>
      <c r="DP2890" s="2505"/>
    </row>
    <row r="2891" spans="30:120">
      <c r="AD2891" s="1138"/>
      <c r="AP2891" s="347">
        <v>902.04</v>
      </c>
      <c r="AQ2891" s="347" t="s">
        <v>376</v>
      </c>
      <c r="BF2891" s="347">
        <v>9606.01</v>
      </c>
      <c r="BG2891" s="347" t="s">
        <v>336</v>
      </c>
      <c r="BH2891" s="1790"/>
      <c r="BN2891" s="237">
        <v>108.05</v>
      </c>
      <c r="BO2891" s="237" t="s">
        <v>352</v>
      </c>
      <c r="BT2891" s="347">
        <v>902.04</v>
      </c>
      <c r="BU2891" s="347" t="s">
        <v>376</v>
      </c>
      <c r="CD2891" s="237">
        <v>175</v>
      </c>
      <c r="CE2891" s="237" t="s">
        <v>352</v>
      </c>
      <c r="CJ2891" s="347">
        <v>9613.0400000000009</v>
      </c>
      <c r="CK2891" s="347" t="s">
        <v>336</v>
      </c>
      <c r="CL2891" s="1789"/>
      <c r="CR2891" s="345"/>
      <c r="CS2891" s="345"/>
      <c r="CX2891" s="347"/>
      <c r="CY2891" s="347"/>
      <c r="DH2891" s="237"/>
      <c r="DI2891" s="237"/>
      <c r="DN2891" s="347"/>
      <c r="DO2891" s="347"/>
      <c r="DP2891" s="2505"/>
    </row>
    <row r="2892" spans="30:120">
      <c r="AD2892" s="1138"/>
      <c r="AP2892" s="347">
        <v>903.04</v>
      </c>
      <c r="AQ2892" s="347" t="s">
        <v>376</v>
      </c>
      <c r="BF2892" s="347">
        <v>9606.02</v>
      </c>
      <c r="BG2892" s="347" t="s">
        <v>336</v>
      </c>
      <c r="BH2892" s="1790"/>
      <c r="BN2892" s="237">
        <v>108.06</v>
      </c>
      <c r="BO2892" s="237" t="s">
        <v>352</v>
      </c>
      <c r="BT2892" s="347">
        <v>903.04</v>
      </c>
      <c r="BU2892" s="347" t="s">
        <v>376</v>
      </c>
      <c r="CD2892" s="237">
        <v>175.03</v>
      </c>
      <c r="CE2892" s="237" t="s">
        <v>359</v>
      </c>
      <c r="CJ2892" s="347">
        <v>9614.01</v>
      </c>
      <c r="CK2892" s="347" t="s">
        <v>336</v>
      </c>
      <c r="CL2892" s="1789"/>
      <c r="CR2892" s="345"/>
      <c r="CS2892" s="345"/>
      <c r="CX2892" s="347"/>
      <c r="CY2892" s="347"/>
      <c r="DH2892" s="237"/>
      <c r="DI2892" s="237"/>
      <c r="DN2892" s="347"/>
      <c r="DO2892" s="347"/>
      <c r="DP2892" s="2505"/>
    </row>
    <row r="2893" spans="30:120">
      <c r="AD2893" s="1138"/>
      <c r="AP2893" s="347">
        <v>903.05</v>
      </c>
      <c r="AQ2893" s="347" t="s">
        <v>376</v>
      </c>
      <c r="BF2893" s="347">
        <v>9607</v>
      </c>
      <c r="BG2893" s="347" t="s">
        <v>336</v>
      </c>
      <c r="BH2893" s="1790"/>
      <c r="BN2893" s="237">
        <v>109</v>
      </c>
      <c r="BO2893" s="237" t="s">
        <v>352</v>
      </c>
      <c r="BT2893" s="347">
        <v>903.05</v>
      </c>
      <c r="BU2893" s="347" t="s">
        <v>376</v>
      </c>
      <c r="CD2893" s="237">
        <v>175.04</v>
      </c>
      <c r="CE2893" s="237" t="s">
        <v>359</v>
      </c>
      <c r="CJ2893" s="347">
        <v>9615</v>
      </c>
      <c r="CK2893" s="347" t="s">
        <v>336</v>
      </c>
      <c r="CL2893" s="1789"/>
      <c r="CR2893" s="345"/>
      <c r="CS2893" s="345"/>
      <c r="CX2893" s="347"/>
      <c r="CY2893" s="347"/>
      <c r="DH2893" s="237"/>
      <c r="DI2893" s="237"/>
      <c r="DN2893" s="347"/>
      <c r="DO2893" s="347"/>
      <c r="DP2893" s="2505"/>
    </row>
    <row r="2894" spans="30:120">
      <c r="AD2894" s="1138"/>
      <c r="AP2894" s="347">
        <v>903.06</v>
      </c>
      <c r="AQ2894" s="347" t="s">
        <v>376</v>
      </c>
      <c r="BF2894" s="347">
        <v>9610</v>
      </c>
      <c r="BG2894" s="347" t="s">
        <v>336</v>
      </c>
      <c r="BH2894" s="1790"/>
      <c r="BN2894" s="237">
        <v>110.03</v>
      </c>
      <c r="BO2894" s="237" t="s">
        <v>352</v>
      </c>
      <c r="BT2894" s="347">
        <v>903.06</v>
      </c>
      <c r="BU2894" s="347" t="s">
        <v>376</v>
      </c>
      <c r="CD2894" s="237">
        <v>175.05</v>
      </c>
      <c r="CE2894" s="237" t="s">
        <v>359</v>
      </c>
      <c r="CJ2894" s="347">
        <v>9616.01</v>
      </c>
      <c r="CK2894" s="347" t="s">
        <v>336</v>
      </c>
      <c r="CL2894" s="1789"/>
      <c r="CR2894" s="345"/>
      <c r="CS2894" s="345"/>
      <c r="CX2894" s="347"/>
      <c r="CY2894" s="347"/>
      <c r="DH2894" s="237"/>
      <c r="DI2894" s="237"/>
      <c r="DN2894" s="347"/>
      <c r="DO2894" s="347"/>
      <c r="DP2894" s="2505"/>
    </row>
    <row r="2895" spans="30:120">
      <c r="AD2895" s="1138"/>
      <c r="AP2895" s="347">
        <v>904.01</v>
      </c>
      <c r="AQ2895" s="347" t="s">
        <v>376</v>
      </c>
      <c r="BF2895" s="347">
        <v>9613.01</v>
      </c>
      <c r="BG2895" s="347" t="s">
        <v>336</v>
      </c>
      <c r="BH2895" s="1790"/>
      <c r="BN2895" s="237">
        <v>110.08</v>
      </c>
      <c r="BO2895" s="237" t="s">
        <v>352</v>
      </c>
      <c r="BT2895" s="347">
        <v>903.07</v>
      </c>
      <c r="BU2895" s="347" t="s">
        <v>376</v>
      </c>
      <c r="CD2895" s="237">
        <v>175.06</v>
      </c>
      <c r="CE2895" s="237" t="s">
        <v>359</v>
      </c>
      <c r="CJ2895" s="347">
        <v>9616.02</v>
      </c>
      <c r="CK2895" s="347" t="s">
        <v>336</v>
      </c>
      <c r="CL2895" s="1789"/>
      <c r="CR2895" s="345"/>
      <c r="CS2895" s="345"/>
      <c r="CX2895" s="347"/>
      <c r="CY2895" s="347"/>
      <c r="DH2895" s="237"/>
      <c r="DI2895" s="237"/>
      <c r="DN2895" s="347"/>
      <c r="DO2895" s="347"/>
      <c r="DP2895" s="2505"/>
    </row>
    <row r="2896" spans="30:120">
      <c r="AD2896" s="1138"/>
      <c r="AP2896" s="347">
        <v>904.02</v>
      </c>
      <c r="AQ2896" s="347" t="s">
        <v>376</v>
      </c>
      <c r="BF2896" s="347">
        <v>9613.0400000000009</v>
      </c>
      <c r="BG2896" s="347" t="s">
        <v>336</v>
      </c>
      <c r="BH2896" s="1790"/>
      <c r="BN2896" s="237">
        <v>110.09</v>
      </c>
      <c r="BO2896" s="237" t="s">
        <v>352</v>
      </c>
      <c r="BT2896" s="347">
        <v>904.01</v>
      </c>
      <c r="BU2896" s="347" t="s">
        <v>376</v>
      </c>
      <c r="CD2896" s="237">
        <v>176</v>
      </c>
      <c r="CE2896" s="237" t="s">
        <v>352</v>
      </c>
      <c r="CJ2896" s="347">
        <v>9616.0400000000009</v>
      </c>
      <c r="CK2896" s="347" t="s">
        <v>336</v>
      </c>
      <c r="CL2896" s="1789"/>
      <c r="CR2896" s="345"/>
      <c r="CS2896" s="345"/>
      <c r="CX2896" s="347"/>
      <c r="CY2896" s="347"/>
      <c r="DH2896" s="237"/>
      <c r="DI2896" s="237"/>
      <c r="DN2896" s="347"/>
      <c r="DO2896" s="347"/>
      <c r="DP2896" s="2505"/>
    </row>
    <row r="2897" spans="30:120">
      <c r="AD2897" s="1138"/>
      <c r="AP2897" s="347">
        <v>906</v>
      </c>
      <c r="AQ2897" s="347" t="s">
        <v>376</v>
      </c>
      <c r="BF2897" s="347">
        <v>9614.01</v>
      </c>
      <c r="BG2897" s="347" t="s">
        <v>336</v>
      </c>
      <c r="BH2897" s="1790"/>
      <c r="BN2897" s="237">
        <v>110.1</v>
      </c>
      <c r="BO2897" s="237" t="s">
        <v>352</v>
      </c>
      <c r="BT2897" s="347">
        <v>904.02</v>
      </c>
      <c r="BU2897" s="347" t="s">
        <v>376</v>
      </c>
      <c r="CD2897" s="237">
        <v>176</v>
      </c>
      <c r="CE2897" s="237" t="s">
        <v>359</v>
      </c>
      <c r="CJ2897" s="347">
        <v>9616.0499999999993</v>
      </c>
      <c r="CK2897" s="347" t="s">
        <v>336</v>
      </c>
      <c r="CL2897" s="1789"/>
      <c r="CR2897" s="345"/>
      <c r="CS2897" s="345"/>
      <c r="CX2897" s="347"/>
      <c r="CY2897" s="347"/>
      <c r="DH2897" s="237"/>
      <c r="DI2897" s="237"/>
      <c r="DN2897" s="347"/>
      <c r="DO2897" s="347"/>
      <c r="DP2897" s="2505"/>
    </row>
    <row r="2898" spans="30:120">
      <c r="AD2898" s="1138"/>
      <c r="AP2898" s="347">
        <v>907.01</v>
      </c>
      <c r="AQ2898" s="347" t="s">
        <v>376</v>
      </c>
      <c r="BF2898" s="347">
        <v>9615</v>
      </c>
      <c r="BG2898" s="347" t="s">
        <v>336</v>
      </c>
      <c r="BH2898" s="1790"/>
      <c r="BN2898" s="237">
        <v>110.11</v>
      </c>
      <c r="BO2898" s="237" t="s">
        <v>352</v>
      </c>
      <c r="BT2898" s="347">
        <v>905</v>
      </c>
      <c r="BU2898" s="347" t="s">
        <v>376</v>
      </c>
      <c r="CD2898" s="237">
        <v>177</v>
      </c>
      <c r="CE2898" s="237" t="s">
        <v>352</v>
      </c>
      <c r="CJ2898" s="347">
        <v>9701</v>
      </c>
      <c r="CK2898" s="347" t="s">
        <v>373</v>
      </c>
      <c r="CL2898" s="1789"/>
      <c r="CR2898" s="345"/>
      <c r="CS2898" s="345"/>
      <c r="CX2898" s="347"/>
      <c r="CY2898" s="347"/>
      <c r="DH2898" s="237"/>
      <c r="DI2898" s="237"/>
      <c r="DN2898" s="347"/>
      <c r="DO2898" s="347"/>
      <c r="DP2898" s="2505"/>
    </row>
    <row r="2899" spans="30:120">
      <c r="AD2899" s="1138"/>
      <c r="AP2899" s="347">
        <v>908.03</v>
      </c>
      <c r="AQ2899" s="347" t="s">
        <v>376</v>
      </c>
      <c r="BF2899" s="347">
        <v>9616.01</v>
      </c>
      <c r="BG2899" s="347" t="s">
        <v>336</v>
      </c>
      <c r="BH2899" s="1790"/>
      <c r="BN2899" s="237">
        <v>110.12</v>
      </c>
      <c r="BO2899" s="237" t="s">
        <v>352</v>
      </c>
      <c r="BT2899" s="347">
        <v>906</v>
      </c>
      <c r="BU2899" s="347" t="s">
        <v>376</v>
      </c>
      <c r="CD2899" s="237">
        <v>177.01</v>
      </c>
      <c r="CE2899" s="237" t="s">
        <v>359</v>
      </c>
      <c r="CJ2899" s="347">
        <v>9701.01</v>
      </c>
      <c r="CK2899" s="347" t="s">
        <v>322</v>
      </c>
      <c r="CL2899" s="1789"/>
      <c r="CR2899" s="345"/>
      <c r="CS2899" s="345"/>
      <c r="CX2899" s="347"/>
      <c r="CY2899" s="347"/>
      <c r="DH2899" s="237"/>
      <c r="DI2899" s="237"/>
      <c r="DN2899" s="347"/>
      <c r="DO2899" s="347"/>
      <c r="DP2899" s="2505"/>
    </row>
    <row r="2900" spans="30:120">
      <c r="AD2900" s="1138"/>
      <c r="AP2900" s="347">
        <v>908.06</v>
      </c>
      <c r="AQ2900" s="347" t="s">
        <v>376</v>
      </c>
      <c r="BF2900" s="347">
        <v>9616.02</v>
      </c>
      <c r="BG2900" s="347" t="s">
        <v>336</v>
      </c>
      <c r="BH2900" s="1790"/>
      <c r="BN2900" s="237">
        <v>110.13</v>
      </c>
      <c r="BO2900" s="237" t="s">
        <v>352</v>
      </c>
      <c r="BT2900" s="347">
        <v>907.02</v>
      </c>
      <c r="BU2900" s="347" t="s">
        <v>376</v>
      </c>
      <c r="CD2900" s="237">
        <v>177.02</v>
      </c>
      <c r="CE2900" s="237" t="s">
        <v>359</v>
      </c>
      <c r="CJ2900" s="347">
        <v>9701.01</v>
      </c>
      <c r="CK2900" s="347" t="s">
        <v>346</v>
      </c>
      <c r="CL2900" s="1789"/>
      <c r="CR2900" s="345"/>
      <c r="CS2900" s="345"/>
      <c r="CX2900" s="347"/>
      <c r="CY2900" s="347"/>
      <c r="DH2900" s="237"/>
      <c r="DI2900" s="237"/>
      <c r="DN2900" s="347"/>
      <c r="DO2900" s="347"/>
      <c r="DP2900" s="2505"/>
    </row>
    <row r="2901" spans="30:120">
      <c r="AD2901" s="1138"/>
      <c r="AP2901" s="347">
        <v>908.07</v>
      </c>
      <c r="AQ2901" s="347" t="s">
        <v>376</v>
      </c>
      <c r="BF2901" s="347">
        <v>9616.0499999999993</v>
      </c>
      <c r="BG2901" s="347" t="s">
        <v>336</v>
      </c>
      <c r="BH2901" s="1790"/>
      <c r="BN2901" s="237">
        <v>110.14</v>
      </c>
      <c r="BO2901" s="237" t="s">
        <v>352</v>
      </c>
      <c r="BT2901" s="347">
        <v>908.03</v>
      </c>
      <c r="BU2901" s="347" t="s">
        <v>376</v>
      </c>
      <c r="CD2901" s="237">
        <v>177.03</v>
      </c>
      <c r="CE2901" s="237" t="s">
        <v>359</v>
      </c>
      <c r="CJ2901" s="347">
        <v>9701.02</v>
      </c>
      <c r="CK2901" s="347" t="s">
        <v>327</v>
      </c>
      <c r="CL2901" s="1789"/>
      <c r="CR2901" s="345"/>
      <c r="CS2901" s="345"/>
      <c r="CX2901" s="347"/>
      <c r="CY2901" s="347"/>
      <c r="DH2901" s="237"/>
      <c r="DI2901" s="237"/>
      <c r="DN2901" s="347"/>
      <c r="DO2901" s="347"/>
      <c r="DP2901" s="2505"/>
    </row>
    <row r="2902" spans="30:120">
      <c r="AD2902" s="1138"/>
      <c r="AP2902" s="347">
        <v>908.08</v>
      </c>
      <c r="AQ2902" s="347" t="s">
        <v>376</v>
      </c>
      <c r="BF2902" s="347">
        <v>9701</v>
      </c>
      <c r="BG2902" s="347" t="s">
        <v>373</v>
      </c>
      <c r="BH2902" s="1790"/>
      <c r="BN2902" s="237">
        <v>110.15</v>
      </c>
      <c r="BO2902" s="237" t="s">
        <v>352</v>
      </c>
      <c r="BT2902" s="347">
        <v>908.08</v>
      </c>
      <c r="BU2902" s="347" t="s">
        <v>376</v>
      </c>
      <c r="CD2902" s="237">
        <v>178</v>
      </c>
      <c r="CE2902" s="237" t="s">
        <v>352</v>
      </c>
      <c r="CJ2902" s="347">
        <v>9701.02</v>
      </c>
      <c r="CK2902" s="347" t="s">
        <v>379</v>
      </c>
      <c r="CL2902" s="1789"/>
      <c r="CR2902" s="345"/>
      <c r="CS2902" s="345"/>
      <c r="CX2902" s="347"/>
      <c r="CY2902" s="347"/>
      <c r="DH2902" s="237"/>
      <c r="DI2902" s="237"/>
      <c r="DN2902" s="347"/>
      <c r="DO2902" s="347"/>
      <c r="DP2902" s="2505"/>
    </row>
    <row r="2903" spans="30:120">
      <c r="AD2903" s="1138"/>
      <c r="AP2903" s="347">
        <v>909.03</v>
      </c>
      <c r="AQ2903" s="347" t="s">
        <v>376</v>
      </c>
      <c r="BF2903" s="347">
        <v>9701.01</v>
      </c>
      <c r="BG2903" s="347" t="s">
        <v>322</v>
      </c>
      <c r="BH2903" s="1790"/>
      <c r="BN2903" s="237">
        <v>111.03</v>
      </c>
      <c r="BO2903" s="237" t="s">
        <v>352</v>
      </c>
      <c r="BT2903" s="347">
        <v>909.03</v>
      </c>
      <c r="BU2903" s="347" t="s">
        <v>376</v>
      </c>
      <c r="CD2903" s="237">
        <v>178.05</v>
      </c>
      <c r="CE2903" s="237" t="s">
        <v>359</v>
      </c>
      <c r="CJ2903" s="347">
        <v>9701.0300000000007</v>
      </c>
      <c r="CK2903" s="347" t="s">
        <v>346</v>
      </c>
      <c r="CL2903" s="1789"/>
      <c r="CR2903" s="345"/>
      <c r="CS2903" s="345"/>
      <c r="CX2903" s="347"/>
      <c r="CY2903" s="347"/>
      <c r="DH2903" s="237"/>
      <c r="DI2903" s="237"/>
      <c r="DN2903" s="347"/>
      <c r="DO2903" s="347"/>
      <c r="DP2903" s="2505"/>
    </row>
    <row r="2904" spans="30:120">
      <c r="AD2904" s="1138"/>
      <c r="AP2904" s="347">
        <v>909.04</v>
      </c>
      <c r="AQ2904" s="347" t="s">
        <v>376</v>
      </c>
      <c r="BF2904" s="347">
        <v>9701.01</v>
      </c>
      <c r="BG2904" s="347" t="s">
        <v>346</v>
      </c>
      <c r="BH2904" s="1790"/>
      <c r="BN2904" s="237">
        <v>111.04</v>
      </c>
      <c r="BO2904" s="237" t="s">
        <v>352</v>
      </c>
      <c r="BT2904" s="347">
        <v>909.04</v>
      </c>
      <c r="BU2904" s="347" t="s">
        <v>376</v>
      </c>
      <c r="CD2904" s="237">
        <v>178.06</v>
      </c>
      <c r="CE2904" s="237" t="s">
        <v>359</v>
      </c>
      <c r="CJ2904" s="347">
        <v>9701.0300000000007</v>
      </c>
      <c r="CK2904" s="347" t="s">
        <v>379</v>
      </c>
      <c r="CL2904" s="1789"/>
      <c r="CR2904" s="345"/>
      <c r="CS2904" s="345"/>
      <c r="CX2904" s="347"/>
      <c r="CY2904" s="347"/>
      <c r="DH2904" s="237"/>
      <c r="DI2904" s="237"/>
      <c r="DN2904" s="347"/>
      <c r="DO2904" s="347"/>
      <c r="DP2904" s="2505"/>
    </row>
    <row r="2905" spans="30:120">
      <c r="AD2905" s="1138"/>
      <c r="AP2905" s="347">
        <v>909.05</v>
      </c>
      <c r="AQ2905" s="347" t="s">
        <v>376</v>
      </c>
      <c r="BF2905" s="347">
        <v>9701.02</v>
      </c>
      <c r="BG2905" s="347" t="s">
        <v>327</v>
      </c>
      <c r="BH2905" s="1790"/>
      <c r="BN2905" s="237">
        <v>111.05</v>
      </c>
      <c r="BO2905" s="237" t="s">
        <v>352</v>
      </c>
      <c r="BT2905" s="347">
        <v>909.05</v>
      </c>
      <c r="BU2905" s="347" t="s">
        <v>376</v>
      </c>
      <c r="CD2905" s="237">
        <v>178.07</v>
      </c>
      <c r="CE2905" s="237" t="s">
        <v>359</v>
      </c>
      <c r="CJ2905" s="347">
        <v>9701.0400000000009</v>
      </c>
      <c r="CK2905" s="347" t="s">
        <v>379</v>
      </c>
      <c r="CL2905" s="1789"/>
      <c r="CR2905" s="345"/>
      <c r="CS2905" s="345"/>
      <c r="CX2905" s="347"/>
      <c r="CY2905" s="347"/>
      <c r="DH2905" s="237"/>
      <c r="DI2905" s="237"/>
      <c r="DN2905" s="347"/>
      <c r="DO2905" s="347"/>
      <c r="DP2905" s="2505"/>
    </row>
    <row r="2906" spans="30:120">
      <c r="AD2906" s="1138"/>
      <c r="AP2906" s="347">
        <v>909.06</v>
      </c>
      <c r="AQ2906" s="347" t="s">
        <v>376</v>
      </c>
      <c r="BF2906" s="347">
        <v>9701.02</v>
      </c>
      <c r="BG2906" s="347" t="s">
        <v>379</v>
      </c>
      <c r="BH2906" s="1790"/>
      <c r="BN2906" s="237">
        <v>111.06</v>
      </c>
      <c r="BO2906" s="237" t="s">
        <v>352</v>
      </c>
      <c r="BT2906" s="347">
        <v>909.06</v>
      </c>
      <c r="BU2906" s="347" t="s">
        <v>376</v>
      </c>
      <c r="CD2906" s="237">
        <v>178.08</v>
      </c>
      <c r="CE2906" s="237" t="s">
        <v>359</v>
      </c>
      <c r="CJ2906" s="347">
        <v>9702</v>
      </c>
      <c r="CK2906" s="347" t="s">
        <v>346</v>
      </c>
      <c r="CL2906" s="1789"/>
      <c r="CR2906" s="345"/>
      <c r="CS2906" s="345"/>
      <c r="CX2906" s="347"/>
      <c r="CY2906" s="347"/>
      <c r="DH2906" s="237"/>
      <c r="DI2906" s="237"/>
      <c r="DN2906" s="347"/>
      <c r="DO2906" s="347"/>
      <c r="DP2906" s="2505"/>
    </row>
    <row r="2907" spans="30:120">
      <c r="AD2907" s="1138"/>
      <c r="AP2907" s="347">
        <v>910.01</v>
      </c>
      <c r="AQ2907" s="347" t="s">
        <v>376</v>
      </c>
      <c r="BF2907" s="347">
        <v>9701.0300000000007</v>
      </c>
      <c r="BG2907" s="347" t="s">
        <v>322</v>
      </c>
      <c r="BH2907" s="1790"/>
      <c r="BN2907" s="237">
        <v>112.03</v>
      </c>
      <c r="BO2907" s="237" t="s">
        <v>352</v>
      </c>
      <c r="BT2907" s="347">
        <v>910.01</v>
      </c>
      <c r="BU2907" s="347" t="s">
        <v>376</v>
      </c>
      <c r="CD2907" s="237">
        <v>178.09</v>
      </c>
      <c r="CE2907" s="237" t="s">
        <v>359</v>
      </c>
      <c r="CJ2907" s="347">
        <v>9702</v>
      </c>
      <c r="CK2907" s="347" t="s">
        <v>373</v>
      </c>
      <c r="CL2907" s="1789"/>
      <c r="CR2907" s="345"/>
      <c r="CS2907" s="345"/>
      <c r="CX2907" s="347"/>
      <c r="CY2907" s="347"/>
      <c r="DH2907" s="237"/>
      <c r="DI2907" s="237"/>
      <c r="DN2907" s="347"/>
      <c r="DO2907" s="347"/>
      <c r="DP2907" s="2505"/>
    </row>
    <row r="2908" spans="30:120">
      <c r="AD2908" s="1138"/>
      <c r="AP2908" s="347">
        <v>910.05</v>
      </c>
      <c r="AQ2908" s="347" t="s">
        <v>376</v>
      </c>
      <c r="BF2908" s="347">
        <v>9701.0300000000007</v>
      </c>
      <c r="BG2908" s="347" t="s">
        <v>346</v>
      </c>
      <c r="BH2908" s="1790"/>
      <c r="BN2908" s="237">
        <v>112.04</v>
      </c>
      <c r="BO2908" s="237" t="s">
        <v>352</v>
      </c>
      <c r="BT2908" s="347">
        <v>910.05</v>
      </c>
      <c r="BU2908" s="347" t="s">
        <v>376</v>
      </c>
      <c r="CD2908" s="237">
        <v>178.1</v>
      </c>
      <c r="CE2908" s="237" t="s">
        <v>359</v>
      </c>
      <c r="CJ2908" s="347">
        <v>9702.01</v>
      </c>
      <c r="CK2908" s="347" t="s">
        <v>322</v>
      </c>
      <c r="CL2908" s="1789"/>
      <c r="CR2908" s="345"/>
      <c r="CS2908" s="345"/>
      <c r="CX2908" s="347"/>
      <c r="CY2908" s="347"/>
      <c r="DH2908" s="237"/>
      <c r="DI2908" s="237"/>
      <c r="DN2908" s="347"/>
      <c r="DO2908" s="347"/>
      <c r="DP2908" s="2505"/>
    </row>
    <row r="2909" spans="30:120">
      <c r="AD2909" s="1138"/>
      <c r="AP2909" s="347">
        <v>910.15</v>
      </c>
      <c r="AQ2909" s="347" t="s">
        <v>376</v>
      </c>
      <c r="BF2909" s="347">
        <v>9701.0300000000007</v>
      </c>
      <c r="BG2909" s="347" t="s">
        <v>379</v>
      </c>
      <c r="BH2909" s="1790"/>
      <c r="BN2909" s="237">
        <v>112.05</v>
      </c>
      <c r="BO2909" s="237" t="s">
        <v>352</v>
      </c>
      <c r="BT2909" s="347">
        <v>910.15</v>
      </c>
      <c r="BU2909" s="347" t="s">
        <v>376</v>
      </c>
      <c r="CD2909" s="237">
        <v>178.11</v>
      </c>
      <c r="CE2909" s="237" t="s">
        <v>359</v>
      </c>
      <c r="CJ2909" s="347">
        <v>9702.02</v>
      </c>
      <c r="CK2909" s="347" t="s">
        <v>322</v>
      </c>
      <c r="CL2909" s="1789"/>
      <c r="CR2909" s="345"/>
      <c r="CS2909" s="345"/>
      <c r="CX2909" s="347"/>
      <c r="CY2909" s="347"/>
      <c r="DH2909" s="237"/>
      <c r="DI2909" s="237"/>
      <c r="DN2909" s="347"/>
      <c r="DO2909" s="347"/>
      <c r="DP2909" s="2505"/>
    </row>
    <row r="2910" spans="30:120">
      <c r="AD2910" s="1138"/>
      <c r="AP2910" s="347">
        <v>910.16</v>
      </c>
      <c r="AQ2910" s="347" t="s">
        <v>376</v>
      </c>
      <c r="BF2910" s="347">
        <v>9701.0400000000009</v>
      </c>
      <c r="BG2910" s="347" t="s">
        <v>322</v>
      </c>
      <c r="BH2910" s="1790"/>
      <c r="BN2910" s="237">
        <v>112.06</v>
      </c>
      <c r="BO2910" s="237" t="s">
        <v>352</v>
      </c>
      <c r="BT2910" s="347">
        <v>910.16</v>
      </c>
      <c r="BU2910" s="347" t="s">
        <v>376</v>
      </c>
      <c r="CD2910" s="237">
        <v>178.12</v>
      </c>
      <c r="CE2910" s="237" t="s">
        <v>359</v>
      </c>
      <c r="CJ2910" s="347">
        <v>9702.02</v>
      </c>
      <c r="CK2910" s="347" t="s">
        <v>333</v>
      </c>
      <c r="CL2910" s="1789"/>
      <c r="CR2910" s="345"/>
      <c r="CS2910" s="345"/>
      <c r="CX2910" s="347"/>
      <c r="CY2910" s="347"/>
      <c r="DH2910" s="237"/>
      <c r="DI2910" s="237"/>
      <c r="DN2910" s="347"/>
      <c r="DO2910" s="347"/>
      <c r="DP2910" s="2505"/>
    </row>
    <row r="2911" spans="30:120">
      <c r="AD2911" s="1138"/>
      <c r="AP2911" s="347">
        <v>910.17</v>
      </c>
      <c r="AQ2911" s="347" t="s">
        <v>376</v>
      </c>
      <c r="BF2911" s="347">
        <v>9701.0400000000009</v>
      </c>
      <c r="BG2911" s="347" t="s">
        <v>379</v>
      </c>
      <c r="BH2911" s="1790"/>
      <c r="BN2911" s="237">
        <v>113.01</v>
      </c>
      <c r="BO2911" s="237" t="s">
        <v>352</v>
      </c>
      <c r="BT2911" s="347">
        <v>910.17</v>
      </c>
      <c r="BU2911" s="347" t="s">
        <v>376</v>
      </c>
      <c r="CD2911" s="237">
        <v>178.13</v>
      </c>
      <c r="CE2911" s="237" t="s">
        <v>359</v>
      </c>
      <c r="CJ2911" s="347">
        <v>9703.01</v>
      </c>
      <c r="CK2911" s="347" t="s">
        <v>333</v>
      </c>
      <c r="CL2911" s="1789"/>
      <c r="CR2911" s="345"/>
      <c r="CS2911" s="345"/>
      <c r="CX2911" s="347"/>
      <c r="CY2911" s="347"/>
      <c r="DH2911" s="237"/>
      <c r="DI2911" s="237"/>
      <c r="DN2911" s="347"/>
      <c r="DO2911" s="347"/>
      <c r="DP2911" s="2505"/>
    </row>
    <row r="2912" spans="30:120">
      <c r="AD2912" s="1138"/>
      <c r="AP2912" s="347">
        <v>910.18</v>
      </c>
      <c r="AQ2912" s="347" t="s">
        <v>376</v>
      </c>
      <c r="BF2912" s="347">
        <v>9702</v>
      </c>
      <c r="BG2912" s="347" t="s">
        <v>346</v>
      </c>
      <c r="BH2912" s="1790"/>
      <c r="BN2912" s="237">
        <v>113.02</v>
      </c>
      <c r="BO2912" s="237" t="s">
        <v>352</v>
      </c>
      <c r="BT2912" s="347">
        <v>910.19</v>
      </c>
      <c r="BU2912" s="347" t="s">
        <v>376</v>
      </c>
      <c r="CD2912" s="237">
        <v>178.14</v>
      </c>
      <c r="CE2912" s="237" t="s">
        <v>359</v>
      </c>
      <c r="CJ2912" s="347">
        <v>9703.01</v>
      </c>
      <c r="CK2912" s="347" t="s">
        <v>346</v>
      </c>
      <c r="CL2912" s="1789"/>
      <c r="CR2912" s="345"/>
      <c r="CS2912" s="345"/>
      <c r="CX2912" s="347"/>
      <c r="CY2912" s="347"/>
      <c r="DH2912" s="237"/>
      <c r="DI2912" s="237"/>
      <c r="DN2912" s="347"/>
      <c r="DO2912" s="347"/>
      <c r="DP2912" s="2505"/>
    </row>
    <row r="2913" spans="30:120">
      <c r="AD2913" s="1138"/>
      <c r="AP2913" s="347">
        <v>910.19</v>
      </c>
      <c r="AQ2913" s="347" t="s">
        <v>376</v>
      </c>
      <c r="BF2913" s="347">
        <v>9702</v>
      </c>
      <c r="BG2913" s="347" t="s">
        <v>373</v>
      </c>
      <c r="BH2913" s="1790"/>
      <c r="BN2913" s="237">
        <v>114.05</v>
      </c>
      <c r="BO2913" s="237" t="s">
        <v>352</v>
      </c>
      <c r="BT2913" s="347">
        <v>910.2</v>
      </c>
      <c r="BU2913" s="347" t="s">
        <v>376</v>
      </c>
      <c r="CD2913" s="237">
        <v>179.01</v>
      </c>
      <c r="CE2913" s="237" t="s">
        <v>352</v>
      </c>
      <c r="CJ2913" s="347">
        <v>9703.01</v>
      </c>
      <c r="CK2913" s="347" t="s">
        <v>379</v>
      </c>
      <c r="CL2913" s="1789"/>
      <c r="CR2913" s="345"/>
      <c r="CS2913" s="345"/>
      <c r="CX2913" s="347"/>
      <c r="CY2913" s="347"/>
      <c r="DH2913" s="237"/>
      <c r="DI2913" s="237"/>
      <c r="DN2913" s="347"/>
      <c r="DO2913" s="347"/>
      <c r="DP2913" s="2505"/>
    </row>
    <row r="2914" spans="30:120">
      <c r="AD2914" s="1138"/>
      <c r="AP2914" s="347">
        <v>910.2</v>
      </c>
      <c r="AQ2914" s="347" t="s">
        <v>376</v>
      </c>
      <c r="BF2914" s="347">
        <v>9702.01</v>
      </c>
      <c r="BG2914" s="347" t="s">
        <v>322</v>
      </c>
      <c r="BH2914" s="1790"/>
      <c r="BN2914" s="237">
        <v>114.06</v>
      </c>
      <c r="BO2914" s="237" t="s">
        <v>352</v>
      </c>
      <c r="BT2914" s="347">
        <v>910.21</v>
      </c>
      <c r="BU2914" s="347" t="s">
        <v>376</v>
      </c>
      <c r="CD2914" s="237">
        <v>179.01</v>
      </c>
      <c r="CE2914" s="237" t="s">
        <v>359</v>
      </c>
      <c r="CJ2914" s="347">
        <v>9703.02</v>
      </c>
      <c r="CK2914" s="347" t="s">
        <v>379</v>
      </c>
      <c r="CL2914" s="1789"/>
      <c r="CR2914" s="345"/>
      <c r="CS2914" s="345"/>
      <c r="CX2914" s="347"/>
      <c r="CY2914" s="347"/>
      <c r="DH2914" s="237"/>
      <c r="DI2914" s="237"/>
      <c r="DN2914" s="347"/>
      <c r="DO2914" s="347"/>
      <c r="DP2914" s="2505"/>
    </row>
    <row r="2915" spans="30:120">
      <c r="AD2915" s="1138"/>
      <c r="AP2915" s="347">
        <v>910.21</v>
      </c>
      <c r="AQ2915" s="347" t="s">
        <v>376</v>
      </c>
      <c r="BF2915" s="347">
        <v>9702.02</v>
      </c>
      <c r="BG2915" s="347" t="s">
        <v>322</v>
      </c>
      <c r="BH2915" s="1790"/>
      <c r="BN2915" s="237">
        <v>114.07</v>
      </c>
      <c r="BO2915" s="237" t="s">
        <v>352</v>
      </c>
      <c r="BT2915" s="347">
        <v>910.23</v>
      </c>
      <c r="BU2915" s="347" t="s">
        <v>376</v>
      </c>
      <c r="CD2915" s="237">
        <v>179.02</v>
      </c>
      <c r="CE2915" s="237" t="s">
        <v>352</v>
      </c>
      <c r="CJ2915" s="347">
        <v>9703.0400000000009</v>
      </c>
      <c r="CK2915" s="347" t="s">
        <v>327</v>
      </c>
      <c r="CL2915" s="1789"/>
      <c r="CR2915" s="345"/>
      <c r="CS2915" s="345"/>
      <c r="CX2915" s="347"/>
      <c r="CY2915" s="347"/>
      <c r="DH2915" s="237"/>
      <c r="DI2915" s="237"/>
      <c r="DN2915" s="347"/>
      <c r="DO2915" s="347"/>
      <c r="DP2915" s="2505"/>
    </row>
    <row r="2916" spans="30:120">
      <c r="AD2916" s="1138"/>
      <c r="AP2916" s="347">
        <v>910.23</v>
      </c>
      <c r="AQ2916" s="347" t="s">
        <v>376</v>
      </c>
      <c r="BF2916" s="347">
        <v>9702.02</v>
      </c>
      <c r="BG2916" s="347" t="s">
        <v>333</v>
      </c>
      <c r="BH2916" s="1790"/>
      <c r="BN2916" s="237">
        <v>114.08</v>
      </c>
      <c r="BO2916" s="237" t="s">
        <v>352</v>
      </c>
      <c r="BT2916" s="347">
        <v>910.25</v>
      </c>
      <c r="BU2916" s="347" t="s">
        <v>376</v>
      </c>
      <c r="CD2916" s="237">
        <v>179.02</v>
      </c>
      <c r="CE2916" s="237" t="s">
        <v>359</v>
      </c>
      <c r="CJ2916" s="347">
        <v>9704</v>
      </c>
      <c r="CK2916" s="347" t="s">
        <v>346</v>
      </c>
      <c r="CL2916" s="1789"/>
      <c r="CR2916" s="345"/>
      <c r="CS2916" s="345"/>
      <c r="CX2916" s="347"/>
      <c r="CY2916" s="347"/>
      <c r="DH2916" s="237"/>
      <c r="DI2916" s="237"/>
      <c r="DN2916" s="347"/>
      <c r="DO2916" s="347"/>
      <c r="DP2916" s="2505"/>
    </row>
    <row r="2917" spans="30:120">
      <c r="AD2917" s="1138"/>
      <c r="AP2917" s="347">
        <v>910.25</v>
      </c>
      <c r="AQ2917" s="347" t="s">
        <v>376</v>
      </c>
      <c r="BF2917" s="347">
        <v>9703.01</v>
      </c>
      <c r="BG2917" s="347" t="s">
        <v>333</v>
      </c>
      <c r="BH2917" s="1790"/>
      <c r="BN2917" s="237">
        <v>114.09</v>
      </c>
      <c r="BO2917" s="237" t="s">
        <v>352</v>
      </c>
      <c r="BT2917" s="347">
        <v>910.29</v>
      </c>
      <c r="BU2917" s="347" t="s">
        <v>376</v>
      </c>
      <c r="CD2917" s="237">
        <v>180</v>
      </c>
      <c r="CE2917" s="237" t="s">
        <v>359</v>
      </c>
      <c r="CJ2917" s="347">
        <v>9704.01</v>
      </c>
      <c r="CK2917" s="347" t="s">
        <v>373</v>
      </c>
      <c r="CL2917" s="1789"/>
      <c r="CR2917" s="345"/>
      <c r="CS2917" s="345"/>
      <c r="CX2917" s="347"/>
      <c r="CY2917" s="347"/>
      <c r="DH2917" s="237"/>
      <c r="DI2917" s="237"/>
      <c r="DN2917" s="347"/>
      <c r="DO2917" s="347"/>
      <c r="DP2917" s="2505"/>
    </row>
    <row r="2918" spans="30:120">
      <c r="AD2918" s="1138"/>
      <c r="AP2918" s="347">
        <v>910.32</v>
      </c>
      <c r="AQ2918" s="347" t="s">
        <v>376</v>
      </c>
      <c r="BF2918" s="347">
        <v>9703.01</v>
      </c>
      <c r="BG2918" s="347" t="s">
        <v>346</v>
      </c>
      <c r="BH2918" s="1790"/>
      <c r="BN2918" s="237">
        <v>114.1</v>
      </c>
      <c r="BO2918" s="237" t="s">
        <v>352</v>
      </c>
      <c r="BT2918" s="347">
        <v>910.32</v>
      </c>
      <c r="BU2918" s="347" t="s">
        <v>376</v>
      </c>
      <c r="CD2918" s="237">
        <v>180.01</v>
      </c>
      <c r="CE2918" s="237" t="s">
        <v>352</v>
      </c>
      <c r="CJ2918" s="347">
        <v>9704.02</v>
      </c>
      <c r="CK2918" s="347" t="s">
        <v>333</v>
      </c>
      <c r="CL2918" s="1789"/>
      <c r="CR2918" s="345"/>
      <c r="CS2918" s="345"/>
      <c r="CX2918" s="347"/>
      <c r="CY2918" s="347"/>
      <c r="DH2918" s="237"/>
      <c r="DI2918" s="237"/>
      <c r="DN2918" s="347"/>
      <c r="DO2918" s="347"/>
      <c r="DP2918" s="2505"/>
    </row>
    <row r="2919" spans="30:120">
      <c r="AD2919" s="1138"/>
      <c r="AP2919" s="347">
        <v>910.33</v>
      </c>
      <c r="AQ2919" s="347" t="s">
        <v>376</v>
      </c>
      <c r="BF2919" s="347">
        <v>9703.01</v>
      </c>
      <c r="BG2919" s="347" t="s">
        <v>379</v>
      </c>
      <c r="BH2919" s="1790"/>
      <c r="BN2919" s="237">
        <v>114.11</v>
      </c>
      <c r="BO2919" s="237" t="s">
        <v>352</v>
      </c>
      <c r="BT2919" s="347">
        <v>910.33</v>
      </c>
      <c r="BU2919" s="347" t="s">
        <v>376</v>
      </c>
      <c r="CD2919" s="237">
        <v>180.02</v>
      </c>
      <c r="CE2919" s="237" t="s">
        <v>352</v>
      </c>
      <c r="CJ2919" s="347">
        <v>9704.02</v>
      </c>
      <c r="CK2919" s="347" t="s">
        <v>373</v>
      </c>
      <c r="CL2919" s="1789"/>
      <c r="CR2919" s="345"/>
      <c r="CS2919" s="345"/>
      <c r="CX2919" s="347"/>
      <c r="CY2919" s="347"/>
      <c r="DH2919" s="237"/>
      <c r="DI2919" s="237"/>
      <c r="DN2919" s="347"/>
      <c r="DO2919" s="347"/>
      <c r="DP2919" s="2505"/>
    </row>
    <row r="2920" spans="30:120">
      <c r="AD2920" s="1138"/>
      <c r="AP2920" s="347">
        <v>910.34</v>
      </c>
      <c r="AQ2920" s="347" t="s">
        <v>376</v>
      </c>
      <c r="BF2920" s="347">
        <v>9703.02</v>
      </c>
      <c r="BG2920" s="347" t="s">
        <v>327</v>
      </c>
      <c r="BH2920" s="1790"/>
      <c r="BN2920" s="237">
        <v>114.12</v>
      </c>
      <c r="BO2920" s="237" t="s">
        <v>352</v>
      </c>
      <c r="BT2920" s="347">
        <v>910.35</v>
      </c>
      <c r="BU2920" s="347" t="s">
        <v>376</v>
      </c>
      <c r="CD2920" s="237">
        <v>180.03</v>
      </c>
      <c r="CE2920" s="237" t="s">
        <v>352</v>
      </c>
      <c r="CJ2920" s="347">
        <v>9705</v>
      </c>
      <c r="CK2920" s="347" t="s">
        <v>354</v>
      </c>
      <c r="CL2920" s="1789"/>
      <c r="CR2920" s="345"/>
      <c r="CS2920" s="345"/>
      <c r="CX2920" s="347"/>
      <c r="CY2920" s="347"/>
      <c r="DH2920" s="237"/>
      <c r="DI2920" s="237"/>
      <c r="DN2920" s="347"/>
      <c r="DO2920" s="347"/>
      <c r="DP2920" s="2505"/>
    </row>
    <row r="2921" spans="30:120">
      <c r="AD2921" s="1138"/>
      <c r="AP2921" s="347">
        <v>910.35</v>
      </c>
      <c r="AQ2921" s="347" t="s">
        <v>376</v>
      </c>
      <c r="BF2921" s="347">
        <v>9703.02</v>
      </c>
      <c r="BG2921" s="347" t="s">
        <v>379</v>
      </c>
      <c r="BH2921" s="1790"/>
      <c r="BN2921" s="237">
        <v>115</v>
      </c>
      <c r="BO2921" s="237" t="s">
        <v>352</v>
      </c>
      <c r="BT2921" s="347">
        <v>910.36</v>
      </c>
      <c r="BU2921" s="347" t="s">
        <v>376</v>
      </c>
      <c r="CD2921" s="237">
        <v>181</v>
      </c>
      <c r="CE2921" s="237" t="s">
        <v>352</v>
      </c>
      <c r="CJ2921" s="347">
        <v>9705.01</v>
      </c>
      <c r="CK2921" s="347" t="s">
        <v>346</v>
      </c>
      <c r="CL2921" s="1789"/>
      <c r="CR2921" s="345"/>
      <c r="CS2921" s="345"/>
      <c r="CX2921" s="347"/>
      <c r="CY2921" s="347"/>
      <c r="DH2921" s="237"/>
      <c r="DI2921" s="237"/>
      <c r="DN2921" s="347"/>
      <c r="DO2921" s="347"/>
      <c r="DP2921" s="2505"/>
    </row>
    <row r="2922" spans="30:120">
      <c r="AD2922" s="1138"/>
      <c r="AP2922" s="347">
        <v>910.36</v>
      </c>
      <c r="AQ2922" s="347" t="s">
        <v>376</v>
      </c>
      <c r="BF2922" s="347">
        <v>9703.0300000000007</v>
      </c>
      <c r="BG2922" s="347" t="s">
        <v>346</v>
      </c>
      <c r="BH2922" s="1790"/>
      <c r="BN2922" s="237">
        <v>116.01</v>
      </c>
      <c r="BO2922" s="237" t="s">
        <v>352</v>
      </c>
      <c r="BT2922" s="347">
        <v>910.37</v>
      </c>
      <c r="BU2922" s="347" t="s">
        <v>376</v>
      </c>
      <c r="CD2922" s="237">
        <v>181</v>
      </c>
      <c r="CE2922" s="237" t="s">
        <v>359</v>
      </c>
      <c r="CJ2922" s="347">
        <v>9705.01</v>
      </c>
      <c r="CK2922" s="347" t="s">
        <v>373</v>
      </c>
      <c r="CL2922" s="1789"/>
      <c r="CR2922" s="345"/>
      <c r="CS2922" s="345"/>
      <c r="CX2922" s="347"/>
      <c r="CY2922" s="347"/>
      <c r="DH2922" s="237"/>
      <c r="DI2922" s="237"/>
      <c r="DN2922" s="347"/>
      <c r="DO2922" s="347"/>
      <c r="DP2922" s="2505"/>
    </row>
    <row r="2923" spans="30:120">
      <c r="AD2923" s="1138"/>
      <c r="AP2923" s="347">
        <v>910.37</v>
      </c>
      <c r="AQ2923" s="347" t="s">
        <v>376</v>
      </c>
      <c r="BF2923" s="347">
        <v>9703.0400000000009</v>
      </c>
      <c r="BG2923" s="347" t="s">
        <v>327</v>
      </c>
      <c r="BH2923" s="1790"/>
      <c r="BN2923" s="237">
        <v>116.02</v>
      </c>
      <c r="BO2923" s="237" t="s">
        <v>352</v>
      </c>
      <c r="BT2923" s="347">
        <v>910.38</v>
      </c>
      <c r="BU2923" s="347" t="s">
        <v>376</v>
      </c>
      <c r="CD2923" s="237">
        <v>182</v>
      </c>
      <c r="CE2923" s="237" t="s">
        <v>352</v>
      </c>
      <c r="CJ2923" s="347">
        <v>9705.02</v>
      </c>
      <c r="CK2923" s="347" t="s">
        <v>346</v>
      </c>
      <c r="CL2923" s="1789"/>
      <c r="CR2923" s="345"/>
      <c r="CS2923" s="345"/>
      <c r="CX2923" s="347"/>
      <c r="CY2923" s="347"/>
      <c r="DH2923" s="237"/>
      <c r="DI2923" s="237"/>
      <c r="DN2923" s="347"/>
      <c r="DO2923" s="347"/>
      <c r="DP2923" s="2505"/>
    </row>
    <row r="2924" spans="30:120">
      <c r="AD2924" s="1138"/>
      <c r="AP2924" s="347">
        <v>910.38</v>
      </c>
      <c r="AQ2924" s="347" t="s">
        <v>376</v>
      </c>
      <c r="BF2924" s="347">
        <v>9704</v>
      </c>
      <c r="BG2924" s="347" t="s">
        <v>346</v>
      </c>
      <c r="BH2924" s="1790"/>
      <c r="BN2924" s="237">
        <v>117.01</v>
      </c>
      <c r="BO2924" s="237" t="s">
        <v>352</v>
      </c>
      <c r="BT2924" s="347">
        <v>102.04</v>
      </c>
      <c r="BU2924" s="347" t="s">
        <v>377</v>
      </c>
      <c r="CD2924" s="237">
        <v>182.01</v>
      </c>
      <c r="CE2924" s="237" t="s">
        <v>359</v>
      </c>
      <c r="CJ2924" s="347">
        <v>9705.02</v>
      </c>
      <c r="CK2924" s="347" t="s">
        <v>373</v>
      </c>
      <c r="CL2924" s="1789"/>
      <c r="CR2924" s="345"/>
      <c r="CS2924" s="345"/>
      <c r="CX2924" s="347"/>
      <c r="CY2924" s="347"/>
      <c r="DH2924" s="237"/>
      <c r="DI2924" s="237"/>
      <c r="DN2924" s="347"/>
      <c r="DO2924" s="347"/>
      <c r="DP2924" s="2505"/>
    </row>
    <row r="2925" spans="30:120">
      <c r="AD2925" s="1138"/>
      <c r="AP2925" s="347">
        <v>910.39</v>
      </c>
      <c r="AQ2925" s="347" t="s">
        <v>376</v>
      </c>
      <c r="BF2925" s="347">
        <v>9704.01</v>
      </c>
      <c r="BG2925" s="347" t="s">
        <v>373</v>
      </c>
      <c r="BH2925" s="1790"/>
      <c r="BN2925" s="237">
        <v>117.02</v>
      </c>
      <c r="BO2925" s="237" t="s">
        <v>352</v>
      </c>
      <c r="BT2925" s="347">
        <v>102.05</v>
      </c>
      <c r="BU2925" s="347" t="s">
        <v>377</v>
      </c>
      <c r="CD2925" s="237">
        <v>182.02</v>
      </c>
      <c r="CE2925" s="237" t="s">
        <v>359</v>
      </c>
      <c r="CJ2925" s="347">
        <v>9706.01</v>
      </c>
      <c r="CK2925" s="347" t="s">
        <v>373</v>
      </c>
      <c r="CL2925" s="1789"/>
      <c r="CR2925" s="345"/>
      <c r="CS2925" s="345"/>
      <c r="CX2925" s="347"/>
      <c r="CY2925" s="347"/>
      <c r="DH2925" s="237"/>
      <c r="DI2925" s="237"/>
      <c r="DN2925" s="347"/>
      <c r="DO2925" s="347"/>
      <c r="DP2925" s="2505"/>
    </row>
    <row r="2926" spans="30:120">
      <c r="AD2926" s="1138"/>
      <c r="AP2926" s="347">
        <v>925</v>
      </c>
      <c r="AQ2926" s="347" t="s">
        <v>376</v>
      </c>
      <c r="BF2926" s="347">
        <v>9704.02</v>
      </c>
      <c r="BG2926" s="347" t="s">
        <v>333</v>
      </c>
      <c r="BH2926" s="1790"/>
      <c r="BN2926" s="237">
        <v>118</v>
      </c>
      <c r="BO2926" s="237" t="s">
        <v>352</v>
      </c>
      <c r="BT2926" s="347">
        <v>102.06</v>
      </c>
      <c r="BU2926" s="347" t="s">
        <v>377</v>
      </c>
      <c r="CD2926" s="237">
        <v>182.03</v>
      </c>
      <c r="CE2926" s="237" t="s">
        <v>359</v>
      </c>
      <c r="CJ2926" s="347">
        <v>9706.02</v>
      </c>
      <c r="CK2926" s="347" t="s">
        <v>373</v>
      </c>
      <c r="CL2926" s="1789"/>
      <c r="CR2926" s="345"/>
      <c r="CS2926" s="345"/>
      <c r="CX2926" s="347"/>
      <c r="CY2926" s="347"/>
      <c r="DH2926" s="237"/>
      <c r="DI2926" s="237"/>
      <c r="DN2926" s="347"/>
      <c r="DO2926" s="347"/>
      <c r="DP2926" s="2505"/>
    </row>
    <row r="2927" spans="30:120">
      <c r="AD2927" s="1138"/>
      <c r="AP2927" s="347">
        <v>101.01</v>
      </c>
      <c r="AQ2927" s="347" t="s">
        <v>377</v>
      </c>
      <c r="BF2927" s="347">
        <v>9704.02</v>
      </c>
      <c r="BG2927" s="347" t="s">
        <v>373</v>
      </c>
      <c r="BH2927" s="1790"/>
      <c r="BN2927" s="237">
        <v>119</v>
      </c>
      <c r="BO2927" s="237" t="s">
        <v>352</v>
      </c>
      <c r="BT2927" s="347">
        <v>102.08</v>
      </c>
      <c r="BU2927" s="347" t="s">
        <v>377</v>
      </c>
      <c r="CD2927" s="237">
        <v>182.04</v>
      </c>
      <c r="CE2927" s="237" t="s">
        <v>359</v>
      </c>
      <c r="CJ2927" s="347">
        <v>9708</v>
      </c>
      <c r="CK2927" s="347" t="s">
        <v>354</v>
      </c>
      <c r="CL2927" s="1789"/>
      <c r="CR2927" s="345"/>
      <c r="CS2927" s="345"/>
      <c r="CX2927" s="347"/>
      <c r="CY2927" s="347"/>
      <c r="DH2927" s="237"/>
      <c r="DI2927" s="237"/>
      <c r="DN2927" s="347"/>
      <c r="DO2927" s="347"/>
      <c r="DP2927" s="2505"/>
    </row>
    <row r="2928" spans="30:120">
      <c r="AD2928" s="1138"/>
      <c r="AP2928" s="347">
        <v>102.04</v>
      </c>
      <c r="AQ2928" s="347" t="s">
        <v>377</v>
      </c>
      <c r="BF2928" s="347">
        <v>9705</v>
      </c>
      <c r="BG2928" s="347" t="s">
        <v>354</v>
      </c>
      <c r="BH2928" s="1790"/>
      <c r="BN2928" s="237">
        <v>120.01</v>
      </c>
      <c r="BO2928" s="237" t="s">
        <v>352</v>
      </c>
      <c r="BT2928" s="347">
        <v>102.09</v>
      </c>
      <c r="BU2928" s="347" t="s">
        <v>377</v>
      </c>
      <c r="CD2928" s="237">
        <v>183</v>
      </c>
      <c r="CE2928" s="237" t="s">
        <v>352</v>
      </c>
      <c r="CJ2928" s="347">
        <v>9709</v>
      </c>
      <c r="CK2928" s="347" t="s">
        <v>354</v>
      </c>
      <c r="CL2928" s="1789"/>
      <c r="CR2928" s="345"/>
      <c r="CS2928" s="345"/>
      <c r="CX2928" s="347"/>
      <c r="CY2928" s="347"/>
      <c r="DH2928" s="237"/>
      <c r="DI2928" s="237"/>
      <c r="DN2928" s="347"/>
      <c r="DO2928" s="347"/>
      <c r="DP2928" s="2505"/>
    </row>
    <row r="2929" spans="30:120">
      <c r="AD2929" s="1138"/>
      <c r="AP2929" s="347">
        <v>102.05</v>
      </c>
      <c r="AQ2929" s="347" t="s">
        <v>377</v>
      </c>
      <c r="BF2929" s="347">
        <v>9705.01</v>
      </c>
      <c r="BG2929" s="347" t="s">
        <v>346</v>
      </c>
      <c r="BH2929" s="1790"/>
      <c r="BN2929" s="237">
        <v>120.02</v>
      </c>
      <c r="BO2929" s="237" t="s">
        <v>352</v>
      </c>
      <c r="BT2929" s="347">
        <v>9501.02</v>
      </c>
      <c r="BU2929" s="347" t="s">
        <v>378</v>
      </c>
      <c r="CD2929" s="237">
        <v>183</v>
      </c>
      <c r="CE2929" s="237" t="s">
        <v>359</v>
      </c>
      <c r="CJ2929" s="347">
        <v>9710.01</v>
      </c>
      <c r="CK2929" s="347" t="s">
        <v>354</v>
      </c>
      <c r="CL2929" s="1789"/>
      <c r="CR2929" s="345"/>
      <c r="CS2929" s="345"/>
      <c r="CX2929" s="347"/>
      <c r="CY2929" s="347"/>
      <c r="DH2929" s="237"/>
      <c r="DI2929" s="237"/>
      <c r="DN2929" s="347"/>
      <c r="DO2929" s="347"/>
      <c r="DP2929" s="2505"/>
    </row>
    <row r="2930" spans="30:120">
      <c r="AD2930" s="1138"/>
      <c r="AP2930" s="347">
        <v>102.07</v>
      </c>
      <c r="AQ2930" s="347" t="s">
        <v>377</v>
      </c>
      <c r="BF2930" s="347">
        <v>9705.01</v>
      </c>
      <c r="BG2930" s="347" t="s">
        <v>373</v>
      </c>
      <c r="BH2930" s="1790"/>
      <c r="BN2930" s="237">
        <v>121.01</v>
      </c>
      <c r="BO2930" s="237" t="s">
        <v>352</v>
      </c>
      <c r="BT2930" s="347">
        <v>9505.02</v>
      </c>
      <c r="BU2930" s="347" t="s">
        <v>378</v>
      </c>
      <c r="CD2930" s="237">
        <v>184</v>
      </c>
      <c r="CE2930" s="237" t="s">
        <v>352</v>
      </c>
      <c r="CJ2930" s="347">
        <v>9710.02</v>
      </c>
      <c r="CK2930" s="347" t="s">
        <v>354</v>
      </c>
      <c r="CL2930" s="1789"/>
      <c r="CR2930" s="345"/>
      <c r="CS2930" s="345"/>
      <c r="CX2930" s="347"/>
      <c r="CY2930" s="347"/>
      <c r="DH2930" s="237"/>
      <c r="DI2930" s="237"/>
      <c r="DN2930" s="347"/>
      <c r="DO2930" s="347"/>
      <c r="DP2930" s="2505"/>
    </row>
    <row r="2931" spans="30:120">
      <c r="AD2931" s="1138"/>
      <c r="AP2931" s="347">
        <v>102.08</v>
      </c>
      <c r="AQ2931" s="347" t="s">
        <v>377</v>
      </c>
      <c r="BF2931" s="347">
        <v>9705.02</v>
      </c>
      <c r="BG2931" s="347" t="s">
        <v>346</v>
      </c>
      <c r="BH2931" s="1790"/>
      <c r="BN2931" s="237">
        <v>121.02</v>
      </c>
      <c r="BO2931" s="237" t="s">
        <v>352</v>
      </c>
      <c r="BT2931" s="347">
        <v>9506.0400000000009</v>
      </c>
      <c r="BU2931" s="347" t="s">
        <v>378</v>
      </c>
      <c r="CD2931" s="237">
        <v>184</v>
      </c>
      <c r="CE2931" s="237" t="s">
        <v>359</v>
      </c>
      <c r="CJ2931" s="347">
        <v>9714.01</v>
      </c>
      <c r="CK2931" s="347" t="s">
        <v>354</v>
      </c>
      <c r="CL2931" s="1789"/>
      <c r="CR2931" s="345"/>
      <c r="CS2931" s="345"/>
      <c r="CX2931" s="347"/>
      <c r="CY2931" s="347"/>
      <c r="DH2931" s="237"/>
      <c r="DI2931" s="237"/>
      <c r="DN2931" s="347"/>
      <c r="DO2931" s="347"/>
      <c r="DP2931" s="2505"/>
    </row>
    <row r="2932" spans="30:120">
      <c r="AD2932" s="1138"/>
      <c r="AP2932" s="347">
        <v>102.09</v>
      </c>
      <c r="AQ2932" s="347" t="s">
        <v>377</v>
      </c>
      <c r="BF2932" s="347">
        <v>9705.02</v>
      </c>
      <c r="BG2932" s="347" t="s">
        <v>373</v>
      </c>
      <c r="BH2932" s="1790"/>
      <c r="BN2932" s="237">
        <v>121.03</v>
      </c>
      <c r="BO2932" s="237" t="s">
        <v>352</v>
      </c>
      <c r="BT2932" s="347">
        <v>9506.0499999999993</v>
      </c>
      <c r="BU2932" s="347" t="s">
        <v>378</v>
      </c>
      <c r="CD2932" s="237">
        <v>185</v>
      </c>
      <c r="CE2932" s="237" t="s">
        <v>352</v>
      </c>
      <c r="CJ2932" s="347">
        <v>9714.02</v>
      </c>
      <c r="CK2932" s="347" t="s">
        <v>354</v>
      </c>
      <c r="CL2932" s="1789"/>
      <c r="CR2932" s="345"/>
      <c r="CS2932" s="345"/>
      <c r="CX2932" s="347"/>
      <c r="CY2932" s="347"/>
      <c r="DH2932" s="237"/>
      <c r="DI2932" s="237"/>
      <c r="DN2932" s="347"/>
      <c r="DO2932" s="347"/>
      <c r="DP2932" s="2505"/>
    </row>
    <row r="2933" spans="30:120">
      <c r="AD2933" s="1138"/>
      <c r="AP2933" s="347">
        <v>9501.02</v>
      </c>
      <c r="AQ2933" s="347" t="s">
        <v>378</v>
      </c>
      <c r="BF2933" s="347">
        <v>9706.01</v>
      </c>
      <c r="BG2933" s="347" t="s">
        <v>373</v>
      </c>
      <c r="BH2933" s="1790"/>
      <c r="BN2933" s="237">
        <v>121.04</v>
      </c>
      <c r="BO2933" s="237" t="s">
        <v>352</v>
      </c>
      <c r="BT2933" s="347">
        <v>9506.06</v>
      </c>
      <c r="BU2933" s="347" t="s">
        <v>378</v>
      </c>
      <c r="CD2933" s="237">
        <v>185</v>
      </c>
      <c r="CE2933" s="237" t="s">
        <v>359</v>
      </c>
      <c r="CJ2933" s="347">
        <v>9715.01</v>
      </c>
      <c r="CK2933" s="347" t="s">
        <v>354</v>
      </c>
      <c r="CL2933" s="1789"/>
      <c r="CR2933" s="345"/>
      <c r="CS2933" s="345"/>
      <c r="CX2933" s="347"/>
      <c r="CY2933" s="347"/>
      <c r="DH2933" s="237"/>
      <c r="DI2933" s="237"/>
      <c r="DN2933" s="347"/>
      <c r="DO2933" s="347"/>
      <c r="DP2933" s="2505"/>
    </row>
    <row r="2934" spans="30:120">
      <c r="AD2934" s="1138"/>
      <c r="AP2934" s="347">
        <v>9503.0300000000007</v>
      </c>
      <c r="AQ2934" s="347" t="s">
        <v>378</v>
      </c>
      <c r="BF2934" s="347">
        <v>9706.02</v>
      </c>
      <c r="BG2934" s="347" t="s">
        <v>373</v>
      </c>
      <c r="BH2934" s="1790"/>
      <c r="BN2934" s="237">
        <v>121.05</v>
      </c>
      <c r="BO2934" s="237" t="s">
        <v>352</v>
      </c>
      <c r="BT2934" s="347">
        <v>9506.07</v>
      </c>
      <c r="BU2934" s="347" t="s">
        <v>378</v>
      </c>
      <c r="CD2934" s="237">
        <v>186.01</v>
      </c>
      <c r="CE2934" s="237" t="s">
        <v>352</v>
      </c>
      <c r="CJ2934" s="347">
        <v>9715.02</v>
      </c>
      <c r="CK2934" s="347" t="s">
        <v>354</v>
      </c>
      <c r="CL2934" s="1789"/>
      <c r="CR2934" s="345"/>
      <c r="CS2934" s="345"/>
      <c r="CX2934" s="347"/>
      <c r="CY2934" s="347"/>
      <c r="DH2934" s="237"/>
      <c r="DI2934" s="237"/>
      <c r="DN2934" s="347"/>
      <c r="DO2934" s="347"/>
      <c r="DP2934" s="2505"/>
    </row>
    <row r="2935" spans="30:120">
      <c r="AD2935" s="1138"/>
      <c r="AP2935" s="347">
        <v>9503.06</v>
      </c>
      <c r="AQ2935" s="347" t="s">
        <v>378</v>
      </c>
      <c r="BF2935" s="347">
        <v>9708</v>
      </c>
      <c r="BG2935" s="347" t="s">
        <v>354</v>
      </c>
      <c r="BH2935" s="1790"/>
      <c r="BN2935" s="237">
        <v>122</v>
      </c>
      <c r="BO2935" s="237" t="s">
        <v>352</v>
      </c>
      <c r="BT2935" s="347">
        <v>9506.08</v>
      </c>
      <c r="BU2935" s="347" t="s">
        <v>378</v>
      </c>
      <c r="CD2935" s="237">
        <v>186.02</v>
      </c>
      <c r="CE2935" s="237" t="s">
        <v>352</v>
      </c>
      <c r="CJ2935" s="347">
        <v>9716</v>
      </c>
      <c r="CK2935" s="347" t="s">
        <v>354</v>
      </c>
      <c r="CL2935" s="1789"/>
      <c r="CR2935" s="345"/>
      <c r="CS2935" s="345"/>
      <c r="CX2935" s="347"/>
      <c r="CY2935" s="347"/>
      <c r="DH2935" s="237"/>
      <c r="DI2935" s="237"/>
      <c r="DN2935" s="347"/>
      <c r="DO2935" s="347"/>
      <c r="DP2935" s="2505"/>
    </row>
    <row r="2936" spans="30:120">
      <c r="AD2936" s="1138"/>
      <c r="AP2936" s="347">
        <v>9505.01</v>
      </c>
      <c r="AQ2936" s="347" t="s">
        <v>378</v>
      </c>
      <c r="BF2936" s="347">
        <v>9709</v>
      </c>
      <c r="BG2936" s="347" t="s">
        <v>354</v>
      </c>
      <c r="BH2936" s="1790"/>
      <c r="BN2936" s="237">
        <v>123.01</v>
      </c>
      <c r="BO2936" s="237" t="s">
        <v>352</v>
      </c>
      <c r="BT2936" s="347">
        <v>9506.09</v>
      </c>
      <c r="BU2936" s="347" t="s">
        <v>378</v>
      </c>
      <c r="CD2936" s="237">
        <v>187</v>
      </c>
      <c r="CE2936" s="237" t="s">
        <v>352</v>
      </c>
      <c r="CJ2936" s="347">
        <v>9717</v>
      </c>
      <c r="CK2936" s="347" t="s">
        <v>354</v>
      </c>
      <c r="CL2936" s="1789"/>
      <c r="CR2936" s="345"/>
      <c r="CS2936" s="345"/>
      <c r="CX2936" s="347"/>
      <c r="CY2936" s="347"/>
      <c r="DH2936" s="237"/>
      <c r="DI2936" s="237"/>
      <c r="DN2936" s="347"/>
      <c r="DO2936" s="347"/>
      <c r="DP2936" s="2505"/>
    </row>
    <row r="2937" spans="30:120">
      <c r="AD2937" s="1138"/>
      <c r="AP2937" s="347">
        <v>9505.02</v>
      </c>
      <c r="AQ2937" s="347" t="s">
        <v>378</v>
      </c>
      <c r="BF2937" s="347">
        <v>9710.01</v>
      </c>
      <c r="BG2937" s="347" t="s">
        <v>354</v>
      </c>
      <c r="BH2937" s="1790"/>
      <c r="BN2937" s="237">
        <v>123.02</v>
      </c>
      <c r="BO2937" s="237" t="s">
        <v>352</v>
      </c>
      <c r="BT2937" s="347">
        <v>9506.1</v>
      </c>
      <c r="BU2937" s="347" t="s">
        <v>378</v>
      </c>
      <c r="CD2937" s="237">
        <v>187</v>
      </c>
      <c r="CE2937" s="237" t="s">
        <v>359</v>
      </c>
      <c r="CJ2937" s="347">
        <v>9720</v>
      </c>
      <c r="CK2937" s="347" t="s">
        <v>354</v>
      </c>
      <c r="CL2937" s="1789"/>
      <c r="CR2937" s="345"/>
      <c r="CS2937" s="345"/>
      <c r="CX2937" s="347"/>
      <c r="CY2937" s="347"/>
      <c r="DH2937" s="237"/>
      <c r="DI2937" s="237"/>
      <c r="DN2937" s="347"/>
      <c r="DO2937" s="347"/>
      <c r="DP2937" s="2505"/>
    </row>
    <row r="2938" spans="30:120">
      <c r="AD2938" s="1138"/>
      <c r="AP2938" s="347">
        <v>9506.0400000000009</v>
      </c>
      <c r="AQ2938" s="347" t="s">
        <v>378</v>
      </c>
      <c r="BF2938" s="347">
        <v>9710.02</v>
      </c>
      <c r="BG2938" s="347" t="s">
        <v>354</v>
      </c>
      <c r="BH2938" s="1790"/>
      <c r="BN2938" s="237">
        <v>124.01</v>
      </c>
      <c r="BO2938" s="237" t="s">
        <v>352</v>
      </c>
      <c r="BT2938" s="347">
        <v>9506.11</v>
      </c>
      <c r="BU2938" s="347" t="s">
        <v>378</v>
      </c>
      <c r="CD2938" s="237">
        <v>188</v>
      </c>
      <c r="CE2938" s="237" t="s">
        <v>359</v>
      </c>
      <c r="CJ2938" s="347">
        <v>9721</v>
      </c>
      <c r="CK2938" s="347" t="s">
        <v>354</v>
      </c>
      <c r="CL2938" s="1789"/>
      <c r="CR2938" s="345"/>
      <c r="CS2938" s="345"/>
      <c r="CX2938" s="347"/>
      <c r="CY2938" s="347"/>
      <c r="DH2938" s="237"/>
      <c r="DI2938" s="237"/>
      <c r="DN2938" s="347"/>
      <c r="DO2938" s="347"/>
      <c r="DP2938" s="2505"/>
    </row>
    <row r="2939" spans="30:120">
      <c r="AD2939" s="1138"/>
      <c r="AP2939" s="347">
        <v>9506.0499999999993</v>
      </c>
      <c r="AQ2939" s="347" t="s">
        <v>378</v>
      </c>
      <c r="BF2939" s="347">
        <v>9714.01</v>
      </c>
      <c r="BG2939" s="347" t="s">
        <v>354</v>
      </c>
      <c r="BH2939" s="1790"/>
      <c r="BN2939" s="237">
        <v>124.02</v>
      </c>
      <c r="BO2939" s="237" t="s">
        <v>352</v>
      </c>
      <c r="BT2939" s="347">
        <v>9701.02</v>
      </c>
      <c r="BU2939" s="347" t="s">
        <v>379</v>
      </c>
      <c r="CD2939" s="237">
        <v>188.01</v>
      </c>
      <c r="CE2939" s="237" t="s">
        <v>352</v>
      </c>
      <c r="CJ2939" s="347">
        <v>9722</v>
      </c>
      <c r="CK2939" s="347" t="s">
        <v>354</v>
      </c>
      <c r="CL2939" s="1789"/>
      <c r="CR2939" s="345"/>
      <c r="CS2939" s="345"/>
      <c r="CX2939" s="347"/>
      <c r="CY2939" s="347"/>
      <c r="DH2939" s="237"/>
      <c r="DI2939" s="237"/>
      <c r="DN2939" s="347"/>
      <c r="DO2939" s="347"/>
      <c r="DP2939" s="2505"/>
    </row>
    <row r="2940" spans="30:120">
      <c r="AD2940" s="1138"/>
      <c r="AP2940" s="347">
        <v>9506.06</v>
      </c>
      <c r="AQ2940" s="347" t="s">
        <v>378</v>
      </c>
      <c r="BF2940" s="347">
        <v>9715.01</v>
      </c>
      <c r="BG2940" s="347" t="s">
        <v>354</v>
      </c>
      <c r="BH2940" s="1790"/>
      <c r="BN2940" s="237">
        <v>124.03</v>
      </c>
      <c r="BO2940" s="237" t="s">
        <v>352</v>
      </c>
      <c r="BT2940" s="347">
        <v>9701.0300000000007</v>
      </c>
      <c r="BU2940" s="347" t="s">
        <v>379</v>
      </c>
      <c r="CD2940" s="237">
        <v>188.02</v>
      </c>
      <c r="CE2940" s="237" t="s">
        <v>352</v>
      </c>
      <c r="CJ2940" s="347">
        <v>9725</v>
      </c>
      <c r="CK2940" s="347" t="s">
        <v>354</v>
      </c>
      <c r="CL2940" s="1789"/>
      <c r="CR2940" s="345"/>
      <c r="CS2940" s="345"/>
      <c r="CX2940" s="347"/>
      <c r="CY2940" s="347"/>
      <c r="DH2940" s="237"/>
      <c r="DI2940" s="237"/>
      <c r="DN2940" s="347"/>
      <c r="DO2940" s="347"/>
      <c r="DP2940" s="2505"/>
    </row>
    <row r="2941" spans="30:120">
      <c r="AD2941" s="1138"/>
      <c r="AP2941" s="347">
        <v>9506.07</v>
      </c>
      <c r="AQ2941" s="347" t="s">
        <v>378</v>
      </c>
      <c r="BF2941" s="347">
        <v>9715.02</v>
      </c>
      <c r="BG2941" s="347" t="s">
        <v>354</v>
      </c>
      <c r="BH2941" s="1790"/>
      <c r="BN2941" s="237">
        <v>125.01</v>
      </c>
      <c r="BO2941" s="237" t="s">
        <v>352</v>
      </c>
      <c r="BT2941" s="347">
        <v>9701.0400000000009</v>
      </c>
      <c r="BU2941" s="347" t="s">
        <v>379</v>
      </c>
      <c r="CD2941" s="237">
        <v>188.03</v>
      </c>
      <c r="CE2941" s="237" t="s">
        <v>352</v>
      </c>
      <c r="CJ2941" s="347">
        <v>9728</v>
      </c>
      <c r="CK2941" s="347" t="s">
        <v>354</v>
      </c>
      <c r="CL2941" s="1789"/>
      <c r="CR2941" s="345"/>
      <c r="CS2941" s="345"/>
      <c r="CX2941" s="347"/>
      <c r="CY2941" s="347"/>
      <c r="DH2941" s="237"/>
      <c r="DI2941" s="237"/>
      <c r="DN2941" s="347"/>
      <c r="DO2941" s="347"/>
      <c r="DP2941" s="2505"/>
    </row>
    <row r="2942" spans="30:120">
      <c r="AD2942" s="1138"/>
      <c r="AP2942" s="347">
        <v>9506.08</v>
      </c>
      <c r="AQ2942" s="347" t="s">
        <v>378</v>
      </c>
      <c r="BF2942" s="347">
        <v>9716</v>
      </c>
      <c r="BG2942" s="347" t="s">
        <v>354</v>
      </c>
      <c r="BH2942" s="1790"/>
      <c r="BN2942" s="237">
        <v>125.02</v>
      </c>
      <c r="BO2942" s="237" t="s">
        <v>352</v>
      </c>
      <c r="BT2942" s="347">
        <v>9703.01</v>
      </c>
      <c r="BU2942" s="347" t="s">
        <v>379</v>
      </c>
      <c r="CD2942" s="237">
        <v>189.01</v>
      </c>
      <c r="CE2942" s="237" t="s">
        <v>352</v>
      </c>
      <c r="CJ2942" s="347">
        <v>9800</v>
      </c>
      <c r="CK2942" s="347" t="s">
        <v>317</v>
      </c>
      <c r="CL2942" s="1789"/>
      <c r="CR2942" s="345"/>
      <c r="CS2942" s="345"/>
      <c r="CX2942" s="347"/>
      <c r="CY2942" s="347"/>
      <c r="DH2942" s="237"/>
      <c r="DI2942" s="237"/>
      <c r="DN2942" s="347"/>
      <c r="DO2942" s="347"/>
      <c r="DP2942" s="2505"/>
    </row>
    <row r="2943" spans="30:120">
      <c r="AD2943" s="1138"/>
      <c r="AP2943" s="347">
        <v>9506.09</v>
      </c>
      <c r="AQ2943" s="347" t="s">
        <v>378</v>
      </c>
      <c r="BF2943" s="347">
        <v>9720</v>
      </c>
      <c r="BG2943" s="347" t="s">
        <v>354</v>
      </c>
      <c r="BH2943" s="1790"/>
      <c r="BN2943" s="237">
        <v>126.01</v>
      </c>
      <c r="BO2943" s="237" t="s">
        <v>352</v>
      </c>
      <c r="BT2943" s="347">
        <v>9703.02</v>
      </c>
      <c r="BU2943" s="347" t="s">
        <v>379</v>
      </c>
      <c r="CD2943" s="237">
        <v>189.01</v>
      </c>
      <c r="CE2943" s="237" t="s">
        <v>359</v>
      </c>
      <c r="CJ2943" s="347">
        <v>9805</v>
      </c>
      <c r="CK2943" s="347" t="s">
        <v>352</v>
      </c>
      <c r="CL2943" s="1789"/>
      <c r="CR2943" s="345"/>
      <c r="CS2943" s="345"/>
      <c r="CX2943" s="347"/>
      <c r="CY2943" s="347"/>
      <c r="DH2943" s="237"/>
      <c r="DI2943" s="237"/>
      <c r="DN2943" s="347"/>
      <c r="DO2943" s="347"/>
      <c r="DP2943" s="2505"/>
    </row>
    <row r="2944" spans="30:120">
      <c r="AD2944" s="1138"/>
      <c r="AP2944" s="347">
        <v>9506.1</v>
      </c>
      <c r="AQ2944" s="347" t="s">
        <v>378</v>
      </c>
      <c r="BF2944" s="347">
        <v>9721</v>
      </c>
      <c r="BG2944" s="347" t="s">
        <v>354</v>
      </c>
      <c r="BH2944" s="1790"/>
      <c r="BN2944" s="237">
        <v>126.02</v>
      </c>
      <c r="BO2944" s="237" t="s">
        <v>352</v>
      </c>
      <c r="BT2944" s="2831" t="s">
        <v>2311</v>
      </c>
      <c r="BU2944" s="2832"/>
      <c r="CD2944" s="237">
        <v>189.02</v>
      </c>
      <c r="CE2944" s="237" t="s">
        <v>352</v>
      </c>
      <c r="CJ2944" s="2831" t="s">
        <v>2311</v>
      </c>
      <c r="CK2944" s="2832"/>
      <c r="CL2944" s="1789"/>
      <c r="CR2944" s="345"/>
      <c r="CS2944" s="345"/>
      <c r="CX2944" s="347"/>
      <c r="CY2944" s="347"/>
      <c r="DH2944" s="237"/>
      <c r="DI2944" s="237"/>
      <c r="DN2944" s="347"/>
      <c r="DO2944" s="347"/>
      <c r="DP2944" s="2505"/>
    </row>
    <row r="2945" spans="30:120">
      <c r="AD2945" s="1138"/>
      <c r="AP2945" s="347">
        <v>9506.11</v>
      </c>
      <c r="AQ2945" s="347" t="s">
        <v>378</v>
      </c>
      <c r="BF2945" s="347">
        <v>9722</v>
      </c>
      <c r="BG2945" s="347" t="s">
        <v>354</v>
      </c>
      <c r="BH2945" s="1790"/>
      <c r="BN2945" s="237">
        <v>127.01</v>
      </c>
      <c r="BO2945" s="237" t="s">
        <v>352</v>
      </c>
      <c r="BT2945" s="1795"/>
      <c r="BU2945" s="1795"/>
      <c r="CD2945" s="237">
        <v>189.02</v>
      </c>
      <c r="CE2945" s="237" t="s">
        <v>359</v>
      </c>
      <c r="CJ2945" s="1795"/>
      <c r="CK2945" s="1795"/>
      <c r="CL2945" s="1789"/>
      <c r="CR2945" s="345"/>
      <c r="CS2945" s="345"/>
      <c r="CX2945" s="347"/>
      <c r="CY2945" s="347"/>
      <c r="DH2945" s="237"/>
      <c r="DI2945" s="237"/>
      <c r="DN2945" s="347"/>
      <c r="DO2945" s="347"/>
      <c r="DP2945" s="2505"/>
    </row>
    <row r="2946" spans="30:120">
      <c r="AD2946" s="1138"/>
      <c r="AP2946" s="347">
        <v>9701.02</v>
      </c>
      <c r="AQ2946" s="347" t="s">
        <v>379</v>
      </c>
      <c r="BF2946" s="347">
        <v>9724</v>
      </c>
      <c r="BG2946" s="347" t="s">
        <v>354</v>
      </c>
      <c r="BH2946" s="1790"/>
      <c r="BN2946" s="237">
        <v>127.02</v>
      </c>
      <c r="BO2946" s="237" t="s">
        <v>352</v>
      </c>
      <c r="BT2946" s="1795"/>
      <c r="BU2946" s="1795"/>
      <c r="CD2946" s="237">
        <v>190</v>
      </c>
      <c r="CE2946" s="237" t="s">
        <v>352</v>
      </c>
      <c r="CJ2946" s="1795"/>
      <c r="CK2946" s="1795"/>
      <c r="CL2946" s="1789"/>
      <c r="CR2946" s="345"/>
      <c r="CS2946" s="345"/>
      <c r="CX2946" s="347"/>
      <c r="CY2946" s="347"/>
      <c r="DH2946" s="237"/>
      <c r="DI2946" s="237"/>
      <c r="DN2946" s="347"/>
      <c r="DO2946" s="347"/>
      <c r="DP2946" s="2505"/>
    </row>
    <row r="2947" spans="30:120">
      <c r="AD2947" s="1138"/>
      <c r="AP2947" s="347">
        <v>9701.0300000000007</v>
      </c>
      <c r="AQ2947" s="347" t="s">
        <v>379</v>
      </c>
      <c r="BF2947" s="347">
        <v>9725</v>
      </c>
      <c r="BG2947" s="347" t="s">
        <v>354</v>
      </c>
      <c r="BH2947" s="1790"/>
      <c r="BN2947" s="237">
        <v>128.01</v>
      </c>
      <c r="BO2947" s="237" t="s">
        <v>352</v>
      </c>
      <c r="BT2947" s="1795"/>
      <c r="BU2947" s="1795"/>
      <c r="CD2947" s="237">
        <v>190</v>
      </c>
      <c r="CE2947" s="237" t="s">
        <v>359</v>
      </c>
      <c r="CJ2947" s="1795"/>
      <c r="CK2947" s="1795"/>
      <c r="CL2947" s="1789"/>
      <c r="CR2947" s="345"/>
      <c r="CS2947" s="345"/>
      <c r="CX2947" s="347"/>
      <c r="CY2947" s="347"/>
      <c r="DH2947" s="237"/>
      <c r="DI2947" s="237"/>
      <c r="DN2947" s="347"/>
      <c r="DO2947" s="347"/>
      <c r="DP2947" s="2505"/>
    </row>
    <row r="2948" spans="30:120">
      <c r="AD2948" s="1138"/>
      <c r="AP2948" s="347">
        <v>9701.0400000000009</v>
      </c>
      <c r="AQ2948" s="347" t="s">
        <v>379</v>
      </c>
      <c r="BF2948" s="347">
        <v>9727</v>
      </c>
      <c r="BG2948" s="347" t="s">
        <v>354</v>
      </c>
      <c r="BH2948" s="1790"/>
      <c r="BN2948" s="237">
        <v>128.02000000000001</v>
      </c>
      <c r="BO2948" s="237" t="s">
        <v>352</v>
      </c>
      <c r="BT2948" s="1795"/>
      <c r="BU2948" s="1795"/>
      <c r="CD2948" s="237">
        <v>191</v>
      </c>
      <c r="CE2948" s="237" t="s">
        <v>352</v>
      </c>
      <c r="CJ2948" s="1795"/>
      <c r="CK2948" s="1795"/>
      <c r="CL2948" s="1789"/>
      <c r="CR2948" s="345"/>
      <c r="CS2948" s="345"/>
      <c r="CX2948" s="347"/>
      <c r="CY2948" s="347"/>
      <c r="DH2948" s="237"/>
      <c r="DI2948" s="237"/>
      <c r="DN2948" s="347"/>
      <c r="DO2948" s="347"/>
      <c r="DP2948" s="2505"/>
    </row>
    <row r="2949" spans="30:120">
      <c r="AD2949" s="1138"/>
      <c r="AP2949" s="347">
        <v>9703.01</v>
      </c>
      <c r="AQ2949" s="347" t="s">
        <v>379</v>
      </c>
      <c r="BF2949" s="347">
        <v>9728</v>
      </c>
      <c r="BG2949" s="347" t="s">
        <v>354</v>
      </c>
      <c r="BH2949" s="1790"/>
      <c r="BN2949" s="237">
        <v>129</v>
      </c>
      <c r="BO2949" s="237" t="s">
        <v>352</v>
      </c>
      <c r="BT2949" s="1795"/>
      <c r="BU2949" s="1795"/>
      <c r="CD2949" s="237">
        <v>192</v>
      </c>
      <c r="CE2949" s="237" t="s">
        <v>352</v>
      </c>
      <c r="CJ2949" s="1795"/>
      <c r="CK2949" s="1795"/>
      <c r="CL2949" s="1789"/>
      <c r="CR2949" s="345"/>
      <c r="CS2949" s="345"/>
      <c r="CX2949" s="347"/>
      <c r="CY2949" s="347"/>
      <c r="DH2949" s="237"/>
      <c r="DI2949" s="237"/>
      <c r="DN2949" s="347"/>
      <c r="DO2949" s="347"/>
      <c r="DP2949" s="2505"/>
    </row>
    <row r="2950" spans="30:120">
      <c r="AD2950" s="1138"/>
      <c r="AP2950" s="347">
        <v>9703.02</v>
      </c>
      <c r="AQ2950" s="347" t="s">
        <v>379</v>
      </c>
      <c r="BF2950" s="347">
        <v>9805</v>
      </c>
      <c r="BG2950" s="347" t="s">
        <v>352</v>
      </c>
      <c r="BH2950" s="1790"/>
      <c r="BN2950" s="237">
        <v>130</v>
      </c>
      <c r="BO2950" s="237" t="s">
        <v>352</v>
      </c>
      <c r="BT2950" s="1796"/>
      <c r="BU2950" s="1796"/>
      <c r="CD2950" s="237">
        <v>193.01</v>
      </c>
      <c r="CE2950" s="237" t="s">
        <v>352</v>
      </c>
      <c r="CJ2950" s="1795"/>
      <c r="CK2950" s="1795"/>
      <c r="CL2950" s="1789"/>
      <c r="CR2950" s="345"/>
      <c r="CS2950" s="345"/>
      <c r="CX2950" s="347"/>
      <c r="CY2950" s="347"/>
      <c r="DH2950" s="237"/>
      <c r="DI2950" s="237"/>
      <c r="DN2950" s="347"/>
      <c r="DO2950" s="347"/>
      <c r="DP2950" s="2505"/>
    </row>
    <row r="2951" spans="30:120">
      <c r="AD2951" s="1138"/>
      <c r="AP2951" s="2831" t="s">
        <v>2311</v>
      </c>
      <c r="AQ2951" s="2832"/>
      <c r="BF2951" s="2831" t="s">
        <v>2311</v>
      </c>
      <c r="BG2951" s="2832"/>
      <c r="BH2951" s="1790"/>
      <c r="BN2951" s="237">
        <v>131</v>
      </c>
      <c r="BO2951" s="237" t="s">
        <v>352</v>
      </c>
      <c r="CD2951" s="237">
        <v>193.02</v>
      </c>
      <c r="CE2951" s="237" t="s">
        <v>352</v>
      </c>
      <c r="CJ2951" s="1796"/>
      <c r="CK2951" s="1796"/>
      <c r="CL2951" s="1789"/>
      <c r="CR2951" s="345"/>
      <c r="CS2951" s="345"/>
      <c r="CX2951" s="347"/>
      <c r="CY2951" s="347"/>
      <c r="DH2951" s="237"/>
      <c r="DI2951" s="237"/>
      <c r="DN2951" s="347"/>
      <c r="DO2951" s="347"/>
      <c r="DP2951" s="2505"/>
    </row>
    <row r="2952" spans="30:120">
      <c r="AD2952" s="1138"/>
      <c r="BH2952" s="1790"/>
      <c r="BN2952" s="237">
        <v>132.01</v>
      </c>
      <c r="BO2952" s="237" t="s">
        <v>352</v>
      </c>
      <c r="CD2952" s="237">
        <v>194.01</v>
      </c>
      <c r="CE2952" s="237" t="s">
        <v>352</v>
      </c>
      <c r="CL2952" s="1789"/>
      <c r="CR2952" s="345"/>
      <c r="CS2952" s="345"/>
      <c r="CX2952" s="347"/>
      <c r="CY2952" s="347"/>
      <c r="DH2952" s="237"/>
      <c r="DI2952" s="237"/>
      <c r="DN2952" s="347"/>
      <c r="DO2952" s="347"/>
      <c r="DP2952" s="2505"/>
    </row>
    <row r="2953" spans="30:120">
      <c r="AD2953" s="1138"/>
      <c r="BH2953" s="1790"/>
      <c r="BN2953" s="237">
        <v>132.02000000000001</v>
      </c>
      <c r="BO2953" s="237" t="s">
        <v>352</v>
      </c>
      <c r="CD2953" s="237">
        <v>194.02</v>
      </c>
      <c r="CE2953" s="237" t="s">
        <v>352</v>
      </c>
      <c r="CL2953" s="1789"/>
      <c r="CR2953" s="345"/>
      <c r="CS2953" s="345"/>
      <c r="CX2953" s="347"/>
      <c r="CY2953" s="347"/>
      <c r="DH2953" s="237"/>
      <c r="DI2953" s="237"/>
      <c r="DN2953" s="347"/>
      <c r="DO2953" s="347"/>
      <c r="DP2953" s="2505"/>
    </row>
    <row r="2954" spans="30:120">
      <c r="AD2954" s="1138"/>
      <c r="BH2954" s="1790"/>
      <c r="BN2954" s="237">
        <v>133.01</v>
      </c>
      <c r="BO2954" s="237" t="s">
        <v>352</v>
      </c>
      <c r="CD2954" s="237">
        <v>195.01</v>
      </c>
      <c r="CE2954" s="237" t="s">
        <v>352</v>
      </c>
      <c r="CL2954" s="1789"/>
      <c r="CR2954" s="345"/>
      <c r="CS2954" s="345"/>
      <c r="CX2954" s="347"/>
      <c r="CY2954" s="347"/>
      <c r="DH2954" s="237"/>
      <c r="DI2954" s="237"/>
      <c r="DN2954" s="347"/>
      <c r="DO2954" s="347"/>
      <c r="DP2954" s="2505"/>
    </row>
    <row r="2955" spans="30:120">
      <c r="AD2955" s="1138"/>
      <c r="BH2955" s="1790"/>
      <c r="BN2955" s="237">
        <v>133.02000000000001</v>
      </c>
      <c r="BO2955" s="237" t="s">
        <v>352</v>
      </c>
      <c r="CD2955" s="237">
        <v>195.02</v>
      </c>
      <c r="CE2955" s="237" t="s">
        <v>352</v>
      </c>
      <c r="CL2955" s="1789"/>
      <c r="CR2955" s="345"/>
      <c r="CS2955" s="345"/>
      <c r="CX2955" s="347"/>
      <c r="CY2955" s="347"/>
      <c r="DH2955" s="237"/>
      <c r="DI2955" s="237"/>
      <c r="DN2955" s="347"/>
      <c r="DO2955" s="347"/>
      <c r="DP2955" s="2505"/>
    </row>
    <row r="2956" spans="30:120">
      <c r="AD2956" s="1138"/>
      <c r="BH2956" s="1790"/>
      <c r="BN2956" s="237">
        <v>134</v>
      </c>
      <c r="BO2956" s="237" t="s">
        <v>352</v>
      </c>
      <c r="CD2956" s="237">
        <v>196</v>
      </c>
      <c r="CE2956" s="237" t="s">
        <v>352</v>
      </c>
      <c r="CL2956" s="1789"/>
      <c r="CR2956" s="345"/>
      <c r="CS2956" s="345"/>
      <c r="CX2956" s="347"/>
      <c r="CY2956" s="347"/>
      <c r="DH2956" s="237"/>
      <c r="DI2956" s="237"/>
      <c r="DN2956" s="347"/>
      <c r="DO2956" s="347"/>
      <c r="DP2956" s="2505"/>
    </row>
    <row r="2957" spans="30:120">
      <c r="AD2957" s="1138"/>
      <c r="BH2957" s="1790"/>
      <c r="BN2957" s="237">
        <v>135</v>
      </c>
      <c r="BO2957" s="237" t="s">
        <v>352</v>
      </c>
      <c r="CD2957" s="237">
        <v>197</v>
      </c>
      <c r="CE2957" s="237" t="s">
        <v>352</v>
      </c>
      <c r="CL2957" s="1789"/>
      <c r="CR2957" s="345"/>
      <c r="CS2957" s="345"/>
      <c r="CX2957" s="347"/>
      <c r="CY2957" s="347"/>
      <c r="DH2957" s="237"/>
      <c r="DI2957" s="237"/>
      <c r="DN2957" s="347"/>
      <c r="DO2957" s="347"/>
      <c r="DP2957" s="2505"/>
    </row>
    <row r="2958" spans="30:120">
      <c r="AD2958" s="1138"/>
      <c r="BH2958" s="1790"/>
      <c r="BN2958" s="237">
        <v>136</v>
      </c>
      <c r="BO2958" s="237" t="s">
        <v>352</v>
      </c>
      <c r="CD2958" s="237">
        <v>198.01</v>
      </c>
      <c r="CE2958" s="237" t="s">
        <v>352</v>
      </c>
      <c r="CL2958" s="1789"/>
      <c r="CR2958" s="345"/>
      <c r="CS2958" s="345"/>
      <c r="CX2958" s="347"/>
      <c r="CY2958" s="347"/>
      <c r="DH2958" s="237"/>
      <c r="DI2958" s="237"/>
      <c r="DN2958" s="347"/>
      <c r="DO2958" s="347"/>
      <c r="DP2958" s="2505"/>
    </row>
    <row r="2959" spans="30:120">
      <c r="AD2959" s="1138"/>
      <c r="BH2959" s="1790"/>
      <c r="BN2959" s="237">
        <v>137</v>
      </c>
      <c r="BO2959" s="237" t="s">
        <v>352</v>
      </c>
      <c r="CD2959" s="237">
        <v>198.02</v>
      </c>
      <c r="CE2959" s="237" t="s">
        <v>352</v>
      </c>
      <c r="CL2959" s="1789"/>
      <c r="CR2959" s="345"/>
      <c r="CS2959" s="345"/>
      <c r="CX2959" s="347"/>
      <c r="CY2959" s="347"/>
      <c r="DH2959" s="237"/>
      <c r="DI2959" s="237"/>
      <c r="DN2959" s="347"/>
      <c r="DO2959" s="347"/>
      <c r="DP2959" s="2505"/>
    </row>
    <row r="2960" spans="30:120">
      <c r="AD2960" s="1138"/>
      <c r="BH2960" s="1790"/>
      <c r="BN2960" s="237">
        <v>138.01</v>
      </c>
      <c r="BO2960" s="237" t="s">
        <v>352</v>
      </c>
      <c r="CD2960" s="237">
        <v>199.01</v>
      </c>
      <c r="CE2960" s="237" t="s">
        <v>352</v>
      </c>
      <c r="CL2960" s="1789"/>
      <c r="CR2960" s="345"/>
      <c r="CS2960" s="345"/>
      <c r="CX2960" s="347"/>
      <c r="CY2960" s="347"/>
      <c r="DH2960" s="237"/>
      <c r="DI2960" s="237"/>
      <c r="DN2960" s="347"/>
      <c r="DO2960" s="347"/>
      <c r="DP2960" s="2505"/>
    </row>
    <row r="2961" spans="30:120">
      <c r="AD2961" s="1138"/>
      <c r="BH2961" s="1790"/>
      <c r="BN2961" s="237">
        <v>138.02000000000001</v>
      </c>
      <c r="BO2961" s="237" t="s">
        <v>352</v>
      </c>
      <c r="CD2961" s="237">
        <v>199.02</v>
      </c>
      <c r="CE2961" s="237" t="s">
        <v>352</v>
      </c>
      <c r="CL2961" s="1789"/>
      <c r="CR2961" s="345"/>
      <c r="CS2961" s="345"/>
      <c r="CX2961" s="347"/>
      <c r="CY2961" s="347"/>
      <c r="DH2961" s="237"/>
      <c r="DI2961" s="237"/>
      <c r="DN2961" s="347"/>
      <c r="DO2961" s="347"/>
      <c r="DP2961" s="2505"/>
    </row>
    <row r="2962" spans="30:120">
      <c r="AD2962" s="1138"/>
      <c r="BH2962" s="1790"/>
      <c r="BN2962" s="237">
        <v>139</v>
      </c>
      <c r="BO2962" s="237" t="s">
        <v>352</v>
      </c>
      <c r="CD2962" s="237">
        <v>200.01</v>
      </c>
      <c r="CE2962" s="237" t="s">
        <v>352</v>
      </c>
      <c r="CL2962" s="1789"/>
      <c r="CR2962" s="345"/>
      <c r="CS2962" s="345"/>
      <c r="CX2962" s="347"/>
      <c r="CY2962" s="347"/>
      <c r="DH2962" s="237"/>
      <c r="DI2962" s="237"/>
      <c r="DN2962" s="347"/>
      <c r="DO2962" s="347"/>
      <c r="DP2962" s="2505"/>
    </row>
    <row r="2963" spans="30:120">
      <c r="AD2963" s="1138"/>
      <c r="BH2963" s="1790"/>
      <c r="BN2963" s="237">
        <v>141</v>
      </c>
      <c r="BO2963" s="237" t="s">
        <v>352</v>
      </c>
      <c r="CD2963" s="237">
        <v>200.02</v>
      </c>
      <c r="CE2963" s="237" t="s">
        <v>352</v>
      </c>
      <c r="CL2963" s="1789"/>
      <c r="CR2963" s="345"/>
      <c r="CS2963" s="345"/>
      <c r="CX2963" s="347"/>
      <c r="CY2963" s="347"/>
      <c r="DH2963" s="237"/>
      <c r="DI2963" s="237"/>
      <c r="DN2963" s="347"/>
      <c r="DO2963" s="347"/>
      <c r="DP2963" s="2505"/>
    </row>
    <row r="2964" spans="30:120">
      <c r="AD2964" s="1138"/>
      <c r="BH2964" s="1790"/>
      <c r="BN2964" s="237">
        <v>142</v>
      </c>
      <c r="BO2964" s="237" t="s">
        <v>352</v>
      </c>
      <c r="CD2964" s="237">
        <v>201</v>
      </c>
      <c r="CE2964" s="237" t="s">
        <v>352</v>
      </c>
      <c r="CL2964" s="1789"/>
      <c r="CR2964" s="345"/>
      <c r="CS2964" s="345"/>
      <c r="CX2964" s="347"/>
      <c r="CY2964" s="347"/>
      <c r="DH2964" s="237"/>
      <c r="DI2964" s="237"/>
      <c r="DN2964" s="347"/>
      <c r="DO2964" s="347"/>
      <c r="DP2964" s="2505"/>
    </row>
    <row r="2965" spans="30:120">
      <c r="AD2965" s="1138"/>
      <c r="BH2965" s="1790"/>
      <c r="BN2965" s="237">
        <v>143</v>
      </c>
      <c r="BO2965" s="237" t="s">
        <v>352</v>
      </c>
      <c r="CD2965" s="345">
        <v>201.01</v>
      </c>
      <c r="CE2965" s="345" t="s">
        <v>310</v>
      </c>
      <c r="CL2965" s="1789"/>
      <c r="CR2965" s="345"/>
      <c r="CS2965" s="345"/>
      <c r="CX2965" s="347"/>
      <c r="CY2965" s="347"/>
      <c r="DH2965" s="237"/>
      <c r="DI2965" s="237"/>
      <c r="DN2965" s="347"/>
      <c r="DO2965" s="347"/>
      <c r="DP2965" s="2505"/>
    </row>
    <row r="2966" spans="30:120">
      <c r="AD2966" s="1138"/>
      <c r="BH2966" s="1790"/>
      <c r="BN2966" s="237">
        <v>144</v>
      </c>
      <c r="BO2966" s="237" t="s">
        <v>352</v>
      </c>
      <c r="CD2966" s="345">
        <v>201.01</v>
      </c>
      <c r="CE2966" s="345" t="s">
        <v>315</v>
      </c>
      <c r="CL2966" s="1789"/>
      <c r="CR2966" s="345"/>
      <c r="CS2966" s="345"/>
      <c r="CX2966" s="347"/>
      <c r="CY2966" s="347"/>
      <c r="DH2966" s="237"/>
      <c r="DI2966" s="237"/>
      <c r="DN2966" s="347"/>
      <c r="DO2966" s="347"/>
      <c r="DP2966" s="2505"/>
    </row>
    <row r="2967" spans="30:120">
      <c r="AD2967" s="1138"/>
      <c r="BH2967" s="1790"/>
      <c r="BN2967" s="237">
        <v>145</v>
      </c>
      <c r="BO2967" s="237" t="s">
        <v>352</v>
      </c>
      <c r="CD2967" s="237">
        <v>201.01</v>
      </c>
      <c r="CE2967" s="237" t="s">
        <v>328</v>
      </c>
      <c r="CL2967" s="1789"/>
      <c r="CR2967" s="345"/>
      <c r="CS2967" s="345"/>
      <c r="CX2967" s="347"/>
      <c r="CY2967" s="347"/>
      <c r="DH2967" s="237"/>
      <c r="DI2967" s="237"/>
      <c r="DN2967" s="347"/>
      <c r="DO2967" s="347"/>
      <c r="DP2967" s="2505"/>
    </row>
    <row r="2968" spans="30:120">
      <c r="AD2968" s="1138"/>
      <c r="BH2968" s="1790"/>
      <c r="BN2968" s="237">
        <v>146.01</v>
      </c>
      <c r="BO2968" s="237" t="s">
        <v>352</v>
      </c>
      <c r="CD2968" s="237">
        <v>201.01</v>
      </c>
      <c r="CE2968" s="237" t="s">
        <v>357</v>
      </c>
      <c r="CL2968" s="1789"/>
      <c r="CR2968" s="345"/>
      <c r="CS2968" s="345"/>
      <c r="CX2968" s="347"/>
      <c r="CY2968" s="347"/>
      <c r="DH2968" s="237"/>
      <c r="DI2968" s="237"/>
      <c r="DN2968" s="347"/>
      <c r="DO2968" s="347"/>
      <c r="DP2968" s="2505"/>
    </row>
    <row r="2969" spans="30:120">
      <c r="AD2969" s="1138"/>
      <c r="BH2969" s="1790"/>
      <c r="BN2969" s="237">
        <v>146.02000000000001</v>
      </c>
      <c r="BO2969" s="237" t="s">
        <v>352</v>
      </c>
      <c r="CD2969" s="237">
        <v>201.01</v>
      </c>
      <c r="CE2969" s="237" t="s">
        <v>369</v>
      </c>
      <c r="CL2969" s="1789"/>
      <c r="CR2969" s="345"/>
      <c r="CS2969" s="345"/>
      <c r="CX2969" s="347"/>
      <c r="CY2969" s="347"/>
      <c r="DH2969" s="237"/>
      <c r="DI2969" s="237"/>
      <c r="DN2969" s="347"/>
      <c r="DO2969" s="347"/>
      <c r="DP2969" s="2505"/>
    </row>
    <row r="2970" spans="30:120">
      <c r="AD2970" s="1138"/>
      <c r="BH2970" s="1790"/>
      <c r="BN2970" s="237">
        <v>147.01</v>
      </c>
      <c r="BO2970" s="237" t="s">
        <v>352</v>
      </c>
      <c r="CD2970" s="237">
        <v>201.02</v>
      </c>
      <c r="CE2970" s="237" t="s">
        <v>344</v>
      </c>
      <c r="CL2970" s="1789"/>
      <c r="CR2970" s="345"/>
      <c r="CS2970" s="345"/>
      <c r="CX2970" s="347"/>
      <c r="CY2970" s="347"/>
      <c r="DH2970" s="237"/>
      <c r="DI2970" s="237"/>
      <c r="DN2970" s="347"/>
      <c r="DO2970" s="347"/>
      <c r="DP2970" s="2505"/>
    </row>
    <row r="2971" spans="30:120">
      <c r="AD2971" s="1138"/>
      <c r="BH2971" s="1790"/>
      <c r="BN2971" s="237">
        <v>147.02000000000001</v>
      </c>
      <c r="BO2971" s="237" t="s">
        <v>352</v>
      </c>
      <c r="CD2971" s="237">
        <v>201.02</v>
      </c>
      <c r="CE2971" s="237" t="s">
        <v>357</v>
      </c>
      <c r="CL2971" s="1789"/>
      <c r="CR2971" s="345"/>
      <c r="CS2971" s="345"/>
      <c r="CX2971" s="347"/>
      <c r="CY2971" s="347"/>
      <c r="DH2971" s="237"/>
      <c r="DI2971" s="237"/>
      <c r="DN2971" s="347"/>
      <c r="DO2971" s="347"/>
      <c r="DP2971" s="2505"/>
    </row>
    <row r="2972" spans="30:120">
      <c r="AD2972" s="1138"/>
      <c r="BH2972" s="1790"/>
      <c r="BN2972" s="237">
        <v>148</v>
      </c>
      <c r="BO2972" s="237" t="s">
        <v>352</v>
      </c>
      <c r="CD2972" s="237">
        <v>201.02</v>
      </c>
      <c r="CE2972" s="237" t="s">
        <v>369</v>
      </c>
      <c r="CL2972" s="1789"/>
      <c r="CR2972" s="345"/>
      <c r="CS2972" s="345"/>
      <c r="CX2972" s="347"/>
      <c r="CY2972" s="347"/>
      <c r="DH2972" s="237"/>
      <c r="DI2972" s="237"/>
      <c r="DN2972" s="347"/>
      <c r="DO2972" s="347"/>
      <c r="DP2972" s="2505"/>
    </row>
    <row r="2973" spans="30:120">
      <c r="AD2973" s="1138"/>
      <c r="BH2973" s="1790"/>
      <c r="BN2973" s="237">
        <v>149</v>
      </c>
      <c r="BO2973" s="237" t="s">
        <v>352</v>
      </c>
      <c r="CD2973" s="345">
        <v>201.03</v>
      </c>
      <c r="CE2973" s="345" t="s">
        <v>310</v>
      </c>
      <c r="CL2973" s="1789"/>
      <c r="CR2973" s="345"/>
      <c r="CS2973" s="345"/>
      <c r="CX2973" s="347"/>
      <c r="CY2973" s="347"/>
      <c r="DH2973" s="237"/>
      <c r="DI2973" s="237"/>
      <c r="DN2973" s="347"/>
      <c r="DO2973" s="347"/>
      <c r="DP2973" s="2505"/>
    </row>
    <row r="2974" spans="30:120">
      <c r="AD2974" s="1138"/>
      <c r="BH2974" s="1790"/>
      <c r="BN2974" s="237">
        <v>150.01</v>
      </c>
      <c r="BO2974" s="237" t="s">
        <v>352</v>
      </c>
      <c r="CD2974" s="345">
        <v>201.03</v>
      </c>
      <c r="CE2974" s="345" t="s">
        <v>315</v>
      </c>
      <c r="CL2974" s="1789"/>
      <c r="CR2974" s="345"/>
      <c r="CS2974" s="345"/>
      <c r="CX2974" s="347"/>
      <c r="CY2974" s="347"/>
      <c r="DH2974" s="237"/>
      <c r="DI2974" s="237"/>
      <c r="DN2974" s="347"/>
      <c r="DO2974" s="347"/>
      <c r="DP2974" s="2505"/>
    </row>
    <row r="2975" spans="30:120">
      <c r="AD2975" s="1138"/>
      <c r="BH2975" s="1790"/>
      <c r="BN2975" s="237">
        <v>150.02000000000001</v>
      </c>
      <c r="BO2975" s="237" t="s">
        <v>352</v>
      </c>
      <c r="CD2975" s="237">
        <v>201.03</v>
      </c>
      <c r="CE2975" s="237" t="s">
        <v>328</v>
      </c>
      <c r="CL2975" s="1789"/>
      <c r="CR2975" s="345"/>
      <c r="CS2975" s="345"/>
      <c r="CX2975" s="347"/>
      <c r="CY2975" s="347"/>
      <c r="DH2975" s="237"/>
      <c r="DI2975" s="237"/>
      <c r="DN2975" s="347"/>
      <c r="DO2975" s="347"/>
      <c r="DP2975" s="2505"/>
    </row>
    <row r="2976" spans="30:120">
      <c r="AD2976" s="1138"/>
      <c r="BH2976" s="1790"/>
      <c r="BN2976" s="237">
        <v>151.01</v>
      </c>
      <c r="BO2976" s="237" t="s">
        <v>352</v>
      </c>
      <c r="CD2976" s="237">
        <v>201.03</v>
      </c>
      <c r="CE2976" s="237" t="s">
        <v>344</v>
      </c>
      <c r="CL2976" s="1789"/>
      <c r="CR2976" s="345"/>
      <c r="CS2976" s="345"/>
      <c r="CX2976" s="347"/>
      <c r="CY2976" s="347"/>
      <c r="DH2976" s="237"/>
      <c r="DI2976" s="237"/>
      <c r="DN2976" s="347"/>
      <c r="DO2976" s="347"/>
      <c r="DP2976" s="2505"/>
    </row>
    <row r="2977" spans="30:120">
      <c r="AD2977" s="1138"/>
      <c r="BH2977" s="1790"/>
      <c r="BN2977" s="237">
        <v>151.02000000000001</v>
      </c>
      <c r="BO2977" s="237" t="s">
        <v>352</v>
      </c>
      <c r="CD2977" s="345">
        <v>201.04</v>
      </c>
      <c r="CE2977" s="345" t="s">
        <v>310</v>
      </c>
      <c r="CL2977" s="1789"/>
      <c r="CR2977" s="345"/>
      <c r="CS2977" s="345"/>
      <c r="CX2977" s="347"/>
      <c r="CY2977" s="347"/>
      <c r="DH2977" s="237"/>
      <c r="DI2977" s="237"/>
      <c r="DN2977" s="347"/>
      <c r="DO2977" s="347"/>
      <c r="DP2977" s="2505"/>
    </row>
    <row r="2978" spans="30:120">
      <c r="AD2978" s="1138"/>
      <c r="BH2978" s="1790"/>
      <c r="BN2978" s="237">
        <v>151.03</v>
      </c>
      <c r="BO2978" s="237" t="s">
        <v>352</v>
      </c>
      <c r="CD2978" s="345">
        <v>201.04</v>
      </c>
      <c r="CE2978" s="345" t="s">
        <v>315</v>
      </c>
      <c r="CL2978" s="1789"/>
      <c r="CR2978" s="345"/>
      <c r="CS2978" s="345"/>
      <c r="CX2978" s="347"/>
      <c r="CY2978" s="347"/>
      <c r="DH2978" s="237"/>
      <c r="DI2978" s="237"/>
      <c r="DN2978" s="347"/>
      <c r="DO2978" s="347"/>
      <c r="DP2978" s="2505"/>
    </row>
    <row r="2979" spans="30:120">
      <c r="AD2979" s="1138"/>
      <c r="BH2979" s="1790"/>
      <c r="BN2979" s="237">
        <v>152.01</v>
      </c>
      <c r="BO2979" s="237" t="s">
        <v>352</v>
      </c>
      <c r="CD2979" s="237">
        <v>201.04</v>
      </c>
      <c r="CE2979" s="237" t="s">
        <v>328</v>
      </c>
      <c r="CL2979" s="1789"/>
      <c r="CR2979" s="345"/>
      <c r="CS2979" s="345"/>
      <c r="CX2979" s="347"/>
      <c r="CY2979" s="347"/>
      <c r="DH2979" s="237"/>
      <c r="DI2979" s="237"/>
      <c r="DN2979" s="347"/>
      <c r="DO2979" s="347"/>
      <c r="DP2979" s="2505"/>
    </row>
    <row r="2980" spans="30:120">
      <c r="AD2980" s="1138"/>
      <c r="BH2980" s="1790"/>
      <c r="BN2980" s="237">
        <v>152.02000000000001</v>
      </c>
      <c r="BO2980" s="237" t="s">
        <v>352</v>
      </c>
      <c r="CD2980" s="237">
        <v>201.04</v>
      </c>
      <c r="CE2980" s="237" t="s">
        <v>344</v>
      </c>
      <c r="CL2980" s="1789"/>
      <c r="CR2980" s="345"/>
      <c r="CS2980" s="345"/>
      <c r="CX2980" s="347"/>
      <c r="CY2980" s="347"/>
      <c r="DH2980" s="237"/>
      <c r="DI2980" s="237"/>
      <c r="DN2980" s="347"/>
      <c r="DO2980" s="347"/>
      <c r="DP2980" s="2505"/>
    </row>
    <row r="2981" spans="30:120">
      <c r="AD2981" s="1138"/>
      <c r="BH2981" s="1790"/>
      <c r="BN2981" s="237">
        <v>153</v>
      </c>
      <c r="BO2981" s="237" t="s">
        <v>352</v>
      </c>
      <c r="CD2981" s="237">
        <v>201.05</v>
      </c>
      <c r="CE2981" s="237" t="s">
        <v>363</v>
      </c>
      <c r="CL2981" s="1789"/>
      <c r="CR2981" s="345"/>
      <c r="CS2981" s="345"/>
      <c r="CX2981" s="347"/>
      <c r="CY2981" s="347"/>
      <c r="DH2981" s="237"/>
      <c r="DI2981" s="237"/>
      <c r="DN2981" s="347"/>
      <c r="DO2981" s="347"/>
      <c r="DP2981" s="2505"/>
    </row>
    <row r="2982" spans="30:120">
      <c r="AD2982" s="1138"/>
      <c r="BH2982" s="1790"/>
      <c r="BN2982" s="237">
        <v>154</v>
      </c>
      <c r="BO2982" s="237" t="s">
        <v>352</v>
      </c>
      <c r="CD2982" s="237">
        <v>201.06</v>
      </c>
      <c r="CE2982" s="237" t="s">
        <v>363</v>
      </c>
      <c r="CL2982" s="1789"/>
      <c r="CR2982" s="345"/>
      <c r="CS2982" s="345"/>
      <c r="CX2982" s="347"/>
      <c r="CY2982" s="347"/>
      <c r="DH2982" s="237"/>
      <c r="DI2982" s="237"/>
      <c r="DN2982" s="347"/>
      <c r="DO2982" s="347"/>
      <c r="DP2982" s="2505"/>
    </row>
    <row r="2983" spans="30:120">
      <c r="AD2983" s="1138"/>
      <c r="BH2983" s="1790"/>
      <c r="BN2983" s="237">
        <v>155.01</v>
      </c>
      <c r="BO2983" s="237" t="s">
        <v>352</v>
      </c>
      <c r="CD2983" s="237">
        <v>201.07</v>
      </c>
      <c r="CE2983" s="237" t="s">
        <v>363</v>
      </c>
      <c r="CL2983" s="1789"/>
      <c r="CR2983" s="345"/>
      <c r="CS2983" s="345"/>
      <c r="CX2983" s="347"/>
      <c r="CY2983" s="347"/>
      <c r="DH2983" s="237"/>
      <c r="DI2983" s="237"/>
      <c r="DN2983" s="347"/>
      <c r="DO2983" s="347"/>
      <c r="DP2983" s="2505"/>
    </row>
    <row r="2984" spans="30:120">
      <c r="AD2984" s="1138"/>
      <c r="BH2984" s="1790"/>
      <c r="BN2984" s="237">
        <v>155.02000000000001</v>
      </c>
      <c r="BO2984" s="237" t="s">
        <v>352</v>
      </c>
      <c r="CD2984" s="237">
        <v>201.08</v>
      </c>
      <c r="CE2984" s="237" t="s">
        <v>363</v>
      </c>
      <c r="CL2984" s="1789"/>
      <c r="CR2984" s="345"/>
      <c r="CS2984" s="345"/>
      <c r="CX2984" s="347"/>
      <c r="CY2984" s="347"/>
      <c r="DH2984" s="237"/>
      <c r="DI2984" s="237"/>
      <c r="DN2984" s="347"/>
      <c r="DO2984" s="347"/>
      <c r="DP2984" s="2505"/>
    </row>
    <row r="2985" spans="30:120">
      <c r="AD2985" s="1138"/>
      <c r="BH2985" s="1790"/>
      <c r="BN2985" s="237">
        <v>156</v>
      </c>
      <c r="BO2985" s="237" t="s">
        <v>352</v>
      </c>
      <c r="CD2985" s="237">
        <v>201.09</v>
      </c>
      <c r="CE2985" s="237" t="s">
        <v>363</v>
      </c>
      <c r="CL2985" s="1789"/>
      <c r="CR2985" s="345"/>
      <c r="CS2985" s="345"/>
      <c r="CX2985" s="347"/>
      <c r="CY2985" s="347"/>
      <c r="DH2985" s="237"/>
      <c r="DI2985" s="237"/>
      <c r="DN2985" s="347"/>
      <c r="DO2985" s="347"/>
      <c r="DP2985" s="2505"/>
    </row>
    <row r="2986" spans="30:120">
      <c r="AD2986" s="1138"/>
      <c r="BH2986" s="1790"/>
      <c r="BN2986" s="237">
        <v>157</v>
      </c>
      <c r="BO2986" s="237" t="s">
        <v>352</v>
      </c>
      <c r="CD2986" s="237">
        <v>201.1</v>
      </c>
      <c r="CE2986" s="237" t="s">
        <v>363</v>
      </c>
      <c r="CL2986" s="1789"/>
      <c r="CR2986" s="345"/>
      <c r="CS2986" s="345"/>
      <c r="CX2986" s="347"/>
      <c r="CY2986" s="347"/>
      <c r="DH2986" s="237"/>
      <c r="DI2986" s="237"/>
      <c r="DN2986" s="347"/>
      <c r="DO2986" s="347"/>
      <c r="DP2986" s="2505"/>
    </row>
    <row r="2987" spans="30:120">
      <c r="AD2987" s="1138"/>
      <c r="BH2987" s="1790"/>
      <c r="BN2987" s="237">
        <v>158</v>
      </c>
      <c r="BO2987" s="237" t="s">
        <v>352</v>
      </c>
      <c r="CD2987" s="237">
        <v>202</v>
      </c>
      <c r="CE2987" s="237" t="s">
        <v>352</v>
      </c>
      <c r="CL2987" s="1789"/>
      <c r="CR2987" s="345"/>
      <c r="CS2987" s="345"/>
      <c r="CX2987" s="347"/>
      <c r="CY2987" s="347"/>
      <c r="DH2987" s="237"/>
      <c r="DI2987" s="237"/>
      <c r="DN2987" s="347"/>
      <c r="DO2987" s="347"/>
      <c r="DP2987" s="2505"/>
    </row>
    <row r="2988" spans="30:120">
      <c r="AD2988" s="1138"/>
      <c r="BH2988" s="1790"/>
      <c r="BN2988" s="237">
        <v>159</v>
      </c>
      <c r="BO2988" s="237" t="s">
        <v>352</v>
      </c>
      <c r="CD2988" s="237">
        <v>202</v>
      </c>
      <c r="CE2988" s="237" t="s">
        <v>357</v>
      </c>
      <c r="CL2988" s="1789"/>
      <c r="CR2988" s="345"/>
      <c r="CS2988" s="345"/>
      <c r="CX2988" s="347"/>
      <c r="CY2988" s="347"/>
      <c r="DH2988" s="237"/>
      <c r="DI2988" s="237"/>
      <c r="DN2988" s="347"/>
      <c r="DO2988" s="347"/>
      <c r="DP2988" s="2505"/>
    </row>
    <row r="2989" spans="30:120">
      <c r="AD2989" s="1138"/>
      <c r="BH2989" s="1790"/>
      <c r="BN2989" s="237">
        <v>160</v>
      </c>
      <c r="BO2989" s="237" t="s">
        <v>352</v>
      </c>
      <c r="CD2989" s="237">
        <v>202</v>
      </c>
      <c r="CE2989" s="237" t="s">
        <v>370</v>
      </c>
      <c r="CL2989" s="1789"/>
      <c r="CR2989" s="345"/>
      <c r="CS2989" s="345"/>
      <c r="CX2989" s="347"/>
      <c r="CY2989" s="347"/>
      <c r="DH2989" s="237"/>
      <c r="DI2989" s="237"/>
      <c r="DN2989" s="347"/>
      <c r="DO2989" s="347"/>
      <c r="DP2989" s="2505"/>
    </row>
    <row r="2990" spans="30:120">
      <c r="AD2990" s="1138"/>
      <c r="BH2990" s="1790"/>
      <c r="BN2990" s="237">
        <v>161</v>
      </c>
      <c r="BO2990" s="237" t="s">
        <v>352</v>
      </c>
      <c r="CD2990" s="237">
        <v>202.01</v>
      </c>
      <c r="CE2990" s="237" t="s">
        <v>344</v>
      </c>
      <c r="CL2990" s="1789"/>
      <c r="CR2990" s="345"/>
      <c r="CS2990" s="345"/>
      <c r="CX2990" s="347"/>
      <c r="CY2990" s="347"/>
      <c r="DH2990" s="237"/>
      <c r="DI2990" s="237"/>
      <c r="DN2990" s="347"/>
      <c r="DO2990" s="347"/>
      <c r="DP2990" s="2505"/>
    </row>
    <row r="2991" spans="30:120">
      <c r="AD2991" s="1138"/>
      <c r="BH2991" s="1790"/>
      <c r="BN2991" s="237">
        <v>162</v>
      </c>
      <c r="BO2991" s="237" t="s">
        <v>352</v>
      </c>
      <c r="CD2991" s="237">
        <v>202.01</v>
      </c>
      <c r="CE2991" s="237" t="s">
        <v>363</v>
      </c>
      <c r="CL2991" s="1789"/>
      <c r="CR2991" s="345"/>
      <c r="CS2991" s="345"/>
      <c r="CX2991" s="347"/>
      <c r="CY2991" s="347"/>
      <c r="DH2991" s="237"/>
      <c r="DI2991" s="237"/>
      <c r="DN2991" s="347"/>
      <c r="DO2991" s="347"/>
      <c r="DP2991" s="2505"/>
    </row>
    <row r="2992" spans="30:120">
      <c r="AD2992" s="1138"/>
      <c r="BH2992" s="1790"/>
      <c r="BN2992" s="237">
        <v>163</v>
      </c>
      <c r="BO2992" s="237" t="s">
        <v>352</v>
      </c>
      <c r="CD2992" s="237">
        <v>202.01</v>
      </c>
      <c r="CE2992" s="237" t="s">
        <v>369</v>
      </c>
      <c r="CL2992" s="1789"/>
      <c r="CR2992" s="345"/>
      <c r="CS2992" s="345"/>
      <c r="CX2992" s="347"/>
      <c r="CY2992" s="347"/>
      <c r="DH2992" s="237"/>
      <c r="DI2992" s="237"/>
      <c r="DN2992" s="347"/>
      <c r="DO2992" s="347"/>
      <c r="DP2992" s="2505"/>
    </row>
    <row r="2993" spans="30:120">
      <c r="AD2993" s="1138"/>
      <c r="BH2993" s="1790"/>
      <c r="BN2993" s="237">
        <v>164.01</v>
      </c>
      <c r="BO2993" s="237" t="s">
        <v>352</v>
      </c>
      <c r="CD2993" s="237">
        <v>202.02</v>
      </c>
      <c r="CE2993" s="237" t="s">
        <v>344</v>
      </c>
      <c r="CL2993" s="1789"/>
      <c r="CR2993" s="345"/>
      <c r="CS2993" s="345"/>
      <c r="CX2993" s="347"/>
      <c r="CY2993" s="347"/>
      <c r="DH2993" s="237"/>
      <c r="DI2993" s="237"/>
      <c r="DN2993" s="347"/>
      <c r="DO2993" s="347"/>
      <c r="DP2993" s="2505"/>
    </row>
    <row r="2994" spans="30:120">
      <c r="AD2994" s="1138"/>
      <c r="BH2994" s="1790"/>
      <c r="BN2994" s="237">
        <v>164.02</v>
      </c>
      <c r="BO2994" s="237" t="s">
        <v>352</v>
      </c>
      <c r="CD2994" s="237">
        <v>202.02</v>
      </c>
      <c r="CE2994" s="237" t="s">
        <v>363</v>
      </c>
      <c r="CL2994" s="1789"/>
      <c r="CR2994" s="345"/>
      <c r="CS2994" s="345"/>
      <c r="CX2994" s="347"/>
      <c r="CY2994" s="347"/>
      <c r="DH2994" s="237"/>
      <c r="DI2994" s="237"/>
      <c r="DN2994" s="347"/>
      <c r="DO2994" s="347"/>
      <c r="DP2994" s="2505"/>
    </row>
    <row r="2995" spans="30:120">
      <c r="AD2995" s="1138"/>
      <c r="BH2995" s="1790"/>
      <c r="BN2995" s="237">
        <v>165.01</v>
      </c>
      <c r="BO2995" s="237" t="s">
        <v>352</v>
      </c>
      <c r="CD2995" s="237">
        <v>202.02</v>
      </c>
      <c r="CE2995" s="237" t="s">
        <v>369</v>
      </c>
      <c r="CL2995" s="1789"/>
      <c r="CR2995" s="345"/>
      <c r="CS2995" s="345"/>
      <c r="CX2995" s="347"/>
      <c r="CY2995" s="347"/>
      <c r="DH2995" s="237"/>
      <c r="DI2995" s="237"/>
      <c r="DN2995" s="347"/>
      <c r="DO2995" s="347"/>
      <c r="DP2995" s="2505"/>
    </row>
    <row r="2996" spans="30:120">
      <c r="AD2996" s="1138"/>
      <c r="BH2996" s="1790"/>
      <c r="BN2996" s="237">
        <v>165.02</v>
      </c>
      <c r="BO2996" s="237" t="s">
        <v>352</v>
      </c>
      <c r="CD2996" s="345">
        <v>202.03</v>
      </c>
      <c r="CE2996" s="345" t="s">
        <v>315</v>
      </c>
      <c r="CL2996" s="1789"/>
      <c r="CR2996" s="345"/>
      <c r="CS2996" s="345"/>
      <c r="CX2996" s="347"/>
      <c r="CY2996" s="347"/>
      <c r="DH2996" s="237"/>
      <c r="DI2996" s="237"/>
      <c r="DN2996" s="347"/>
      <c r="DO2996" s="347"/>
      <c r="DP2996" s="2505"/>
    </row>
    <row r="2997" spans="30:120">
      <c r="AD2997" s="1138"/>
      <c r="BH2997" s="1790"/>
      <c r="BN2997" s="237">
        <v>166</v>
      </c>
      <c r="BO2997" s="237" t="s">
        <v>352</v>
      </c>
      <c r="CD2997" s="345">
        <v>202.04</v>
      </c>
      <c r="CE2997" s="345" t="s">
        <v>310</v>
      </c>
      <c r="CL2997" s="1789"/>
      <c r="CR2997" s="345"/>
      <c r="CS2997" s="345"/>
      <c r="CX2997" s="347"/>
      <c r="CY2997" s="347"/>
      <c r="DH2997" s="237"/>
      <c r="DI2997" s="237"/>
      <c r="DN2997" s="347"/>
      <c r="DO2997" s="347"/>
      <c r="DP2997" s="2505"/>
    </row>
    <row r="2998" spans="30:120">
      <c r="AD2998" s="1138"/>
      <c r="BH2998" s="1790"/>
      <c r="BN2998" s="237">
        <v>167</v>
      </c>
      <c r="BO2998" s="237" t="s">
        <v>352</v>
      </c>
      <c r="CD2998" s="345">
        <v>202.04</v>
      </c>
      <c r="CE2998" s="345" t="s">
        <v>315</v>
      </c>
      <c r="CL2998" s="1789"/>
      <c r="CR2998" s="345"/>
      <c r="CS2998" s="345"/>
      <c r="CX2998" s="347"/>
      <c r="CY2998" s="347"/>
      <c r="DH2998" s="237"/>
      <c r="DI2998" s="237"/>
      <c r="DN2998" s="347"/>
      <c r="DO2998" s="347"/>
      <c r="DP2998" s="2505"/>
    </row>
    <row r="2999" spans="30:120">
      <c r="AD2999" s="1138"/>
      <c r="BH2999" s="1790"/>
      <c r="BN2999" s="237">
        <v>168</v>
      </c>
      <c r="BO2999" s="237" t="s">
        <v>352</v>
      </c>
      <c r="CD2999" s="345">
        <v>202.05</v>
      </c>
      <c r="CE2999" s="345" t="s">
        <v>310</v>
      </c>
      <c r="CL2999" s="1789"/>
      <c r="CR2999" s="345"/>
      <c r="CS2999" s="345"/>
      <c r="CX2999" s="347"/>
      <c r="CY2999" s="347"/>
      <c r="DH2999" s="237"/>
      <c r="DI2999" s="237"/>
      <c r="DN2999" s="347"/>
      <c r="DO2999" s="347"/>
      <c r="DP2999" s="2505"/>
    </row>
    <row r="3000" spans="30:120">
      <c r="AD3000" s="1138"/>
      <c r="BH3000" s="1790"/>
      <c r="BN3000" s="237">
        <v>169</v>
      </c>
      <c r="BO3000" s="237" t="s">
        <v>352</v>
      </c>
      <c r="CD3000" s="345">
        <v>202.05</v>
      </c>
      <c r="CE3000" s="345" t="s">
        <v>315</v>
      </c>
      <c r="CL3000" s="1789"/>
      <c r="CR3000" s="345"/>
      <c r="CS3000" s="345"/>
      <c r="CX3000" s="347"/>
      <c r="CY3000" s="347"/>
      <c r="DH3000" s="237"/>
      <c r="DI3000" s="237"/>
      <c r="DN3000" s="347"/>
      <c r="DO3000" s="347"/>
      <c r="DP3000" s="2505"/>
    </row>
    <row r="3001" spans="30:120">
      <c r="AD3001" s="1138"/>
      <c r="BH3001" s="1790"/>
      <c r="BN3001" s="237">
        <v>170</v>
      </c>
      <c r="BO3001" s="237" t="s">
        <v>352</v>
      </c>
      <c r="CD3001" s="345">
        <v>202.06</v>
      </c>
      <c r="CE3001" s="345" t="s">
        <v>310</v>
      </c>
      <c r="CL3001" s="1789"/>
      <c r="CR3001" s="345"/>
      <c r="CS3001" s="345"/>
      <c r="CX3001" s="2831" t="s">
        <v>2311</v>
      </c>
      <c r="CY3001" s="2832"/>
      <c r="DH3001" s="237"/>
      <c r="DI3001" s="237"/>
      <c r="DN3001" s="2831" t="s">
        <v>2311</v>
      </c>
      <c r="DO3001" s="2832"/>
      <c r="DP3001" s="2505"/>
    </row>
    <row r="3002" spans="30:120">
      <c r="AD3002" s="1138"/>
      <c r="BH3002" s="1790"/>
      <c r="BN3002" s="237">
        <v>171.01</v>
      </c>
      <c r="BO3002" s="237" t="s">
        <v>352</v>
      </c>
      <c r="CD3002" s="345">
        <v>202.06</v>
      </c>
      <c r="CE3002" s="345" t="s">
        <v>315</v>
      </c>
      <c r="CL3002" s="1789"/>
      <c r="CR3002" s="345"/>
      <c r="CS3002" s="345"/>
      <c r="DH3002" s="237"/>
      <c r="DI3002" s="237"/>
      <c r="DP3002" s="2505"/>
    </row>
    <row r="3003" spans="30:120">
      <c r="AD3003" s="1138"/>
      <c r="BH3003" s="1790"/>
      <c r="BN3003" s="237">
        <v>171.02</v>
      </c>
      <c r="BO3003" s="237" t="s">
        <v>352</v>
      </c>
      <c r="CD3003" s="237">
        <v>202.06</v>
      </c>
      <c r="CE3003" s="237" t="s">
        <v>363</v>
      </c>
      <c r="CL3003" s="1789"/>
      <c r="CR3003" s="345"/>
      <c r="CS3003" s="345"/>
      <c r="DH3003" s="237"/>
      <c r="DI3003" s="237"/>
      <c r="DP3003" s="2505"/>
    </row>
    <row r="3004" spans="30:120">
      <c r="AD3004" s="1138"/>
      <c r="BH3004" s="1790"/>
      <c r="BN3004" s="237">
        <v>172</v>
      </c>
      <c r="BO3004" s="237" t="s">
        <v>352</v>
      </c>
      <c r="CD3004" s="237">
        <v>202.07</v>
      </c>
      <c r="CE3004" s="237" t="s">
        <v>363</v>
      </c>
      <c r="CL3004" s="1789"/>
      <c r="CR3004" s="345"/>
      <c r="CS3004" s="345"/>
      <c r="DH3004" s="237"/>
      <c r="DI3004" s="237"/>
      <c r="DP3004" s="2505"/>
    </row>
    <row r="3005" spans="30:120">
      <c r="AD3005" s="1138"/>
      <c r="BH3005" s="1790"/>
      <c r="BN3005" s="237">
        <v>173</v>
      </c>
      <c r="BO3005" s="237" t="s">
        <v>352</v>
      </c>
      <c r="CD3005" s="237">
        <v>202.08</v>
      </c>
      <c r="CE3005" s="237" t="s">
        <v>363</v>
      </c>
      <c r="CL3005" s="1789"/>
      <c r="CR3005" s="345"/>
      <c r="CS3005" s="345"/>
      <c r="DH3005" s="237"/>
      <c r="DI3005" s="237"/>
      <c r="DP3005" s="2505"/>
    </row>
    <row r="3006" spans="30:120">
      <c r="AD3006" s="1138"/>
      <c r="BH3006" s="1790"/>
      <c r="BN3006" s="237">
        <v>174.01</v>
      </c>
      <c r="BO3006" s="237" t="s">
        <v>352</v>
      </c>
      <c r="CD3006" s="345">
        <v>202.09</v>
      </c>
      <c r="CE3006" s="345" t="s">
        <v>310</v>
      </c>
      <c r="CL3006" s="1789"/>
      <c r="CR3006" s="345"/>
      <c r="CS3006" s="345"/>
      <c r="DH3006" s="237"/>
      <c r="DI3006" s="237"/>
      <c r="DP3006" s="2505"/>
    </row>
    <row r="3007" spans="30:120">
      <c r="AD3007" s="1138"/>
      <c r="BH3007" s="1790"/>
      <c r="BN3007" s="237">
        <v>174.02</v>
      </c>
      <c r="BO3007" s="237" t="s">
        <v>352</v>
      </c>
      <c r="CD3007" s="237">
        <v>202.09</v>
      </c>
      <c r="CE3007" s="237" t="s">
        <v>363</v>
      </c>
      <c r="CL3007" s="1789"/>
      <c r="CR3007" s="345"/>
      <c r="CS3007" s="345"/>
      <c r="DH3007" s="237"/>
      <c r="DI3007" s="237"/>
      <c r="DP3007" s="2505"/>
    </row>
    <row r="3008" spans="30:120">
      <c r="AD3008" s="1138"/>
      <c r="BH3008" s="1790"/>
      <c r="BN3008" s="237">
        <v>175</v>
      </c>
      <c r="BO3008" s="237" t="s">
        <v>352</v>
      </c>
      <c r="CD3008" s="345">
        <v>202.1</v>
      </c>
      <c r="CE3008" s="345" t="s">
        <v>310</v>
      </c>
      <c r="CL3008" s="1789"/>
      <c r="CR3008" s="345"/>
      <c r="CS3008" s="345"/>
      <c r="DH3008" s="237"/>
      <c r="DI3008" s="237"/>
      <c r="DP3008" s="2505"/>
    </row>
    <row r="3009" spans="30:120">
      <c r="AD3009" s="1138"/>
      <c r="BH3009" s="1790"/>
      <c r="BN3009" s="237">
        <v>176</v>
      </c>
      <c r="BO3009" s="237" t="s">
        <v>352</v>
      </c>
      <c r="CD3009" s="345">
        <v>202.11</v>
      </c>
      <c r="CE3009" s="345" t="s">
        <v>310</v>
      </c>
      <c r="CL3009" s="1789"/>
      <c r="CR3009" s="345"/>
      <c r="CS3009" s="345"/>
      <c r="DH3009" s="237"/>
      <c r="DI3009" s="237"/>
      <c r="DP3009" s="2505"/>
    </row>
    <row r="3010" spans="30:120">
      <c r="AD3010" s="1138"/>
      <c r="BH3010" s="1790"/>
      <c r="BN3010" s="237">
        <v>177</v>
      </c>
      <c r="BO3010" s="237" t="s">
        <v>352</v>
      </c>
      <c r="CD3010" s="345">
        <v>202.12</v>
      </c>
      <c r="CE3010" s="345" t="s">
        <v>310</v>
      </c>
      <c r="CL3010" s="1789"/>
      <c r="CR3010" s="345"/>
      <c r="CS3010" s="345"/>
      <c r="DH3010" s="237"/>
      <c r="DI3010" s="237"/>
      <c r="DP3010" s="2505"/>
    </row>
    <row r="3011" spans="30:120">
      <c r="AD3011" s="1138"/>
      <c r="BH3011" s="1790"/>
      <c r="BN3011" s="237">
        <v>178</v>
      </c>
      <c r="BO3011" s="237" t="s">
        <v>352</v>
      </c>
      <c r="CD3011" s="345">
        <v>202.13</v>
      </c>
      <c r="CE3011" s="345" t="s">
        <v>310</v>
      </c>
      <c r="CL3011" s="1789"/>
      <c r="CR3011" s="345"/>
      <c r="CS3011" s="345"/>
      <c r="DH3011" s="237"/>
      <c r="DI3011" s="237"/>
      <c r="DP3011" s="2505"/>
    </row>
    <row r="3012" spans="30:120">
      <c r="AD3012" s="1138"/>
      <c r="BH3012" s="1790"/>
      <c r="BN3012" s="237">
        <v>179.01</v>
      </c>
      <c r="BO3012" s="237" t="s">
        <v>352</v>
      </c>
      <c r="CD3012" s="345">
        <v>202.14</v>
      </c>
      <c r="CE3012" s="345" t="s">
        <v>310</v>
      </c>
      <c r="CL3012" s="1789"/>
      <c r="CR3012" s="345"/>
      <c r="CS3012" s="345"/>
      <c r="DH3012" s="237"/>
      <c r="DI3012" s="237"/>
      <c r="DP3012" s="2505"/>
    </row>
    <row r="3013" spans="30:120">
      <c r="AD3013" s="1138"/>
      <c r="BH3013" s="1790"/>
      <c r="BN3013" s="237">
        <v>179.02</v>
      </c>
      <c r="BO3013" s="237" t="s">
        <v>352</v>
      </c>
      <c r="CD3013" s="237">
        <v>203</v>
      </c>
      <c r="CE3013" s="237" t="s">
        <v>328</v>
      </c>
      <c r="CL3013" s="1789"/>
      <c r="CR3013" s="345"/>
      <c r="CS3013" s="345"/>
      <c r="DH3013" s="237"/>
      <c r="DI3013" s="237"/>
      <c r="DP3013" s="2505"/>
    </row>
    <row r="3014" spans="30:120">
      <c r="AD3014" s="1138"/>
      <c r="BH3014" s="1790"/>
      <c r="BN3014" s="237">
        <v>180.01</v>
      </c>
      <c r="BO3014" s="237" t="s">
        <v>352</v>
      </c>
      <c r="CD3014" s="237">
        <v>203</v>
      </c>
      <c r="CE3014" s="237" t="s">
        <v>352</v>
      </c>
      <c r="CL3014" s="1789"/>
      <c r="CR3014" s="345"/>
      <c r="CS3014" s="345"/>
      <c r="DH3014" s="237"/>
      <c r="DI3014" s="237"/>
      <c r="DP3014" s="2505"/>
    </row>
    <row r="3015" spans="30:120">
      <c r="AD3015" s="1138"/>
      <c r="BH3015" s="1790"/>
      <c r="BN3015" s="237">
        <v>180.02</v>
      </c>
      <c r="BO3015" s="237" t="s">
        <v>352</v>
      </c>
      <c r="CD3015" s="237">
        <v>203</v>
      </c>
      <c r="CE3015" s="237" t="s">
        <v>370</v>
      </c>
      <c r="CL3015" s="1789"/>
      <c r="CR3015" s="345"/>
      <c r="CS3015" s="345"/>
      <c r="DH3015" s="237"/>
      <c r="DI3015" s="237"/>
      <c r="DP3015" s="2505"/>
    </row>
    <row r="3016" spans="30:120">
      <c r="AD3016" s="1138"/>
      <c r="BH3016" s="1790"/>
      <c r="BN3016" s="237">
        <v>180.03</v>
      </c>
      <c r="BO3016" s="237" t="s">
        <v>352</v>
      </c>
      <c r="CD3016" s="345">
        <v>203.01</v>
      </c>
      <c r="CE3016" s="345" t="s">
        <v>315</v>
      </c>
      <c r="CL3016" s="1789"/>
      <c r="CR3016" s="345"/>
      <c r="CS3016" s="345"/>
      <c r="DH3016" s="237"/>
      <c r="DI3016" s="237"/>
      <c r="DP3016" s="2505"/>
    </row>
    <row r="3017" spans="30:120">
      <c r="AD3017" s="1138"/>
      <c r="BH3017" s="1790"/>
      <c r="BN3017" s="237">
        <v>181</v>
      </c>
      <c r="BO3017" s="237" t="s">
        <v>352</v>
      </c>
      <c r="CD3017" s="237">
        <v>203.01</v>
      </c>
      <c r="CE3017" s="237" t="s">
        <v>344</v>
      </c>
      <c r="CL3017" s="1789"/>
      <c r="CR3017" s="345"/>
      <c r="CS3017" s="345"/>
      <c r="DH3017" s="237"/>
      <c r="DI3017" s="237"/>
      <c r="DP3017" s="2505"/>
    </row>
    <row r="3018" spans="30:120">
      <c r="AD3018" s="1138"/>
      <c r="BH3018" s="1790"/>
      <c r="BN3018" s="237">
        <v>182</v>
      </c>
      <c r="BO3018" s="237" t="s">
        <v>352</v>
      </c>
      <c r="CD3018" s="237">
        <v>203.01</v>
      </c>
      <c r="CE3018" s="237" t="s">
        <v>363</v>
      </c>
      <c r="CL3018" s="1789"/>
      <c r="CR3018" s="345"/>
      <c r="CS3018" s="345"/>
      <c r="DH3018" s="237"/>
      <c r="DI3018" s="237"/>
      <c r="DP3018" s="2505"/>
    </row>
    <row r="3019" spans="30:120">
      <c r="AD3019" s="1138"/>
      <c r="BH3019" s="1790"/>
      <c r="BN3019" s="237">
        <v>183</v>
      </c>
      <c r="BO3019" s="237" t="s">
        <v>352</v>
      </c>
      <c r="CD3019" s="237">
        <v>203.01</v>
      </c>
      <c r="CE3019" s="237" t="s">
        <v>369</v>
      </c>
      <c r="CL3019" s="1789"/>
      <c r="CR3019" s="345"/>
      <c r="CS3019" s="345"/>
      <c r="DH3019" s="237"/>
      <c r="DI3019" s="237"/>
      <c r="DP3019" s="2505"/>
    </row>
    <row r="3020" spans="30:120">
      <c r="AD3020" s="1138"/>
      <c r="BH3020" s="1790"/>
      <c r="BN3020" s="237">
        <v>184</v>
      </c>
      <c r="BO3020" s="237" t="s">
        <v>352</v>
      </c>
      <c r="CD3020" s="345">
        <v>203.02</v>
      </c>
      <c r="CE3020" s="345" t="s">
        <v>310</v>
      </c>
      <c r="CL3020" s="1789"/>
      <c r="CR3020" s="345"/>
      <c r="CS3020" s="345"/>
      <c r="DH3020" s="237"/>
      <c r="DI3020" s="237"/>
      <c r="DP3020" s="2505"/>
    </row>
    <row r="3021" spans="30:120">
      <c r="AD3021" s="1138"/>
      <c r="BH3021" s="1790"/>
      <c r="BN3021" s="237">
        <v>185</v>
      </c>
      <c r="BO3021" s="237" t="s">
        <v>352</v>
      </c>
      <c r="CD3021" s="345">
        <v>203.02</v>
      </c>
      <c r="CE3021" s="345" t="s">
        <v>315</v>
      </c>
      <c r="CL3021" s="1789"/>
      <c r="CR3021" s="345"/>
      <c r="CS3021" s="345"/>
      <c r="DH3021" s="237"/>
      <c r="DI3021" s="237"/>
      <c r="DP3021" s="2505"/>
    </row>
    <row r="3022" spans="30:120">
      <c r="AD3022" s="1138"/>
      <c r="BH3022" s="1790"/>
      <c r="BN3022" s="237">
        <v>186.01</v>
      </c>
      <c r="BO3022" s="237" t="s">
        <v>352</v>
      </c>
      <c r="CD3022" s="237">
        <v>203.02</v>
      </c>
      <c r="CE3022" s="237" t="s">
        <v>344</v>
      </c>
      <c r="CL3022" s="1789"/>
      <c r="CR3022" s="345"/>
      <c r="CS3022" s="345"/>
      <c r="DH3022" s="237"/>
      <c r="DI3022" s="237"/>
      <c r="DP3022" s="2505"/>
    </row>
    <row r="3023" spans="30:120">
      <c r="AD3023" s="1138"/>
      <c r="BH3023" s="1790"/>
      <c r="BN3023" s="237">
        <v>186.02</v>
      </c>
      <c r="BO3023" s="237" t="s">
        <v>352</v>
      </c>
      <c r="CD3023" s="237">
        <v>203.02</v>
      </c>
      <c r="CE3023" s="237" t="s">
        <v>363</v>
      </c>
      <c r="CL3023" s="1789"/>
      <c r="CR3023" s="345"/>
      <c r="CS3023" s="345"/>
      <c r="DH3023" s="237"/>
      <c r="DI3023" s="237"/>
      <c r="DP3023" s="2505"/>
    </row>
    <row r="3024" spans="30:120">
      <c r="AD3024" s="1138"/>
      <c r="BH3024" s="1790"/>
      <c r="BN3024" s="237">
        <v>187</v>
      </c>
      <c r="BO3024" s="237" t="s">
        <v>352</v>
      </c>
      <c r="CD3024" s="237">
        <v>203.02</v>
      </c>
      <c r="CE3024" s="237" t="s">
        <v>369</v>
      </c>
      <c r="CL3024" s="1789"/>
      <c r="CR3024" s="345"/>
      <c r="CS3024" s="345"/>
      <c r="DH3024" s="237"/>
      <c r="DI3024" s="237"/>
      <c r="DP3024" s="2505"/>
    </row>
    <row r="3025" spans="30:120">
      <c r="AD3025" s="1138"/>
      <c r="BH3025" s="1790"/>
      <c r="BN3025" s="237">
        <v>188.01</v>
      </c>
      <c r="BO3025" s="237" t="s">
        <v>352</v>
      </c>
      <c r="CD3025" s="345">
        <v>203.03</v>
      </c>
      <c r="CE3025" s="345" t="s">
        <v>315</v>
      </c>
      <c r="CL3025" s="1789"/>
      <c r="CR3025" s="345"/>
      <c r="CS3025" s="345"/>
      <c r="DH3025" s="237"/>
      <c r="DI3025" s="237"/>
      <c r="DP3025" s="2505"/>
    </row>
    <row r="3026" spans="30:120">
      <c r="AD3026" s="1138"/>
      <c r="BH3026" s="1790"/>
      <c r="BN3026" s="237">
        <v>188.02</v>
      </c>
      <c r="BO3026" s="237" t="s">
        <v>352</v>
      </c>
      <c r="CD3026" s="237">
        <v>203.03</v>
      </c>
      <c r="CE3026" s="237" t="s">
        <v>357</v>
      </c>
      <c r="CL3026" s="1789"/>
      <c r="CR3026" s="345"/>
      <c r="CS3026" s="345"/>
      <c r="DH3026" s="237"/>
      <c r="DI3026" s="237"/>
      <c r="DP3026" s="2505"/>
    </row>
    <row r="3027" spans="30:120">
      <c r="AD3027" s="1138"/>
      <c r="BH3027" s="1790"/>
      <c r="BN3027" s="237">
        <v>188.03</v>
      </c>
      <c r="BO3027" s="237" t="s">
        <v>352</v>
      </c>
      <c r="CD3027" s="237">
        <v>203.04</v>
      </c>
      <c r="CE3027" s="237" t="s">
        <v>357</v>
      </c>
      <c r="CL3027" s="1789"/>
      <c r="CR3027" s="345"/>
      <c r="CS3027" s="345"/>
      <c r="DH3027" s="237"/>
      <c r="DI3027" s="237"/>
      <c r="DP3027" s="2505"/>
    </row>
    <row r="3028" spans="30:120">
      <c r="AD3028" s="1138"/>
      <c r="BH3028" s="1790"/>
      <c r="BN3028" s="237">
        <v>189.01</v>
      </c>
      <c r="BO3028" s="237" t="s">
        <v>352</v>
      </c>
      <c r="CD3028" s="237">
        <v>203.05</v>
      </c>
      <c r="CE3028" s="237" t="s">
        <v>357</v>
      </c>
      <c r="CL3028" s="1789"/>
      <c r="CR3028" s="345"/>
      <c r="CS3028" s="345"/>
      <c r="DH3028" s="237"/>
      <c r="DI3028" s="237"/>
      <c r="DP3028" s="2505"/>
    </row>
    <row r="3029" spans="30:120">
      <c r="AD3029" s="1138"/>
      <c r="BH3029" s="1790"/>
      <c r="BN3029" s="237">
        <v>189.02</v>
      </c>
      <c r="BO3029" s="237" t="s">
        <v>352</v>
      </c>
      <c r="CD3029" s="237">
        <v>203.06</v>
      </c>
      <c r="CE3029" s="237" t="s">
        <v>357</v>
      </c>
      <c r="CL3029" s="1789"/>
      <c r="CR3029" s="345"/>
      <c r="CS3029" s="345"/>
      <c r="DH3029" s="237"/>
      <c r="DI3029" s="237"/>
      <c r="DP3029" s="2505"/>
    </row>
    <row r="3030" spans="30:120">
      <c r="AD3030" s="1138"/>
      <c r="BH3030" s="1790"/>
      <c r="BN3030" s="237">
        <v>190</v>
      </c>
      <c r="BO3030" s="237" t="s">
        <v>352</v>
      </c>
      <c r="CD3030" s="345">
        <v>203.08</v>
      </c>
      <c r="CE3030" s="345" t="s">
        <v>310</v>
      </c>
      <c r="CL3030" s="1789"/>
      <c r="CR3030" s="345"/>
      <c r="CS3030" s="345"/>
      <c r="DH3030" s="237"/>
      <c r="DI3030" s="237"/>
      <c r="DP3030" s="2505"/>
    </row>
    <row r="3031" spans="30:120">
      <c r="AD3031" s="1138"/>
      <c r="BH3031" s="1790"/>
      <c r="BN3031" s="237">
        <v>191</v>
      </c>
      <c r="BO3031" s="237" t="s">
        <v>352</v>
      </c>
      <c r="CD3031" s="345">
        <v>203.09</v>
      </c>
      <c r="CE3031" s="345" t="s">
        <v>310</v>
      </c>
      <c r="CL3031" s="1789"/>
      <c r="CR3031" s="345"/>
      <c r="CS3031" s="345"/>
      <c r="DH3031" s="237"/>
      <c r="DI3031" s="237"/>
      <c r="DP3031" s="2505"/>
    </row>
    <row r="3032" spans="30:120">
      <c r="AD3032" s="1138"/>
      <c r="BH3032" s="1790"/>
      <c r="BN3032" s="237">
        <v>192</v>
      </c>
      <c r="BO3032" s="237" t="s">
        <v>352</v>
      </c>
      <c r="CD3032" s="345">
        <v>203.11</v>
      </c>
      <c r="CE3032" s="345" t="s">
        <v>310</v>
      </c>
      <c r="CL3032" s="1789"/>
      <c r="CR3032" s="345"/>
      <c r="CS3032" s="345"/>
      <c r="DH3032" s="237"/>
      <c r="DI3032" s="237"/>
      <c r="DP3032" s="2505"/>
    </row>
    <row r="3033" spans="30:120">
      <c r="AD3033" s="1138"/>
      <c r="BH3033" s="1790"/>
      <c r="BN3033" s="237">
        <v>193.01</v>
      </c>
      <c r="BO3033" s="237" t="s">
        <v>352</v>
      </c>
      <c r="CD3033" s="345">
        <v>203.12</v>
      </c>
      <c r="CE3033" s="345" t="s">
        <v>310</v>
      </c>
      <c r="CL3033" s="1789"/>
      <c r="CR3033" s="345"/>
      <c r="CS3033" s="345"/>
      <c r="DH3033" s="237"/>
      <c r="DI3033" s="237"/>
      <c r="DP3033" s="2505"/>
    </row>
    <row r="3034" spans="30:120">
      <c r="AD3034" s="1138"/>
      <c r="BH3034" s="1790"/>
      <c r="BN3034" s="237">
        <v>193.02</v>
      </c>
      <c r="BO3034" s="237" t="s">
        <v>352</v>
      </c>
      <c r="CD3034" s="345">
        <v>203.13</v>
      </c>
      <c r="CE3034" s="345" t="s">
        <v>310</v>
      </c>
      <c r="CL3034" s="1789"/>
      <c r="CR3034" s="345"/>
      <c r="CS3034" s="345"/>
      <c r="DH3034" s="237"/>
      <c r="DI3034" s="237"/>
      <c r="DP3034" s="2505"/>
    </row>
    <row r="3035" spans="30:120">
      <c r="AD3035" s="1138"/>
      <c r="BH3035" s="1790"/>
      <c r="BN3035" s="237">
        <v>194.01</v>
      </c>
      <c r="BO3035" s="237" t="s">
        <v>352</v>
      </c>
      <c r="CD3035" s="345">
        <v>203.14</v>
      </c>
      <c r="CE3035" s="345" t="s">
        <v>310</v>
      </c>
      <c r="CL3035" s="1789"/>
      <c r="CR3035" s="345"/>
      <c r="CS3035" s="345"/>
      <c r="DH3035" s="237"/>
      <c r="DI3035" s="237"/>
      <c r="DP3035" s="2505"/>
    </row>
    <row r="3036" spans="30:120">
      <c r="AD3036" s="1138"/>
      <c r="BH3036" s="1790"/>
      <c r="BN3036" s="237">
        <v>194.02</v>
      </c>
      <c r="BO3036" s="237" t="s">
        <v>352</v>
      </c>
      <c r="CD3036" s="345">
        <v>203.15</v>
      </c>
      <c r="CE3036" s="345" t="s">
        <v>310</v>
      </c>
      <c r="CL3036" s="1789"/>
      <c r="CR3036" s="345"/>
      <c r="CS3036" s="345"/>
      <c r="DH3036" s="237"/>
      <c r="DI3036" s="237"/>
      <c r="DP3036" s="2505"/>
    </row>
    <row r="3037" spans="30:120">
      <c r="AD3037" s="1138"/>
      <c r="BH3037" s="1790"/>
      <c r="BN3037" s="237">
        <v>195.01</v>
      </c>
      <c r="BO3037" s="237" t="s">
        <v>352</v>
      </c>
      <c r="CD3037" s="345">
        <v>203.16</v>
      </c>
      <c r="CE3037" s="345" t="s">
        <v>310</v>
      </c>
      <c r="CL3037" s="1789"/>
      <c r="CR3037" s="345"/>
      <c r="CS3037" s="345"/>
      <c r="DH3037" s="237"/>
      <c r="DI3037" s="237"/>
      <c r="DP3037" s="2505"/>
    </row>
    <row r="3038" spans="30:120">
      <c r="AD3038" s="1138"/>
      <c r="BH3038" s="1790"/>
      <c r="BN3038" s="237">
        <v>195.02</v>
      </c>
      <c r="BO3038" s="237" t="s">
        <v>352</v>
      </c>
      <c r="CD3038" s="345">
        <v>203.17</v>
      </c>
      <c r="CE3038" s="345" t="s">
        <v>310</v>
      </c>
      <c r="CL3038" s="1789"/>
      <c r="CR3038" s="345"/>
      <c r="CS3038" s="345"/>
      <c r="DH3038" s="237"/>
      <c r="DI3038" s="237"/>
      <c r="DP3038" s="2505"/>
    </row>
    <row r="3039" spans="30:120">
      <c r="AD3039" s="1138"/>
      <c r="BH3039" s="1790"/>
      <c r="BN3039" s="237">
        <v>196</v>
      </c>
      <c r="BO3039" s="237" t="s">
        <v>352</v>
      </c>
      <c r="CD3039" s="345">
        <v>203.18</v>
      </c>
      <c r="CE3039" s="345" t="s">
        <v>310</v>
      </c>
      <c r="CL3039" s="1789"/>
      <c r="CR3039" s="345"/>
      <c r="CS3039" s="345"/>
      <c r="DH3039" s="237"/>
      <c r="DI3039" s="237"/>
      <c r="DP3039" s="2505"/>
    </row>
    <row r="3040" spans="30:120">
      <c r="AD3040" s="1138"/>
      <c r="BH3040" s="1790"/>
      <c r="BN3040" s="237">
        <v>197</v>
      </c>
      <c r="BO3040" s="237" t="s">
        <v>352</v>
      </c>
      <c r="CD3040" s="345">
        <v>203.19</v>
      </c>
      <c r="CE3040" s="345" t="s">
        <v>310</v>
      </c>
      <c r="CL3040" s="1789"/>
      <c r="CR3040" s="345"/>
      <c r="CS3040" s="345"/>
      <c r="DH3040" s="237"/>
      <c r="DI3040" s="237"/>
      <c r="DP3040" s="2505"/>
    </row>
    <row r="3041" spans="30:120">
      <c r="AD3041" s="1138"/>
      <c r="BH3041" s="1790"/>
      <c r="BN3041" s="237">
        <v>198.01</v>
      </c>
      <c r="BO3041" s="237" t="s">
        <v>352</v>
      </c>
      <c r="CD3041" s="345">
        <v>203.2</v>
      </c>
      <c r="CE3041" s="345" t="s">
        <v>310</v>
      </c>
      <c r="CL3041" s="1789"/>
      <c r="CR3041" s="345"/>
      <c r="CS3041" s="345"/>
      <c r="DH3041" s="237"/>
      <c r="DI3041" s="237"/>
      <c r="DP3041" s="2505"/>
    </row>
    <row r="3042" spans="30:120">
      <c r="AD3042" s="1138"/>
      <c r="BH3042" s="1790"/>
      <c r="BN3042" s="237">
        <v>198.02</v>
      </c>
      <c r="BO3042" s="237" t="s">
        <v>352</v>
      </c>
      <c r="CD3042" s="345">
        <v>203.21</v>
      </c>
      <c r="CE3042" s="345" t="s">
        <v>310</v>
      </c>
      <c r="CL3042" s="1789"/>
      <c r="CR3042" s="345"/>
      <c r="CS3042" s="345"/>
      <c r="DH3042" s="237"/>
      <c r="DI3042" s="237"/>
      <c r="DP3042" s="2505"/>
    </row>
    <row r="3043" spans="30:120">
      <c r="AD3043" s="1138"/>
      <c r="BH3043" s="1790"/>
      <c r="BN3043" s="237">
        <v>199.01</v>
      </c>
      <c r="BO3043" s="237" t="s">
        <v>352</v>
      </c>
      <c r="CD3043" s="345">
        <v>203.22</v>
      </c>
      <c r="CE3043" s="345" t="s">
        <v>310</v>
      </c>
      <c r="CL3043" s="1789"/>
      <c r="CR3043" s="345"/>
      <c r="CS3043" s="345"/>
      <c r="DH3043" s="237"/>
      <c r="DI3043" s="237"/>
      <c r="DP3043" s="2505"/>
    </row>
    <row r="3044" spans="30:120">
      <c r="AD3044" s="1138"/>
      <c r="BH3044" s="1790"/>
      <c r="BN3044" s="237">
        <v>199.02</v>
      </c>
      <c r="BO3044" s="237" t="s">
        <v>352</v>
      </c>
      <c r="CD3044" s="345">
        <v>203.23</v>
      </c>
      <c r="CE3044" s="345" t="s">
        <v>310</v>
      </c>
      <c r="CL3044" s="1789"/>
      <c r="CR3044" s="345"/>
      <c r="CS3044" s="345"/>
      <c r="DH3044" s="237"/>
      <c r="DI3044" s="237"/>
      <c r="DP3044" s="2505"/>
    </row>
    <row r="3045" spans="30:120">
      <c r="AD3045" s="1138"/>
      <c r="BH3045" s="1790"/>
      <c r="BN3045" s="237">
        <v>200.01</v>
      </c>
      <c r="BO3045" s="237" t="s">
        <v>352</v>
      </c>
      <c r="CD3045" s="345">
        <v>203.24</v>
      </c>
      <c r="CE3045" s="345" t="s">
        <v>310</v>
      </c>
      <c r="CL3045" s="1789"/>
      <c r="CR3045" s="345"/>
      <c r="CS3045" s="345"/>
      <c r="DH3045" s="237"/>
      <c r="DI3045" s="237"/>
      <c r="DP3045" s="2505"/>
    </row>
    <row r="3046" spans="30:120">
      <c r="AD3046" s="1138"/>
      <c r="BH3046" s="1790"/>
      <c r="BN3046" s="237">
        <v>200.02</v>
      </c>
      <c r="BO3046" s="237" t="s">
        <v>352</v>
      </c>
      <c r="CD3046" s="345">
        <v>203.25</v>
      </c>
      <c r="CE3046" s="345" t="s">
        <v>310</v>
      </c>
      <c r="CL3046" s="1789"/>
      <c r="CR3046" s="345"/>
      <c r="CS3046" s="345"/>
      <c r="DH3046" s="237"/>
      <c r="DI3046" s="237"/>
      <c r="DP3046" s="2505"/>
    </row>
    <row r="3047" spans="30:120">
      <c r="AD3047" s="1138"/>
      <c r="BH3047" s="1790"/>
      <c r="BN3047" s="237">
        <v>201</v>
      </c>
      <c r="BO3047" s="237" t="s">
        <v>352</v>
      </c>
      <c r="CD3047" s="345">
        <v>203.26</v>
      </c>
      <c r="CE3047" s="345" t="s">
        <v>310</v>
      </c>
      <c r="CL3047" s="1789"/>
      <c r="CR3047" s="345"/>
      <c r="CS3047" s="345"/>
      <c r="DH3047" s="237"/>
      <c r="DI3047" s="237"/>
      <c r="DP3047" s="2505"/>
    </row>
    <row r="3048" spans="30:120">
      <c r="AD3048" s="1138"/>
      <c r="BH3048" s="1790"/>
      <c r="BN3048" s="237">
        <v>202</v>
      </c>
      <c r="BO3048" s="237" t="s">
        <v>352</v>
      </c>
      <c r="CD3048" s="237">
        <v>204</v>
      </c>
      <c r="CE3048" s="237" t="s">
        <v>328</v>
      </c>
      <c r="CL3048" s="1789"/>
      <c r="CR3048" s="345"/>
      <c r="CS3048" s="345"/>
      <c r="DH3048" s="237"/>
      <c r="DI3048" s="237"/>
      <c r="DP3048" s="2505"/>
    </row>
    <row r="3049" spans="30:120">
      <c r="AD3049" s="1138"/>
      <c r="BH3049" s="1790"/>
      <c r="BN3049" s="237">
        <v>203</v>
      </c>
      <c r="BO3049" s="237" t="s">
        <v>352</v>
      </c>
      <c r="CD3049" s="237">
        <v>204</v>
      </c>
      <c r="CE3049" s="237" t="s">
        <v>344</v>
      </c>
      <c r="CL3049" s="1789"/>
      <c r="CR3049" s="345"/>
      <c r="CS3049" s="345"/>
      <c r="DH3049" s="237"/>
      <c r="DI3049" s="237"/>
      <c r="DP3049" s="2505"/>
    </row>
    <row r="3050" spans="30:120">
      <c r="AD3050" s="1138"/>
      <c r="BH3050" s="1790"/>
      <c r="BN3050" s="237">
        <v>4901</v>
      </c>
      <c r="BO3050" s="237" t="s">
        <v>352</v>
      </c>
      <c r="CD3050" s="237">
        <v>204</v>
      </c>
      <c r="CE3050" s="237" t="s">
        <v>357</v>
      </c>
      <c r="CL3050" s="1789"/>
      <c r="CR3050" s="345"/>
      <c r="CS3050" s="345"/>
      <c r="DH3050" s="237"/>
      <c r="DI3050" s="237"/>
      <c r="DP3050" s="2505"/>
    </row>
    <row r="3051" spans="30:120">
      <c r="AD3051" s="1138"/>
      <c r="BH3051" s="1790"/>
      <c r="BN3051" s="237">
        <v>9801</v>
      </c>
      <c r="BO3051" s="237" t="s">
        <v>352</v>
      </c>
      <c r="CD3051" s="237">
        <v>204</v>
      </c>
      <c r="CE3051" s="237" t="s">
        <v>363</v>
      </c>
      <c r="CL3051" s="1789"/>
      <c r="CR3051" s="345"/>
      <c r="CS3051" s="345"/>
      <c r="DH3051" s="237"/>
      <c r="DI3051" s="237"/>
      <c r="DP3051" s="2505"/>
    </row>
    <row r="3052" spans="30:120">
      <c r="AD3052" s="1138"/>
      <c r="BH3052" s="1790"/>
      <c r="BN3052" s="237">
        <v>9802</v>
      </c>
      <c r="BO3052" s="237" t="s">
        <v>352</v>
      </c>
      <c r="CD3052" s="237">
        <v>204</v>
      </c>
      <c r="CE3052" s="237" t="s">
        <v>370</v>
      </c>
      <c r="CL3052" s="1789"/>
      <c r="CR3052" s="345"/>
      <c r="CS3052" s="345"/>
      <c r="DH3052" s="237"/>
      <c r="DI3052" s="237"/>
      <c r="DP3052" s="2505"/>
    </row>
    <row r="3053" spans="30:120">
      <c r="AD3053" s="1138"/>
      <c r="BH3053" s="1790"/>
      <c r="BN3053" s="237">
        <v>9803</v>
      </c>
      <c r="BO3053" s="237" t="s">
        <v>352</v>
      </c>
      <c r="CD3053" s="345">
        <v>204.01</v>
      </c>
      <c r="CE3053" s="345" t="s">
        <v>315</v>
      </c>
      <c r="CL3053" s="1789"/>
      <c r="CR3053" s="345"/>
      <c r="CS3053" s="345"/>
      <c r="DH3053" s="237"/>
      <c r="DI3053" s="237"/>
      <c r="DP3053" s="2505"/>
    </row>
    <row r="3054" spans="30:120">
      <c r="AD3054" s="1138"/>
      <c r="BH3054" s="1790"/>
      <c r="BN3054" s="237">
        <v>9804</v>
      </c>
      <c r="BO3054" s="237" t="s">
        <v>352</v>
      </c>
      <c r="CD3054" s="237">
        <v>204.01</v>
      </c>
      <c r="CE3054" s="237" t="s">
        <v>369</v>
      </c>
      <c r="CL3054" s="1789"/>
      <c r="CR3054" s="345"/>
      <c r="CS3054" s="345"/>
      <c r="DH3054" s="237"/>
      <c r="DI3054" s="237"/>
      <c r="DP3054" s="2505"/>
    </row>
    <row r="3055" spans="30:120">
      <c r="AD3055" s="1138"/>
      <c r="BH3055" s="1790"/>
      <c r="BN3055" s="237">
        <v>9805</v>
      </c>
      <c r="BO3055" s="237" t="s">
        <v>352</v>
      </c>
      <c r="CD3055" s="345">
        <v>204.02</v>
      </c>
      <c r="CE3055" s="345" t="s">
        <v>315</v>
      </c>
      <c r="CL3055" s="1789"/>
      <c r="CR3055" s="345"/>
      <c r="CS3055" s="345"/>
      <c r="DH3055" s="237"/>
      <c r="DI3055" s="237"/>
      <c r="DP3055" s="2505"/>
    </row>
    <row r="3056" spans="30:120">
      <c r="AD3056" s="1138"/>
      <c r="BH3056" s="1790"/>
      <c r="BN3056" s="237">
        <v>9806</v>
      </c>
      <c r="BO3056" s="237" t="s">
        <v>352</v>
      </c>
      <c r="CD3056" s="237">
        <v>204.02</v>
      </c>
      <c r="CE3056" s="237" t="s">
        <v>369</v>
      </c>
      <c r="CL3056" s="1789"/>
      <c r="CR3056" s="345"/>
      <c r="CS3056" s="345"/>
      <c r="DH3056" s="237"/>
      <c r="DI3056" s="237"/>
      <c r="DP3056" s="2505"/>
    </row>
    <row r="3057" spans="30:120">
      <c r="AD3057" s="1138"/>
      <c r="BH3057" s="1790"/>
      <c r="BN3057" s="237">
        <v>9807</v>
      </c>
      <c r="BO3057" s="237" t="s">
        <v>352</v>
      </c>
      <c r="CD3057" s="345">
        <v>204.04</v>
      </c>
      <c r="CE3057" s="345" t="s">
        <v>310</v>
      </c>
      <c r="CL3057" s="1789"/>
      <c r="CR3057" s="345"/>
      <c r="CS3057" s="345"/>
      <c r="DH3057" s="237"/>
      <c r="DI3057" s="237"/>
      <c r="DP3057" s="2505"/>
    </row>
    <row r="3058" spans="30:120">
      <c r="AD3058" s="1138"/>
      <c r="BH3058" s="1790"/>
      <c r="BN3058" s="237">
        <v>9808</v>
      </c>
      <c r="BO3058" s="237" t="s">
        <v>352</v>
      </c>
      <c r="CD3058" s="345">
        <v>204.05</v>
      </c>
      <c r="CE3058" s="345" t="s">
        <v>310</v>
      </c>
      <c r="CL3058" s="1789"/>
      <c r="CR3058" s="345"/>
      <c r="CS3058" s="345"/>
      <c r="DH3058" s="237"/>
      <c r="DI3058" s="237"/>
      <c r="DP3058" s="2505"/>
    </row>
    <row r="3059" spans="30:120">
      <c r="AD3059" s="1138"/>
      <c r="BH3059" s="1790"/>
      <c r="BN3059" s="237">
        <v>9809</v>
      </c>
      <c r="BO3059" s="237" t="s">
        <v>352</v>
      </c>
      <c r="CD3059" s="345">
        <v>204.06</v>
      </c>
      <c r="CE3059" s="345" t="s">
        <v>310</v>
      </c>
      <c r="CL3059" s="1789"/>
      <c r="CR3059" s="345"/>
      <c r="CS3059" s="345"/>
      <c r="DH3059" s="237"/>
      <c r="DI3059" s="237"/>
      <c r="DP3059" s="2505"/>
    </row>
    <row r="3060" spans="30:120">
      <c r="AD3060" s="1138"/>
      <c r="BH3060" s="1790"/>
      <c r="BN3060" s="237">
        <v>9810</v>
      </c>
      <c r="BO3060" s="237" t="s">
        <v>352</v>
      </c>
      <c r="CD3060" s="345">
        <v>204.07</v>
      </c>
      <c r="CE3060" s="345" t="s">
        <v>310</v>
      </c>
      <c r="CL3060" s="1789"/>
      <c r="CR3060" s="345"/>
      <c r="CS3060" s="345"/>
      <c r="DH3060" s="237"/>
      <c r="DI3060" s="237"/>
      <c r="DP3060" s="2505"/>
    </row>
    <row r="3061" spans="30:120">
      <c r="AD3061" s="1138"/>
      <c r="BH3061" s="1790"/>
      <c r="BN3061" s="237">
        <v>9811</v>
      </c>
      <c r="BO3061" s="237" t="s">
        <v>352</v>
      </c>
      <c r="CD3061" s="345">
        <v>204.12</v>
      </c>
      <c r="CE3061" s="345" t="s">
        <v>310</v>
      </c>
      <c r="CL3061" s="1789"/>
      <c r="CR3061" s="345"/>
      <c r="CS3061" s="345"/>
      <c r="DH3061" s="237"/>
      <c r="DI3061" s="237"/>
      <c r="DP3061" s="2505"/>
    </row>
    <row r="3062" spans="30:120">
      <c r="AD3062" s="1138"/>
      <c r="BH3062" s="1790"/>
      <c r="BN3062" s="237">
        <v>9812</v>
      </c>
      <c r="BO3062" s="237" t="s">
        <v>352</v>
      </c>
      <c r="CD3062" s="345">
        <v>204.14</v>
      </c>
      <c r="CE3062" s="345" t="s">
        <v>310</v>
      </c>
      <c r="CL3062" s="1789"/>
      <c r="CR3062" s="345"/>
      <c r="CS3062" s="345"/>
      <c r="DH3062" s="237"/>
      <c r="DI3062" s="237"/>
      <c r="DP3062" s="2505"/>
    </row>
    <row r="3063" spans="30:120">
      <c r="AD3063" s="1138"/>
      <c r="BH3063" s="1790"/>
      <c r="BN3063" s="237">
        <v>9813</v>
      </c>
      <c r="BO3063" s="237" t="s">
        <v>352</v>
      </c>
      <c r="CD3063" s="345">
        <v>204.15</v>
      </c>
      <c r="CE3063" s="345" t="s">
        <v>310</v>
      </c>
      <c r="CL3063" s="1789"/>
      <c r="CR3063" s="345"/>
      <c r="CS3063" s="345"/>
      <c r="DH3063" s="237"/>
      <c r="DI3063" s="237"/>
      <c r="DP3063" s="2505"/>
    </row>
    <row r="3064" spans="30:120">
      <c r="AD3064" s="1138"/>
      <c r="BH3064" s="1790"/>
      <c r="BN3064" s="237">
        <v>9900</v>
      </c>
      <c r="BO3064" s="237" t="s">
        <v>352</v>
      </c>
      <c r="CD3064" s="345">
        <v>204.16</v>
      </c>
      <c r="CE3064" s="345" t="s">
        <v>310</v>
      </c>
      <c r="CL3064" s="1789"/>
      <c r="CR3064" s="345"/>
      <c r="CS3064" s="345"/>
      <c r="DH3064" s="237"/>
      <c r="DI3064" s="237"/>
      <c r="DP3064" s="2505"/>
    </row>
    <row r="3065" spans="30:120">
      <c r="AD3065" s="1138"/>
      <c r="BH3065" s="1790"/>
      <c r="BN3065" s="237">
        <v>501.02</v>
      </c>
      <c r="BO3065" s="237" t="s">
        <v>356</v>
      </c>
      <c r="CD3065" s="345">
        <v>204.17</v>
      </c>
      <c r="CE3065" s="345" t="s">
        <v>310</v>
      </c>
      <c r="CL3065" s="1789"/>
      <c r="CR3065" s="345"/>
      <c r="CS3065" s="345"/>
      <c r="DH3065" s="237"/>
      <c r="DI3065" s="237"/>
      <c r="DP3065" s="2505"/>
    </row>
    <row r="3066" spans="30:120">
      <c r="AD3066" s="1138"/>
      <c r="BH3066" s="1790"/>
      <c r="BN3066" s="237">
        <v>501.03</v>
      </c>
      <c r="BO3066" s="237" t="s">
        <v>356</v>
      </c>
      <c r="CD3066" s="345">
        <v>204.18</v>
      </c>
      <c r="CE3066" s="345" t="s">
        <v>310</v>
      </c>
      <c r="CL3066" s="1789"/>
      <c r="CR3066" s="345"/>
      <c r="CS3066" s="345"/>
      <c r="DH3066" s="237"/>
      <c r="DI3066" s="237"/>
      <c r="DP3066" s="2505"/>
    </row>
    <row r="3067" spans="30:120">
      <c r="AD3067" s="1138"/>
      <c r="BH3067" s="1790"/>
      <c r="BN3067" s="237">
        <v>501.04</v>
      </c>
      <c r="BO3067" s="237" t="s">
        <v>356</v>
      </c>
      <c r="CD3067" s="345">
        <v>204.19</v>
      </c>
      <c r="CE3067" s="345" t="s">
        <v>310</v>
      </c>
      <c r="CL3067" s="1789"/>
      <c r="CR3067" s="345"/>
      <c r="CS3067" s="345"/>
      <c r="DH3067" s="237"/>
      <c r="DI3067" s="237"/>
      <c r="DP3067" s="2505"/>
    </row>
    <row r="3068" spans="30:120">
      <c r="AD3068" s="1138"/>
      <c r="BH3068" s="1790"/>
      <c r="BN3068" s="237">
        <v>502.01</v>
      </c>
      <c r="BO3068" s="237" t="s">
        <v>356</v>
      </c>
      <c r="CD3068" s="345">
        <v>204.2</v>
      </c>
      <c r="CE3068" s="345" t="s">
        <v>310</v>
      </c>
      <c r="CL3068" s="1789"/>
      <c r="CR3068" s="345"/>
      <c r="CS3068" s="345"/>
      <c r="DH3068" s="237"/>
      <c r="DI3068" s="237"/>
      <c r="DP3068" s="2505"/>
    </row>
    <row r="3069" spans="30:120">
      <c r="AD3069" s="1138"/>
      <c r="BH3069" s="1790"/>
      <c r="BN3069" s="237">
        <v>502.03</v>
      </c>
      <c r="BO3069" s="237" t="s">
        <v>356</v>
      </c>
      <c r="CD3069" s="345">
        <v>204.21</v>
      </c>
      <c r="CE3069" s="345" t="s">
        <v>310</v>
      </c>
      <c r="CL3069" s="1789"/>
      <c r="CR3069" s="345"/>
      <c r="CS3069" s="345"/>
      <c r="DH3069" s="237"/>
      <c r="DI3069" s="237"/>
      <c r="DP3069" s="2505"/>
    </row>
    <row r="3070" spans="30:120">
      <c r="AD3070" s="1138"/>
      <c r="BH3070" s="1790"/>
      <c r="BN3070" s="237">
        <v>502.04</v>
      </c>
      <c r="BO3070" s="237" t="s">
        <v>356</v>
      </c>
      <c r="CD3070" s="237">
        <v>205</v>
      </c>
      <c r="CE3070" s="237" t="s">
        <v>328</v>
      </c>
      <c r="CL3070" s="1789"/>
      <c r="CR3070" s="345"/>
      <c r="CS3070" s="345"/>
      <c r="DH3070" s="237"/>
      <c r="DI3070" s="237"/>
      <c r="DP3070" s="2505"/>
    </row>
    <row r="3071" spans="30:120">
      <c r="AD3071" s="1138"/>
      <c r="BH3071" s="1790"/>
      <c r="BN3071" s="237">
        <v>502.05</v>
      </c>
      <c r="BO3071" s="237" t="s">
        <v>356</v>
      </c>
      <c r="CD3071" s="237">
        <v>205</v>
      </c>
      <c r="CE3071" s="237" t="s">
        <v>357</v>
      </c>
      <c r="CL3071" s="1789"/>
      <c r="CR3071" s="345"/>
      <c r="CS3071" s="345"/>
      <c r="DH3071" s="237"/>
      <c r="DI3071" s="237"/>
      <c r="DP3071" s="2505"/>
    </row>
    <row r="3072" spans="30:120">
      <c r="AD3072" s="1138"/>
      <c r="BH3072" s="1790"/>
      <c r="BN3072" s="237">
        <v>503.04</v>
      </c>
      <c r="BO3072" s="237" t="s">
        <v>356</v>
      </c>
      <c r="CD3072" s="237">
        <v>205</v>
      </c>
      <c r="CE3072" s="237" t="s">
        <v>363</v>
      </c>
      <c r="CL3072" s="1789"/>
      <c r="CR3072" s="345"/>
      <c r="CS3072" s="345"/>
      <c r="DH3072" s="237"/>
      <c r="DI3072" s="237"/>
      <c r="DP3072" s="2505"/>
    </row>
    <row r="3073" spans="30:120">
      <c r="AD3073" s="1138"/>
      <c r="BH3073" s="1790"/>
      <c r="BN3073" s="237">
        <v>503.05</v>
      </c>
      <c r="BO3073" s="237" t="s">
        <v>356</v>
      </c>
      <c r="CD3073" s="237">
        <v>205</v>
      </c>
      <c r="CE3073" s="237" t="s">
        <v>369</v>
      </c>
      <c r="CL3073" s="1789"/>
      <c r="CR3073" s="345"/>
      <c r="CS3073" s="345"/>
      <c r="DH3073" s="237"/>
      <c r="DI3073" s="237"/>
      <c r="DP3073" s="2505"/>
    </row>
    <row r="3074" spans="30:120">
      <c r="AD3074" s="1138"/>
      <c r="BH3074" s="1790"/>
      <c r="BN3074" s="237">
        <v>503.06</v>
      </c>
      <c r="BO3074" s="237" t="s">
        <v>356</v>
      </c>
      <c r="CD3074" s="237">
        <v>205</v>
      </c>
      <c r="CE3074" s="237" t="s">
        <v>370</v>
      </c>
      <c r="CL3074" s="1789"/>
      <c r="CR3074" s="345"/>
      <c r="CS3074" s="345"/>
      <c r="DH3074" s="237"/>
      <c r="DI3074" s="237"/>
      <c r="DP3074" s="2505"/>
    </row>
    <row r="3075" spans="30:120">
      <c r="AD3075" s="1138"/>
      <c r="BH3075" s="1790"/>
      <c r="BN3075" s="237">
        <v>503.07</v>
      </c>
      <c r="BO3075" s="237" t="s">
        <v>356</v>
      </c>
      <c r="CD3075" s="345">
        <v>205.01</v>
      </c>
      <c r="CE3075" s="345" t="s">
        <v>310</v>
      </c>
      <c r="CL3075" s="1789"/>
      <c r="CR3075" s="345"/>
      <c r="CS3075" s="345"/>
      <c r="DH3075" s="237"/>
      <c r="DI3075" s="237"/>
      <c r="DP3075" s="2505"/>
    </row>
    <row r="3076" spans="30:120">
      <c r="AD3076" s="1138"/>
      <c r="BH3076" s="1790"/>
      <c r="BN3076" s="237">
        <v>503.08</v>
      </c>
      <c r="BO3076" s="237" t="s">
        <v>356</v>
      </c>
      <c r="CD3076" s="345">
        <v>205.01</v>
      </c>
      <c r="CE3076" s="345" t="s">
        <v>315</v>
      </c>
      <c r="CL3076" s="1789"/>
      <c r="CR3076" s="345"/>
      <c r="CS3076" s="345"/>
      <c r="DH3076" s="237"/>
      <c r="DI3076" s="237"/>
      <c r="DP3076" s="2505"/>
    </row>
    <row r="3077" spans="30:120">
      <c r="AD3077" s="1138"/>
      <c r="BH3077" s="1790"/>
      <c r="BN3077" s="237">
        <v>503.09</v>
      </c>
      <c r="BO3077" s="237" t="s">
        <v>356</v>
      </c>
      <c r="CD3077" s="237">
        <v>205.01</v>
      </c>
      <c r="CE3077" s="237" t="s">
        <v>344</v>
      </c>
      <c r="CL3077" s="1789"/>
      <c r="CR3077" s="345"/>
      <c r="CS3077" s="345"/>
      <c r="DH3077" s="237"/>
      <c r="DI3077" s="237"/>
      <c r="DP3077" s="2505"/>
    </row>
    <row r="3078" spans="30:120">
      <c r="AD3078" s="1138"/>
      <c r="BH3078" s="1790"/>
      <c r="BN3078" s="237">
        <v>503.1</v>
      </c>
      <c r="BO3078" s="237" t="s">
        <v>356</v>
      </c>
      <c r="CD3078" s="345">
        <v>205.02</v>
      </c>
      <c r="CE3078" s="345" t="s">
        <v>310</v>
      </c>
      <c r="CL3078" s="1789"/>
      <c r="CR3078" s="345"/>
      <c r="CS3078" s="345"/>
      <c r="DH3078" s="237"/>
      <c r="DI3078" s="237"/>
      <c r="DP3078" s="2505"/>
    </row>
    <row r="3079" spans="30:120">
      <c r="AD3079" s="1138"/>
      <c r="BH3079" s="1790"/>
      <c r="BN3079" s="237">
        <v>504.01</v>
      </c>
      <c r="BO3079" s="237" t="s">
        <v>356</v>
      </c>
      <c r="CD3079" s="345">
        <v>205.02</v>
      </c>
      <c r="CE3079" s="345" t="s">
        <v>315</v>
      </c>
      <c r="CL3079" s="1789"/>
      <c r="CR3079" s="345"/>
      <c r="CS3079" s="345"/>
      <c r="DH3079" s="237"/>
      <c r="DI3079" s="237"/>
      <c r="DP3079" s="2505"/>
    </row>
    <row r="3080" spans="30:120">
      <c r="AD3080" s="1138"/>
      <c r="BH3080" s="1790"/>
      <c r="BN3080" s="237">
        <v>504.02</v>
      </c>
      <c r="BO3080" s="237" t="s">
        <v>356</v>
      </c>
      <c r="CD3080" s="237">
        <v>205.02</v>
      </c>
      <c r="CE3080" s="237" t="s">
        <v>344</v>
      </c>
      <c r="CL3080" s="1789"/>
      <c r="CR3080" s="345"/>
      <c r="CS3080" s="345"/>
      <c r="DH3080" s="237"/>
      <c r="DI3080" s="237"/>
      <c r="DP3080" s="2505"/>
    </row>
    <row r="3081" spans="30:120">
      <c r="AD3081" s="1138"/>
      <c r="BH3081" s="1790"/>
      <c r="BN3081" s="237">
        <v>504.03</v>
      </c>
      <c r="BO3081" s="237" t="s">
        <v>356</v>
      </c>
      <c r="CD3081" s="237">
        <v>206</v>
      </c>
      <c r="CE3081" s="237" t="s">
        <v>328</v>
      </c>
      <c r="CL3081" s="1789"/>
      <c r="CR3081" s="345"/>
      <c r="CS3081" s="345"/>
      <c r="DH3081" s="237"/>
      <c r="DI3081" s="237"/>
      <c r="DP3081" s="2505"/>
    </row>
    <row r="3082" spans="30:120">
      <c r="AD3082" s="1138"/>
      <c r="BH3082" s="1790"/>
      <c r="BN3082" s="237">
        <v>505.04</v>
      </c>
      <c r="BO3082" s="237" t="s">
        <v>356</v>
      </c>
      <c r="CD3082" s="237">
        <v>206</v>
      </c>
      <c r="CE3082" s="237" t="s">
        <v>344</v>
      </c>
      <c r="CL3082" s="1789"/>
      <c r="CR3082" s="345"/>
      <c r="CS3082" s="345"/>
      <c r="DH3082" s="237"/>
      <c r="DI3082" s="237"/>
      <c r="DP3082" s="2505"/>
    </row>
    <row r="3083" spans="30:120">
      <c r="AD3083" s="1138"/>
      <c r="BH3083" s="1790"/>
      <c r="BN3083" s="237">
        <v>505.05</v>
      </c>
      <c r="BO3083" s="237" t="s">
        <v>356</v>
      </c>
      <c r="CD3083" s="237">
        <v>206</v>
      </c>
      <c r="CE3083" s="237" t="s">
        <v>363</v>
      </c>
      <c r="CL3083" s="1789"/>
      <c r="CR3083" s="345"/>
      <c r="CS3083" s="345"/>
      <c r="DH3083" s="237"/>
      <c r="DI3083" s="237"/>
      <c r="DP3083" s="2505"/>
    </row>
    <row r="3084" spans="30:120">
      <c r="AD3084" s="1138"/>
      <c r="BH3084" s="1790"/>
      <c r="BN3084" s="237">
        <v>505.06</v>
      </c>
      <c r="BO3084" s="237" t="s">
        <v>356</v>
      </c>
      <c r="CD3084" s="345">
        <v>206.01</v>
      </c>
      <c r="CE3084" s="345" t="s">
        <v>315</v>
      </c>
      <c r="CL3084" s="1789"/>
      <c r="CR3084" s="345"/>
      <c r="CS3084" s="345"/>
      <c r="DH3084" s="237"/>
      <c r="DI3084" s="237"/>
      <c r="DP3084" s="2505"/>
    </row>
    <row r="3085" spans="30:120">
      <c r="AD3085" s="1138"/>
      <c r="BH3085" s="1790"/>
      <c r="BN3085" s="237">
        <v>505.07</v>
      </c>
      <c r="BO3085" s="237" t="s">
        <v>356</v>
      </c>
      <c r="CD3085" s="237">
        <v>206.01</v>
      </c>
      <c r="CE3085" s="237" t="s">
        <v>357</v>
      </c>
      <c r="CL3085" s="1789"/>
      <c r="CR3085" s="345"/>
      <c r="CS3085" s="345"/>
      <c r="DH3085" s="237"/>
      <c r="DI3085" s="237"/>
      <c r="DP3085" s="2505"/>
    </row>
    <row r="3086" spans="30:120">
      <c r="AD3086" s="1138"/>
      <c r="BH3086" s="1790"/>
      <c r="BN3086" s="237">
        <v>505.08</v>
      </c>
      <c r="BO3086" s="237" t="s">
        <v>356</v>
      </c>
      <c r="CD3086" s="237">
        <v>206.01</v>
      </c>
      <c r="CE3086" s="237" t="s">
        <v>369</v>
      </c>
      <c r="CL3086" s="1789"/>
      <c r="CR3086" s="345"/>
      <c r="CS3086" s="345"/>
      <c r="DH3086" s="237"/>
      <c r="DI3086" s="237"/>
      <c r="DP3086" s="2505"/>
    </row>
    <row r="3087" spans="30:120">
      <c r="AD3087" s="1138"/>
      <c r="BH3087" s="1790"/>
      <c r="BN3087" s="237">
        <v>505.09</v>
      </c>
      <c r="BO3087" s="237" t="s">
        <v>356</v>
      </c>
      <c r="CD3087" s="345">
        <v>206.02</v>
      </c>
      <c r="CE3087" s="345" t="s">
        <v>315</v>
      </c>
      <c r="CL3087" s="1789"/>
      <c r="CR3087" s="345"/>
      <c r="CS3087" s="345"/>
      <c r="DH3087" s="237"/>
      <c r="DI3087" s="237"/>
      <c r="DP3087" s="2505"/>
    </row>
    <row r="3088" spans="30:120">
      <c r="AD3088" s="1138"/>
      <c r="BH3088" s="1790"/>
      <c r="BN3088" s="237">
        <v>9900</v>
      </c>
      <c r="BO3088" s="237" t="s">
        <v>356</v>
      </c>
      <c r="CD3088" s="237">
        <v>206.02</v>
      </c>
      <c r="CE3088" s="237" t="s">
        <v>357</v>
      </c>
      <c r="CL3088" s="1789"/>
      <c r="CR3088" s="345"/>
      <c r="CS3088" s="345"/>
      <c r="DH3088" s="237"/>
      <c r="DI3088" s="237"/>
      <c r="DP3088" s="2505"/>
    </row>
    <row r="3089" spans="30:120">
      <c r="AD3089" s="1138"/>
      <c r="BH3089" s="1790"/>
      <c r="BN3089" s="237">
        <v>201.01</v>
      </c>
      <c r="BO3089" s="237" t="s">
        <v>357</v>
      </c>
      <c r="CD3089" s="237">
        <v>206.02</v>
      </c>
      <c r="CE3089" s="237" t="s">
        <v>369</v>
      </c>
      <c r="CL3089" s="1789"/>
      <c r="CR3089" s="345"/>
      <c r="CS3089" s="345"/>
      <c r="DH3089" s="237"/>
      <c r="DI3089" s="237"/>
      <c r="DP3089" s="2505"/>
    </row>
    <row r="3090" spans="30:120">
      <c r="AD3090" s="1138"/>
      <c r="BH3090" s="1790"/>
      <c r="BN3090" s="237">
        <v>201.02</v>
      </c>
      <c r="BO3090" s="237" t="s">
        <v>357</v>
      </c>
      <c r="CD3090" s="237">
        <v>206.03</v>
      </c>
      <c r="CE3090" s="237" t="s">
        <v>370</v>
      </c>
      <c r="CL3090" s="1789"/>
      <c r="CR3090" s="345"/>
      <c r="CS3090" s="345"/>
      <c r="DH3090" s="237"/>
      <c r="DI3090" s="237"/>
      <c r="DP3090" s="2505"/>
    </row>
    <row r="3091" spans="30:120">
      <c r="AD3091" s="1138"/>
      <c r="BH3091" s="1790"/>
      <c r="BN3091" s="237">
        <v>202</v>
      </c>
      <c r="BO3091" s="237" t="s">
        <v>357</v>
      </c>
      <c r="CD3091" s="237">
        <v>206.04</v>
      </c>
      <c r="CE3091" s="237" t="s">
        <v>370</v>
      </c>
      <c r="CL3091" s="1789"/>
      <c r="CR3091" s="345"/>
      <c r="CS3091" s="345"/>
      <c r="DH3091" s="237"/>
      <c r="DI3091" s="237"/>
      <c r="DP3091" s="2505"/>
    </row>
    <row r="3092" spans="30:120">
      <c r="AD3092" s="1138"/>
      <c r="BH3092" s="1790"/>
      <c r="BN3092" s="237">
        <v>203.03</v>
      </c>
      <c r="BO3092" s="237" t="s">
        <v>357</v>
      </c>
      <c r="CD3092" s="237">
        <v>206.05</v>
      </c>
      <c r="CE3092" s="237" t="s">
        <v>370</v>
      </c>
      <c r="CL3092" s="1789"/>
      <c r="CR3092" s="345"/>
      <c r="CS3092" s="345"/>
      <c r="DH3092" s="237"/>
      <c r="DI3092" s="237"/>
      <c r="DP3092" s="2505"/>
    </row>
    <row r="3093" spans="30:120">
      <c r="AD3093" s="1138"/>
      <c r="BH3093" s="1790"/>
      <c r="BN3093" s="237">
        <v>203.04</v>
      </c>
      <c r="BO3093" s="237" t="s">
        <v>357</v>
      </c>
      <c r="CD3093" s="237">
        <v>206.06</v>
      </c>
      <c r="CE3093" s="237" t="s">
        <v>370</v>
      </c>
      <c r="CL3093" s="1789"/>
      <c r="CR3093" s="345"/>
      <c r="CS3093" s="345"/>
      <c r="DH3093" s="237"/>
      <c r="DI3093" s="237"/>
      <c r="DP3093" s="2505"/>
    </row>
    <row r="3094" spans="30:120">
      <c r="AD3094" s="1138"/>
      <c r="BH3094" s="1790"/>
      <c r="BN3094" s="237">
        <v>203.05</v>
      </c>
      <c r="BO3094" s="237" t="s">
        <v>357</v>
      </c>
      <c r="CD3094" s="345">
        <v>207</v>
      </c>
      <c r="CE3094" s="345" t="s">
        <v>315</v>
      </c>
      <c r="CL3094" s="1789"/>
      <c r="CR3094" s="345"/>
      <c r="CS3094" s="345"/>
      <c r="DH3094" s="237"/>
      <c r="DI3094" s="237"/>
      <c r="DP3094" s="2505"/>
    </row>
    <row r="3095" spans="30:120">
      <c r="AD3095" s="1138"/>
      <c r="BH3095" s="1790"/>
      <c r="BN3095" s="237">
        <v>203.06</v>
      </c>
      <c r="BO3095" s="237" t="s">
        <v>357</v>
      </c>
      <c r="CD3095" s="237">
        <v>207</v>
      </c>
      <c r="CE3095" s="237" t="s">
        <v>344</v>
      </c>
      <c r="CL3095" s="1789"/>
      <c r="CR3095" s="345"/>
      <c r="CS3095" s="345"/>
      <c r="DH3095" s="237"/>
      <c r="DI3095" s="237"/>
      <c r="DP3095" s="2505"/>
    </row>
    <row r="3096" spans="30:120">
      <c r="AD3096" s="1138"/>
      <c r="BH3096" s="1790"/>
      <c r="BN3096" s="237">
        <v>204</v>
      </c>
      <c r="BO3096" s="237" t="s">
        <v>357</v>
      </c>
      <c r="CD3096" s="237">
        <v>207</v>
      </c>
      <c r="CE3096" s="237" t="s">
        <v>363</v>
      </c>
      <c r="CL3096" s="1789"/>
      <c r="CR3096" s="345"/>
      <c r="CS3096" s="345"/>
      <c r="DH3096" s="237"/>
      <c r="DI3096" s="237"/>
      <c r="DP3096" s="2505"/>
    </row>
    <row r="3097" spans="30:120">
      <c r="AD3097" s="1138"/>
      <c r="BH3097" s="1790"/>
      <c r="BN3097" s="237">
        <v>205</v>
      </c>
      <c r="BO3097" s="237" t="s">
        <v>357</v>
      </c>
      <c r="CD3097" s="237">
        <v>207.01</v>
      </c>
      <c r="CE3097" s="237" t="s">
        <v>328</v>
      </c>
      <c r="CL3097" s="1789"/>
      <c r="CR3097" s="345"/>
      <c r="CS3097" s="345"/>
      <c r="DH3097" s="237"/>
      <c r="DI3097" s="237"/>
      <c r="DP3097" s="2505"/>
    </row>
    <row r="3098" spans="30:120">
      <c r="AD3098" s="1138"/>
      <c r="BH3098" s="1790"/>
      <c r="BN3098" s="237">
        <v>206.01</v>
      </c>
      <c r="BO3098" s="237" t="s">
        <v>357</v>
      </c>
      <c r="CD3098" s="237">
        <v>207.01</v>
      </c>
      <c r="CE3098" s="237" t="s">
        <v>357</v>
      </c>
      <c r="CL3098" s="1789"/>
      <c r="CR3098" s="345"/>
      <c r="CS3098" s="345"/>
      <c r="DH3098" s="237"/>
      <c r="DI3098" s="237"/>
      <c r="DP3098" s="2505"/>
    </row>
    <row r="3099" spans="30:120">
      <c r="AD3099" s="1138"/>
      <c r="BH3099" s="1790"/>
      <c r="BN3099" s="237">
        <v>206.02</v>
      </c>
      <c r="BO3099" s="237" t="s">
        <v>357</v>
      </c>
      <c r="CD3099" s="237">
        <v>207.02</v>
      </c>
      <c r="CE3099" s="237" t="s">
        <v>328</v>
      </c>
      <c r="CL3099" s="1789"/>
      <c r="CR3099" s="345"/>
      <c r="CS3099" s="345"/>
      <c r="DH3099" s="237"/>
      <c r="DI3099" s="237"/>
      <c r="DP3099" s="2505"/>
    </row>
    <row r="3100" spans="30:120">
      <c r="AD3100" s="1138"/>
      <c r="BH3100" s="1790"/>
      <c r="BN3100" s="237">
        <v>207.01</v>
      </c>
      <c r="BO3100" s="237" t="s">
        <v>357</v>
      </c>
      <c r="CD3100" s="237">
        <v>207.02</v>
      </c>
      <c r="CE3100" s="237" t="s">
        <v>357</v>
      </c>
      <c r="CL3100" s="1789"/>
      <c r="CR3100" s="345"/>
      <c r="CS3100" s="345"/>
      <c r="DH3100" s="237"/>
      <c r="DI3100" s="237"/>
      <c r="DP3100" s="2505"/>
    </row>
    <row r="3101" spans="30:120">
      <c r="AD3101" s="1138"/>
      <c r="BH3101" s="1790"/>
      <c r="BN3101" s="237">
        <v>207.02</v>
      </c>
      <c r="BO3101" s="237" t="s">
        <v>357</v>
      </c>
      <c r="CD3101" s="237">
        <v>207.03</v>
      </c>
      <c r="CE3101" s="237" t="s">
        <v>369</v>
      </c>
      <c r="CL3101" s="1789"/>
      <c r="CR3101" s="345"/>
      <c r="CS3101" s="345"/>
      <c r="DH3101" s="237"/>
      <c r="DI3101" s="237"/>
      <c r="DP3101" s="2505"/>
    </row>
    <row r="3102" spans="30:120">
      <c r="AD3102" s="1138"/>
      <c r="BH3102" s="1790"/>
      <c r="BN3102" s="237">
        <v>208</v>
      </c>
      <c r="BO3102" s="237" t="s">
        <v>357</v>
      </c>
      <c r="CD3102" s="237">
        <v>207.04</v>
      </c>
      <c r="CE3102" s="237" t="s">
        <v>369</v>
      </c>
      <c r="CL3102" s="1789"/>
      <c r="CR3102" s="345"/>
      <c r="CS3102" s="345"/>
      <c r="DH3102" s="237"/>
      <c r="DI3102" s="237"/>
      <c r="DP3102" s="2505"/>
    </row>
    <row r="3103" spans="30:120">
      <c r="AD3103" s="1138"/>
      <c r="BH3103" s="1790"/>
      <c r="BN3103" s="237">
        <v>209</v>
      </c>
      <c r="BO3103" s="237" t="s">
        <v>357</v>
      </c>
      <c r="CD3103" s="237">
        <v>207.04</v>
      </c>
      <c r="CE3103" s="237" t="s">
        <v>370</v>
      </c>
      <c r="CL3103" s="1789"/>
      <c r="CR3103" s="345"/>
      <c r="CS3103" s="345"/>
      <c r="DH3103" s="237"/>
      <c r="DI3103" s="237"/>
      <c r="DP3103" s="2505"/>
    </row>
    <row r="3104" spans="30:120">
      <c r="AD3104" s="1138"/>
      <c r="BH3104" s="1790"/>
      <c r="BN3104" s="237">
        <v>210.01</v>
      </c>
      <c r="BO3104" s="237" t="s">
        <v>357</v>
      </c>
      <c r="CD3104" s="237">
        <v>207.05</v>
      </c>
      <c r="CE3104" s="237" t="s">
        <v>369</v>
      </c>
      <c r="CL3104" s="1789"/>
      <c r="CR3104" s="345"/>
      <c r="CS3104" s="345"/>
      <c r="DH3104" s="237"/>
      <c r="DI3104" s="237"/>
      <c r="DP3104" s="2505"/>
    </row>
    <row r="3105" spans="30:120">
      <c r="AD3105" s="1138"/>
      <c r="BH3105" s="1790"/>
      <c r="BN3105" s="237">
        <v>210.02</v>
      </c>
      <c r="BO3105" s="237" t="s">
        <v>357</v>
      </c>
      <c r="CD3105" s="237">
        <v>207.05</v>
      </c>
      <c r="CE3105" s="237" t="s">
        <v>370</v>
      </c>
      <c r="CL3105" s="1789"/>
      <c r="CR3105" s="345"/>
      <c r="CS3105" s="345"/>
      <c r="DH3105" s="237"/>
      <c r="DI3105" s="237"/>
      <c r="DP3105" s="2505"/>
    </row>
    <row r="3106" spans="30:120">
      <c r="AD3106" s="1138"/>
      <c r="BH3106" s="1790"/>
      <c r="BN3106" s="237">
        <v>211.01</v>
      </c>
      <c r="BO3106" s="237" t="s">
        <v>357</v>
      </c>
      <c r="CD3106" s="237">
        <v>207.06</v>
      </c>
      <c r="CE3106" s="237" t="s">
        <v>369</v>
      </c>
      <c r="CL3106" s="1789"/>
      <c r="CR3106" s="345"/>
      <c r="CS3106" s="345"/>
      <c r="DH3106" s="237"/>
      <c r="DI3106" s="237"/>
      <c r="DP3106" s="2505"/>
    </row>
    <row r="3107" spans="30:120">
      <c r="AD3107" s="1138"/>
      <c r="BH3107" s="1790"/>
      <c r="BN3107" s="237">
        <v>211.02</v>
      </c>
      <c r="BO3107" s="237" t="s">
        <v>357</v>
      </c>
      <c r="CD3107" s="237">
        <v>207.06</v>
      </c>
      <c r="CE3107" s="237" t="s">
        <v>370</v>
      </c>
      <c r="CL3107" s="1789"/>
      <c r="CR3107" s="345"/>
      <c r="CS3107" s="345"/>
      <c r="DH3107" s="237"/>
      <c r="DI3107" s="237"/>
      <c r="DP3107" s="2505"/>
    </row>
    <row r="3108" spans="30:120">
      <c r="AD3108" s="1138"/>
      <c r="BH3108" s="1790"/>
      <c r="BN3108" s="237">
        <v>212</v>
      </c>
      <c r="BO3108" s="237" t="s">
        <v>357</v>
      </c>
      <c r="CD3108" s="237">
        <v>207.07</v>
      </c>
      <c r="CE3108" s="237" t="s">
        <v>369</v>
      </c>
      <c r="CL3108" s="1789"/>
      <c r="CR3108" s="345"/>
      <c r="CS3108" s="345"/>
      <c r="DH3108" s="237"/>
      <c r="DI3108" s="237"/>
      <c r="DP3108" s="2505"/>
    </row>
    <row r="3109" spans="30:120">
      <c r="AD3109" s="1138"/>
      <c r="BH3109" s="1790"/>
      <c r="BN3109" s="237">
        <v>214</v>
      </c>
      <c r="BO3109" s="237" t="s">
        <v>357</v>
      </c>
      <c r="CD3109" s="237">
        <v>207.07</v>
      </c>
      <c r="CE3109" s="237" t="s">
        <v>370</v>
      </c>
      <c r="CL3109" s="1789"/>
      <c r="CR3109" s="345"/>
      <c r="CS3109" s="345"/>
      <c r="DH3109" s="237"/>
      <c r="DI3109" s="237"/>
      <c r="DP3109" s="2505"/>
    </row>
    <row r="3110" spans="30:120">
      <c r="AD3110" s="1138"/>
      <c r="BH3110" s="1790"/>
      <c r="BN3110" s="237">
        <v>215.01</v>
      </c>
      <c r="BO3110" s="237" t="s">
        <v>357</v>
      </c>
      <c r="CD3110" s="237">
        <v>207.08</v>
      </c>
      <c r="CE3110" s="237" t="s">
        <v>370</v>
      </c>
      <c r="CL3110" s="1789"/>
      <c r="CR3110" s="345"/>
      <c r="CS3110" s="345"/>
      <c r="DH3110" s="237"/>
      <c r="DI3110" s="237"/>
      <c r="DP3110" s="2505"/>
    </row>
    <row r="3111" spans="30:120">
      <c r="AD3111" s="1138"/>
      <c r="BH3111" s="1790"/>
      <c r="BN3111" s="237">
        <v>215.02</v>
      </c>
      <c r="BO3111" s="237" t="s">
        <v>357</v>
      </c>
      <c r="CD3111" s="237">
        <v>207.1</v>
      </c>
      <c r="CE3111" s="237" t="s">
        <v>370</v>
      </c>
      <c r="CL3111" s="1789"/>
      <c r="CR3111" s="345"/>
      <c r="CS3111" s="345"/>
      <c r="DH3111" s="237"/>
      <c r="DI3111" s="237"/>
      <c r="DP3111" s="2505"/>
    </row>
    <row r="3112" spans="30:120">
      <c r="AD3112" s="1138"/>
      <c r="BH3112" s="1790"/>
      <c r="BN3112" s="237">
        <v>216</v>
      </c>
      <c r="BO3112" s="237" t="s">
        <v>357</v>
      </c>
      <c r="CD3112" s="237">
        <v>207.12</v>
      </c>
      <c r="CE3112" s="237" t="s">
        <v>370</v>
      </c>
      <c r="CL3112" s="1789"/>
      <c r="CR3112" s="345"/>
      <c r="CS3112" s="345"/>
      <c r="DH3112" s="237"/>
      <c r="DI3112" s="237"/>
      <c r="DP3112" s="2505"/>
    </row>
    <row r="3113" spans="30:120">
      <c r="AD3113" s="1138"/>
      <c r="BH3113" s="1790"/>
      <c r="BN3113" s="237">
        <v>217</v>
      </c>
      <c r="BO3113" s="237" t="s">
        <v>357</v>
      </c>
      <c r="CD3113" s="237">
        <v>207.13</v>
      </c>
      <c r="CE3113" s="237" t="s">
        <v>370</v>
      </c>
      <c r="CL3113" s="1789"/>
      <c r="CR3113" s="345"/>
      <c r="CS3113" s="345"/>
      <c r="DH3113" s="237"/>
      <c r="DI3113" s="237"/>
      <c r="DP3113" s="2505"/>
    </row>
    <row r="3114" spans="30:120">
      <c r="AD3114" s="1138"/>
      <c r="BH3114" s="1790"/>
      <c r="BN3114" s="237">
        <v>218.01</v>
      </c>
      <c r="BO3114" s="237" t="s">
        <v>357</v>
      </c>
      <c r="CD3114" s="345">
        <v>208</v>
      </c>
      <c r="CE3114" s="345" t="s">
        <v>315</v>
      </c>
      <c r="CL3114" s="1789"/>
      <c r="CR3114" s="345"/>
      <c r="CS3114" s="345"/>
      <c r="DH3114" s="237"/>
      <c r="DI3114" s="237"/>
      <c r="DP3114" s="2505"/>
    </row>
    <row r="3115" spans="30:120">
      <c r="AD3115" s="1138"/>
      <c r="BH3115" s="1790"/>
      <c r="BN3115" s="237">
        <v>218.02</v>
      </c>
      <c r="BO3115" s="237" t="s">
        <v>357</v>
      </c>
      <c r="CD3115" s="237">
        <v>208</v>
      </c>
      <c r="CE3115" s="237" t="s">
        <v>328</v>
      </c>
      <c r="CL3115" s="1789"/>
      <c r="CR3115" s="345"/>
      <c r="CS3115" s="345"/>
      <c r="DH3115" s="237"/>
      <c r="DI3115" s="237"/>
      <c r="DP3115" s="2505"/>
    </row>
    <row r="3116" spans="30:120">
      <c r="AD3116" s="1138"/>
      <c r="BH3116" s="1790"/>
      <c r="BN3116" s="237">
        <v>219.01</v>
      </c>
      <c r="BO3116" s="237" t="s">
        <v>357</v>
      </c>
      <c r="CD3116" s="237">
        <v>208</v>
      </c>
      <c r="CE3116" s="237" t="s">
        <v>357</v>
      </c>
      <c r="CL3116" s="1789"/>
      <c r="CR3116" s="345"/>
      <c r="CS3116" s="345"/>
      <c r="DH3116" s="237"/>
      <c r="DI3116" s="237"/>
      <c r="DP3116" s="2505"/>
    </row>
    <row r="3117" spans="30:120">
      <c r="AD3117" s="1138"/>
      <c r="BH3117" s="1790"/>
      <c r="BN3117" s="237">
        <v>219.02</v>
      </c>
      <c r="BO3117" s="237" t="s">
        <v>357</v>
      </c>
      <c r="CD3117" s="237">
        <v>208</v>
      </c>
      <c r="CE3117" s="237" t="s">
        <v>363</v>
      </c>
      <c r="CL3117" s="1789"/>
      <c r="CR3117" s="345"/>
      <c r="CS3117" s="345"/>
      <c r="DH3117" s="237"/>
      <c r="DI3117" s="237"/>
      <c r="DP3117" s="2505"/>
    </row>
    <row r="3118" spans="30:120">
      <c r="AD3118" s="1138"/>
      <c r="BH3118" s="1790"/>
      <c r="BN3118" s="237">
        <v>220.01</v>
      </c>
      <c r="BO3118" s="237" t="s">
        <v>357</v>
      </c>
      <c r="CD3118" s="237">
        <v>208.01</v>
      </c>
      <c r="CE3118" s="237" t="s">
        <v>344</v>
      </c>
      <c r="CL3118" s="1789"/>
      <c r="CR3118" s="345"/>
      <c r="CS3118" s="345"/>
      <c r="DH3118" s="237"/>
      <c r="DI3118" s="237"/>
      <c r="DP3118" s="2505"/>
    </row>
    <row r="3119" spans="30:120">
      <c r="AD3119" s="1138"/>
      <c r="BH3119" s="1790"/>
      <c r="BN3119" s="237">
        <v>220.02</v>
      </c>
      <c r="BO3119" s="237" t="s">
        <v>357</v>
      </c>
      <c r="CD3119" s="237">
        <v>208.01</v>
      </c>
      <c r="CE3119" s="237" t="s">
        <v>370</v>
      </c>
      <c r="CL3119" s="1789"/>
      <c r="CR3119" s="345"/>
      <c r="CS3119" s="345"/>
      <c r="DH3119" s="237"/>
      <c r="DI3119" s="237"/>
      <c r="DP3119" s="2505"/>
    </row>
    <row r="3120" spans="30:120">
      <c r="AD3120" s="1138"/>
      <c r="BH3120" s="1790"/>
      <c r="BN3120" s="237">
        <v>221</v>
      </c>
      <c r="BO3120" s="237" t="s">
        <v>357</v>
      </c>
      <c r="CD3120" s="237">
        <v>208.02</v>
      </c>
      <c r="CE3120" s="237" t="s">
        <v>344</v>
      </c>
      <c r="CL3120" s="1789"/>
      <c r="CR3120" s="345"/>
      <c r="CS3120" s="345"/>
      <c r="DH3120" s="237"/>
      <c r="DI3120" s="237"/>
      <c r="DP3120" s="2505"/>
    </row>
    <row r="3121" spans="30:120">
      <c r="AD3121" s="1138"/>
      <c r="BH3121" s="1790"/>
      <c r="BN3121" s="237">
        <v>223</v>
      </c>
      <c r="BO3121" s="237" t="s">
        <v>357</v>
      </c>
      <c r="CD3121" s="237">
        <v>208.02</v>
      </c>
      <c r="CE3121" s="237" t="s">
        <v>370</v>
      </c>
      <c r="CL3121" s="1789"/>
      <c r="CR3121" s="345"/>
      <c r="CS3121" s="345"/>
      <c r="DH3121" s="237"/>
      <c r="DI3121" s="237"/>
      <c r="DP3121" s="2505"/>
    </row>
    <row r="3122" spans="30:120">
      <c r="AD3122" s="1138"/>
      <c r="BH3122" s="1790"/>
      <c r="BN3122" s="237">
        <v>224</v>
      </c>
      <c r="BO3122" s="237" t="s">
        <v>357</v>
      </c>
      <c r="CD3122" s="237">
        <v>208.03</v>
      </c>
      <c r="CE3122" s="237" t="s">
        <v>369</v>
      </c>
      <c r="CL3122" s="1789"/>
      <c r="CR3122" s="345"/>
      <c r="CS3122" s="345"/>
      <c r="DH3122" s="237"/>
      <c r="DI3122" s="237"/>
      <c r="DP3122" s="2505"/>
    </row>
    <row r="3123" spans="30:120">
      <c r="AD3123" s="1138"/>
      <c r="BH3123" s="1790"/>
      <c r="BN3123" s="237">
        <v>225</v>
      </c>
      <c r="BO3123" s="237" t="s">
        <v>357</v>
      </c>
      <c r="CD3123" s="237">
        <v>208.03</v>
      </c>
      <c r="CE3123" s="237" t="s">
        <v>370</v>
      </c>
      <c r="CL3123" s="1789"/>
      <c r="CR3123" s="345"/>
      <c r="CS3123" s="345"/>
      <c r="DH3123" s="237"/>
      <c r="DI3123" s="237"/>
      <c r="DP3123" s="2505"/>
    </row>
    <row r="3124" spans="30:120">
      <c r="AD3124" s="1138"/>
      <c r="BH3124" s="1790"/>
      <c r="BN3124" s="237">
        <v>226</v>
      </c>
      <c r="BO3124" s="237" t="s">
        <v>357</v>
      </c>
      <c r="CD3124" s="237">
        <v>208.04</v>
      </c>
      <c r="CE3124" s="237" t="s">
        <v>370</v>
      </c>
      <c r="CL3124" s="1789"/>
      <c r="CR3124" s="345"/>
      <c r="CS3124" s="345"/>
      <c r="DH3124" s="237"/>
      <c r="DI3124" s="237"/>
      <c r="DP3124" s="2505"/>
    </row>
    <row r="3125" spans="30:120">
      <c r="AD3125" s="1138"/>
      <c r="BH3125" s="1790"/>
      <c r="BN3125" s="237">
        <v>227</v>
      </c>
      <c r="BO3125" s="237" t="s">
        <v>357</v>
      </c>
      <c r="CD3125" s="237">
        <v>208.05</v>
      </c>
      <c r="CE3125" s="237" t="s">
        <v>369</v>
      </c>
      <c r="CL3125" s="1789"/>
      <c r="CR3125" s="345"/>
      <c r="CS3125" s="345"/>
      <c r="DH3125" s="237"/>
      <c r="DI3125" s="237"/>
      <c r="DP3125" s="2505"/>
    </row>
    <row r="3126" spans="30:120">
      <c r="AD3126" s="1138"/>
      <c r="BH3126" s="1790"/>
      <c r="BN3126" s="237">
        <v>228</v>
      </c>
      <c r="BO3126" s="237" t="s">
        <v>357</v>
      </c>
      <c r="CD3126" s="237">
        <v>208.06</v>
      </c>
      <c r="CE3126" s="237" t="s">
        <v>369</v>
      </c>
      <c r="CL3126" s="1789"/>
      <c r="CR3126" s="345"/>
      <c r="CS3126" s="345"/>
      <c r="DH3126" s="237"/>
      <c r="DI3126" s="237"/>
      <c r="DP3126" s="2505"/>
    </row>
    <row r="3127" spans="30:120">
      <c r="AD3127" s="1138"/>
      <c r="BH3127" s="1790"/>
      <c r="BN3127" s="237">
        <v>229</v>
      </c>
      <c r="BO3127" s="237" t="s">
        <v>357</v>
      </c>
      <c r="CD3127" s="237">
        <v>208.07</v>
      </c>
      <c r="CE3127" s="237" t="s">
        <v>369</v>
      </c>
      <c r="CL3127" s="1789"/>
      <c r="CR3127" s="345"/>
      <c r="CS3127" s="345"/>
      <c r="DH3127" s="237"/>
      <c r="DI3127" s="237"/>
      <c r="DP3127" s="2505"/>
    </row>
    <row r="3128" spans="30:120">
      <c r="AD3128" s="1138"/>
      <c r="BH3128" s="1790"/>
      <c r="BN3128" s="237">
        <v>231</v>
      </c>
      <c r="BO3128" s="237" t="s">
        <v>357</v>
      </c>
      <c r="CD3128" s="237">
        <v>208.07</v>
      </c>
      <c r="CE3128" s="237" t="s">
        <v>370</v>
      </c>
      <c r="CL3128" s="1789"/>
      <c r="CR3128" s="345"/>
      <c r="CS3128" s="345"/>
      <c r="DH3128" s="237"/>
      <c r="DI3128" s="237"/>
      <c r="DP3128" s="2505"/>
    </row>
    <row r="3129" spans="30:120">
      <c r="AD3129" s="1138"/>
      <c r="BH3129" s="1790"/>
      <c r="BN3129" s="237">
        <v>232</v>
      </c>
      <c r="BO3129" s="237" t="s">
        <v>357</v>
      </c>
      <c r="CD3129" s="237">
        <v>208.08</v>
      </c>
      <c r="CE3129" s="237" t="s">
        <v>369</v>
      </c>
      <c r="CL3129" s="1789"/>
      <c r="CR3129" s="345"/>
      <c r="CS3129" s="345"/>
      <c r="DH3129" s="237"/>
      <c r="DI3129" s="237"/>
      <c r="DP3129" s="2505"/>
    </row>
    <row r="3130" spans="30:120">
      <c r="AD3130" s="1138"/>
      <c r="BH3130" s="1790"/>
      <c r="BN3130" s="237">
        <v>233.03</v>
      </c>
      <c r="BO3130" s="237" t="s">
        <v>357</v>
      </c>
      <c r="CD3130" s="237">
        <v>208.08</v>
      </c>
      <c r="CE3130" s="237" t="s">
        <v>370</v>
      </c>
      <c r="CL3130" s="1789"/>
      <c r="CR3130" s="345"/>
      <c r="CS3130" s="345"/>
      <c r="DH3130" s="237"/>
      <c r="DI3130" s="237"/>
      <c r="DP3130" s="2505"/>
    </row>
    <row r="3131" spans="30:120">
      <c r="AD3131" s="1138"/>
      <c r="BH3131" s="1790"/>
      <c r="BN3131" s="237">
        <v>233.04</v>
      </c>
      <c r="BO3131" s="237" t="s">
        <v>357</v>
      </c>
      <c r="CD3131" s="237">
        <v>208.09</v>
      </c>
      <c r="CE3131" s="237" t="s">
        <v>370</v>
      </c>
      <c r="CL3131" s="1789"/>
      <c r="CR3131" s="345"/>
      <c r="CS3131" s="345"/>
      <c r="DH3131" s="237"/>
      <c r="DI3131" s="237"/>
      <c r="DP3131" s="2505"/>
    </row>
    <row r="3132" spans="30:120">
      <c r="AD3132" s="1138"/>
      <c r="BH3132" s="1790"/>
      <c r="BN3132" s="237">
        <v>233.05</v>
      </c>
      <c r="BO3132" s="237" t="s">
        <v>357</v>
      </c>
      <c r="CD3132" s="237">
        <v>208.1</v>
      </c>
      <c r="CE3132" s="237" t="s">
        <v>369</v>
      </c>
      <c r="CL3132" s="1789"/>
      <c r="CR3132" s="345"/>
      <c r="CS3132" s="345"/>
      <c r="DH3132" s="237"/>
      <c r="DI3132" s="237"/>
      <c r="DP3132" s="2505"/>
    </row>
    <row r="3133" spans="30:120">
      <c r="AD3133" s="1138"/>
      <c r="BH3133" s="1790"/>
      <c r="BN3133" s="237">
        <v>233.06</v>
      </c>
      <c r="BO3133" s="237" t="s">
        <v>357</v>
      </c>
      <c r="CD3133" s="237">
        <v>208.1</v>
      </c>
      <c r="CE3133" s="237" t="s">
        <v>370</v>
      </c>
      <c r="CL3133" s="1789"/>
      <c r="CR3133" s="345"/>
      <c r="CS3133" s="345"/>
      <c r="DH3133" s="237"/>
      <c r="DI3133" s="237"/>
      <c r="DP3133" s="2505"/>
    </row>
    <row r="3134" spans="30:120">
      <c r="AD3134" s="1138"/>
      <c r="BH3134" s="1790"/>
      <c r="BN3134" s="237">
        <v>233.07</v>
      </c>
      <c r="BO3134" s="237" t="s">
        <v>357</v>
      </c>
      <c r="CD3134" s="237">
        <v>208.11</v>
      </c>
      <c r="CE3134" s="237" t="s">
        <v>369</v>
      </c>
      <c r="CL3134" s="1789"/>
      <c r="CR3134" s="345"/>
      <c r="CS3134" s="345"/>
      <c r="DH3134" s="237"/>
      <c r="DI3134" s="237"/>
      <c r="DP3134" s="2505"/>
    </row>
    <row r="3135" spans="30:120">
      <c r="AD3135" s="1138"/>
      <c r="BH3135" s="1790"/>
      <c r="BN3135" s="237">
        <v>233.08</v>
      </c>
      <c r="BO3135" s="237" t="s">
        <v>357</v>
      </c>
      <c r="CD3135" s="237">
        <v>208.11</v>
      </c>
      <c r="CE3135" s="237" t="s">
        <v>370</v>
      </c>
      <c r="CL3135" s="1789"/>
      <c r="CR3135" s="345"/>
      <c r="CS3135" s="345"/>
      <c r="DH3135" s="237"/>
      <c r="DI3135" s="237"/>
      <c r="DP3135" s="2505"/>
    </row>
    <row r="3136" spans="30:120">
      <c r="AD3136" s="1138"/>
      <c r="BH3136" s="1790"/>
      <c r="BN3136" s="237">
        <v>9901</v>
      </c>
      <c r="BO3136" s="237" t="s">
        <v>357</v>
      </c>
      <c r="CD3136" s="237">
        <v>208.12</v>
      </c>
      <c r="CE3136" s="237" t="s">
        <v>369</v>
      </c>
      <c r="CL3136" s="1789"/>
      <c r="CR3136" s="345"/>
      <c r="CS3136" s="345"/>
      <c r="DH3136" s="237"/>
      <c r="DI3136" s="237"/>
      <c r="DP3136" s="2505"/>
    </row>
    <row r="3137" spans="30:120">
      <c r="AD3137" s="1138"/>
      <c r="BH3137" s="1790"/>
      <c r="BN3137" s="237">
        <v>9902</v>
      </c>
      <c r="BO3137" s="237" t="s">
        <v>357</v>
      </c>
      <c r="CD3137" s="345">
        <v>209</v>
      </c>
      <c r="CE3137" s="345" t="s">
        <v>315</v>
      </c>
      <c r="CL3137" s="1789"/>
      <c r="CR3137" s="345"/>
      <c r="CS3137" s="345"/>
      <c r="DH3137" s="237"/>
      <c r="DI3137" s="237"/>
      <c r="DP3137" s="2505"/>
    </row>
    <row r="3138" spans="30:120">
      <c r="AD3138" s="1138"/>
      <c r="BH3138" s="1790"/>
      <c r="BN3138" s="237">
        <v>102.01</v>
      </c>
      <c r="BO3138" s="237" t="s">
        <v>359</v>
      </c>
      <c r="CD3138" s="237">
        <v>209</v>
      </c>
      <c r="CE3138" s="237" t="s">
        <v>357</v>
      </c>
      <c r="CL3138" s="1789"/>
      <c r="CR3138" s="345"/>
      <c r="CS3138" s="345"/>
      <c r="DH3138" s="237"/>
      <c r="DI3138" s="237"/>
      <c r="DP3138" s="2505"/>
    </row>
    <row r="3139" spans="30:120">
      <c r="AD3139" s="1138"/>
      <c r="BH3139" s="1790"/>
      <c r="BN3139" s="237">
        <v>102.02</v>
      </c>
      <c r="BO3139" s="237" t="s">
        <v>359</v>
      </c>
      <c r="CD3139" s="237">
        <v>209.01</v>
      </c>
      <c r="CE3139" s="237" t="s">
        <v>369</v>
      </c>
      <c r="CL3139" s="1789"/>
      <c r="CR3139" s="345"/>
      <c r="CS3139" s="345"/>
      <c r="DH3139" s="237"/>
      <c r="DI3139" s="237"/>
      <c r="DP3139" s="2505"/>
    </row>
    <row r="3140" spans="30:120">
      <c r="AD3140" s="1138"/>
      <c r="BH3140" s="1790"/>
      <c r="BN3140" s="237">
        <v>103</v>
      </c>
      <c r="BO3140" s="237" t="s">
        <v>359</v>
      </c>
      <c r="CD3140" s="237">
        <v>209.02</v>
      </c>
      <c r="CE3140" s="237" t="s">
        <v>369</v>
      </c>
      <c r="CL3140" s="1789"/>
      <c r="CR3140" s="345"/>
      <c r="CS3140" s="345"/>
      <c r="DH3140" s="237"/>
      <c r="DI3140" s="237"/>
      <c r="DP3140" s="2505"/>
    </row>
    <row r="3141" spans="30:120">
      <c r="AD3141" s="1138"/>
      <c r="BH3141" s="1790"/>
      <c r="BN3141" s="237">
        <v>104</v>
      </c>
      <c r="BO3141" s="237" t="s">
        <v>359</v>
      </c>
      <c r="CD3141" s="237">
        <v>209.03</v>
      </c>
      <c r="CE3141" s="237" t="s">
        <v>370</v>
      </c>
      <c r="CL3141" s="1789"/>
      <c r="CR3141" s="345"/>
      <c r="CS3141" s="345"/>
      <c r="DH3141" s="237"/>
      <c r="DI3141" s="237"/>
      <c r="DP3141" s="2505"/>
    </row>
    <row r="3142" spans="30:120">
      <c r="AD3142" s="1138"/>
      <c r="BH3142" s="1790"/>
      <c r="BN3142" s="237">
        <v>105</v>
      </c>
      <c r="BO3142" s="237" t="s">
        <v>359</v>
      </c>
      <c r="CD3142" s="237">
        <v>209.04</v>
      </c>
      <c r="CE3142" s="237" t="s">
        <v>369</v>
      </c>
      <c r="CL3142" s="1789"/>
      <c r="CR3142" s="345"/>
      <c r="CS3142" s="345"/>
      <c r="DH3142" s="237"/>
      <c r="DI3142" s="237"/>
      <c r="DP3142" s="2505"/>
    </row>
    <row r="3143" spans="30:120">
      <c r="AD3143" s="1138"/>
      <c r="BH3143" s="1790"/>
      <c r="BN3143" s="237">
        <v>108.02</v>
      </c>
      <c r="BO3143" s="237" t="s">
        <v>359</v>
      </c>
      <c r="CD3143" s="237">
        <v>209.04</v>
      </c>
      <c r="CE3143" s="237" t="s">
        <v>370</v>
      </c>
      <c r="CL3143" s="1789"/>
      <c r="CR3143" s="345"/>
      <c r="CS3143" s="345"/>
      <c r="DH3143" s="237"/>
      <c r="DI3143" s="237"/>
      <c r="DP3143" s="2505"/>
    </row>
    <row r="3144" spans="30:120">
      <c r="AD3144" s="1138"/>
      <c r="BH3144" s="1790"/>
      <c r="BN3144" s="237">
        <v>110</v>
      </c>
      <c r="BO3144" s="237" t="s">
        <v>359</v>
      </c>
      <c r="CD3144" s="237">
        <v>209.05</v>
      </c>
      <c r="CE3144" s="237" t="s">
        <v>369</v>
      </c>
      <c r="CL3144" s="1789"/>
      <c r="CR3144" s="345"/>
      <c r="CS3144" s="345"/>
      <c r="DH3144" s="237"/>
      <c r="DI3144" s="237"/>
      <c r="DP3144" s="2505"/>
    </row>
    <row r="3145" spans="30:120">
      <c r="AD3145" s="1138"/>
      <c r="BH3145" s="1790"/>
      <c r="BN3145" s="237">
        <v>111</v>
      </c>
      <c r="BO3145" s="237" t="s">
        <v>359</v>
      </c>
      <c r="CD3145" s="237">
        <v>209.05</v>
      </c>
      <c r="CE3145" s="237" t="s">
        <v>370</v>
      </c>
      <c r="CL3145" s="1789"/>
      <c r="CR3145" s="345"/>
      <c r="CS3145" s="345"/>
      <c r="DH3145" s="237"/>
      <c r="DI3145" s="237"/>
      <c r="DP3145" s="2505"/>
    </row>
    <row r="3146" spans="30:120">
      <c r="AD3146" s="1138"/>
      <c r="BH3146" s="1790"/>
      <c r="BN3146" s="237">
        <v>112</v>
      </c>
      <c r="BO3146" s="237" t="s">
        <v>359</v>
      </c>
      <c r="CD3146" s="237">
        <v>209.06</v>
      </c>
      <c r="CE3146" s="237" t="s">
        <v>370</v>
      </c>
      <c r="CL3146" s="1789"/>
      <c r="CR3146" s="345"/>
      <c r="CS3146" s="345"/>
      <c r="DH3146" s="237"/>
      <c r="DI3146" s="237"/>
      <c r="DP3146" s="2505"/>
    </row>
    <row r="3147" spans="30:120">
      <c r="AD3147" s="1138"/>
      <c r="BH3147" s="1790"/>
      <c r="BN3147" s="237">
        <v>113</v>
      </c>
      <c r="BO3147" s="237" t="s">
        <v>359</v>
      </c>
      <c r="CD3147" s="237">
        <v>209.07</v>
      </c>
      <c r="CE3147" s="237" t="s">
        <v>370</v>
      </c>
      <c r="CL3147" s="1789"/>
      <c r="CR3147" s="345"/>
      <c r="CS3147" s="345"/>
      <c r="DH3147" s="237"/>
      <c r="DI3147" s="237"/>
      <c r="DP3147" s="2505"/>
    </row>
    <row r="3148" spans="30:120">
      <c r="AD3148" s="1138"/>
      <c r="BH3148" s="1790"/>
      <c r="BN3148" s="237">
        <v>116</v>
      </c>
      <c r="BO3148" s="237" t="s">
        <v>359</v>
      </c>
      <c r="CD3148" s="237">
        <v>209.08</v>
      </c>
      <c r="CE3148" s="237" t="s">
        <v>370</v>
      </c>
      <c r="CL3148" s="1789"/>
      <c r="CR3148" s="345"/>
      <c r="CS3148" s="345"/>
      <c r="DH3148" s="237"/>
      <c r="DI3148" s="237"/>
      <c r="DP3148" s="2505"/>
    </row>
    <row r="3149" spans="30:120">
      <c r="AD3149" s="1138"/>
      <c r="BH3149" s="1790"/>
      <c r="BN3149" s="237">
        <v>117.01</v>
      </c>
      <c r="BO3149" s="237" t="s">
        <v>359</v>
      </c>
      <c r="CD3149" s="237">
        <v>210</v>
      </c>
      <c r="CE3149" s="237" t="s">
        <v>369</v>
      </c>
      <c r="CL3149" s="1789"/>
      <c r="CR3149" s="345"/>
      <c r="CS3149" s="345"/>
      <c r="DH3149" s="237"/>
      <c r="DI3149" s="237"/>
      <c r="DP3149" s="2505"/>
    </row>
    <row r="3150" spans="30:120">
      <c r="AD3150" s="1138"/>
      <c r="BH3150" s="1790"/>
      <c r="BN3150" s="237">
        <v>117.02</v>
      </c>
      <c r="BO3150" s="237" t="s">
        <v>359</v>
      </c>
      <c r="CD3150" s="345">
        <v>210.01</v>
      </c>
      <c r="CE3150" s="345" t="s">
        <v>315</v>
      </c>
      <c r="CL3150" s="1789"/>
      <c r="CR3150" s="345"/>
      <c r="CS3150" s="345"/>
      <c r="DH3150" s="237"/>
      <c r="DI3150" s="237"/>
      <c r="DP3150" s="2505"/>
    </row>
    <row r="3151" spans="30:120">
      <c r="AD3151" s="1138"/>
      <c r="BH3151" s="1790"/>
      <c r="BN3151" s="237">
        <v>120</v>
      </c>
      <c r="BO3151" s="237" t="s">
        <v>359</v>
      </c>
      <c r="CD3151" s="237">
        <v>210.01</v>
      </c>
      <c r="CE3151" s="237" t="s">
        <v>357</v>
      </c>
      <c r="CL3151" s="1789"/>
      <c r="CR3151" s="345"/>
      <c r="CS3151" s="345"/>
      <c r="DH3151" s="237"/>
      <c r="DI3151" s="237"/>
      <c r="DP3151" s="2505"/>
    </row>
    <row r="3152" spans="30:120">
      <c r="AD3152" s="1138"/>
      <c r="BH3152" s="1790"/>
      <c r="BN3152" s="237">
        <v>121</v>
      </c>
      <c r="BO3152" s="237" t="s">
        <v>359</v>
      </c>
      <c r="CD3152" s="345">
        <v>210.02</v>
      </c>
      <c r="CE3152" s="345" t="s">
        <v>315</v>
      </c>
      <c r="CL3152" s="1789"/>
      <c r="CR3152" s="345"/>
      <c r="CS3152" s="345"/>
      <c r="DH3152" s="237"/>
      <c r="DI3152" s="237"/>
      <c r="DP3152" s="2505"/>
    </row>
    <row r="3153" spans="30:120">
      <c r="AD3153" s="1138"/>
      <c r="BH3153" s="1790"/>
      <c r="BN3153" s="237">
        <v>122.01</v>
      </c>
      <c r="BO3153" s="237" t="s">
        <v>359</v>
      </c>
      <c r="CD3153" s="237">
        <v>210.02</v>
      </c>
      <c r="CE3153" s="237" t="s">
        <v>357</v>
      </c>
      <c r="CL3153" s="1789"/>
      <c r="CR3153" s="345"/>
      <c r="CS3153" s="345"/>
      <c r="DH3153" s="237"/>
      <c r="DI3153" s="237"/>
      <c r="DP3153" s="2505"/>
    </row>
    <row r="3154" spans="30:120">
      <c r="AD3154" s="1138"/>
      <c r="BH3154" s="1790"/>
      <c r="BN3154" s="237">
        <v>122.02</v>
      </c>
      <c r="BO3154" s="237" t="s">
        <v>359</v>
      </c>
      <c r="CD3154" s="237">
        <v>210.02</v>
      </c>
      <c r="CE3154" s="237" t="s">
        <v>370</v>
      </c>
      <c r="CL3154" s="1789"/>
      <c r="CR3154" s="345"/>
      <c r="CS3154" s="345"/>
      <c r="DH3154" s="237"/>
      <c r="DI3154" s="237"/>
      <c r="DP3154" s="2505"/>
    </row>
    <row r="3155" spans="30:120">
      <c r="AD3155" s="1138"/>
      <c r="BH3155" s="1790"/>
      <c r="BN3155" s="237">
        <v>123.03</v>
      </c>
      <c r="BO3155" s="237" t="s">
        <v>359</v>
      </c>
      <c r="CD3155" s="345">
        <v>210.03</v>
      </c>
      <c r="CE3155" s="345" t="s">
        <v>315</v>
      </c>
      <c r="CL3155" s="1789"/>
      <c r="CR3155" s="345"/>
      <c r="CS3155" s="345"/>
      <c r="DH3155" s="237"/>
      <c r="DI3155" s="237"/>
      <c r="DP3155" s="2505"/>
    </row>
    <row r="3156" spans="30:120">
      <c r="AD3156" s="1138"/>
      <c r="BH3156" s="1790"/>
      <c r="BN3156" s="237">
        <v>123.04</v>
      </c>
      <c r="BO3156" s="237" t="s">
        <v>359</v>
      </c>
      <c r="CD3156" s="237">
        <v>210.03</v>
      </c>
      <c r="CE3156" s="237" t="s">
        <v>370</v>
      </c>
      <c r="CL3156" s="1789"/>
      <c r="CR3156" s="345"/>
      <c r="CS3156" s="345"/>
      <c r="DH3156" s="237"/>
      <c r="DI3156" s="237"/>
      <c r="DP3156" s="2505"/>
    </row>
    <row r="3157" spans="30:120">
      <c r="AD3157" s="1138"/>
      <c r="BH3157" s="1790"/>
      <c r="BN3157" s="237">
        <v>123.05</v>
      </c>
      <c r="BO3157" s="237" t="s">
        <v>359</v>
      </c>
      <c r="CD3157" s="237">
        <v>210.04</v>
      </c>
      <c r="CE3157" s="237" t="s">
        <v>370</v>
      </c>
      <c r="CL3157" s="1789"/>
      <c r="CR3157" s="345"/>
      <c r="CS3157" s="345"/>
      <c r="DH3157" s="237"/>
      <c r="DI3157" s="237"/>
      <c r="DP3157" s="2505"/>
    </row>
    <row r="3158" spans="30:120">
      <c r="AD3158" s="1138"/>
      <c r="BH3158" s="1790"/>
      <c r="BN3158" s="237">
        <v>123.06</v>
      </c>
      <c r="BO3158" s="237" t="s">
        <v>359</v>
      </c>
      <c r="CD3158" s="237">
        <v>211</v>
      </c>
      <c r="CE3158" s="237" t="s">
        <v>369</v>
      </c>
      <c r="CL3158" s="1789"/>
      <c r="CR3158" s="345"/>
      <c r="CS3158" s="345"/>
      <c r="DH3158" s="237"/>
      <c r="DI3158" s="237"/>
      <c r="DP3158" s="2505"/>
    </row>
    <row r="3159" spans="30:120">
      <c r="AD3159" s="1138"/>
      <c r="BH3159" s="1790"/>
      <c r="BN3159" s="237">
        <v>123.07</v>
      </c>
      <c r="BO3159" s="237" t="s">
        <v>359</v>
      </c>
      <c r="CD3159" s="237">
        <v>211.01</v>
      </c>
      <c r="CE3159" s="237" t="s">
        <v>357</v>
      </c>
      <c r="CL3159" s="1789"/>
      <c r="CR3159" s="345"/>
      <c r="CS3159" s="345"/>
      <c r="DH3159" s="237"/>
      <c r="DI3159" s="237"/>
      <c r="DP3159" s="2505"/>
    </row>
    <row r="3160" spans="30:120">
      <c r="AD3160" s="1138"/>
      <c r="BH3160" s="1790"/>
      <c r="BN3160" s="237">
        <v>124.02</v>
      </c>
      <c r="BO3160" s="237" t="s">
        <v>359</v>
      </c>
      <c r="CD3160" s="237">
        <v>211.01</v>
      </c>
      <c r="CE3160" s="237" t="s">
        <v>370</v>
      </c>
      <c r="CL3160" s="1789"/>
      <c r="CR3160" s="345"/>
      <c r="CS3160" s="345"/>
      <c r="DH3160" s="237"/>
      <c r="DI3160" s="237"/>
      <c r="DP3160" s="2505"/>
    </row>
    <row r="3161" spans="30:120">
      <c r="AD3161" s="1138"/>
      <c r="BH3161" s="1790"/>
      <c r="BN3161" s="237">
        <v>124.03</v>
      </c>
      <c r="BO3161" s="237" t="s">
        <v>359</v>
      </c>
      <c r="CD3161" s="237">
        <v>211.02</v>
      </c>
      <c r="CE3161" s="237" t="s">
        <v>357</v>
      </c>
      <c r="CL3161" s="1789"/>
      <c r="CR3161" s="345"/>
      <c r="CS3161" s="345"/>
      <c r="DH3161" s="237"/>
      <c r="DI3161" s="237"/>
      <c r="DP3161" s="2505"/>
    </row>
    <row r="3162" spans="30:120">
      <c r="AD3162" s="1138"/>
      <c r="BH3162" s="1790"/>
      <c r="BN3162" s="237">
        <v>124.04</v>
      </c>
      <c r="BO3162" s="237" t="s">
        <v>359</v>
      </c>
      <c r="CD3162" s="237">
        <v>211.02</v>
      </c>
      <c r="CE3162" s="237" t="s">
        <v>370</v>
      </c>
      <c r="CL3162" s="1789"/>
      <c r="CR3162" s="345"/>
      <c r="CS3162" s="345"/>
      <c r="DH3162" s="237"/>
      <c r="DI3162" s="237"/>
      <c r="DP3162" s="2505"/>
    </row>
    <row r="3163" spans="30:120">
      <c r="AD3163" s="1138"/>
      <c r="BH3163" s="1790"/>
      <c r="BN3163" s="237">
        <v>124.05</v>
      </c>
      <c r="BO3163" s="237" t="s">
        <v>359</v>
      </c>
      <c r="CD3163" s="237">
        <v>211.03</v>
      </c>
      <c r="CE3163" s="237" t="s">
        <v>370</v>
      </c>
      <c r="CL3163" s="1789"/>
      <c r="CR3163" s="345"/>
      <c r="CS3163" s="345"/>
      <c r="DH3163" s="237"/>
      <c r="DI3163" s="237"/>
      <c r="DP3163" s="2505"/>
    </row>
    <row r="3164" spans="30:120">
      <c r="AD3164" s="1138"/>
      <c r="BH3164" s="1790"/>
      <c r="BN3164" s="237">
        <v>125</v>
      </c>
      <c r="BO3164" s="237" t="s">
        <v>359</v>
      </c>
      <c r="CD3164" s="237">
        <v>212</v>
      </c>
      <c r="CE3164" s="237" t="s">
        <v>357</v>
      </c>
      <c r="CL3164" s="1789"/>
      <c r="CR3164" s="345"/>
      <c r="CS3164" s="345"/>
      <c r="DH3164" s="237"/>
      <c r="DI3164" s="237"/>
      <c r="DP3164" s="2505"/>
    </row>
    <row r="3165" spans="30:120">
      <c r="AD3165" s="1138"/>
      <c r="BH3165" s="1790"/>
      <c r="BN3165" s="237">
        <v>126</v>
      </c>
      <c r="BO3165" s="237" t="s">
        <v>359</v>
      </c>
      <c r="CD3165" s="237">
        <v>212</v>
      </c>
      <c r="CE3165" s="237" t="s">
        <v>363</v>
      </c>
      <c r="CL3165" s="1789"/>
      <c r="CR3165" s="345"/>
      <c r="CS3165" s="345"/>
      <c r="DH3165" s="237"/>
      <c r="DI3165" s="237"/>
      <c r="DP3165" s="2505"/>
    </row>
    <row r="3166" spans="30:120">
      <c r="AD3166" s="1138"/>
      <c r="BH3166" s="1790"/>
      <c r="BN3166" s="237">
        <v>127.01</v>
      </c>
      <c r="BO3166" s="237" t="s">
        <v>359</v>
      </c>
      <c r="CD3166" s="237">
        <v>212.01</v>
      </c>
      <c r="CE3166" s="237" t="s">
        <v>369</v>
      </c>
      <c r="CL3166" s="1789"/>
      <c r="CR3166" s="345"/>
      <c r="CS3166" s="345"/>
      <c r="DH3166" s="237"/>
      <c r="DI3166" s="237"/>
      <c r="DP3166" s="2505"/>
    </row>
    <row r="3167" spans="30:120">
      <c r="AD3167" s="1138"/>
      <c r="BH3167" s="1790"/>
      <c r="BN3167" s="237">
        <v>128</v>
      </c>
      <c r="BO3167" s="237" t="s">
        <v>359</v>
      </c>
      <c r="CD3167" s="237">
        <v>212.03</v>
      </c>
      <c r="CE3167" s="237" t="s">
        <v>369</v>
      </c>
      <c r="CL3167" s="1789"/>
      <c r="CR3167" s="345"/>
      <c r="CS3167" s="345"/>
      <c r="DH3167" s="237"/>
      <c r="DI3167" s="237"/>
      <c r="DP3167" s="2505"/>
    </row>
    <row r="3168" spans="30:120">
      <c r="AD3168" s="1138"/>
      <c r="BH3168" s="1790"/>
      <c r="BN3168" s="237">
        <v>129</v>
      </c>
      <c r="BO3168" s="237" t="s">
        <v>359</v>
      </c>
      <c r="CD3168" s="237">
        <v>212.05</v>
      </c>
      <c r="CE3168" s="237" t="s">
        <v>369</v>
      </c>
      <c r="CL3168" s="1789"/>
      <c r="CR3168" s="345"/>
      <c r="CS3168" s="345"/>
      <c r="DH3168" s="237"/>
      <c r="DI3168" s="237"/>
      <c r="DP3168" s="2505"/>
    </row>
    <row r="3169" spans="30:120">
      <c r="AD3169" s="1138"/>
      <c r="BH3169" s="1790"/>
      <c r="BN3169" s="237">
        <v>132.01</v>
      </c>
      <c r="BO3169" s="237" t="s">
        <v>359</v>
      </c>
      <c r="CD3169" s="237">
        <v>212.06</v>
      </c>
      <c r="CE3169" s="237" t="s">
        <v>369</v>
      </c>
      <c r="CL3169" s="1789"/>
      <c r="CR3169" s="345"/>
      <c r="CS3169" s="345"/>
      <c r="DH3169" s="237"/>
      <c r="DI3169" s="237"/>
      <c r="DP3169" s="2505"/>
    </row>
    <row r="3170" spans="30:120">
      <c r="AD3170" s="1138"/>
      <c r="BH3170" s="1790"/>
      <c r="BN3170" s="237">
        <v>132.02000000000001</v>
      </c>
      <c r="BO3170" s="237" t="s">
        <v>359</v>
      </c>
      <c r="CD3170" s="237">
        <v>212.07</v>
      </c>
      <c r="CE3170" s="237" t="s">
        <v>370</v>
      </c>
      <c r="CL3170" s="1789"/>
      <c r="CR3170" s="345"/>
      <c r="CS3170" s="345"/>
      <c r="DH3170" s="237"/>
      <c r="DI3170" s="237"/>
      <c r="DP3170" s="2505"/>
    </row>
    <row r="3171" spans="30:120">
      <c r="AD3171" s="1138"/>
      <c r="BH3171" s="1790"/>
      <c r="BN3171" s="237">
        <v>133</v>
      </c>
      <c r="BO3171" s="237" t="s">
        <v>359</v>
      </c>
      <c r="CD3171" s="237">
        <v>212.08</v>
      </c>
      <c r="CE3171" s="237" t="s">
        <v>370</v>
      </c>
      <c r="CL3171" s="1789"/>
      <c r="CR3171" s="345"/>
      <c r="CS3171" s="345"/>
      <c r="DH3171" s="237"/>
      <c r="DI3171" s="237"/>
      <c r="DP3171" s="2505"/>
    </row>
    <row r="3172" spans="30:120">
      <c r="AD3172" s="1138"/>
      <c r="BH3172" s="1790"/>
      <c r="BN3172" s="237">
        <v>134.02000000000001</v>
      </c>
      <c r="BO3172" s="237" t="s">
        <v>359</v>
      </c>
      <c r="CD3172" s="237">
        <v>212.09</v>
      </c>
      <c r="CE3172" s="237" t="s">
        <v>370</v>
      </c>
      <c r="CL3172" s="1789"/>
      <c r="CR3172" s="345"/>
      <c r="CS3172" s="345"/>
      <c r="DH3172" s="237"/>
      <c r="DI3172" s="237"/>
      <c r="DP3172" s="2505"/>
    </row>
    <row r="3173" spans="30:120">
      <c r="AD3173" s="1138"/>
      <c r="BH3173" s="1790"/>
      <c r="BN3173" s="237">
        <v>134.03</v>
      </c>
      <c r="BO3173" s="237" t="s">
        <v>359</v>
      </c>
      <c r="CD3173" s="237">
        <v>212.1</v>
      </c>
      <c r="CE3173" s="237" t="s">
        <v>370</v>
      </c>
      <c r="CL3173" s="1789"/>
      <c r="CR3173" s="345"/>
      <c r="CS3173" s="345"/>
      <c r="DH3173" s="237"/>
      <c r="DI3173" s="237"/>
      <c r="DP3173" s="2505"/>
    </row>
    <row r="3174" spans="30:120">
      <c r="AD3174" s="1138"/>
      <c r="BH3174" s="1790"/>
      <c r="BN3174" s="237">
        <v>134.05000000000001</v>
      </c>
      <c r="BO3174" s="237" t="s">
        <v>359</v>
      </c>
      <c r="CD3174" s="237">
        <v>212.11</v>
      </c>
      <c r="CE3174" s="237" t="s">
        <v>370</v>
      </c>
      <c r="CL3174" s="1789"/>
      <c r="CR3174" s="345"/>
      <c r="CS3174" s="345"/>
      <c r="DH3174" s="237"/>
      <c r="DI3174" s="237"/>
      <c r="DP3174" s="2505"/>
    </row>
    <row r="3175" spans="30:120">
      <c r="AD3175" s="1138"/>
      <c r="BH3175" s="1790"/>
      <c r="BN3175" s="237">
        <v>134.06</v>
      </c>
      <c r="BO3175" s="237" t="s">
        <v>359</v>
      </c>
      <c r="CD3175" s="237">
        <v>213.01</v>
      </c>
      <c r="CE3175" s="237" t="s">
        <v>370</v>
      </c>
      <c r="CL3175" s="1789"/>
      <c r="CR3175" s="345"/>
      <c r="CS3175" s="345"/>
      <c r="DH3175" s="237"/>
      <c r="DI3175" s="237"/>
      <c r="DP3175" s="2505"/>
    </row>
    <row r="3176" spans="30:120">
      <c r="AD3176" s="1138"/>
      <c r="BH3176" s="1790"/>
      <c r="BN3176" s="237">
        <v>135.03</v>
      </c>
      <c r="BO3176" s="237" t="s">
        <v>359</v>
      </c>
      <c r="CD3176" s="237">
        <v>213.02</v>
      </c>
      <c r="CE3176" s="237" t="s">
        <v>370</v>
      </c>
      <c r="CL3176" s="1789"/>
      <c r="CR3176" s="345"/>
      <c r="CS3176" s="345"/>
      <c r="DH3176" s="237"/>
      <c r="DI3176" s="237"/>
      <c r="DP3176" s="2505"/>
    </row>
    <row r="3177" spans="30:120">
      <c r="AD3177" s="1138"/>
      <c r="BH3177" s="1790"/>
      <c r="BN3177" s="237">
        <v>135.05000000000001</v>
      </c>
      <c r="BO3177" s="237" t="s">
        <v>359</v>
      </c>
      <c r="CD3177" s="237">
        <v>213.06</v>
      </c>
      <c r="CE3177" s="237" t="s">
        <v>369</v>
      </c>
      <c r="CL3177" s="1789"/>
      <c r="CR3177" s="345"/>
      <c r="CS3177" s="345"/>
      <c r="DH3177" s="237"/>
      <c r="DI3177" s="237"/>
      <c r="DP3177" s="2505"/>
    </row>
    <row r="3178" spans="30:120">
      <c r="AD3178" s="1138"/>
      <c r="BH3178" s="1790"/>
      <c r="BN3178" s="237">
        <v>135.07</v>
      </c>
      <c r="BO3178" s="237" t="s">
        <v>359</v>
      </c>
      <c r="CD3178" s="237">
        <v>213.07</v>
      </c>
      <c r="CE3178" s="237" t="s">
        <v>369</v>
      </c>
      <c r="CL3178" s="1789"/>
      <c r="CR3178" s="345"/>
      <c r="CS3178" s="345"/>
      <c r="DH3178" s="237"/>
      <c r="DI3178" s="237"/>
      <c r="DP3178" s="2505"/>
    </row>
    <row r="3179" spans="30:120">
      <c r="AD3179" s="1138"/>
      <c r="BH3179" s="1790"/>
      <c r="BN3179" s="237">
        <v>135.1</v>
      </c>
      <c r="BO3179" s="237" t="s">
        <v>359</v>
      </c>
      <c r="CD3179" s="237">
        <v>213.11</v>
      </c>
      <c r="CE3179" s="237" t="s">
        <v>369</v>
      </c>
      <c r="CL3179" s="1789"/>
      <c r="CR3179" s="345"/>
      <c r="CS3179" s="345"/>
      <c r="DH3179" s="237"/>
      <c r="DI3179" s="237"/>
      <c r="DP3179" s="2505"/>
    </row>
    <row r="3180" spans="30:120">
      <c r="AD3180" s="1138"/>
      <c r="BH3180" s="1790"/>
      <c r="BN3180" s="237">
        <v>135.11000000000001</v>
      </c>
      <c r="BO3180" s="237" t="s">
        <v>359</v>
      </c>
      <c r="CD3180" s="237">
        <v>213.12</v>
      </c>
      <c r="CE3180" s="237" t="s">
        <v>369</v>
      </c>
      <c r="CL3180" s="1789"/>
      <c r="CR3180" s="345"/>
      <c r="CS3180" s="345"/>
      <c r="DH3180" s="237"/>
      <c r="DI3180" s="237"/>
      <c r="DP3180" s="2505"/>
    </row>
    <row r="3181" spans="30:120">
      <c r="AD3181" s="1138"/>
      <c r="BH3181" s="1790"/>
      <c r="BN3181" s="237">
        <v>135.12</v>
      </c>
      <c r="BO3181" s="237" t="s">
        <v>359</v>
      </c>
      <c r="CD3181" s="237">
        <v>213.13</v>
      </c>
      <c r="CE3181" s="237" t="s">
        <v>369</v>
      </c>
      <c r="CL3181" s="1789"/>
      <c r="CR3181" s="345"/>
      <c r="CS3181" s="345"/>
      <c r="DH3181" s="237"/>
      <c r="DI3181" s="237"/>
      <c r="DP3181" s="2505"/>
    </row>
    <row r="3182" spans="30:120">
      <c r="AD3182" s="1138"/>
      <c r="BH3182" s="1790"/>
      <c r="BN3182" s="237">
        <v>135.13</v>
      </c>
      <c r="BO3182" s="237" t="s">
        <v>359</v>
      </c>
      <c r="CD3182" s="237">
        <v>213.14</v>
      </c>
      <c r="CE3182" s="237" t="s">
        <v>369</v>
      </c>
      <c r="CL3182" s="1789"/>
      <c r="CR3182" s="345"/>
      <c r="CS3182" s="345"/>
      <c r="DH3182" s="237"/>
      <c r="DI3182" s="237"/>
      <c r="DP3182" s="2505"/>
    </row>
    <row r="3183" spans="30:120">
      <c r="AD3183" s="1138"/>
      <c r="BH3183" s="1790"/>
      <c r="BN3183" s="237">
        <v>136.03</v>
      </c>
      <c r="BO3183" s="237" t="s">
        <v>359</v>
      </c>
      <c r="CD3183" s="237">
        <v>213.15</v>
      </c>
      <c r="CE3183" s="237" t="s">
        <v>369</v>
      </c>
      <c r="CL3183" s="1789"/>
      <c r="CR3183" s="345"/>
      <c r="CS3183" s="345"/>
      <c r="DH3183" s="237"/>
      <c r="DI3183" s="237"/>
      <c r="DP3183" s="2505"/>
    </row>
    <row r="3184" spans="30:120">
      <c r="AD3184" s="1138"/>
      <c r="BH3184" s="1790"/>
      <c r="BN3184" s="237">
        <v>136.04</v>
      </c>
      <c r="BO3184" s="237" t="s">
        <v>359</v>
      </c>
      <c r="CD3184" s="237">
        <v>213.16</v>
      </c>
      <c r="CE3184" s="237" t="s">
        <v>369</v>
      </c>
      <c r="CL3184" s="1789"/>
      <c r="CR3184" s="345"/>
      <c r="CS3184" s="345"/>
      <c r="DH3184" s="237"/>
      <c r="DI3184" s="237"/>
      <c r="DP3184" s="2505"/>
    </row>
    <row r="3185" spans="30:120">
      <c r="AD3185" s="1138"/>
      <c r="BH3185" s="1790"/>
      <c r="BN3185" s="237">
        <v>136.05000000000001</v>
      </c>
      <c r="BO3185" s="237" t="s">
        <v>359</v>
      </c>
      <c r="CD3185" s="237">
        <v>213.17</v>
      </c>
      <c r="CE3185" s="237" t="s">
        <v>369</v>
      </c>
      <c r="CL3185" s="1789"/>
      <c r="CR3185" s="345"/>
      <c r="CS3185" s="345"/>
      <c r="DH3185" s="237"/>
      <c r="DI3185" s="237"/>
      <c r="DP3185" s="2505"/>
    </row>
    <row r="3186" spans="30:120">
      <c r="AD3186" s="1138"/>
      <c r="BH3186" s="1790"/>
      <c r="BN3186" s="237">
        <v>136.06</v>
      </c>
      <c r="BO3186" s="237" t="s">
        <v>359</v>
      </c>
      <c r="CD3186" s="237">
        <v>213.18</v>
      </c>
      <c r="CE3186" s="237" t="s">
        <v>369</v>
      </c>
      <c r="CL3186" s="1789"/>
      <c r="CR3186" s="345"/>
      <c r="CS3186" s="345"/>
      <c r="DH3186" s="237"/>
      <c r="DI3186" s="237"/>
      <c r="DP3186" s="2505"/>
    </row>
    <row r="3187" spans="30:120">
      <c r="AD3187" s="1138"/>
      <c r="BH3187" s="1790"/>
      <c r="BN3187" s="237">
        <v>136.07</v>
      </c>
      <c r="BO3187" s="237" t="s">
        <v>359</v>
      </c>
      <c r="CD3187" s="237">
        <v>213.19</v>
      </c>
      <c r="CE3187" s="237" t="s">
        <v>369</v>
      </c>
      <c r="CL3187" s="1789"/>
      <c r="CR3187" s="345"/>
      <c r="CS3187" s="345"/>
      <c r="DH3187" s="237"/>
      <c r="DI3187" s="237"/>
      <c r="DP3187" s="2505"/>
    </row>
    <row r="3188" spans="30:120">
      <c r="AD3188" s="1138"/>
      <c r="BH3188" s="1790"/>
      <c r="BN3188" s="237">
        <v>137.01</v>
      </c>
      <c r="BO3188" s="237" t="s">
        <v>359</v>
      </c>
      <c r="CD3188" s="237">
        <v>213.2</v>
      </c>
      <c r="CE3188" s="237" t="s">
        <v>369</v>
      </c>
      <c r="CL3188" s="1789"/>
      <c r="CR3188" s="345"/>
      <c r="CS3188" s="345"/>
      <c r="DH3188" s="237"/>
      <c r="DI3188" s="237"/>
      <c r="DP3188" s="2505"/>
    </row>
    <row r="3189" spans="30:120">
      <c r="AD3189" s="1138"/>
      <c r="BH3189" s="1790"/>
      <c r="BN3189" s="237">
        <v>137.02000000000001</v>
      </c>
      <c r="BO3189" s="237" t="s">
        <v>359</v>
      </c>
      <c r="CD3189" s="237">
        <v>213.21</v>
      </c>
      <c r="CE3189" s="237" t="s">
        <v>369</v>
      </c>
      <c r="CL3189" s="1789"/>
      <c r="CR3189" s="345"/>
      <c r="CS3189" s="345"/>
      <c r="DH3189" s="237"/>
      <c r="DI3189" s="237"/>
      <c r="DP3189" s="2505"/>
    </row>
    <row r="3190" spans="30:120">
      <c r="AD3190" s="1138"/>
      <c r="BH3190" s="1790"/>
      <c r="BN3190" s="237">
        <v>138.01</v>
      </c>
      <c r="BO3190" s="237" t="s">
        <v>359</v>
      </c>
      <c r="CD3190" s="237">
        <v>214</v>
      </c>
      <c r="CE3190" s="237" t="s">
        <v>357</v>
      </c>
      <c r="CL3190" s="1789"/>
      <c r="CR3190" s="345"/>
      <c r="CS3190" s="345"/>
      <c r="DH3190" s="237"/>
      <c r="DI3190" s="237"/>
      <c r="DP3190" s="2505"/>
    </row>
    <row r="3191" spans="30:120">
      <c r="AD3191" s="1138"/>
      <c r="BH3191" s="1790"/>
      <c r="BN3191" s="237">
        <v>138.02000000000001</v>
      </c>
      <c r="BO3191" s="237" t="s">
        <v>359</v>
      </c>
      <c r="CD3191" s="237">
        <v>214.01</v>
      </c>
      <c r="CE3191" s="237" t="s">
        <v>369</v>
      </c>
      <c r="CL3191" s="1789"/>
      <c r="CR3191" s="345"/>
      <c r="CS3191" s="345"/>
      <c r="DH3191" s="237"/>
      <c r="DI3191" s="237"/>
      <c r="DP3191" s="2505"/>
    </row>
    <row r="3192" spans="30:120">
      <c r="AD3192" s="1138"/>
      <c r="BH3192" s="1790"/>
      <c r="BN3192" s="237">
        <v>138.03</v>
      </c>
      <c r="BO3192" s="237" t="s">
        <v>359</v>
      </c>
      <c r="CD3192" s="237">
        <v>214.03</v>
      </c>
      <c r="CE3192" s="237" t="s">
        <v>369</v>
      </c>
      <c r="CL3192" s="1789"/>
      <c r="CR3192" s="345"/>
      <c r="CS3192" s="345"/>
      <c r="DH3192" s="237"/>
      <c r="DI3192" s="237"/>
      <c r="DP3192" s="2505"/>
    </row>
    <row r="3193" spans="30:120">
      <c r="AD3193" s="1138"/>
      <c r="BH3193" s="1790"/>
      <c r="BN3193" s="237">
        <v>139</v>
      </c>
      <c r="BO3193" s="237" t="s">
        <v>359</v>
      </c>
      <c r="CD3193" s="237">
        <v>214.03</v>
      </c>
      <c r="CE3193" s="237" t="s">
        <v>370</v>
      </c>
      <c r="CL3193" s="1789"/>
      <c r="CR3193" s="345"/>
      <c r="CS3193" s="345"/>
      <c r="DH3193" s="237"/>
      <c r="DI3193" s="237"/>
      <c r="DP3193" s="2505"/>
    </row>
    <row r="3194" spans="30:120">
      <c r="AD3194" s="1138"/>
      <c r="BH3194" s="1790"/>
      <c r="BN3194" s="237">
        <v>140</v>
      </c>
      <c r="BO3194" s="237" t="s">
        <v>359</v>
      </c>
      <c r="CD3194" s="237">
        <v>214.04</v>
      </c>
      <c r="CE3194" s="237" t="s">
        <v>369</v>
      </c>
      <c r="CL3194" s="1789"/>
      <c r="CR3194" s="345"/>
      <c r="CS3194" s="345"/>
      <c r="DH3194" s="237"/>
      <c r="DI3194" s="237"/>
      <c r="DP3194" s="2505"/>
    </row>
    <row r="3195" spans="30:120">
      <c r="AD3195" s="1138"/>
      <c r="BH3195" s="1790"/>
      <c r="BN3195" s="237">
        <v>141</v>
      </c>
      <c r="BO3195" s="237" t="s">
        <v>359</v>
      </c>
      <c r="CD3195" s="237">
        <v>214.04</v>
      </c>
      <c r="CE3195" s="237" t="s">
        <v>370</v>
      </c>
      <c r="CL3195" s="1789"/>
      <c r="CR3195" s="345"/>
      <c r="CS3195" s="345"/>
      <c r="DH3195" s="237"/>
      <c r="DI3195" s="237"/>
      <c r="DP3195" s="2505"/>
    </row>
    <row r="3196" spans="30:120">
      <c r="AD3196" s="1138"/>
      <c r="BH3196" s="1790"/>
      <c r="BN3196" s="237">
        <v>142.01</v>
      </c>
      <c r="BO3196" s="237" t="s">
        <v>359</v>
      </c>
      <c r="CD3196" s="237">
        <v>214.08</v>
      </c>
      <c r="CE3196" s="237" t="s">
        <v>370</v>
      </c>
      <c r="CL3196" s="1789"/>
      <c r="CR3196" s="345"/>
      <c r="CS3196" s="345"/>
      <c r="DH3196" s="237"/>
      <c r="DI3196" s="237"/>
      <c r="DP3196" s="2505"/>
    </row>
    <row r="3197" spans="30:120">
      <c r="AD3197" s="1138"/>
      <c r="BH3197" s="1790"/>
      <c r="BN3197" s="237">
        <v>142.02000000000001</v>
      </c>
      <c r="BO3197" s="237" t="s">
        <v>359</v>
      </c>
      <c r="CD3197" s="237">
        <v>214.09</v>
      </c>
      <c r="CE3197" s="237" t="s">
        <v>370</v>
      </c>
      <c r="CL3197" s="1789"/>
      <c r="CR3197" s="345"/>
      <c r="CS3197" s="345"/>
      <c r="DH3197" s="237"/>
      <c r="DI3197" s="237"/>
      <c r="DP3197" s="2505"/>
    </row>
    <row r="3198" spans="30:120">
      <c r="AD3198" s="1138"/>
      <c r="BH3198" s="1790"/>
      <c r="BN3198" s="237">
        <v>143.01</v>
      </c>
      <c r="BO3198" s="237" t="s">
        <v>359</v>
      </c>
      <c r="CD3198" s="237">
        <v>214.1</v>
      </c>
      <c r="CE3198" s="237" t="s">
        <v>370</v>
      </c>
      <c r="CL3198" s="1789"/>
      <c r="CR3198" s="345"/>
      <c r="CS3198" s="345"/>
      <c r="DH3198" s="237"/>
      <c r="DI3198" s="237"/>
      <c r="DP3198" s="2505"/>
    </row>
    <row r="3199" spans="30:120">
      <c r="AD3199" s="1138"/>
      <c r="BH3199" s="1790"/>
      <c r="BN3199" s="237">
        <v>143.02000000000001</v>
      </c>
      <c r="BO3199" s="237" t="s">
        <v>359</v>
      </c>
      <c r="CD3199" s="237">
        <v>215.01</v>
      </c>
      <c r="CE3199" s="237" t="s">
        <v>357</v>
      </c>
      <c r="CL3199" s="1789"/>
      <c r="CR3199" s="345"/>
      <c r="CS3199" s="345"/>
      <c r="DH3199" s="237"/>
      <c r="DI3199" s="237"/>
      <c r="DP3199" s="2505"/>
    </row>
    <row r="3200" spans="30:120">
      <c r="AD3200" s="1138"/>
      <c r="BH3200" s="1790"/>
      <c r="BN3200" s="237">
        <v>144</v>
      </c>
      <c r="BO3200" s="237" t="s">
        <v>359</v>
      </c>
      <c r="CD3200" s="237">
        <v>215.01</v>
      </c>
      <c r="CE3200" s="237" t="s">
        <v>363</v>
      </c>
      <c r="CL3200" s="1789"/>
      <c r="CR3200" s="345"/>
      <c r="CS3200" s="345"/>
      <c r="DH3200" s="237"/>
      <c r="DI3200" s="237"/>
      <c r="DP3200" s="2505"/>
    </row>
    <row r="3201" spans="30:120">
      <c r="AD3201" s="1138"/>
      <c r="BH3201" s="1790"/>
      <c r="BN3201" s="237">
        <v>145.02000000000001</v>
      </c>
      <c r="BO3201" s="237" t="s">
        <v>359</v>
      </c>
      <c r="CD3201" s="237">
        <v>215.02</v>
      </c>
      <c r="CE3201" s="237" t="s">
        <v>357</v>
      </c>
      <c r="CL3201" s="1789"/>
      <c r="CR3201" s="345"/>
      <c r="CS3201" s="345"/>
      <c r="DH3201" s="237"/>
      <c r="DI3201" s="237"/>
      <c r="DP3201" s="2505"/>
    </row>
    <row r="3202" spans="30:120">
      <c r="AD3202" s="1138"/>
      <c r="BH3202" s="1790"/>
      <c r="BN3202" s="237">
        <v>145.03</v>
      </c>
      <c r="BO3202" s="237" t="s">
        <v>359</v>
      </c>
      <c r="CD3202" s="237">
        <v>215.02</v>
      </c>
      <c r="CE3202" s="237" t="s">
        <v>363</v>
      </c>
      <c r="CL3202" s="1789"/>
      <c r="CR3202" s="345"/>
      <c r="CS3202" s="345"/>
      <c r="DH3202" s="237"/>
      <c r="DI3202" s="237"/>
      <c r="DP3202" s="2505"/>
    </row>
    <row r="3203" spans="30:120">
      <c r="AD3203" s="1138"/>
      <c r="BH3203" s="1790"/>
      <c r="BN3203" s="237">
        <v>145.04</v>
      </c>
      <c r="BO3203" s="237" t="s">
        <v>359</v>
      </c>
      <c r="CD3203" s="237">
        <v>215.04</v>
      </c>
      <c r="CE3203" s="237" t="s">
        <v>369</v>
      </c>
      <c r="CL3203" s="1789"/>
      <c r="CR3203" s="345"/>
      <c r="CS3203" s="345"/>
      <c r="DH3203" s="237"/>
      <c r="DI3203" s="237"/>
      <c r="DP3203" s="2505"/>
    </row>
    <row r="3204" spans="30:120">
      <c r="AD3204" s="1138"/>
      <c r="BH3204" s="1790"/>
      <c r="BN3204" s="237">
        <v>146.01</v>
      </c>
      <c r="BO3204" s="237" t="s">
        <v>359</v>
      </c>
      <c r="CD3204" s="237">
        <v>215.05</v>
      </c>
      <c r="CE3204" s="237" t="s">
        <v>369</v>
      </c>
      <c r="CL3204" s="1789"/>
      <c r="CR3204" s="345"/>
      <c r="CS3204" s="345"/>
      <c r="DH3204" s="237"/>
      <c r="DI3204" s="237"/>
      <c r="DP3204" s="2505"/>
    </row>
    <row r="3205" spans="30:120">
      <c r="AD3205" s="1138"/>
      <c r="BH3205" s="1790"/>
      <c r="BN3205" s="237">
        <v>146.05000000000001</v>
      </c>
      <c r="BO3205" s="237" t="s">
        <v>359</v>
      </c>
      <c r="CD3205" s="237">
        <v>215.06</v>
      </c>
      <c r="CE3205" s="237" t="s">
        <v>369</v>
      </c>
      <c r="CL3205" s="1789"/>
      <c r="CR3205" s="345"/>
      <c r="CS3205" s="345"/>
      <c r="DH3205" s="237"/>
      <c r="DI3205" s="237"/>
      <c r="DP3205" s="2505"/>
    </row>
    <row r="3206" spans="30:120">
      <c r="AD3206" s="1138"/>
      <c r="BH3206" s="1790"/>
      <c r="BN3206" s="237">
        <v>146.06</v>
      </c>
      <c r="BO3206" s="237" t="s">
        <v>359</v>
      </c>
      <c r="CD3206" s="237">
        <v>215.07</v>
      </c>
      <c r="CE3206" s="237" t="s">
        <v>369</v>
      </c>
      <c r="CL3206" s="1789"/>
      <c r="CR3206" s="345"/>
      <c r="CS3206" s="345"/>
      <c r="DH3206" s="237"/>
      <c r="DI3206" s="237"/>
      <c r="DP3206" s="2505"/>
    </row>
    <row r="3207" spans="30:120">
      <c r="AD3207" s="1138"/>
      <c r="BH3207" s="1790"/>
      <c r="BN3207" s="237">
        <v>146.07</v>
      </c>
      <c r="BO3207" s="237" t="s">
        <v>359</v>
      </c>
      <c r="CD3207" s="237">
        <v>216</v>
      </c>
      <c r="CE3207" s="237" t="s">
        <v>357</v>
      </c>
      <c r="CL3207" s="1789"/>
      <c r="CR3207" s="345"/>
      <c r="CS3207" s="345"/>
      <c r="DH3207" s="237"/>
      <c r="DI3207" s="237"/>
      <c r="DP3207" s="2505"/>
    </row>
    <row r="3208" spans="30:120">
      <c r="AD3208" s="1138"/>
      <c r="BH3208" s="1790"/>
      <c r="BN3208" s="237">
        <v>146.08000000000001</v>
      </c>
      <c r="BO3208" s="237" t="s">
        <v>359</v>
      </c>
      <c r="CD3208" s="237">
        <v>216</v>
      </c>
      <c r="CE3208" s="237" t="s">
        <v>363</v>
      </c>
      <c r="CL3208" s="1789"/>
      <c r="CR3208" s="345"/>
      <c r="CS3208" s="345"/>
      <c r="DH3208" s="237"/>
      <c r="DI3208" s="237"/>
      <c r="DP3208" s="2505"/>
    </row>
    <row r="3209" spans="30:120">
      <c r="AD3209" s="1138"/>
      <c r="BH3209" s="1790"/>
      <c r="BN3209" s="237">
        <v>146.09</v>
      </c>
      <c r="BO3209" s="237" t="s">
        <v>359</v>
      </c>
      <c r="CD3209" s="237">
        <v>216.04</v>
      </c>
      <c r="CE3209" s="237" t="s">
        <v>369</v>
      </c>
      <c r="CL3209" s="1789"/>
      <c r="CR3209" s="345"/>
      <c r="CS3209" s="345"/>
      <c r="DH3209" s="237"/>
      <c r="DI3209" s="237"/>
      <c r="DP3209" s="2505"/>
    </row>
    <row r="3210" spans="30:120">
      <c r="AD3210" s="1138"/>
      <c r="BH3210" s="1790"/>
      <c r="BN3210" s="237">
        <v>147.01</v>
      </c>
      <c r="BO3210" s="237" t="s">
        <v>359</v>
      </c>
      <c r="CD3210" s="237">
        <v>216.06</v>
      </c>
      <c r="CE3210" s="237" t="s">
        <v>369</v>
      </c>
      <c r="CL3210" s="1789"/>
      <c r="CR3210" s="345"/>
      <c r="CS3210" s="345"/>
      <c r="DH3210" s="237"/>
      <c r="DI3210" s="237"/>
      <c r="DP3210" s="2505"/>
    </row>
    <row r="3211" spans="30:120">
      <c r="AD3211" s="1138"/>
      <c r="BH3211" s="1790"/>
      <c r="BN3211" s="237">
        <v>147.02000000000001</v>
      </c>
      <c r="BO3211" s="237" t="s">
        <v>359</v>
      </c>
      <c r="CD3211" s="237">
        <v>216.08</v>
      </c>
      <c r="CE3211" s="237" t="s">
        <v>369</v>
      </c>
      <c r="CL3211" s="1789"/>
      <c r="CR3211" s="345"/>
      <c r="CS3211" s="345"/>
      <c r="DH3211" s="237"/>
      <c r="DI3211" s="237"/>
      <c r="DP3211" s="2505"/>
    </row>
    <row r="3212" spans="30:120">
      <c r="AD3212" s="1138"/>
      <c r="BH3212" s="1790"/>
      <c r="BN3212" s="237">
        <v>147.03</v>
      </c>
      <c r="BO3212" s="237" t="s">
        <v>359</v>
      </c>
      <c r="CD3212" s="237">
        <v>216.09</v>
      </c>
      <c r="CE3212" s="237" t="s">
        <v>369</v>
      </c>
      <c r="CL3212" s="1789"/>
      <c r="CR3212" s="345"/>
      <c r="CS3212" s="345"/>
      <c r="DH3212" s="237"/>
      <c r="DI3212" s="237"/>
      <c r="DP3212" s="2505"/>
    </row>
    <row r="3213" spans="30:120">
      <c r="AD3213" s="1138"/>
      <c r="BH3213" s="1790"/>
      <c r="BN3213" s="237">
        <v>147.05000000000001</v>
      </c>
      <c r="BO3213" s="237" t="s">
        <v>359</v>
      </c>
      <c r="CD3213" s="237">
        <v>216.11</v>
      </c>
      <c r="CE3213" s="237" t="s">
        <v>369</v>
      </c>
      <c r="CL3213" s="1789"/>
      <c r="CR3213" s="345"/>
      <c r="CS3213" s="345"/>
      <c r="DH3213" s="237"/>
      <c r="DI3213" s="237"/>
      <c r="DP3213" s="2505"/>
    </row>
    <row r="3214" spans="30:120">
      <c r="AD3214" s="1138"/>
      <c r="BH3214" s="1790"/>
      <c r="BN3214" s="237">
        <v>147.06</v>
      </c>
      <c r="BO3214" s="237" t="s">
        <v>359</v>
      </c>
      <c r="CD3214" s="237">
        <v>216.12</v>
      </c>
      <c r="CE3214" s="237" t="s">
        <v>369</v>
      </c>
      <c r="CL3214" s="1789"/>
      <c r="CR3214" s="345"/>
      <c r="CS3214" s="345"/>
      <c r="DH3214" s="237"/>
      <c r="DI3214" s="237"/>
      <c r="DP3214" s="2505"/>
    </row>
    <row r="3215" spans="30:120">
      <c r="AD3215" s="1138"/>
      <c r="BH3215" s="1790"/>
      <c r="BN3215" s="237">
        <v>148.04</v>
      </c>
      <c r="BO3215" s="237" t="s">
        <v>359</v>
      </c>
      <c r="CD3215" s="237">
        <v>216.13</v>
      </c>
      <c r="CE3215" s="237" t="s">
        <v>369</v>
      </c>
      <c r="CL3215" s="1789"/>
      <c r="CR3215" s="345"/>
      <c r="CS3215" s="345"/>
      <c r="DH3215" s="237"/>
      <c r="DI3215" s="237"/>
      <c r="DP3215" s="2505"/>
    </row>
    <row r="3216" spans="30:120">
      <c r="AD3216" s="1138"/>
      <c r="BH3216" s="1790"/>
      <c r="BN3216" s="237">
        <v>148.05000000000001</v>
      </c>
      <c r="BO3216" s="237" t="s">
        <v>359</v>
      </c>
      <c r="CD3216" s="237">
        <v>216.14</v>
      </c>
      <c r="CE3216" s="237" t="s">
        <v>369</v>
      </c>
      <c r="CL3216" s="1789"/>
      <c r="CR3216" s="345"/>
      <c r="CS3216" s="345"/>
      <c r="DH3216" s="237"/>
      <c r="DI3216" s="237"/>
      <c r="DP3216" s="2505"/>
    </row>
    <row r="3217" spans="30:120">
      <c r="AD3217" s="1138"/>
      <c r="BH3217" s="1790"/>
      <c r="BN3217" s="237">
        <v>148.06</v>
      </c>
      <c r="BO3217" s="237" t="s">
        <v>359</v>
      </c>
      <c r="CD3217" s="237">
        <v>216.17</v>
      </c>
      <c r="CE3217" s="237" t="s">
        <v>369</v>
      </c>
      <c r="CL3217" s="1789"/>
      <c r="CR3217" s="345"/>
      <c r="CS3217" s="345"/>
      <c r="DH3217" s="237"/>
      <c r="DI3217" s="237"/>
      <c r="DP3217" s="2505"/>
    </row>
    <row r="3218" spans="30:120">
      <c r="AD3218" s="1138"/>
      <c r="BH3218" s="1790"/>
      <c r="BN3218" s="237">
        <v>148.07</v>
      </c>
      <c r="BO3218" s="237" t="s">
        <v>359</v>
      </c>
      <c r="CD3218" s="237">
        <v>217</v>
      </c>
      <c r="CE3218" s="237" t="s">
        <v>357</v>
      </c>
      <c r="CL3218" s="1789"/>
      <c r="CR3218" s="345"/>
      <c r="CS3218" s="345"/>
      <c r="DH3218" s="237"/>
      <c r="DI3218" s="237"/>
      <c r="DP3218" s="2505"/>
    </row>
    <row r="3219" spans="30:120">
      <c r="AD3219" s="1138"/>
      <c r="BH3219" s="1790"/>
      <c r="BN3219" s="237">
        <v>148.09</v>
      </c>
      <c r="BO3219" s="237" t="s">
        <v>359</v>
      </c>
      <c r="CD3219" s="237">
        <v>217.04</v>
      </c>
      <c r="CE3219" s="237" t="s">
        <v>369</v>
      </c>
      <c r="CL3219" s="1789"/>
      <c r="CR3219" s="345"/>
      <c r="CS3219" s="345"/>
      <c r="DH3219" s="237"/>
      <c r="DI3219" s="237"/>
      <c r="DP3219" s="2505"/>
    </row>
    <row r="3220" spans="30:120">
      <c r="AD3220" s="1138"/>
      <c r="BH3220" s="1790"/>
      <c r="BN3220" s="237">
        <v>148.1</v>
      </c>
      <c r="BO3220" s="237" t="s">
        <v>359</v>
      </c>
      <c r="CD3220" s="237">
        <v>217.05</v>
      </c>
      <c r="CE3220" s="237" t="s">
        <v>369</v>
      </c>
      <c r="CL3220" s="1789"/>
      <c r="CR3220" s="345"/>
      <c r="CS3220" s="345"/>
      <c r="DH3220" s="237"/>
      <c r="DI3220" s="237"/>
      <c r="DP3220" s="2505"/>
    </row>
    <row r="3221" spans="30:120">
      <c r="AD3221" s="1138"/>
      <c r="BH3221" s="1790"/>
      <c r="BN3221" s="237">
        <v>148.11000000000001</v>
      </c>
      <c r="BO3221" s="237" t="s">
        <v>359</v>
      </c>
      <c r="CD3221" s="237">
        <v>217.06</v>
      </c>
      <c r="CE3221" s="237" t="s">
        <v>369</v>
      </c>
      <c r="CL3221" s="1789"/>
      <c r="CR3221" s="345"/>
      <c r="CS3221" s="345"/>
      <c r="DH3221" s="237"/>
      <c r="DI3221" s="237"/>
      <c r="DP3221" s="2505"/>
    </row>
    <row r="3222" spans="30:120">
      <c r="AD3222" s="1138"/>
      <c r="BH3222" s="1790"/>
      <c r="BN3222" s="237">
        <v>148.12</v>
      </c>
      <c r="BO3222" s="237" t="s">
        <v>359</v>
      </c>
      <c r="CD3222" s="237">
        <v>217.07</v>
      </c>
      <c r="CE3222" s="237" t="s">
        <v>369</v>
      </c>
      <c r="CL3222" s="1789"/>
      <c r="CR3222" s="345"/>
      <c r="CS3222" s="345"/>
      <c r="DH3222" s="237"/>
      <c r="DI3222" s="237"/>
      <c r="DP3222" s="2505"/>
    </row>
    <row r="3223" spans="30:120">
      <c r="AD3223" s="1138"/>
      <c r="BH3223" s="1790"/>
      <c r="BN3223" s="237">
        <v>148.13</v>
      </c>
      <c r="BO3223" s="237" t="s">
        <v>359</v>
      </c>
      <c r="CD3223" s="237">
        <v>217.08</v>
      </c>
      <c r="CE3223" s="237" t="s">
        <v>369</v>
      </c>
      <c r="CL3223" s="1789"/>
      <c r="CR3223" s="345"/>
      <c r="CS3223" s="345"/>
      <c r="DH3223" s="237"/>
      <c r="DI3223" s="237"/>
      <c r="DP3223" s="2505"/>
    </row>
    <row r="3224" spans="30:120">
      <c r="AD3224" s="1138"/>
      <c r="BH3224" s="1790"/>
      <c r="BN3224" s="237">
        <v>148.13999999999999</v>
      </c>
      <c r="BO3224" s="237" t="s">
        <v>359</v>
      </c>
      <c r="CD3224" s="237">
        <v>218</v>
      </c>
      <c r="CE3224" s="237" t="s">
        <v>363</v>
      </c>
      <c r="CL3224" s="1789"/>
      <c r="CR3224" s="345"/>
      <c r="CS3224" s="345"/>
      <c r="DH3224" s="237"/>
      <c r="DI3224" s="237"/>
      <c r="DP3224" s="2505"/>
    </row>
    <row r="3225" spans="30:120">
      <c r="AD3225" s="1138"/>
      <c r="BH3225" s="1790"/>
      <c r="BN3225" s="237">
        <v>148.15</v>
      </c>
      <c r="BO3225" s="237" t="s">
        <v>359</v>
      </c>
      <c r="CD3225" s="237">
        <v>218.01</v>
      </c>
      <c r="CE3225" s="237" t="s">
        <v>357</v>
      </c>
      <c r="CL3225" s="1789"/>
      <c r="CR3225" s="345"/>
      <c r="CS3225" s="345"/>
      <c r="DH3225" s="237"/>
      <c r="DI3225" s="237"/>
      <c r="DP3225" s="2505"/>
    </row>
    <row r="3226" spans="30:120">
      <c r="AD3226" s="1138"/>
      <c r="BH3226" s="1790"/>
      <c r="BN3226" s="237">
        <v>149.04</v>
      </c>
      <c r="BO3226" s="237" t="s">
        <v>359</v>
      </c>
      <c r="CD3226" s="237">
        <v>218.02</v>
      </c>
      <c r="CE3226" s="237" t="s">
        <v>357</v>
      </c>
      <c r="CL3226" s="1789"/>
      <c r="CR3226" s="345"/>
      <c r="CS3226" s="345"/>
      <c r="DH3226" s="237"/>
      <c r="DI3226" s="237"/>
      <c r="DP3226" s="2505"/>
    </row>
    <row r="3227" spans="30:120">
      <c r="AD3227" s="1138"/>
      <c r="BH3227" s="1790"/>
      <c r="BN3227" s="237">
        <v>149.06</v>
      </c>
      <c r="BO3227" s="237" t="s">
        <v>359</v>
      </c>
      <c r="CD3227" s="237">
        <v>218.02</v>
      </c>
      <c r="CE3227" s="237" t="s">
        <v>369</v>
      </c>
      <c r="CL3227" s="1789"/>
      <c r="CR3227" s="345"/>
      <c r="CS3227" s="345"/>
      <c r="DH3227" s="237"/>
      <c r="DI3227" s="237"/>
      <c r="DP3227" s="2505"/>
    </row>
    <row r="3228" spans="30:120">
      <c r="AD3228" s="1138"/>
      <c r="BH3228" s="1790"/>
      <c r="BN3228" s="237">
        <v>149.08000000000001</v>
      </c>
      <c r="BO3228" s="237" t="s">
        <v>359</v>
      </c>
      <c r="CD3228" s="237">
        <v>218.03</v>
      </c>
      <c r="CE3228" s="237" t="s">
        <v>369</v>
      </c>
      <c r="CL3228" s="1789"/>
      <c r="CR3228" s="345"/>
      <c r="CS3228" s="345"/>
      <c r="DH3228" s="237"/>
      <c r="DI3228" s="237"/>
      <c r="DP3228" s="2505"/>
    </row>
    <row r="3229" spans="30:120">
      <c r="AD3229" s="1138"/>
      <c r="BH3229" s="1790"/>
      <c r="BN3229" s="237">
        <v>149.09</v>
      </c>
      <c r="BO3229" s="237" t="s">
        <v>359</v>
      </c>
      <c r="CD3229" s="237">
        <v>218.05</v>
      </c>
      <c r="CE3229" s="237" t="s">
        <v>369</v>
      </c>
      <c r="CL3229" s="1789"/>
      <c r="CR3229" s="345"/>
      <c r="CS3229" s="345"/>
      <c r="DH3229" s="237"/>
      <c r="DI3229" s="237"/>
      <c r="DP3229" s="2505"/>
    </row>
    <row r="3230" spans="30:120">
      <c r="AD3230" s="1138"/>
      <c r="BH3230" s="1790"/>
      <c r="BN3230" s="237">
        <v>150.01</v>
      </c>
      <c r="BO3230" s="237" t="s">
        <v>359</v>
      </c>
      <c r="CD3230" s="237">
        <v>218.06</v>
      </c>
      <c r="CE3230" s="237" t="s">
        <v>369</v>
      </c>
      <c r="CL3230" s="1789"/>
      <c r="CR3230" s="345"/>
      <c r="CS3230" s="345"/>
      <c r="DH3230" s="237"/>
      <c r="DI3230" s="237"/>
      <c r="DP3230" s="2505"/>
    </row>
    <row r="3231" spans="30:120">
      <c r="AD3231" s="1138"/>
      <c r="BH3231" s="1790"/>
      <c r="BN3231" s="237">
        <v>150.02000000000001</v>
      </c>
      <c r="BO3231" s="237" t="s">
        <v>359</v>
      </c>
      <c r="CD3231" s="237">
        <v>219</v>
      </c>
      <c r="CE3231" s="237" t="s">
        <v>363</v>
      </c>
      <c r="CL3231" s="1789"/>
      <c r="CR3231" s="345"/>
      <c r="CS3231" s="345"/>
      <c r="DH3231" s="237"/>
      <c r="DI3231" s="237"/>
      <c r="DP3231" s="2505"/>
    </row>
    <row r="3232" spans="30:120">
      <c r="AD3232" s="1138"/>
      <c r="BH3232" s="1790"/>
      <c r="BN3232" s="237">
        <v>150.03</v>
      </c>
      <c r="BO3232" s="237" t="s">
        <v>359</v>
      </c>
      <c r="CD3232" s="237">
        <v>219.01</v>
      </c>
      <c r="CE3232" s="237" t="s">
        <v>357</v>
      </c>
      <c r="CL3232" s="1789"/>
      <c r="CR3232" s="345"/>
      <c r="CS3232" s="345"/>
      <c r="DH3232" s="237"/>
      <c r="DI3232" s="237"/>
      <c r="DP3232" s="2505"/>
    </row>
    <row r="3233" spans="30:120">
      <c r="AD3233" s="1138"/>
      <c r="BH3233" s="1790"/>
      <c r="BN3233" s="237">
        <v>150.05000000000001</v>
      </c>
      <c r="BO3233" s="237" t="s">
        <v>359</v>
      </c>
      <c r="CD3233" s="237">
        <v>219.01</v>
      </c>
      <c r="CE3233" s="237" t="s">
        <v>369</v>
      </c>
      <c r="CL3233" s="1789"/>
      <c r="CR3233" s="345"/>
      <c r="CS3233" s="345"/>
      <c r="DH3233" s="237"/>
      <c r="DI3233" s="237"/>
      <c r="DP3233" s="2505"/>
    </row>
    <row r="3234" spans="30:120">
      <c r="AD3234" s="1138"/>
      <c r="BH3234" s="1790"/>
      <c r="BN3234" s="237">
        <v>150.06</v>
      </c>
      <c r="BO3234" s="237" t="s">
        <v>359</v>
      </c>
      <c r="CD3234" s="237">
        <v>219.02</v>
      </c>
      <c r="CE3234" s="237" t="s">
        <v>357</v>
      </c>
      <c r="CL3234" s="1789"/>
      <c r="CR3234" s="345"/>
      <c r="CS3234" s="345"/>
      <c r="DH3234" s="237"/>
      <c r="DI3234" s="237"/>
      <c r="DP3234" s="2505"/>
    </row>
    <row r="3235" spans="30:120">
      <c r="AD3235" s="1138"/>
      <c r="BH3235" s="1790"/>
      <c r="BN3235" s="237">
        <v>151.03</v>
      </c>
      <c r="BO3235" s="237" t="s">
        <v>359</v>
      </c>
      <c r="CD3235" s="237">
        <v>219.02</v>
      </c>
      <c r="CE3235" s="237" t="s">
        <v>369</v>
      </c>
      <c r="CL3235" s="1789"/>
      <c r="CR3235" s="345"/>
      <c r="CS3235" s="345"/>
      <c r="DH3235" s="237"/>
      <c r="DI3235" s="237"/>
      <c r="DP3235" s="2505"/>
    </row>
    <row r="3236" spans="30:120">
      <c r="AD3236" s="1138"/>
      <c r="BH3236" s="1790"/>
      <c r="BN3236" s="237">
        <v>151.04</v>
      </c>
      <c r="BO3236" s="237" t="s">
        <v>359</v>
      </c>
      <c r="CD3236" s="237">
        <v>220</v>
      </c>
      <c r="CE3236" s="237" t="s">
        <v>363</v>
      </c>
      <c r="CL3236" s="1789"/>
      <c r="CR3236" s="345"/>
      <c r="CS3236" s="345"/>
      <c r="DH3236" s="237"/>
      <c r="DI3236" s="237"/>
      <c r="DP3236" s="2505"/>
    </row>
    <row r="3237" spans="30:120">
      <c r="AD3237" s="1138"/>
      <c r="BH3237" s="1790"/>
      <c r="BN3237" s="237">
        <v>151.05000000000001</v>
      </c>
      <c r="BO3237" s="237" t="s">
        <v>359</v>
      </c>
      <c r="CD3237" s="237">
        <v>220.01</v>
      </c>
      <c r="CE3237" s="237" t="s">
        <v>357</v>
      </c>
      <c r="CL3237" s="1789"/>
      <c r="CR3237" s="345"/>
      <c r="CS3237" s="345"/>
      <c r="DH3237" s="237"/>
      <c r="DI3237" s="237"/>
      <c r="DP3237" s="2505"/>
    </row>
    <row r="3238" spans="30:120">
      <c r="AD3238" s="1138"/>
      <c r="BH3238" s="1790"/>
      <c r="BN3238" s="237">
        <v>151.06</v>
      </c>
      <c r="BO3238" s="237" t="s">
        <v>359</v>
      </c>
      <c r="CD3238" s="237">
        <v>220.01</v>
      </c>
      <c r="CE3238" s="237" t="s">
        <v>369</v>
      </c>
      <c r="CL3238" s="1789"/>
      <c r="CR3238" s="345"/>
      <c r="CS3238" s="345"/>
      <c r="DH3238" s="237"/>
      <c r="DI3238" s="237"/>
      <c r="DP3238" s="2505"/>
    </row>
    <row r="3239" spans="30:120">
      <c r="AD3239" s="1138"/>
      <c r="BH3239" s="1790"/>
      <c r="BN3239" s="237">
        <v>152.02000000000001</v>
      </c>
      <c r="BO3239" s="237" t="s">
        <v>359</v>
      </c>
      <c r="CD3239" s="237">
        <v>220.02</v>
      </c>
      <c r="CE3239" s="237" t="s">
        <v>357</v>
      </c>
      <c r="CL3239" s="1789"/>
      <c r="CR3239" s="345"/>
      <c r="CS3239" s="345"/>
      <c r="DH3239" s="237"/>
      <c r="DI3239" s="237"/>
      <c r="DP3239" s="2505"/>
    </row>
    <row r="3240" spans="30:120">
      <c r="AD3240" s="1138"/>
      <c r="BH3240" s="1790"/>
      <c r="BN3240" s="237">
        <v>152.03</v>
      </c>
      <c r="BO3240" s="237" t="s">
        <v>359</v>
      </c>
      <c r="CD3240" s="237">
        <v>220.02</v>
      </c>
      <c r="CE3240" s="237" t="s">
        <v>369</v>
      </c>
      <c r="CL3240" s="1789"/>
      <c r="CR3240" s="345"/>
      <c r="CS3240" s="345"/>
      <c r="DH3240" s="237"/>
      <c r="DI3240" s="237"/>
      <c r="DP3240" s="2505"/>
    </row>
    <row r="3241" spans="30:120">
      <c r="AD3241" s="1138"/>
      <c r="BH3241" s="1790"/>
      <c r="BN3241" s="237">
        <v>152.04</v>
      </c>
      <c r="BO3241" s="237" t="s">
        <v>359</v>
      </c>
      <c r="CD3241" s="237">
        <v>220.04</v>
      </c>
      <c r="CE3241" s="237" t="s">
        <v>369</v>
      </c>
      <c r="CL3241" s="1789"/>
      <c r="CR3241" s="345"/>
      <c r="CS3241" s="345"/>
      <c r="DH3241" s="237"/>
      <c r="DI3241" s="237"/>
      <c r="DP3241" s="2505"/>
    </row>
    <row r="3242" spans="30:120">
      <c r="AD3242" s="1138"/>
      <c r="BH3242" s="1790"/>
      <c r="BN3242" s="237">
        <v>153</v>
      </c>
      <c r="BO3242" s="237" t="s">
        <v>359</v>
      </c>
      <c r="CD3242" s="237">
        <v>220.06</v>
      </c>
      <c r="CE3242" s="237" t="s">
        <v>369</v>
      </c>
      <c r="CL3242" s="1789"/>
      <c r="CR3242" s="345"/>
      <c r="CS3242" s="345"/>
      <c r="DH3242" s="237"/>
      <c r="DI3242" s="237"/>
      <c r="DP3242" s="2505"/>
    </row>
    <row r="3243" spans="30:120">
      <c r="AD3243" s="1138"/>
      <c r="BH3243" s="1790"/>
      <c r="BN3243" s="237">
        <v>155.01</v>
      </c>
      <c r="BO3243" s="237" t="s">
        <v>359</v>
      </c>
      <c r="CD3243" s="237">
        <v>220.07</v>
      </c>
      <c r="CE3243" s="237" t="s">
        <v>369</v>
      </c>
      <c r="CL3243" s="1789"/>
      <c r="CR3243" s="345"/>
      <c r="CS3243" s="345"/>
      <c r="DH3243" s="237"/>
      <c r="DI3243" s="237"/>
      <c r="DP3243" s="2505"/>
    </row>
    <row r="3244" spans="30:120">
      <c r="AD3244" s="1138"/>
      <c r="BH3244" s="1790"/>
      <c r="BN3244" s="237">
        <v>156.01</v>
      </c>
      <c r="BO3244" s="237" t="s">
        <v>359</v>
      </c>
      <c r="CD3244" s="237">
        <v>221</v>
      </c>
      <c r="CE3244" s="237" t="s">
        <v>357</v>
      </c>
      <c r="CL3244" s="1789"/>
      <c r="CR3244" s="345"/>
      <c r="CS3244" s="345"/>
      <c r="DH3244" s="237"/>
      <c r="DI3244" s="237"/>
      <c r="DP3244" s="2505"/>
    </row>
    <row r="3245" spans="30:120">
      <c r="AD3245" s="1138"/>
      <c r="BH3245" s="1790"/>
      <c r="BN3245" s="237">
        <v>156.02000000000001</v>
      </c>
      <c r="BO3245" s="237" t="s">
        <v>359</v>
      </c>
      <c r="CD3245" s="237">
        <v>221.01</v>
      </c>
      <c r="CE3245" s="237" t="s">
        <v>363</v>
      </c>
      <c r="CL3245" s="1789"/>
      <c r="CR3245" s="345"/>
      <c r="CS3245" s="345"/>
      <c r="DH3245" s="237"/>
      <c r="DI3245" s="237"/>
      <c r="DP3245" s="2505"/>
    </row>
    <row r="3246" spans="30:120">
      <c r="AD3246" s="1138"/>
      <c r="BH3246" s="1790"/>
      <c r="BN3246" s="237">
        <v>157.01</v>
      </c>
      <c r="BO3246" s="237" t="s">
        <v>359</v>
      </c>
      <c r="CD3246" s="237">
        <v>221.01</v>
      </c>
      <c r="CE3246" s="237" t="s">
        <v>369</v>
      </c>
      <c r="CL3246" s="1789"/>
      <c r="CR3246" s="345"/>
      <c r="CS3246" s="345"/>
      <c r="DH3246" s="237"/>
      <c r="DI3246" s="237"/>
      <c r="DP3246" s="2505"/>
    </row>
    <row r="3247" spans="30:120">
      <c r="AD3247" s="1138"/>
      <c r="BH3247" s="1790"/>
      <c r="BN3247" s="237">
        <v>157.02000000000001</v>
      </c>
      <c r="BO3247" s="237" t="s">
        <v>359</v>
      </c>
      <c r="CD3247" s="237">
        <v>221.02</v>
      </c>
      <c r="CE3247" s="237" t="s">
        <v>363</v>
      </c>
      <c r="CL3247" s="1789"/>
      <c r="CR3247" s="345"/>
      <c r="CS3247" s="345"/>
      <c r="DH3247" s="237"/>
      <c r="DI3247" s="237"/>
      <c r="DP3247" s="2505"/>
    </row>
    <row r="3248" spans="30:120">
      <c r="AD3248" s="1138"/>
      <c r="BH3248" s="1790"/>
      <c r="BN3248" s="237">
        <v>158.01</v>
      </c>
      <c r="BO3248" s="237" t="s">
        <v>359</v>
      </c>
      <c r="CD3248" s="237">
        <v>221.04</v>
      </c>
      <c r="CE3248" s="237" t="s">
        <v>369</v>
      </c>
      <c r="CL3248" s="1789"/>
      <c r="CR3248" s="345"/>
      <c r="CS3248" s="345"/>
      <c r="DH3248" s="237"/>
      <c r="DI3248" s="237"/>
      <c r="DP3248" s="2505"/>
    </row>
    <row r="3249" spans="30:120">
      <c r="AD3249" s="1138"/>
      <c r="BH3249" s="1790"/>
      <c r="BN3249" s="237">
        <v>158.02000000000001</v>
      </c>
      <c r="BO3249" s="237" t="s">
        <v>359</v>
      </c>
      <c r="CD3249" s="237">
        <v>221.05</v>
      </c>
      <c r="CE3249" s="237" t="s">
        <v>369</v>
      </c>
      <c r="CL3249" s="1789"/>
      <c r="CR3249" s="345"/>
      <c r="CS3249" s="345"/>
      <c r="DH3249" s="237"/>
      <c r="DI3249" s="237"/>
      <c r="DP3249" s="2505"/>
    </row>
    <row r="3250" spans="30:120">
      <c r="AD3250" s="1138"/>
      <c r="BH3250" s="1790"/>
      <c r="BN3250" s="237">
        <v>159.01</v>
      </c>
      <c r="BO3250" s="237" t="s">
        <v>359</v>
      </c>
      <c r="CD3250" s="237">
        <v>221.06</v>
      </c>
      <c r="CE3250" s="237" t="s">
        <v>369</v>
      </c>
      <c r="CL3250" s="1789"/>
      <c r="CR3250" s="345"/>
      <c r="CS3250" s="345"/>
      <c r="DH3250" s="237"/>
      <c r="DI3250" s="237"/>
      <c r="DP3250" s="2505"/>
    </row>
    <row r="3251" spans="30:120">
      <c r="AD3251" s="1138"/>
      <c r="BH3251" s="1790"/>
      <c r="BN3251" s="237">
        <v>160.01</v>
      </c>
      <c r="BO3251" s="237" t="s">
        <v>359</v>
      </c>
      <c r="CD3251" s="237">
        <v>222</v>
      </c>
      <c r="CE3251" s="237" t="s">
        <v>363</v>
      </c>
      <c r="CL3251" s="1789"/>
      <c r="CR3251" s="345"/>
      <c r="CS3251" s="345"/>
      <c r="DH3251" s="237"/>
      <c r="DI3251" s="237"/>
      <c r="DP3251" s="2505"/>
    </row>
    <row r="3252" spans="30:120">
      <c r="AD3252" s="1138"/>
      <c r="BH3252" s="1790"/>
      <c r="BN3252" s="237">
        <v>160.02000000000001</v>
      </c>
      <c r="BO3252" s="237" t="s">
        <v>359</v>
      </c>
      <c r="CD3252" s="237">
        <v>222.01</v>
      </c>
      <c r="CE3252" s="237" t="s">
        <v>369</v>
      </c>
      <c r="CL3252" s="1789"/>
      <c r="CR3252" s="345"/>
      <c r="CS3252" s="345"/>
      <c r="DH3252" s="237"/>
      <c r="DI3252" s="237"/>
      <c r="DP3252" s="2505"/>
    </row>
    <row r="3253" spans="30:120">
      <c r="AD3253" s="1138"/>
      <c r="BH3253" s="1790"/>
      <c r="BN3253" s="237">
        <v>161</v>
      </c>
      <c r="BO3253" s="237" t="s">
        <v>359</v>
      </c>
      <c r="CD3253" s="237">
        <v>222.05</v>
      </c>
      <c r="CE3253" s="237" t="s">
        <v>369</v>
      </c>
      <c r="CL3253" s="1789"/>
      <c r="CR3253" s="345"/>
      <c r="CS3253" s="345"/>
      <c r="DH3253" s="237"/>
      <c r="DI3253" s="237"/>
      <c r="DP3253" s="2505"/>
    </row>
    <row r="3254" spans="30:120">
      <c r="AD3254" s="1138"/>
      <c r="BH3254" s="1790"/>
      <c r="BN3254" s="237">
        <v>162</v>
      </c>
      <c r="BO3254" s="237" t="s">
        <v>359</v>
      </c>
      <c r="CD3254" s="237">
        <v>222.06</v>
      </c>
      <c r="CE3254" s="237" t="s">
        <v>369</v>
      </c>
      <c r="CL3254" s="1789"/>
      <c r="CR3254" s="345"/>
      <c r="CS3254" s="345"/>
      <c r="DH3254" s="237"/>
      <c r="DI3254" s="237"/>
      <c r="DP3254" s="2505"/>
    </row>
    <row r="3255" spans="30:120">
      <c r="AD3255" s="1138"/>
      <c r="BH3255" s="1790"/>
      <c r="BN3255" s="237">
        <v>163.01</v>
      </c>
      <c r="BO3255" s="237" t="s">
        <v>359</v>
      </c>
      <c r="CD3255" s="237">
        <v>222.07</v>
      </c>
      <c r="CE3255" s="237" t="s">
        <v>369</v>
      </c>
      <c r="CL3255" s="1789"/>
      <c r="CR3255" s="345"/>
      <c r="CS3255" s="345"/>
      <c r="DH3255" s="237"/>
      <c r="DI3255" s="237"/>
      <c r="DP3255" s="2505"/>
    </row>
    <row r="3256" spans="30:120">
      <c r="AD3256" s="1138"/>
      <c r="BH3256" s="1790"/>
      <c r="BN3256" s="237">
        <v>163.02000000000001</v>
      </c>
      <c r="BO3256" s="237" t="s">
        <v>359</v>
      </c>
      <c r="CD3256" s="237">
        <v>222.08</v>
      </c>
      <c r="CE3256" s="237" t="s">
        <v>369</v>
      </c>
      <c r="CL3256" s="1789"/>
      <c r="CR3256" s="345"/>
      <c r="CS3256" s="345"/>
      <c r="DH3256" s="237"/>
      <c r="DI3256" s="237"/>
      <c r="DP3256" s="2505"/>
    </row>
    <row r="3257" spans="30:120">
      <c r="AD3257" s="1138"/>
      <c r="BH3257" s="1790"/>
      <c r="BN3257" s="237">
        <v>164.02</v>
      </c>
      <c r="BO3257" s="237" t="s">
        <v>359</v>
      </c>
      <c r="CD3257" s="237">
        <v>222.09</v>
      </c>
      <c r="CE3257" s="237" t="s">
        <v>369</v>
      </c>
      <c r="CL3257" s="1789"/>
      <c r="CR3257" s="345"/>
      <c r="CS3257" s="345"/>
      <c r="DH3257" s="237"/>
      <c r="DI3257" s="237"/>
      <c r="DP3257" s="2505"/>
    </row>
    <row r="3258" spans="30:120">
      <c r="AD3258" s="1138"/>
      <c r="BH3258" s="1790"/>
      <c r="BN3258" s="237">
        <v>164.06</v>
      </c>
      <c r="BO3258" s="237" t="s">
        <v>359</v>
      </c>
      <c r="CD3258" s="237">
        <v>223</v>
      </c>
      <c r="CE3258" s="237" t="s">
        <v>357</v>
      </c>
      <c r="CL3258" s="1789"/>
      <c r="CR3258" s="345"/>
      <c r="CS3258" s="345"/>
      <c r="DH3258" s="237"/>
      <c r="DI3258" s="237"/>
      <c r="DP3258" s="2505"/>
    </row>
    <row r="3259" spans="30:120">
      <c r="AD3259" s="1138"/>
      <c r="BH3259" s="1790"/>
      <c r="BN3259" s="237">
        <v>164.07</v>
      </c>
      <c r="BO3259" s="237" t="s">
        <v>359</v>
      </c>
      <c r="CD3259" s="237">
        <v>223.01</v>
      </c>
      <c r="CE3259" s="237" t="s">
        <v>363</v>
      </c>
      <c r="CL3259" s="1789"/>
      <c r="CR3259" s="345"/>
      <c r="CS3259" s="345"/>
      <c r="DH3259" s="237"/>
      <c r="DI3259" s="237"/>
      <c r="DP3259" s="2505"/>
    </row>
    <row r="3260" spans="30:120">
      <c r="AD3260" s="1138"/>
      <c r="BH3260" s="1790"/>
      <c r="BN3260" s="237">
        <v>164.08</v>
      </c>
      <c r="BO3260" s="237" t="s">
        <v>359</v>
      </c>
      <c r="CD3260" s="237">
        <v>223.02</v>
      </c>
      <c r="CE3260" s="237" t="s">
        <v>363</v>
      </c>
      <c r="CL3260" s="1789"/>
      <c r="CR3260" s="345"/>
      <c r="CS3260" s="345"/>
      <c r="DH3260" s="237"/>
      <c r="DI3260" s="237"/>
      <c r="DP3260" s="2505"/>
    </row>
    <row r="3261" spans="30:120">
      <c r="AD3261" s="1138"/>
      <c r="BH3261" s="1790"/>
      <c r="BN3261" s="237">
        <v>164.09</v>
      </c>
      <c r="BO3261" s="237" t="s">
        <v>359</v>
      </c>
      <c r="CD3261" s="237">
        <v>224</v>
      </c>
      <c r="CE3261" s="237" t="s">
        <v>357</v>
      </c>
      <c r="CL3261" s="1789"/>
      <c r="CR3261" s="345"/>
      <c r="CS3261" s="345"/>
      <c r="DH3261" s="237"/>
      <c r="DI3261" s="237"/>
      <c r="DP3261" s="2505"/>
    </row>
    <row r="3262" spans="30:120">
      <c r="AD3262" s="1138"/>
      <c r="BH3262" s="1790"/>
      <c r="BN3262" s="237">
        <v>164.11</v>
      </c>
      <c r="BO3262" s="237" t="s">
        <v>359</v>
      </c>
      <c r="CD3262" s="237">
        <v>224.01</v>
      </c>
      <c r="CE3262" s="237" t="s">
        <v>363</v>
      </c>
      <c r="CL3262" s="1789"/>
      <c r="CR3262" s="345"/>
      <c r="CS3262" s="345"/>
      <c r="DH3262" s="237"/>
      <c r="DI3262" s="237"/>
      <c r="DP3262" s="2505"/>
    </row>
    <row r="3263" spans="30:120">
      <c r="AD3263" s="1138"/>
      <c r="BH3263" s="1790"/>
      <c r="BN3263" s="237">
        <v>164.12</v>
      </c>
      <c r="BO3263" s="237" t="s">
        <v>359</v>
      </c>
      <c r="CD3263" s="237">
        <v>224.02</v>
      </c>
      <c r="CE3263" s="237" t="s">
        <v>363</v>
      </c>
      <c r="CL3263" s="1789"/>
      <c r="CR3263" s="345"/>
      <c r="CS3263" s="345"/>
      <c r="DH3263" s="237"/>
      <c r="DI3263" s="237"/>
      <c r="DP3263" s="2505"/>
    </row>
    <row r="3264" spans="30:120">
      <c r="AD3264" s="1138"/>
      <c r="BH3264" s="1790"/>
      <c r="BN3264" s="237">
        <v>164.13</v>
      </c>
      <c r="BO3264" s="237" t="s">
        <v>359</v>
      </c>
      <c r="CD3264" s="237">
        <v>225</v>
      </c>
      <c r="CE3264" s="237" t="s">
        <v>357</v>
      </c>
      <c r="CL3264" s="1789"/>
      <c r="CR3264" s="345"/>
      <c r="CS3264" s="345"/>
      <c r="DH3264" s="237"/>
      <c r="DI3264" s="237"/>
      <c r="DP3264" s="2505"/>
    </row>
    <row r="3265" spans="30:120">
      <c r="AD3265" s="1138"/>
      <c r="BH3265" s="1790"/>
      <c r="BN3265" s="237">
        <v>164.14</v>
      </c>
      <c r="BO3265" s="237" t="s">
        <v>359</v>
      </c>
      <c r="CD3265" s="237">
        <v>225.01</v>
      </c>
      <c r="CE3265" s="237" t="s">
        <v>363</v>
      </c>
      <c r="CL3265" s="1789"/>
      <c r="CR3265" s="345"/>
      <c r="CS3265" s="345"/>
      <c r="DH3265" s="237"/>
      <c r="DI3265" s="237"/>
      <c r="DP3265" s="2505"/>
    </row>
    <row r="3266" spans="30:120">
      <c r="AD3266" s="1138"/>
      <c r="BH3266" s="1790"/>
      <c r="BN3266" s="237">
        <v>165.03</v>
      </c>
      <c r="BO3266" s="237" t="s">
        <v>359</v>
      </c>
      <c r="CD3266" s="237">
        <v>225.02</v>
      </c>
      <c r="CE3266" s="237" t="s">
        <v>363</v>
      </c>
      <c r="CL3266" s="1789"/>
      <c r="CR3266" s="345"/>
      <c r="CS3266" s="345"/>
      <c r="DH3266" s="237"/>
      <c r="DI3266" s="237"/>
      <c r="DP3266" s="2505"/>
    </row>
    <row r="3267" spans="30:120">
      <c r="AD3267" s="1138"/>
      <c r="BH3267" s="1790"/>
      <c r="BN3267" s="237">
        <v>165.04</v>
      </c>
      <c r="BO3267" s="237" t="s">
        <v>359</v>
      </c>
      <c r="CD3267" s="237">
        <v>225.03</v>
      </c>
      <c r="CE3267" s="237" t="s">
        <v>363</v>
      </c>
      <c r="CL3267" s="1789"/>
      <c r="CR3267" s="345"/>
      <c r="CS3267" s="345"/>
      <c r="DH3267" s="237"/>
      <c r="DI3267" s="237"/>
      <c r="DP3267" s="2505"/>
    </row>
    <row r="3268" spans="30:120">
      <c r="AD3268" s="1138"/>
      <c r="BH3268" s="1790"/>
      <c r="BN3268" s="237">
        <v>165.05</v>
      </c>
      <c r="BO3268" s="237" t="s">
        <v>359</v>
      </c>
      <c r="CD3268" s="237">
        <v>226</v>
      </c>
      <c r="CE3268" s="237" t="s">
        <v>357</v>
      </c>
      <c r="CL3268" s="1789"/>
      <c r="CR3268" s="345"/>
      <c r="CS3268" s="345"/>
      <c r="DH3268" s="237"/>
      <c r="DI3268" s="237"/>
      <c r="DP3268" s="2505"/>
    </row>
    <row r="3269" spans="30:120">
      <c r="AD3269" s="1138"/>
      <c r="BH3269" s="1790"/>
      <c r="BN3269" s="237">
        <v>165.09</v>
      </c>
      <c r="BO3269" s="237" t="s">
        <v>359</v>
      </c>
      <c r="CD3269" s="237">
        <v>226.01</v>
      </c>
      <c r="CE3269" s="237" t="s">
        <v>363</v>
      </c>
      <c r="CL3269" s="1789"/>
      <c r="CR3269" s="345"/>
      <c r="CS3269" s="345"/>
      <c r="DH3269" s="237"/>
      <c r="DI3269" s="237"/>
      <c r="DP3269" s="2505"/>
    </row>
    <row r="3270" spans="30:120">
      <c r="AD3270" s="1138"/>
      <c r="BH3270" s="1790"/>
      <c r="BN3270" s="237">
        <v>165.1</v>
      </c>
      <c r="BO3270" s="237" t="s">
        <v>359</v>
      </c>
      <c r="CD3270" s="237">
        <v>226.02</v>
      </c>
      <c r="CE3270" s="237" t="s">
        <v>363</v>
      </c>
      <c r="CL3270" s="1789"/>
      <c r="CR3270" s="345"/>
      <c r="CS3270" s="345"/>
      <c r="DH3270" s="237"/>
      <c r="DI3270" s="237"/>
      <c r="DP3270" s="2505"/>
    </row>
    <row r="3271" spans="30:120">
      <c r="AD3271" s="1138"/>
      <c r="BH3271" s="1790"/>
      <c r="BN3271" s="237">
        <v>165.11</v>
      </c>
      <c r="BO3271" s="237" t="s">
        <v>359</v>
      </c>
      <c r="CD3271" s="237">
        <v>227</v>
      </c>
      <c r="CE3271" s="237" t="s">
        <v>357</v>
      </c>
      <c r="CL3271" s="1789"/>
      <c r="CR3271" s="345"/>
      <c r="CS3271" s="345"/>
      <c r="DH3271" s="237"/>
      <c r="DI3271" s="237"/>
      <c r="DP3271" s="2505"/>
    </row>
    <row r="3272" spans="30:120">
      <c r="AD3272" s="1138"/>
      <c r="BH3272" s="1790"/>
      <c r="BN3272" s="237">
        <v>165.12</v>
      </c>
      <c r="BO3272" s="237" t="s">
        <v>359</v>
      </c>
      <c r="CD3272" s="237">
        <v>227</v>
      </c>
      <c r="CE3272" s="237" t="s">
        <v>363</v>
      </c>
      <c r="CL3272" s="1789"/>
      <c r="CR3272" s="345"/>
      <c r="CS3272" s="345"/>
      <c r="DH3272" s="237"/>
      <c r="DI3272" s="237"/>
      <c r="DP3272" s="2505"/>
    </row>
    <row r="3273" spans="30:120">
      <c r="AD3273" s="1138"/>
      <c r="BH3273" s="1790"/>
      <c r="BN3273" s="237">
        <v>165.13</v>
      </c>
      <c r="BO3273" s="237" t="s">
        <v>359</v>
      </c>
      <c r="CD3273" s="237">
        <v>228</v>
      </c>
      <c r="CE3273" s="237" t="s">
        <v>357</v>
      </c>
      <c r="CL3273" s="1789"/>
      <c r="CR3273" s="345"/>
      <c r="CS3273" s="345"/>
      <c r="DH3273" s="237"/>
      <c r="DI3273" s="237"/>
      <c r="DP3273" s="2505"/>
    </row>
    <row r="3274" spans="30:120">
      <c r="AD3274" s="1138"/>
      <c r="BH3274" s="1790"/>
      <c r="BN3274" s="237">
        <v>165.14</v>
      </c>
      <c r="BO3274" s="237" t="s">
        <v>359</v>
      </c>
      <c r="CD3274" s="237">
        <v>228.01</v>
      </c>
      <c r="CE3274" s="237" t="s">
        <v>363</v>
      </c>
      <c r="CL3274" s="1789"/>
      <c r="CR3274" s="345"/>
      <c r="CS3274" s="345"/>
      <c r="DH3274" s="237"/>
      <c r="DI3274" s="237"/>
      <c r="DP3274" s="2505"/>
    </row>
    <row r="3275" spans="30:120">
      <c r="AD3275" s="1138"/>
      <c r="BH3275" s="1790"/>
      <c r="BN3275" s="237">
        <v>165.15</v>
      </c>
      <c r="BO3275" s="237" t="s">
        <v>359</v>
      </c>
      <c r="CD3275" s="237">
        <v>228.02</v>
      </c>
      <c r="CE3275" s="237" t="s">
        <v>363</v>
      </c>
      <c r="CL3275" s="1789"/>
      <c r="CR3275" s="345"/>
      <c r="CS3275" s="345"/>
      <c r="DH3275" s="237"/>
      <c r="DI3275" s="237"/>
      <c r="DP3275" s="2505"/>
    </row>
    <row r="3276" spans="30:120">
      <c r="AD3276" s="1138"/>
      <c r="BH3276" s="1790"/>
      <c r="BN3276" s="237">
        <v>166.03</v>
      </c>
      <c r="BO3276" s="237" t="s">
        <v>359</v>
      </c>
      <c r="CD3276" s="237">
        <v>229</v>
      </c>
      <c r="CE3276" s="237" t="s">
        <v>357</v>
      </c>
      <c r="CL3276" s="1789"/>
      <c r="CR3276" s="345"/>
      <c r="CS3276" s="345"/>
      <c r="DH3276" s="237"/>
      <c r="DI3276" s="237"/>
      <c r="DP3276" s="2505"/>
    </row>
    <row r="3277" spans="30:120">
      <c r="AD3277" s="1138"/>
      <c r="BH3277" s="1790"/>
      <c r="BN3277" s="237">
        <v>166.04</v>
      </c>
      <c r="BO3277" s="237" t="s">
        <v>359</v>
      </c>
      <c r="CD3277" s="237">
        <v>229.01</v>
      </c>
      <c r="CE3277" s="237" t="s">
        <v>363</v>
      </c>
      <c r="CL3277" s="1789"/>
      <c r="CR3277" s="345"/>
      <c r="CS3277" s="345"/>
      <c r="DH3277" s="237"/>
      <c r="DI3277" s="237"/>
      <c r="DP3277" s="2505"/>
    </row>
    <row r="3278" spans="30:120">
      <c r="AD3278" s="1138"/>
      <c r="BH3278" s="1790"/>
      <c r="BN3278" s="237">
        <v>166.05</v>
      </c>
      <c r="BO3278" s="237" t="s">
        <v>359</v>
      </c>
      <c r="CD3278" s="237">
        <v>229.02</v>
      </c>
      <c r="CE3278" s="237" t="s">
        <v>363</v>
      </c>
      <c r="CL3278" s="1789"/>
      <c r="CR3278" s="345"/>
      <c r="CS3278" s="345"/>
      <c r="DH3278" s="237"/>
      <c r="DI3278" s="237"/>
      <c r="DP3278" s="2505"/>
    </row>
    <row r="3279" spans="30:120">
      <c r="AD3279" s="1138"/>
      <c r="BH3279" s="1790"/>
      <c r="BN3279" s="237">
        <v>166.06</v>
      </c>
      <c r="BO3279" s="237" t="s">
        <v>359</v>
      </c>
      <c r="CD3279" s="237">
        <v>230</v>
      </c>
      <c r="CE3279" s="237" t="s">
        <v>363</v>
      </c>
      <c r="CL3279" s="1789"/>
      <c r="CR3279" s="345"/>
      <c r="CS3279" s="345"/>
      <c r="DH3279" s="237"/>
      <c r="DI3279" s="237"/>
      <c r="DP3279" s="2505"/>
    </row>
    <row r="3280" spans="30:120">
      <c r="AD3280" s="1138"/>
      <c r="BH3280" s="1790"/>
      <c r="BN3280" s="237">
        <v>166.07</v>
      </c>
      <c r="BO3280" s="237" t="s">
        <v>359</v>
      </c>
      <c r="CD3280" s="237">
        <v>231</v>
      </c>
      <c r="CE3280" s="237" t="s">
        <v>357</v>
      </c>
      <c r="CL3280" s="1789"/>
      <c r="CR3280" s="345"/>
      <c r="CS3280" s="345"/>
      <c r="DH3280" s="237"/>
      <c r="DI3280" s="237"/>
      <c r="DP3280" s="2505"/>
    </row>
    <row r="3281" spans="30:120">
      <c r="AD3281" s="1138"/>
      <c r="BH3281" s="1790"/>
      <c r="BN3281" s="237">
        <v>167.09</v>
      </c>
      <c r="BO3281" s="237" t="s">
        <v>359</v>
      </c>
      <c r="CD3281" s="237">
        <v>231</v>
      </c>
      <c r="CE3281" s="237" t="s">
        <v>363</v>
      </c>
      <c r="CL3281" s="1789"/>
      <c r="CR3281" s="345"/>
      <c r="CS3281" s="345"/>
      <c r="DH3281" s="237"/>
      <c r="DI3281" s="237"/>
      <c r="DP3281" s="2505"/>
    </row>
    <row r="3282" spans="30:120">
      <c r="AD3282" s="1138"/>
      <c r="BH3282" s="1790"/>
      <c r="BN3282" s="237">
        <v>167.1</v>
      </c>
      <c r="BO3282" s="237" t="s">
        <v>359</v>
      </c>
      <c r="CD3282" s="237">
        <v>232</v>
      </c>
      <c r="CE3282" s="237" t="s">
        <v>357</v>
      </c>
      <c r="CL3282" s="1789"/>
      <c r="CR3282" s="345"/>
      <c r="CS3282" s="345"/>
      <c r="DH3282" s="237"/>
      <c r="DI3282" s="237"/>
      <c r="DP3282" s="2505"/>
    </row>
    <row r="3283" spans="30:120">
      <c r="AD3283" s="1138"/>
      <c r="BH3283" s="1790"/>
      <c r="BN3283" s="237">
        <v>167.13</v>
      </c>
      <c r="BO3283" s="237" t="s">
        <v>359</v>
      </c>
      <c r="CD3283" s="237">
        <v>232</v>
      </c>
      <c r="CE3283" s="237" t="s">
        <v>363</v>
      </c>
      <c r="CL3283" s="1789"/>
      <c r="CR3283" s="345"/>
      <c r="CS3283" s="345"/>
      <c r="DH3283" s="237"/>
      <c r="DI3283" s="237"/>
      <c r="DP3283" s="2505"/>
    </row>
    <row r="3284" spans="30:120">
      <c r="AD3284" s="1138"/>
      <c r="BH3284" s="1790"/>
      <c r="BN3284" s="237">
        <v>167.14</v>
      </c>
      <c r="BO3284" s="237" t="s">
        <v>359</v>
      </c>
      <c r="CD3284" s="237">
        <v>233</v>
      </c>
      <c r="CE3284" s="237" t="s">
        <v>363</v>
      </c>
      <c r="CL3284" s="1789"/>
      <c r="CR3284" s="345"/>
      <c r="CS3284" s="345"/>
      <c r="DH3284" s="237"/>
      <c r="DI3284" s="237"/>
      <c r="DP3284" s="2505"/>
    </row>
    <row r="3285" spans="30:120">
      <c r="AD3285" s="1138"/>
      <c r="BH3285" s="1790"/>
      <c r="BN3285" s="237">
        <v>167.15</v>
      </c>
      <c r="BO3285" s="237" t="s">
        <v>359</v>
      </c>
      <c r="CD3285" s="237">
        <v>233.03</v>
      </c>
      <c r="CE3285" s="237" t="s">
        <v>357</v>
      </c>
      <c r="CL3285" s="1789"/>
      <c r="CR3285" s="345"/>
      <c r="CS3285" s="345"/>
      <c r="DH3285" s="237"/>
      <c r="DI3285" s="237"/>
      <c r="DP3285" s="2505"/>
    </row>
    <row r="3286" spans="30:120">
      <c r="AD3286" s="1138"/>
      <c r="BH3286" s="1790"/>
      <c r="BN3286" s="237">
        <v>167.16</v>
      </c>
      <c r="BO3286" s="237" t="s">
        <v>359</v>
      </c>
      <c r="CD3286" s="237">
        <v>233.04</v>
      </c>
      <c r="CE3286" s="237" t="s">
        <v>357</v>
      </c>
      <c r="CL3286" s="1789"/>
      <c r="CR3286" s="345"/>
      <c r="CS3286" s="345"/>
      <c r="DH3286" s="237"/>
      <c r="DI3286" s="237"/>
      <c r="DP3286" s="2505"/>
    </row>
    <row r="3287" spans="30:120">
      <c r="AD3287" s="1138"/>
      <c r="BH3287" s="1790"/>
      <c r="BN3287" s="237">
        <v>167.17</v>
      </c>
      <c r="BO3287" s="237" t="s">
        <v>359</v>
      </c>
      <c r="CD3287" s="237">
        <v>233.05</v>
      </c>
      <c r="CE3287" s="237" t="s">
        <v>357</v>
      </c>
      <c r="CL3287" s="1789"/>
      <c r="CR3287" s="345"/>
      <c r="CS3287" s="345"/>
      <c r="DH3287" s="237"/>
      <c r="DI3287" s="237"/>
      <c r="DP3287" s="2505"/>
    </row>
    <row r="3288" spans="30:120">
      <c r="AD3288" s="1138"/>
      <c r="BH3288" s="1790"/>
      <c r="BN3288" s="237">
        <v>167.23</v>
      </c>
      <c r="BO3288" s="237" t="s">
        <v>359</v>
      </c>
      <c r="CD3288" s="237">
        <v>233.06</v>
      </c>
      <c r="CE3288" s="237" t="s">
        <v>357</v>
      </c>
      <c r="CL3288" s="1789"/>
      <c r="CR3288" s="345"/>
      <c r="CS3288" s="345"/>
      <c r="DH3288" s="237"/>
      <c r="DI3288" s="237"/>
      <c r="DP3288" s="2505"/>
    </row>
    <row r="3289" spans="30:120">
      <c r="AD3289" s="1138"/>
      <c r="BH3289" s="1790"/>
      <c r="BN3289" s="237">
        <v>167.24</v>
      </c>
      <c r="BO3289" s="237" t="s">
        <v>359</v>
      </c>
      <c r="CD3289" s="237">
        <v>233.07</v>
      </c>
      <c r="CE3289" s="237" t="s">
        <v>357</v>
      </c>
      <c r="CL3289" s="1789"/>
      <c r="CR3289" s="345"/>
      <c r="CS3289" s="345"/>
      <c r="DH3289" s="237"/>
      <c r="DI3289" s="237"/>
      <c r="DP3289" s="2505"/>
    </row>
    <row r="3290" spans="30:120">
      <c r="AD3290" s="1138"/>
      <c r="BH3290" s="1790"/>
      <c r="BN3290" s="237">
        <v>167.28</v>
      </c>
      <c r="BO3290" s="237" t="s">
        <v>359</v>
      </c>
      <c r="CD3290" s="237">
        <v>233.08</v>
      </c>
      <c r="CE3290" s="237" t="s">
        <v>357</v>
      </c>
      <c r="CL3290" s="1789"/>
      <c r="CR3290" s="345"/>
      <c r="CS3290" s="345"/>
      <c r="DH3290" s="237"/>
      <c r="DI3290" s="237"/>
      <c r="DP3290" s="2505"/>
    </row>
    <row r="3291" spans="30:120">
      <c r="AD3291" s="1138"/>
      <c r="BH3291" s="1790"/>
      <c r="BN3291" s="237">
        <v>167.31</v>
      </c>
      <c r="BO3291" s="237" t="s">
        <v>359</v>
      </c>
      <c r="CD3291" s="237">
        <v>234</v>
      </c>
      <c r="CE3291" s="237" t="s">
        <v>363</v>
      </c>
      <c r="CL3291" s="1789"/>
      <c r="CR3291" s="345"/>
      <c r="CS3291" s="345"/>
      <c r="DH3291" s="237"/>
      <c r="DI3291" s="237"/>
      <c r="DP3291" s="2505"/>
    </row>
    <row r="3292" spans="30:120">
      <c r="AD3292" s="1138"/>
      <c r="BH3292" s="1790"/>
      <c r="BN3292" s="237">
        <v>167.33</v>
      </c>
      <c r="BO3292" s="237" t="s">
        <v>359</v>
      </c>
      <c r="CD3292" s="237">
        <v>235.01</v>
      </c>
      <c r="CE3292" s="237" t="s">
        <v>363</v>
      </c>
      <c r="CL3292" s="1789"/>
      <c r="CR3292" s="345"/>
      <c r="CS3292" s="345"/>
      <c r="DH3292" s="237"/>
      <c r="DI3292" s="237"/>
      <c r="DP3292" s="2505"/>
    </row>
    <row r="3293" spans="30:120">
      <c r="AD3293" s="1138"/>
      <c r="BH3293" s="1790"/>
      <c r="BN3293" s="237">
        <v>167.35</v>
      </c>
      <c r="BO3293" s="237" t="s">
        <v>359</v>
      </c>
      <c r="CD3293" s="237">
        <v>235.02</v>
      </c>
      <c r="CE3293" s="237" t="s">
        <v>363</v>
      </c>
      <c r="CL3293" s="1789"/>
      <c r="CR3293" s="345"/>
      <c r="CS3293" s="345"/>
      <c r="DH3293" s="237"/>
      <c r="DI3293" s="237"/>
      <c r="DP3293" s="2505"/>
    </row>
    <row r="3294" spans="30:120">
      <c r="AD3294" s="1138"/>
      <c r="BH3294" s="1790"/>
      <c r="BN3294" s="237">
        <v>167.36</v>
      </c>
      <c r="BO3294" s="237" t="s">
        <v>359</v>
      </c>
      <c r="CD3294" s="237">
        <v>236.01</v>
      </c>
      <c r="CE3294" s="237" t="s">
        <v>363</v>
      </c>
      <c r="CL3294" s="1789"/>
      <c r="CR3294" s="345"/>
      <c r="CS3294" s="345"/>
      <c r="DH3294" s="237"/>
      <c r="DI3294" s="237"/>
      <c r="DP3294" s="2505"/>
    </row>
    <row r="3295" spans="30:120">
      <c r="AD3295" s="1138"/>
      <c r="BH3295" s="1790"/>
      <c r="BN3295" s="237">
        <v>167.37</v>
      </c>
      <c r="BO3295" s="237" t="s">
        <v>359</v>
      </c>
      <c r="CD3295" s="237">
        <v>236.02</v>
      </c>
      <c r="CE3295" s="237" t="s">
        <v>363</v>
      </c>
      <c r="CL3295" s="1789"/>
      <c r="CR3295" s="345"/>
      <c r="CS3295" s="345"/>
      <c r="DH3295" s="237"/>
      <c r="DI3295" s="237"/>
      <c r="DP3295" s="2505"/>
    </row>
    <row r="3296" spans="30:120">
      <c r="AD3296" s="1138"/>
      <c r="BH3296" s="1790"/>
      <c r="BN3296" s="237">
        <v>167.38</v>
      </c>
      <c r="BO3296" s="237" t="s">
        <v>359</v>
      </c>
      <c r="CD3296" s="237">
        <v>237</v>
      </c>
      <c r="CE3296" s="237" t="s">
        <v>363</v>
      </c>
      <c r="CL3296" s="1789"/>
      <c r="CR3296" s="345"/>
      <c r="CS3296" s="345"/>
      <c r="DH3296" s="237"/>
      <c r="DI3296" s="237"/>
      <c r="DP3296" s="2505"/>
    </row>
    <row r="3297" spans="30:120">
      <c r="AD3297" s="1138"/>
      <c r="BH3297" s="1790"/>
      <c r="BN3297" s="237">
        <v>167.39</v>
      </c>
      <c r="BO3297" s="237" t="s">
        <v>359</v>
      </c>
      <c r="CD3297" s="237">
        <v>238</v>
      </c>
      <c r="CE3297" s="237" t="s">
        <v>363</v>
      </c>
      <c r="CL3297" s="1789"/>
      <c r="CR3297" s="345"/>
      <c r="CS3297" s="345"/>
      <c r="DH3297" s="237"/>
      <c r="DI3297" s="237"/>
      <c r="DP3297" s="2505"/>
    </row>
    <row r="3298" spans="30:120">
      <c r="AD3298" s="1138"/>
      <c r="BH3298" s="1790"/>
      <c r="BN3298" s="237">
        <v>167.4</v>
      </c>
      <c r="BO3298" s="237" t="s">
        <v>359</v>
      </c>
      <c r="CD3298" s="237">
        <v>239</v>
      </c>
      <c r="CE3298" s="237" t="s">
        <v>363</v>
      </c>
      <c r="CL3298" s="1789"/>
      <c r="CR3298" s="345"/>
      <c r="CS3298" s="345"/>
      <c r="DH3298" s="237"/>
      <c r="DI3298" s="237"/>
      <c r="DP3298" s="2505"/>
    </row>
    <row r="3299" spans="30:120">
      <c r="AD3299" s="1138"/>
      <c r="BH3299" s="1790"/>
      <c r="BN3299" s="237">
        <v>167.41</v>
      </c>
      <c r="BO3299" s="237" t="s">
        <v>359</v>
      </c>
      <c r="CD3299" s="237">
        <v>240.01</v>
      </c>
      <c r="CE3299" s="237" t="s">
        <v>363</v>
      </c>
      <c r="CL3299" s="1789"/>
      <c r="CR3299" s="345"/>
      <c r="CS3299" s="345"/>
      <c r="DH3299" s="237"/>
      <c r="DI3299" s="237"/>
      <c r="DP3299" s="2505"/>
    </row>
    <row r="3300" spans="30:120">
      <c r="AD3300" s="1138"/>
      <c r="BH3300" s="1790"/>
      <c r="BN3300" s="237">
        <v>167.42</v>
      </c>
      <c r="BO3300" s="237" t="s">
        <v>359</v>
      </c>
      <c r="CD3300" s="237">
        <v>240.02</v>
      </c>
      <c r="CE3300" s="237" t="s">
        <v>363</v>
      </c>
      <c r="CL3300" s="1789"/>
      <c r="CR3300" s="345"/>
      <c r="CS3300" s="345"/>
      <c r="DH3300" s="237"/>
      <c r="DI3300" s="237"/>
      <c r="DP3300" s="2505"/>
    </row>
    <row r="3301" spans="30:120">
      <c r="AD3301" s="1138"/>
      <c r="BH3301" s="1790"/>
      <c r="BN3301" s="237">
        <v>167.43</v>
      </c>
      <c r="BO3301" s="237" t="s">
        <v>359</v>
      </c>
      <c r="CD3301" s="237">
        <v>240.04</v>
      </c>
      <c r="CE3301" s="237" t="s">
        <v>363</v>
      </c>
      <c r="CL3301" s="1789"/>
      <c r="CR3301" s="345"/>
      <c r="CS3301" s="345"/>
      <c r="DH3301" s="237"/>
      <c r="DI3301" s="237"/>
      <c r="DP3301" s="2505"/>
    </row>
    <row r="3302" spans="30:120">
      <c r="AD3302" s="1138"/>
      <c r="BH3302" s="1790"/>
      <c r="BN3302" s="237">
        <v>167.44</v>
      </c>
      <c r="BO3302" s="237" t="s">
        <v>359</v>
      </c>
      <c r="CD3302" s="237">
        <v>240.05</v>
      </c>
      <c r="CE3302" s="237" t="s">
        <v>363</v>
      </c>
      <c r="CL3302" s="1789"/>
      <c r="CR3302" s="345"/>
      <c r="CS3302" s="345"/>
      <c r="DH3302" s="237"/>
      <c r="DI3302" s="237"/>
      <c r="DP3302" s="2505"/>
    </row>
    <row r="3303" spans="30:120">
      <c r="AD3303" s="1138"/>
      <c r="BH3303" s="1790"/>
      <c r="BN3303" s="237">
        <v>167.45</v>
      </c>
      <c r="BO3303" s="237" t="s">
        <v>359</v>
      </c>
      <c r="CD3303" s="237">
        <v>241</v>
      </c>
      <c r="CE3303" s="237" t="s">
        <v>363</v>
      </c>
      <c r="CL3303" s="1789"/>
      <c r="CR3303" s="345"/>
      <c r="CS3303" s="345"/>
      <c r="DH3303" s="237"/>
      <c r="DI3303" s="237"/>
      <c r="DP3303" s="2505"/>
    </row>
    <row r="3304" spans="30:120">
      <c r="AD3304" s="1138"/>
      <c r="BH3304" s="1790"/>
      <c r="BN3304" s="237">
        <v>167.46</v>
      </c>
      <c r="BO3304" s="237" t="s">
        <v>359</v>
      </c>
      <c r="CD3304" s="237">
        <v>242.01</v>
      </c>
      <c r="CE3304" s="237" t="s">
        <v>363</v>
      </c>
      <c r="CL3304" s="1789"/>
      <c r="CR3304" s="345"/>
      <c r="CS3304" s="345"/>
      <c r="DH3304" s="237"/>
      <c r="DI3304" s="237"/>
      <c r="DP3304" s="2505"/>
    </row>
    <row r="3305" spans="30:120">
      <c r="AD3305" s="1138"/>
      <c r="BH3305" s="1790"/>
      <c r="BN3305" s="237">
        <v>167.47</v>
      </c>
      <c r="BO3305" s="237" t="s">
        <v>359</v>
      </c>
      <c r="CD3305" s="237">
        <v>242.02</v>
      </c>
      <c r="CE3305" s="237" t="s">
        <v>363</v>
      </c>
      <c r="CL3305" s="1789"/>
      <c r="CR3305" s="345"/>
      <c r="CS3305" s="345"/>
      <c r="DH3305" s="237"/>
      <c r="DI3305" s="237"/>
      <c r="DP3305" s="2505"/>
    </row>
    <row r="3306" spans="30:120">
      <c r="AD3306" s="1138"/>
      <c r="BH3306" s="1790"/>
      <c r="BN3306" s="237">
        <v>167.48</v>
      </c>
      <c r="BO3306" s="237" t="s">
        <v>359</v>
      </c>
      <c r="CD3306" s="237">
        <v>243.01</v>
      </c>
      <c r="CE3306" s="237" t="s">
        <v>363</v>
      </c>
      <c r="CL3306" s="1789"/>
      <c r="CR3306" s="345"/>
      <c r="CS3306" s="345"/>
      <c r="DH3306" s="237"/>
      <c r="DI3306" s="237"/>
      <c r="DP3306" s="2505"/>
    </row>
    <row r="3307" spans="30:120">
      <c r="AD3307" s="1138"/>
      <c r="BH3307" s="1790"/>
      <c r="BN3307" s="237">
        <v>167.49</v>
      </c>
      <c r="BO3307" s="237" t="s">
        <v>359</v>
      </c>
      <c r="CD3307" s="237">
        <v>243.02</v>
      </c>
      <c r="CE3307" s="237" t="s">
        <v>363</v>
      </c>
      <c r="CL3307" s="1789"/>
      <c r="CR3307" s="345"/>
      <c r="CS3307" s="345"/>
      <c r="DH3307" s="237"/>
      <c r="DI3307" s="237"/>
      <c r="DP3307" s="2505"/>
    </row>
    <row r="3308" spans="30:120">
      <c r="AD3308" s="1138"/>
      <c r="BH3308" s="1790"/>
      <c r="BN3308" s="237">
        <v>167.5</v>
      </c>
      <c r="BO3308" s="237" t="s">
        <v>359</v>
      </c>
      <c r="CD3308" s="237">
        <v>244.03</v>
      </c>
      <c r="CE3308" s="237" t="s">
        <v>363</v>
      </c>
      <c r="CL3308" s="1789"/>
      <c r="CR3308" s="345"/>
      <c r="CS3308" s="345"/>
      <c r="DH3308" s="237"/>
      <c r="DI3308" s="237"/>
      <c r="DP3308" s="2505"/>
    </row>
    <row r="3309" spans="30:120">
      <c r="AD3309" s="1138"/>
      <c r="BH3309" s="1790"/>
      <c r="BN3309" s="237">
        <v>167.51</v>
      </c>
      <c r="BO3309" s="237" t="s">
        <v>359</v>
      </c>
      <c r="CD3309" s="237">
        <v>244.06</v>
      </c>
      <c r="CE3309" s="237" t="s">
        <v>363</v>
      </c>
      <c r="CL3309" s="1789"/>
      <c r="CR3309" s="345"/>
      <c r="CS3309" s="345"/>
      <c r="DH3309" s="237"/>
      <c r="DI3309" s="237"/>
      <c r="DP3309" s="2505"/>
    </row>
    <row r="3310" spans="30:120">
      <c r="AD3310" s="1138"/>
      <c r="BH3310" s="1790"/>
      <c r="BN3310" s="237">
        <v>167.52</v>
      </c>
      <c r="BO3310" s="237" t="s">
        <v>359</v>
      </c>
      <c r="CD3310" s="237">
        <v>244.08</v>
      </c>
      <c r="CE3310" s="237" t="s">
        <v>363</v>
      </c>
      <c r="CL3310" s="1789"/>
      <c r="CR3310" s="345"/>
      <c r="CS3310" s="345"/>
      <c r="DH3310" s="237"/>
      <c r="DI3310" s="237"/>
      <c r="DP3310" s="2505"/>
    </row>
    <row r="3311" spans="30:120">
      <c r="AD3311" s="1138"/>
      <c r="BH3311" s="1790"/>
      <c r="BN3311" s="237">
        <v>167.53</v>
      </c>
      <c r="BO3311" s="237" t="s">
        <v>359</v>
      </c>
      <c r="CD3311" s="237">
        <v>244.09</v>
      </c>
      <c r="CE3311" s="237" t="s">
        <v>363</v>
      </c>
      <c r="CL3311" s="1789"/>
      <c r="CR3311" s="345"/>
      <c r="CS3311" s="345"/>
      <c r="DH3311" s="237"/>
      <c r="DI3311" s="237"/>
      <c r="DP3311" s="2505"/>
    </row>
    <row r="3312" spans="30:120">
      <c r="AD3312" s="1138"/>
      <c r="BH3312" s="1790"/>
      <c r="BN3312" s="237">
        <v>167.54</v>
      </c>
      <c r="BO3312" s="237" t="s">
        <v>359</v>
      </c>
      <c r="CD3312" s="237">
        <v>244.1</v>
      </c>
      <c r="CE3312" s="237" t="s">
        <v>363</v>
      </c>
      <c r="CL3312" s="1789"/>
      <c r="CR3312" s="345"/>
      <c r="CS3312" s="345"/>
      <c r="DH3312" s="237"/>
      <c r="DI3312" s="237"/>
      <c r="DP3312" s="2505"/>
    </row>
    <row r="3313" spans="30:120">
      <c r="AD3313" s="1138"/>
      <c r="BH3313" s="1790"/>
      <c r="BN3313" s="237">
        <v>167.55</v>
      </c>
      <c r="BO3313" s="237" t="s">
        <v>359</v>
      </c>
      <c r="CD3313" s="237">
        <v>244.11</v>
      </c>
      <c r="CE3313" s="237" t="s">
        <v>363</v>
      </c>
      <c r="CL3313" s="1789"/>
      <c r="CR3313" s="345"/>
      <c r="CS3313" s="345"/>
      <c r="DH3313" s="237"/>
      <c r="DI3313" s="237"/>
      <c r="DP3313" s="2505"/>
    </row>
    <row r="3314" spans="30:120">
      <c r="AD3314" s="1138"/>
      <c r="BH3314" s="1790"/>
      <c r="BN3314" s="237">
        <v>167.56</v>
      </c>
      <c r="BO3314" s="237" t="s">
        <v>359</v>
      </c>
      <c r="CD3314" s="237">
        <v>244.12</v>
      </c>
      <c r="CE3314" s="237" t="s">
        <v>363</v>
      </c>
      <c r="CL3314" s="1789"/>
      <c r="CR3314" s="345"/>
      <c r="CS3314" s="345"/>
      <c r="DH3314" s="237"/>
      <c r="DI3314" s="237"/>
      <c r="DP3314" s="2505"/>
    </row>
    <row r="3315" spans="30:120">
      <c r="AD3315" s="1138"/>
      <c r="BH3315" s="1790"/>
      <c r="BN3315" s="237">
        <v>168.02</v>
      </c>
      <c r="BO3315" s="237" t="s">
        <v>359</v>
      </c>
      <c r="CD3315" s="237">
        <v>244.13</v>
      </c>
      <c r="CE3315" s="237" t="s">
        <v>363</v>
      </c>
      <c r="CL3315" s="1789"/>
      <c r="CR3315" s="345"/>
      <c r="CS3315" s="345"/>
      <c r="DH3315" s="237"/>
      <c r="DI3315" s="237"/>
      <c r="DP3315" s="2505"/>
    </row>
    <row r="3316" spans="30:120">
      <c r="AD3316" s="1138"/>
      <c r="BH3316" s="1790"/>
      <c r="BN3316" s="237">
        <v>168.03</v>
      </c>
      <c r="BO3316" s="237" t="s">
        <v>359</v>
      </c>
      <c r="CD3316" s="237">
        <v>245.05</v>
      </c>
      <c r="CE3316" s="237" t="s">
        <v>363</v>
      </c>
      <c r="CL3316" s="1789"/>
      <c r="CR3316" s="345"/>
      <c r="CS3316" s="345"/>
      <c r="DH3316" s="237"/>
      <c r="DI3316" s="237"/>
      <c r="DP3316" s="2505"/>
    </row>
    <row r="3317" spans="30:120">
      <c r="AD3317" s="1138"/>
      <c r="BH3317" s="1790"/>
      <c r="BN3317" s="237">
        <v>168.04</v>
      </c>
      <c r="BO3317" s="237" t="s">
        <v>359</v>
      </c>
      <c r="CD3317" s="237">
        <v>245.07</v>
      </c>
      <c r="CE3317" s="237" t="s">
        <v>363</v>
      </c>
      <c r="CL3317" s="1789"/>
      <c r="CR3317" s="345"/>
      <c r="CS3317" s="345"/>
      <c r="DH3317" s="237"/>
      <c r="DI3317" s="237"/>
      <c r="DP3317" s="2505"/>
    </row>
    <row r="3318" spans="30:120">
      <c r="AD3318" s="1138"/>
      <c r="BH3318" s="1790"/>
      <c r="BN3318" s="237">
        <v>168.08</v>
      </c>
      <c r="BO3318" s="237" t="s">
        <v>359</v>
      </c>
      <c r="CD3318" s="237">
        <v>245.08</v>
      </c>
      <c r="CE3318" s="237" t="s">
        <v>363</v>
      </c>
      <c r="CL3318" s="1789"/>
      <c r="CR3318" s="345"/>
      <c r="CS3318" s="345"/>
      <c r="DH3318" s="237"/>
      <c r="DI3318" s="237"/>
      <c r="DP3318" s="2505"/>
    </row>
    <row r="3319" spans="30:120">
      <c r="AD3319" s="1138"/>
      <c r="BH3319" s="1790"/>
      <c r="BN3319" s="237">
        <v>168.09</v>
      </c>
      <c r="BO3319" s="237" t="s">
        <v>359</v>
      </c>
      <c r="CD3319" s="237">
        <v>245.09</v>
      </c>
      <c r="CE3319" s="237" t="s">
        <v>363</v>
      </c>
      <c r="CL3319" s="1789"/>
      <c r="CR3319" s="345"/>
      <c r="CS3319" s="345"/>
      <c r="DH3319" s="237"/>
      <c r="DI3319" s="237"/>
      <c r="DP3319" s="2505"/>
    </row>
    <row r="3320" spans="30:120">
      <c r="AD3320" s="1138"/>
      <c r="BH3320" s="1790"/>
      <c r="BN3320" s="237">
        <v>168.1</v>
      </c>
      <c r="BO3320" s="237" t="s">
        <v>359</v>
      </c>
      <c r="CD3320" s="237">
        <v>245.1</v>
      </c>
      <c r="CE3320" s="237" t="s">
        <v>363</v>
      </c>
      <c r="CL3320" s="1789"/>
      <c r="CR3320" s="345"/>
      <c r="CS3320" s="345"/>
      <c r="DH3320" s="237"/>
      <c r="DI3320" s="237"/>
      <c r="DP3320" s="2505"/>
    </row>
    <row r="3321" spans="30:120">
      <c r="AD3321" s="1138"/>
      <c r="BH3321" s="1790"/>
      <c r="BN3321" s="237">
        <v>168.11</v>
      </c>
      <c r="BO3321" s="237" t="s">
        <v>359</v>
      </c>
      <c r="CD3321" s="237">
        <v>245.12</v>
      </c>
      <c r="CE3321" s="237" t="s">
        <v>363</v>
      </c>
      <c r="CL3321" s="1789"/>
      <c r="CR3321" s="345"/>
      <c r="CS3321" s="345"/>
      <c r="DH3321" s="237"/>
      <c r="DI3321" s="237"/>
      <c r="DP3321" s="2505"/>
    </row>
    <row r="3322" spans="30:120">
      <c r="AD3322" s="1138"/>
      <c r="BH3322" s="1790"/>
      <c r="BN3322" s="237">
        <v>168.12</v>
      </c>
      <c r="BO3322" s="237" t="s">
        <v>359</v>
      </c>
      <c r="CD3322" s="237">
        <v>245.14</v>
      </c>
      <c r="CE3322" s="237" t="s">
        <v>363</v>
      </c>
      <c r="CL3322" s="1789"/>
      <c r="CR3322" s="345"/>
      <c r="CS3322" s="345"/>
      <c r="DH3322" s="237"/>
      <c r="DI3322" s="237"/>
      <c r="DP3322" s="2505"/>
    </row>
    <row r="3323" spans="30:120">
      <c r="AD3323" s="1138"/>
      <c r="BH3323" s="1790"/>
      <c r="BN3323" s="237">
        <v>168.13</v>
      </c>
      <c r="BO3323" s="237" t="s">
        <v>359</v>
      </c>
      <c r="CD3323" s="237">
        <v>245.15</v>
      </c>
      <c r="CE3323" s="237" t="s">
        <v>363</v>
      </c>
      <c r="CL3323" s="1789"/>
      <c r="CR3323" s="345"/>
      <c r="CS3323" s="345"/>
      <c r="DH3323" s="237"/>
      <c r="DI3323" s="237"/>
      <c r="DP3323" s="2505"/>
    </row>
    <row r="3324" spans="30:120">
      <c r="AD3324" s="1138"/>
      <c r="BH3324" s="1790"/>
      <c r="BN3324" s="237">
        <v>168.14</v>
      </c>
      <c r="BO3324" s="237" t="s">
        <v>359</v>
      </c>
      <c r="CD3324" s="237">
        <v>245.16</v>
      </c>
      <c r="CE3324" s="237" t="s">
        <v>363</v>
      </c>
      <c r="CL3324" s="1789"/>
      <c r="CR3324" s="345"/>
      <c r="CS3324" s="345"/>
      <c r="DH3324" s="237"/>
      <c r="DI3324" s="237"/>
      <c r="DP3324" s="2505"/>
    </row>
    <row r="3325" spans="30:120">
      <c r="AD3325" s="1138"/>
      <c r="BH3325" s="1790"/>
      <c r="BN3325" s="237">
        <v>169.02</v>
      </c>
      <c r="BO3325" s="237" t="s">
        <v>359</v>
      </c>
      <c r="CD3325" s="237">
        <v>245.17</v>
      </c>
      <c r="CE3325" s="237" t="s">
        <v>363</v>
      </c>
      <c r="CL3325" s="1789"/>
      <c r="CR3325" s="345"/>
      <c r="CS3325" s="345"/>
      <c r="DH3325" s="237"/>
      <c r="DI3325" s="237"/>
      <c r="DP3325" s="2505"/>
    </row>
    <row r="3326" spans="30:120">
      <c r="AD3326" s="1138"/>
      <c r="BH3326" s="1790"/>
      <c r="BN3326" s="237">
        <v>169.04</v>
      </c>
      <c r="BO3326" s="237" t="s">
        <v>359</v>
      </c>
      <c r="CD3326" s="237">
        <v>245.18</v>
      </c>
      <c r="CE3326" s="237" t="s">
        <v>363</v>
      </c>
      <c r="CL3326" s="1789"/>
      <c r="CR3326" s="345"/>
      <c r="CS3326" s="345"/>
      <c r="DH3326" s="237"/>
      <c r="DI3326" s="237"/>
      <c r="DP3326" s="2505"/>
    </row>
    <row r="3327" spans="30:120">
      <c r="AD3327" s="1138"/>
      <c r="BH3327" s="1790"/>
      <c r="BN3327" s="237">
        <v>169.06</v>
      </c>
      <c r="BO3327" s="237" t="s">
        <v>359</v>
      </c>
      <c r="CD3327" s="237">
        <v>245.19</v>
      </c>
      <c r="CE3327" s="237" t="s">
        <v>363</v>
      </c>
      <c r="CL3327" s="1789"/>
      <c r="CR3327" s="345"/>
      <c r="CS3327" s="345"/>
      <c r="DH3327" s="237"/>
      <c r="DI3327" s="237"/>
      <c r="DP3327" s="2505"/>
    </row>
    <row r="3328" spans="30:120">
      <c r="AD3328" s="1138"/>
      <c r="BH3328" s="1790"/>
      <c r="BN3328" s="237">
        <v>169.07</v>
      </c>
      <c r="BO3328" s="237" t="s">
        <v>359</v>
      </c>
      <c r="CD3328" s="237">
        <v>246.01</v>
      </c>
      <c r="CE3328" s="237" t="s">
        <v>363</v>
      </c>
      <c r="CL3328" s="1789"/>
      <c r="CR3328" s="345"/>
      <c r="CS3328" s="345"/>
      <c r="DH3328" s="237"/>
      <c r="DI3328" s="237"/>
      <c r="DP3328" s="2505"/>
    </row>
    <row r="3329" spans="30:120">
      <c r="AD3329" s="1138"/>
      <c r="BH3329" s="1790"/>
      <c r="BN3329" s="237">
        <v>169.08</v>
      </c>
      <c r="BO3329" s="237" t="s">
        <v>359</v>
      </c>
      <c r="CD3329" s="237">
        <v>246.03</v>
      </c>
      <c r="CE3329" s="237" t="s">
        <v>363</v>
      </c>
      <c r="CL3329" s="1789"/>
      <c r="CR3329" s="345"/>
      <c r="CS3329" s="345"/>
      <c r="DH3329" s="237"/>
      <c r="DI3329" s="237"/>
      <c r="DP3329" s="2505"/>
    </row>
    <row r="3330" spans="30:120">
      <c r="AD3330" s="1138"/>
      <c r="BH3330" s="1790"/>
      <c r="BN3330" s="237">
        <v>169.09</v>
      </c>
      <c r="BO3330" s="237" t="s">
        <v>359</v>
      </c>
      <c r="CD3330" s="237">
        <v>246.04</v>
      </c>
      <c r="CE3330" s="237" t="s">
        <v>363</v>
      </c>
      <c r="CL3330" s="1789"/>
      <c r="CR3330" s="345"/>
      <c r="CS3330" s="345"/>
      <c r="DH3330" s="237"/>
      <c r="DI3330" s="237"/>
      <c r="DP3330" s="2505"/>
    </row>
    <row r="3331" spans="30:120">
      <c r="AD3331" s="1138"/>
      <c r="BH3331" s="1790"/>
      <c r="BN3331" s="237">
        <v>169.1</v>
      </c>
      <c r="BO3331" s="237" t="s">
        <v>359</v>
      </c>
      <c r="CD3331" s="237">
        <v>247.01</v>
      </c>
      <c r="CE3331" s="237" t="s">
        <v>363</v>
      </c>
      <c r="CL3331" s="1789"/>
      <c r="CR3331" s="345"/>
      <c r="CS3331" s="345"/>
      <c r="DH3331" s="237"/>
      <c r="DI3331" s="237"/>
      <c r="DP3331" s="2505"/>
    </row>
    <row r="3332" spans="30:120">
      <c r="AD3332" s="1138"/>
      <c r="BH3332" s="1790"/>
      <c r="BN3332" s="237">
        <v>169.11</v>
      </c>
      <c r="BO3332" s="237" t="s">
        <v>359</v>
      </c>
      <c r="CD3332" s="237">
        <v>247.02</v>
      </c>
      <c r="CE3332" s="237" t="s">
        <v>363</v>
      </c>
      <c r="CL3332" s="1789"/>
      <c r="CR3332" s="345"/>
      <c r="CS3332" s="345"/>
      <c r="DH3332" s="237"/>
      <c r="DI3332" s="237"/>
      <c r="DP3332" s="2505"/>
    </row>
    <row r="3333" spans="30:120">
      <c r="AD3333" s="1138"/>
      <c r="BH3333" s="1790"/>
      <c r="BN3333" s="237">
        <v>170.01</v>
      </c>
      <c r="BO3333" s="237" t="s">
        <v>359</v>
      </c>
      <c r="CD3333" s="237">
        <v>247.03</v>
      </c>
      <c r="CE3333" s="237" t="s">
        <v>363</v>
      </c>
      <c r="CL3333" s="1789"/>
      <c r="CR3333" s="345"/>
      <c r="CS3333" s="345"/>
      <c r="DH3333" s="237"/>
      <c r="DI3333" s="237"/>
      <c r="DP3333" s="2505"/>
    </row>
    <row r="3334" spans="30:120">
      <c r="AD3334" s="1138"/>
      <c r="BH3334" s="1790"/>
      <c r="BN3334" s="237">
        <v>170.04</v>
      </c>
      <c r="BO3334" s="237" t="s">
        <v>359</v>
      </c>
      <c r="CD3334" s="237">
        <v>248.01</v>
      </c>
      <c r="CE3334" s="237" t="s">
        <v>363</v>
      </c>
      <c r="CL3334" s="1789"/>
      <c r="CR3334" s="345"/>
      <c r="CS3334" s="345"/>
      <c r="DH3334" s="237"/>
      <c r="DI3334" s="237"/>
      <c r="DP3334" s="2505"/>
    </row>
    <row r="3335" spans="30:120">
      <c r="AD3335" s="1138"/>
      <c r="BH3335" s="1790"/>
      <c r="BN3335" s="237">
        <v>170.06</v>
      </c>
      <c r="BO3335" s="237" t="s">
        <v>359</v>
      </c>
      <c r="CD3335" s="237">
        <v>248.03</v>
      </c>
      <c r="CE3335" s="237" t="s">
        <v>363</v>
      </c>
      <c r="CL3335" s="1789"/>
      <c r="CR3335" s="345"/>
      <c r="CS3335" s="345"/>
      <c r="DH3335" s="237"/>
      <c r="DI3335" s="237"/>
      <c r="DP3335" s="2505"/>
    </row>
    <row r="3336" spans="30:120">
      <c r="AD3336" s="1138"/>
      <c r="BH3336" s="1790"/>
      <c r="BN3336" s="237">
        <v>170.11</v>
      </c>
      <c r="BO3336" s="237" t="s">
        <v>359</v>
      </c>
      <c r="CD3336" s="237">
        <v>248.04</v>
      </c>
      <c r="CE3336" s="237" t="s">
        <v>363</v>
      </c>
      <c r="CL3336" s="1789"/>
      <c r="CR3336" s="345"/>
      <c r="CS3336" s="345"/>
      <c r="DH3336" s="237"/>
      <c r="DI3336" s="237"/>
      <c r="DP3336" s="2505"/>
    </row>
    <row r="3337" spans="30:120">
      <c r="AD3337" s="1138"/>
      <c r="BH3337" s="1790"/>
      <c r="BN3337" s="237">
        <v>170.12</v>
      </c>
      <c r="BO3337" s="237" t="s">
        <v>359</v>
      </c>
      <c r="CD3337" s="237">
        <v>248.05</v>
      </c>
      <c r="CE3337" s="237" t="s">
        <v>363</v>
      </c>
      <c r="CL3337" s="1789"/>
      <c r="CR3337" s="345"/>
      <c r="CS3337" s="345"/>
      <c r="DH3337" s="237"/>
      <c r="DI3337" s="237"/>
      <c r="DP3337" s="2505"/>
    </row>
    <row r="3338" spans="30:120">
      <c r="AD3338" s="1138"/>
      <c r="BH3338" s="1790"/>
      <c r="BN3338" s="237">
        <v>170.13</v>
      </c>
      <c r="BO3338" s="237" t="s">
        <v>359</v>
      </c>
      <c r="CD3338" s="237">
        <v>249.01</v>
      </c>
      <c r="CE3338" s="237" t="s">
        <v>363</v>
      </c>
      <c r="CL3338" s="1789"/>
      <c r="CR3338" s="345"/>
      <c r="CS3338" s="345"/>
      <c r="DH3338" s="237"/>
      <c r="DI3338" s="237"/>
      <c r="DP3338" s="2505"/>
    </row>
    <row r="3339" spans="30:120">
      <c r="AD3339" s="1138"/>
      <c r="BH3339" s="1790"/>
      <c r="BN3339" s="237">
        <v>170.15</v>
      </c>
      <c r="BO3339" s="237" t="s">
        <v>359</v>
      </c>
      <c r="CD3339" s="237">
        <v>249.04</v>
      </c>
      <c r="CE3339" s="237" t="s">
        <v>363</v>
      </c>
      <c r="CL3339" s="1789"/>
      <c r="CR3339" s="345"/>
      <c r="CS3339" s="345"/>
      <c r="DH3339" s="237"/>
      <c r="DI3339" s="237"/>
      <c r="DP3339" s="2505"/>
    </row>
    <row r="3340" spans="30:120">
      <c r="AD3340" s="1138"/>
      <c r="BH3340" s="1790"/>
      <c r="BN3340" s="237">
        <v>170.18</v>
      </c>
      <c r="BO3340" s="237" t="s">
        <v>359</v>
      </c>
      <c r="CD3340" s="237">
        <v>249.05</v>
      </c>
      <c r="CE3340" s="237" t="s">
        <v>363</v>
      </c>
      <c r="CL3340" s="1789"/>
      <c r="CR3340" s="345"/>
      <c r="CS3340" s="345"/>
      <c r="DH3340" s="237"/>
      <c r="DI3340" s="237"/>
      <c r="DP3340" s="2505"/>
    </row>
    <row r="3341" spans="30:120">
      <c r="AD3341" s="1138"/>
      <c r="BH3341" s="1790"/>
      <c r="BN3341" s="237">
        <v>170.19</v>
      </c>
      <c r="BO3341" s="237" t="s">
        <v>359</v>
      </c>
      <c r="CD3341" s="237">
        <v>249.06</v>
      </c>
      <c r="CE3341" s="237" t="s">
        <v>363</v>
      </c>
      <c r="CL3341" s="1789"/>
      <c r="CR3341" s="345"/>
      <c r="CS3341" s="345"/>
      <c r="DH3341" s="237"/>
      <c r="DI3341" s="237"/>
      <c r="DP3341" s="2505"/>
    </row>
    <row r="3342" spans="30:120">
      <c r="AD3342" s="1138"/>
      <c r="BH3342" s="1790"/>
      <c r="BN3342" s="237">
        <v>170.2</v>
      </c>
      <c r="BO3342" s="237" t="s">
        <v>359</v>
      </c>
      <c r="CD3342" s="237">
        <v>249.07</v>
      </c>
      <c r="CE3342" s="237" t="s">
        <v>363</v>
      </c>
      <c r="CL3342" s="1789"/>
      <c r="CR3342" s="345"/>
      <c r="CS3342" s="345"/>
      <c r="DH3342" s="237"/>
      <c r="DI3342" s="237"/>
      <c r="DP3342" s="2505"/>
    </row>
    <row r="3343" spans="30:120">
      <c r="AD3343" s="1138"/>
      <c r="BH3343" s="1790"/>
      <c r="BN3343" s="237">
        <v>170.21</v>
      </c>
      <c r="BO3343" s="237" t="s">
        <v>359</v>
      </c>
      <c r="CD3343" s="237">
        <v>249.08</v>
      </c>
      <c r="CE3343" s="237" t="s">
        <v>363</v>
      </c>
      <c r="CL3343" s="1789"/>
      <c r="CR3343" s="345"/>
      <c r="CS3343" s="345"/>
      <c r="DH3343" s="237"/>
      <c r="DI3343" s="237"/>
      <c r="DP3343" s="2505"/>
    </row>
    <row r="3344" spans="30:120">
      <c r="AD3344" s="1138"/>
      <c r="BH3344" s="1790"/>
      <c r="BN3344" s="237">
        <v>170.22</v>
      </c>
      <c r="BO3344" s="237" t="s">
        <v>359</v>
      </c>
      <c r="CD3344" s="237">
        <v>250.04</v>
      </c>
      <c r="CE3344" s="237" t="s">
        <v>363</v>
      </c>
      <c r="CL3344" s="1789"/>
      <c r="CR3344" s="345"/>
      <c r="CS3344" s="345"/>
      <c r="DH3344" s="237"/>
      <c r="DI3344" s="237"/>
      <c r="DP3344" s="2505"/>
    </row>
    <row r="3345" spans="30:120">
      <c r="AD3345" s="1138"/>
      <c r="BH3345" s="1790"/>
      <c r="BN3345" s="237">
        <v>170.23</v>
      </c>
      <c r="BO3345" s="237" t="s">
        <v>359</v>
      </c>
      <c r="CD3345" s="237">
        <v>250.07</v>
      </c>
      <c r="CE3345" s="237" t="s">
        <v>363</v>
      </c>
      <c r="CL3345" s="1789"/>
      <c r="CR3345" s="345"/>
      <c r="CS3345" s="345"/>
      <c r="DH3345" s="237"/>
      <c r="DI3345" s="237"/>
      <c r="DP3345" s="2505"/>
    </row>
    <row r="3346" spans="30:120">
      <c r="AD3346" s="1138"/>
      <c r="BH3346" s="1790"/>
      <c r="BN3346" s="237">
        <v>170.24</v>
      </c>
      <c r="BO3346" s="237" t="s">
        <v>359</v>
      </c>
      <c r="CD3346" s="237">
        <v>250.09</v>
      </c>
      <c r="CE3346" s="237" t="s">
        <v>363</v>
      </c>
      <c r="CL3346" s="1789"/>
      <c r="CR3346" s="345"/>
      <c r="CS3346" s="345"/>
      <c r="DH3346" s="237"/>
      <c r="DI3346" s="237"/>
      <c r="DP3346" s="2505"/>
    </row>
    <row r="3347" spans="30:120">
      <c r="AD3347" s="1138"/>
      <c r="BH3347" s="1790"/>
      <c r="BN3347" s="237">
        <v>170.25</v>
      </c>
      <c r="BO3347" s="237" t="s">
        <v>359</v>
      </c>
      <c r="CD3347" s="237">
        <v>250.11</v>
      </c>
      <c r="CE3347" s="237" t="s">
        <v>363</v>
      </c>
      <c r="CL3347" s="1789"/>
      <c r="CR3347" s="345"/>
      <c r="CS3347" s="345"/>
      <c r="DH3347" s="237"/>
      <c r="DI3347" s="237"/>
      <c r="DP3347" s="2505"/>
    </row>
    <row r="3348" spans="30:120">
      <c r="AD3348" s="1138"/>
      <c r="BH3348" s="1790"/>
      <c r="BN3348" s="237">
        <v>170.26</v>
      </c>
      <c r="BO3348" s="237" t="s">
        <v>359</v>
      </c>
      <c r="CD3348" s="237">
        <v>250.12</v>
      </c>
      <c r="CE3348" s="237" t="s">
        <v>363</v>
      </c>
      <c r="CL3348" s="1789"/>
      <c r="CR3348" s="345"/>
      <c r="CS3348" s="345"/>
      <c r="DH3348" s="237"/>
      <c r="DI3348" s="237"/>
      <c r="DP3348" s="2505"/>
    </row>
    <row r="3349" spans="30:120">
      <c r="AD3349" s="1138"/>
      <c r="BH3349" s="1790"/>
      <c r="BN3349" s="237">
        <v>171.08</v>
      </c>
      <c r="BO3349" s="237" t="s">
        <v>359</v>
      </c>
      <c r="CD3349" s="237">
        <v>250.13</v>
      </c>
      <c r="CE3349" s="237" t="s">
        <v>363</v>
      </c>
      <c r="CL3349" s="1789"/>
      <c r="CR3349" s="345"/>
      <c r="CS3349" s="345"/>
      <c r="DH3349" s="237"/>
      <c r="DI3349" s="237"/>
      <c r="DP3349" s="2505"/>
    </row>
    <row r="3350" spans="30:120">
      <c r="AD3350" s="1138"/>
      <c r="BH3350" s="1790"/>
      <c r="BN3350" s="237">
        <v>171.09</v>
      </c>
      <c r="BO3350" s="237" t="s">
        <v>359</v>
      </c>
      <c r="CD3350" s="237">
        <v>250.14</v>
      </c>
      <c r="CE3350" s="237" t="s">
        <v>363</v>
      </c>
      <c r="CL3350" s="1789"/>
      <c r="CR3350" s="345"/>
      <c r="CS3350" s="345"/>
      <c r="DH3350" s="237"/>
      <c r="DI3350" s="237"/>
      <c r="DP3350" s="2505"/>
    </row>
    <row r="3351" spans="30:120">
      <c r="AD3351" s="1138"/>
      <c r="BH3351" s="1790"/>
      <c r="BN3351" s="237">
        <v>171.1</v>
      </c>
      <c r="BO3351" s="237" t="s">
        <v>359</v>
      </c>
      <c r="CD3351" s="237">
        <v>250.15</v>
      </c>
      <c r="CE3351" s="237" t="s">
        <v>363</v>
      </c>
      <c r="CL3351" s="1789"/>
      <c r="CR3351" s="345"/>
      <c r="CS3351" s="345"/>
      <c r="DH3351" s="237"/>
      <c r="DI3351" s="237"/>
      <c r="DP3351" s="2505"/>
    </row>
    <row r="3352" spans="30:120">
      <c r="AD3352" s="1138"/>
      <c r="BH3352" s="1790"/>
      <c r="BN3352" s="237">
        <v>171.11</v>
      </c>
      <c r="BO3352" s="237" t="s">
        <v>359</v>
      </c>
      <c r="CD3352" s="237">
        <v>250.16</v>
      </c>
      <c r="CE3352" s="237" t="s">
        <v>363</v>
      </c>
      <c r="CL3352" s="1789"/>
      <c r="CR3352" s="345"/>
      <c r="CS3352" s="345"/>
      <c r="DH3352" s="237"/>
      <c r="DI3352" s="237"/>
      <c r="DP3352" s="2505"/>
    </row>
    <row r="3353" spans="30:120">
      <c r="AD3353" s="1138"/>
      <c r="BH3353" s="1790"/>
      <c r="BN3353" s="237">
        <v>171.12</v>
      </c>
      <c r="BO3353" s="237" t="s">
        <v>359</v>
      </c>
      <c r="CD3353" s="237">
        <v>250.17</v>
      </c>
      <c r="CE3353" s="237" t="s">
        <v>363</v>
      </c>
      <c r="CL3353" s="1789"/>
      <c r="CR3353" s="345"/>
      <c r="CS3353" s="345"/>
      <c r="DH3353" s="237"/>
      <c r="DI3353" s="237"/>
      <c r="DP3353" s="2505"/>
    </row>
    <row r="3354" spans="30:120">
      <c r="AD3354" s="1138"/>
      <c r="BH3354" s="1790"/>
      <c r="BN3354" s="237">
        <v>171.13</v>
      </c>
      <c r="BO3354" s="237" t="s">
        <v>359</v>
      </c>
      <c r="CD3354" s="237">
        <v>250.18</v>
      </c>
      <c r="CE3354" s="237" t="s">
        <v>363</v>
      </c>
      <c r="CL3354" s="1789"/>
      <c r="CR3354" s="345"/>
      <c r="CS3354" s="345"/>
      <c r="DH3354" s="237"/>
      <c r="DI3354" s="237"/>
      <c r="DP3354" s="2505"/>
    </row>
    <row r="3355" spans="30:120">
      <c r="AD3355" s="1138"/>
      <c r="BH3355" s="1790"/>
      <c r="BN3355" s="237">
        <v>171.14</v>
      </c>
      <c r="BO3355" s="237" t="s">
        <v>359</v>
      </c>
      <c r="CD3355" s="237">
        <v>250.19</v>
      </c>
      <c r="CE3355" s="237" t="s">
        <v>363</v>
      </c>
      <c r="CL3355" s="1789"/>
      <c r="CR3355" s="345"/>
      <c r="CS3355" s="345"/>
      <c r="DH3355" s="237"/>
      <c r="DI3355" s="237"/>
      <c r="DP3355" s="2505"/>
    </row>
    <row r="3356" spans="30:120">
      <c r="AD3356" s="1138"/>
      <c r="BH3356" s="1790"/>
      <c r="BN3356" s="237">
        <v>171.15</v>
      </c>
      <c r="BO3356" s="237" t="s">
        <v>359</v>
      </c>
      <c r="CD3356" s="237">
        <v>250.2</v>
      </c>
      <c r="CE3356" s="237" t="s">
        <v>363</v>
      </c>
      <c r="CL3356" s="1789"/>
      <c r="CR3356" s="345"/>
      <c r="CS3356" s="345"/>
      <c r="DH3356" s="237"/>
      <c r="DI3356" s="237"/>
      <c r="DP3356" s="2505"/>
    </row>
    <row r="3357" spans="30:120">
      <c r="AD3357" s="1138"/>
      <c r="BH3357" s="1790"/>
      <c r="BN3357" s="237">
        <v>171.16</v>
      </c>
      <c r="BO3357" s="237" t="s">
        <v>359</v>
      </c>
      <c r="CD3357" s="237">
        <v>250.21</v>
      </c>
      <c r="CE3357" s="237" t="s">
        <v>363</v>
      </c>
      <c r="CL3357" s="1789"/>
      <c r="CR3357" s="345"/>
      <c r="CS3357" s="345"/>
      <c r="DH3357" s="237"/>
      <c r="DI3357" s="237"/>
      <c r="DP3357" s="2505"/>
    </row>
    <row r="3358" spans="30:120">
      <c r="AD3358" s="1138"/>
      <c r="BH3358" s="1790"/>
      <c r="BN3358" s="237">
        <v>171.17</v>
      </c>
      <c r="BO3358" s="237" t="s">
        <v>359</v>
      </c>
      <c r="CD3358" s="237">
        <v>251.06</v>
      </c>
      <c r="CE3358" s="237" t="s">
        <v>363</v>
      </c>
      <c r="CL3358" s="1789"/>
      <c r="CR3358" s="345"/>
      <c r="CS3358" s="345"/>
      <c r="DH3358" s="237"/>
      <c r="DI3358" s="237"/>
      <c r="DP3358" s="2505"/>
    </row>
    <row r="3359" spans="30:120">
      <c r="AD3359" s="1138"/>
      <c r="BH3359" s="1790"/>
      <c r="BN3359" s="237">
        <v>171.18</v>
      </c>
      <c r="BO3359" s="237" t="s">
        <v>359</v>
      </c>
      <c r="CD3359" s="237">
        <v>251.07</v>
      </c>
      <c r="CE3359" s="237" t="s">
        <v>363</v>
      </c>
      <c r="CL3359" s="1789"/>
      <c r="CR3359" s="345"/>
      <c r="CS3359" s="345"/>
      <c r="DH3359" s="237"/>
      <c r="DI3359" s="237"/>
      <c r="DP3359" s="2505"/>
    </row>
    <row r="3360" spans="30:120">
      <c r="AD3360" s="1138"/>
      <c r="BH3360" s="1790"/>
      <c r="BN3360" s="237">
        <v>171.19</v>
      </c>
      <c r="BO3360" s="237" t="s">
        <v>359</v>
      </c>
      <c r="CD3360" s="237">
        <v>251.08</v>
      </c>
      <c r="CE3360" s="237" t="s">
        <v>363</v>
      </c>
      <c r="CL3360" s="1789"/>
      <c r="CR3360" s="345"/>
      <c r="CS3360" s="345"/>
      <c r="DH3360" s="237"/>
      <c r="DI3360" s="237"/>
      <c r="DP3360" s="2505"/>
    </row>
    <row r="3361" spans="30:120">
      <c r="AD3361" s="1138"/>
      <c r="BH3361" s="1790"/>
      <c r="BN3361" s="237">
        <v>171.2</v>
      </c>
      <c r="BO3361" s="237" t="s">
        <v>359</v>
      </c>
      <c r="CD3361" s="237">
        <v>251.09</v>
      </c>
      <c r="CE3361" s="237" t="s">
        <v>363</v>
      </c>
      <c r="CL3361" s="1789"/>
      <c r="CR3361" s="345"/>
      <c r="CS3361" s="345"/>
      <c r="DH3361" s="237"/>
      <c r="DI3361" s="237"/>
      <c r="DP3361" s="2505"/>
    </row>
    <row r="3362" spans="30:120">
      <c r="AD3362" s="1138"/>
      <c r="BH3362" s="1790"/>
      <c r="BN3362" s="237">
        <v>171.21</v>
      </c>
      <c r="BO3362" s="237" t="s">
        <v>359</v>
      </c>
      <c r="CD3362" s="237">
        <v>251.1</v>
      </c>
      <c r="CE3362" s="237" t="s">
        <v>363</v>
      </c>
      <c r="CL3362" s="1789"/>
      <c r="CR3362" s="345"/>
      <c r="CS3362" s="345"/>
      <c r="DH3362" s="237"/>
      <c r="DI3362" s="237"/>
      <c r="DP3362" s="2505"/>
    </row>
    <row r="3363" spans="30:120">
      <c r="AD3363" s="1138"/>
      <c r="BH3363" s="1790"/>
      <c r="BN3363" s="237">
        <v>171.22</v>
      </c>
      <c r="BO3363" s="237" t="s">
        <v>359</v>
      </c>
      <c r="CD3363" s="237">
        <v>251.11</v>
      </c>
      <c r="CE3363" s="237" t="s">
        <v>363</v>
      </c>
      <c r="CL3363" s="1789"/>
      <c r="CR3363" s="345"/>
      <c r="CS3363" s="345"/>
      <c r="DH3363" s="237"/>
      <c r="DI3363" s="237"/>
      <c r="DP3363" s="2505"/>
    </row>
    <row r="3364" spans="30:120">
      <c r="AD3364" s="1138"/>
      <c r="BH3364" s="1790"/>
      <c r="BN3364" s="237">
        <v>171.23</v>
      </c>
      <c r="BO3364" s="237" t="s">
        <v>359</v>
      </c>
      <c r="CD3364" s="237">
        <v>251.12</v>
      </c>
      <c r="CE3364" s="237" t="s">
        <v>363</v>
      </c>
      <c r="CL3364" s="1789"/>
      <c r="CR3364" s="345"/>
      <c r="CS3364" s="345"/>
      <c r="DH3364" s="237"/>
      <c r="DI3364" s="237"/>
      <c r="DP3364" s="2505"/>
    </row>
    <row r="3365" spans="30:120">
      <c r="AD3365" s="1138"/>
      <c r="BH3365" s="1790"/>
      <c r="BN3365" s="237">
        <v>172</v>
      </c>
      <c r="BO3365" s="237" t="s">
        <v>359</v>
      </c>
      <c r="CD3365" s="237">
        <v>251.13</v>
      </c>
      <c r="CE3365" s="237" t="s">
        <v>363</v>
      </c>
      <c r="CL3365" s="1789"/>
      <c r="CR3365" s="345"/>
      <c r="CS3365" s="345"/>
      <c r="DH3365" s="237"/>
      <c r="DI3365" s="237"/>
      <c r="DP3365" s="2505"/>
    </row>
    <row r="3366" spans="30:120">
      <c r="AD3366" s="1138"/>
      <c r="BH3366" s="1790"/>
      <c r="BN3366" s="237">
        <v>173.01</v>
      </c>
      <c r="BO3366" s="237" t="s">
        <v>359</v>
      </c>
      <c r="CD3366" s="237">
        <v>251.14</v>
      </c>
      <c r="CE3366" s="237" t="s">
        <v>363</v>
      </c>
      <c r="CL3366" s="1789"/>
      <c r="CR3366" s="345"/>
      <c r="CS3366" s="345"/>
      <c r="DH3366" s="237"/>
      <c r="DI3366" s="237"/>
      <c r="DP3366" s="2505"/>
    </row>
    <row r="3367" spans="30:120">
      <c r="AD3367" s="1138"/>
      <c r="BH3367" s="1790"/>
      <c r="BN3367" s="237">
        <v>173.02</v>
      </c>
      <c r="BO3367" s="237" t="s">
        <v>359</v>
      </c>
      <c r="CD3367" s="237">
        <v>251.15</v>
      </c>
      <c r="CE3367" s="237" t="s">
        <v>363</v>
      </c>
      <c r="CL3367" s="1789"/>
      <c r="CR3367" s="345"/>
      <c r="CS3367" s="345"/>
      <c r="DH3367" s="237"/>
      <c r="DI3367" s="237"/>
      <c r="DP3367" s="2505"/>
    </row>
    <row r="3368" spans="30:120">
      <c r="AD3368" s="1138"/>
      <c r="BH3368" s="1790"/>
      <c r="BN3368" s="237">
        <v>174.01</v>
      </c>
      <c r="BO3368" s="237" t="s">
        <v>359</v>
      </c>
      <c r="CD3368" s="237">
        <v>251.16</v>
      </c>
      <c r="CE3368" s="237" t="s">
        <v>363</v>
      </c>
      <c r="CL3368" s="1789"/>
      <c r="CR3368" s="345"/>
      <c r="CS3368" s="345"/>
      <c r="DH3368" s="237"/>
      <c r="DI3368" s="237"/>
      <c r="DP3368" s="2505"/>
    </row>
    <row r="3369" spans="30:120">
      <c r="AD3369" s="1138"/>
      <c r="BH3369" s="1790"/>
      <c r="BN3369" s="237">
        <v>174.02</v>
      </c>
      <c r="BO3369" s="237" t="s">
        <v>359</v>
      </c>
      <c r="CD3369" s="237">
        <v>251.19</v>
      </c>
      <c r="CE3369" s="237" t="s">
        <v>363</v>
      </c>
      <c r="CL3369" s="1789"/>
      <c r="CR3369" s="345"/>
      <c r="CS3369" s="345"/>
      <c r="DH3369" s="237"/>
      <c r="DI3369" s="237"/>
      <c r="DP3369" s="2505"/>
    </row>
    <row r="3370" spans="30:120">
      <c r="AD3370" s="1138"/>
      <c r="BH3370" s="1790"/>
      <c r="BN3370" s="237">
        <v>175.03</v>
      </c>
      <c r="BO3370" s="237" t="s">
        <v>359</v>
      </c>
      <c r="CD3370" s="237">
        <v>251.2</v>
      </c>
      <c r="CE3370" s="237" t="s">
        <v>363</v>
      </c>
      <c r="CL3370" s="1789"/>
      <c r="CR3370" s="345"/>
      <c r="CS3370" s="345"/>
      <c r="DH3370" s="237"/>
      <c r="DI3370" s="237"/>
      <c r="DP3370" s="2505"/>
    </row>
    <row r="3371" spans="30:120">
      <c r="AD3371" s="1138"/>
      <c r="BH3371" s="1790"/>
      <c r="BN3371" s="237">
        <v>175.04</v>
      </c>
      <c r="BO3371" s="237" t="s">
        <v>359</v>
      </c>
      <c r="CD3371" s="237">
        <v>251.21</v>
      </c>
      <c r="CE3371" s="237" t="s">
        <v>363</v>
      </c>
      <c r="CL3371" s="1789"/>
      <c r="CR3371" s="345"/>
      <c r="CS3371" s="345"/>
      <c r="DH3371" s="237"/>
      <c r="DI3371" s="237"/>
      <c r="DP3371" s="2505"/>
    </row>
    <row r="3372" spans="30:120">
      <c r="AD3372" s="1138"/>
      <c r="BH3372" s="1790"/>
      <c r="BN3372" s="237">
        <v>175.05</v>
      </c>
      <c r="BO3372" s="237" t="s">
        <v>359</v>
      </c>
      <c r="CD3372" s="237">
        <v>251.22</v>
      </c>
      <c r="CE3372" s="237" t="s">
        <v>363</v>
      </c>
      <c r="CL3372" s="1789"/>
      <c r="CR3372" s="345"/>
      <c r="CS3372" s="345"/>
      <c r="DH3372" s="237"/>
      <c r="DI3372" s="237"/>
      <c r="DP3372" s="2505"/>
    </row>
    <row r="3373" spans="30:120">
      <c r="AD3373" s="1138"/>
      <c r="BH3373" s="1790"/>
      <c r="BN3373" s="237">
        <v>175.06</v>
      </c>
      <c r="BO3373" s="237" t="s">
        <v>359</v>
      </c>
      <c r="CD3373" s="237">
        <v>251.23</v>
      </c>
      <c r="CE3373" s="237" t="s">
        <v>363</v>
      </c>
      <c r="CL3373" s="1789"/>
      <c r="CR3373" s="345"/>
      <c r="CS3373" s="345"/>
      <c r="DH3373" s="237"/>
      <c r="DI3373" s="237"/>
      <c r="DP3373" s="2505"/>
    </row>
    <row r="3374" spans="30:120">
      <c r="AD3374" s="1138"/>
      <c r="BH3374" s="1790"/>
      <c r="BN3374" s="237">
        <v>176</v>
      </c>
      <c r="BO3374" s="237" t="s">
        <v>359</v>
      </c>
      <c r="CD3374" s="237">
        <v>252.04</v>
      </c>
      <c r="CE3374" s="237" t="s">
        <v>363</v>
      </c>
      <c r="CL3374" s="1789"/>
      <c r="CR3374" s="345"/>
      <c r="CS3374" s="345"/>
      <c r="DH3374" s="237"/>
      <c r="DI3374" s="237"/>
      <c r="DP3374" s="2505"/>
    </row>
    <row r="3375" spans="30:120">
      <c r="AD3375" s="1138"/>
      <c r="BH3375" s="1790"/>
      <c r="BN3375" s="237">
        <v>177.01</v>
      </c>
      <c r="BO3375" s="237" t="s">
        <v>359</v>
      </c>
      <c r="CD3375" s="237">
        <v>252.05</v>
      </c>
      <c r="CE3375" s="237" t="s">
        <v>363</v>
      </c>
      <c r="CL3375" s="1789"/>
      <c r="CR3375" s="345"/>
      <c r="CS3375" s="345"/>
      <c r="DH3375" s="237"/>
      <c r="DI3375" s="237"/>
      <c r="DP3375" s="2505"/>
    </row>
    <row r="3376" spans="30:120">
      <c r="AD3376" s="1138"/>
      <c r="BH3376" s="1790"/>
      <c r="BN3376" s="237">
        <v>177.02</v>
      </c>
      <c r="BO3376" s="237" t="s">
        <v>359</v>
      </c>
      <c r="CD3376" s="237">
        <v>252.07</v>
      </c>
      <c r="CE3376" s="237" t="s">
        <v>363</v>
      </c>
      <c r="CL3376" s="1789"/>
      <c r="CR3376" s="345"/>
      <c r="CS3376" s="345"/>
      <c r="DH3376" s="237"/>
      <c r="DI3376" s="237"/>
      <c r="DP3376" s="2505"/>
    </row>
    <row r="3377" spans="30:120">
      <c r="AD3377" s="1138"/>
      <c r="BH3377" s="1790"/>
      <c r="BN3377" s="237">
        <v>177.03</v>
      </c>
      <c r="BO3377" s="237" t="s">
        <v>359</v>
      </c>
      <c r="CD3377" s="237">
        <v>252.08</v>
      </c>
      <c r="CE3377" s="237" t="s">
        <v>363</v>
      </c>
      <c r="CL3377" s="1789"/>
      <c r="CR3377" s="345"/>
      <c r="CS3377" s="345"/>
      <c r="DH3377" s="237"/>
      <c r="DI3377" s="237"/>
      <c r="DP3377" s="2505"/>
    </row>
    <row r="3378" spans="30:120">
      <c r="AD3378" s="1138"/>
      <c r="BH3378" s="1790"/>
      <c r="BN3378" s="237">
        <v>178.05</v>
      </c>
      <c r="BO3378" s="237" t="s">
        <v>359</v>
      </c>
      <c r="CD3378" s="237">
        <v>252.09</v>
      </c>
      <c r="CE3378" s="237" t="s">
        <v>363</v>
      </c>
      <c r="CL3378" s="1789"/>
      <c r="CR3378" s="345"/>
      <c r="CS3378" s="345"/>
      <c r="DH3378" s="237"/>
      <c r="DI3378" s="237"/>
      <c r="DP3378" s="2505"/>
    </row>
    <row r="3379" spans="30:120">
      <c r="AD3379" s="1138"/>
      <c r="BH3379" s="1790"/>
      <c r="BN3379" s="237">
        <v>178.06</v>
      </c>
      <c r="BO3379" s="237" t="s">
        <v>359</v>
      </c>
      <c r="CD3379" s="237">
        <v>252.1</v>
      </c>
      <c r="CE3379" s="237" t="s">
        <v>363</v>
      </c>
      <c r="CL3379" s="1789"/>
      <c r="CR3379" s="345"/>
      <c r="CS3379" s="345"/>
      <c r="DH3379" s="237"/>
      <c r="DI3379" s="237"/>
      <c r="DP3379" s="2505"/>
    </row>
    <row r="3380" spans="30:120">
      <c r="AD3380" s="1138"/>
      <c r="BH3380" s="1790"/>
      <c r="BN3380" s="237">
        <v>178.07</v>
      </c>
      <c r="BO3380" s="237" t="s">
        <v>359</v>
      </c>
      <c r="CD3380" s="237">
        <v>252.11</v>
      </c>
      <c r="CE3380" s="237" t="s">
        <v>363</v>
      </c>
      <c r="CL3380" s="1789"/>
      <c r="CR3380" s="345"/>
      <c r="CS3380" s="345"/>
      <c r="DH3380" s="237"/>
      <c r="DI3380" s="237"/>
      <c r="DP3380" s="2505"/>
    </row>
    <row r="3381" spans="30:120">
      <c r="AD3381" s="1138"/>
      <c r="BH3381" s="1790"/>
      <c r="BN3381" s="237">
        <v>178.08</v>
      </c>
      <c r="BO3381" s="237" t="s">
        <v>359</v>
      </c>
      <c r="CD3381" s="237">
        <v>253.03</v>
      </c>
      <c r="CE3381" s="237" t="s">
        <v>363</v>
      </c>
      <c r="CL3381" s="1789"/>
      <c r="CR3381" s="345"/>
      <c r="CS3381" s="345"/>
      <c r="DH3381" s="237"/>
      <c r="DI3381" s="237"/>
      <c r="DP3381" s="2505"/>
    </row>
    <row r="3382" spans="30:120">
      <c r="AD3382" s="1138"/>
      <c r="BH3382" s="1790"/>
      <c r="BN3382" s="237">
        <v>178.09</v>
      </c>
      <c r="BO3382" s="237" t="s">
        <v>359</v>
      </c>
      <c r="CD3382" s="237">
        <v>253.05</v>
      </c>
      <c r="CE3382" s="237" t="s">
        <v>363</v>
      </c>
      <c r="CL3382" s="1789"/>
      <c r="CR3382" s="345"/>
      <c r="CS3382" s="345"/>
      <c r="DH3382" s="237"/>
      <c r="DI3382" s="237"/>
      <c r="DP3382" s="2505"/>
    </row>
    <row r="3383" spans="30:120">
      <c r="AD3383" s="1138"/>
      <c r="BH3383" s="1790"/>
      <c r="BN3383" s="237">
        <v>178.1</v>
      </c>
      <c r="BO3383" s="237" t="s">
        <v>359</v>
      </c>
      <c r="CD3383" s="237">
        <v>253.07</v>
      </c>
      <c r="CE3383" s="237" t="s">
        <v>363</v>
      </c>
      <c r="CL3383" s="1789"/>
      <c r="CR3383" s="345"/>
      <c r="CS3383" s="345"/>
      <c r="DH3383" s="237"/>
      <c r="DI3383" s="237"/>
      <c r="DP3383" s="2505"/>
    </row>
    <row r="3384" spans="30:120">
      <c r="AD3384" s="1138"/>
      <c r="BH3384" s="1790"/>
      <c r="BN3384" s="237">
        <v>178.11</v>
      </c>
      <c r="BO3384" s="237" t="s">
        <v>359</v>
      </c>
      <c r="CD3384" s="237">
        <v>253.09</v>
      </c>
      <c r="CE3384" s="237" t="s">
        <v>363</v>
      </c>
      <c r="CL3384" s="1789"/>
      <c r="CR3384" s="345"/>
      <c r="CS3384" s="345"/>
      <c r="DH3384" s="237"/>
      <c r="DI3384" s="237"/>
      <c r="DP3384" s="2505"/>
    </row>
    <row r="3385" spans="30:120">
      <c r="AD3385" s="1138"/>
      <c r="BH3385" s="1790"/>
      <c r="BN3385" s="237">
        <v>178.12</v>
      </c>
      <c r="BO3385" s="237" t="s">
        <v>359</v>
      </c>
      <c r="CD3385" s="237">
        <v>253.1</v>
      </c>
      <c r="CE3385" s="237" t="s">
        <v>363</v>
      </c>
      <c r="CL3385" s="1789"/>
      <c r="CR3385" s="345"/>
      <c r="CS3385" s="345"/>
      <c r="DH3385" s="237"/>
      <c r="DI3385" s="237"/>
      <c r="DP3385" s="2505"/>
    </row>
    <row r="3386" spans="30:120">
      <c r="AD3386" s="1138"/>
      <c r="BH3386" s="1790"/>
      <c r="BN3386" s="237">
        <v>178.13</v>
      </c>
      <c r="BO3386" s="237" t="s">
        <v>359</v>
      </c>
      <c r="CD3386" s="237">
        <v>253.11</v>
      </c>
      <c r="CE3386" s="237" t="s">
        <v>363</v>
      </c>
      <c r="CL3386" s="1789"/>
      <c r="CR3386" s="345"/>
      <c r="CS3386" s="345"/>
      <c r="DH3386" s="237"/>
      <c r="DI3386" s="237"/>
      <c r="DP3386" s="2505"/>
    </row>
    <row r="3387" spans="30:120">
      <c r="AD3387" s="1138"/>
      <c r="BH3387" s="1790"/>
      <c r="BN3387" s="237">
        <v>178.14</v>
      </c>
      <c r="BO3387" s="237" t="s">
        <v>359</v>
      </c>
      <c r="CD3387" s="237">
        <v>254.01</v>
      </c>
      <c r="CE3387" s="237" t="s">
        <v>363</v>
      </c>
      <c r="CL3387" s="1789"/>
      <c r="CR3387" s="345"/>
      <c r="CS3387" s="345"/>
      <c r="DH3387" s="237"/>
      <c r="DI3387" s="237"/>
      <c r="DP3387" s="2505"/>
    </row>
    <row r="3388" spans="30:120">
      <c r="AD3388" s="1138"/>
      <c r="BH3388" s="1790"/>
      <c r="BN3388" s="237">
        <v>179.01</v>
      </c>
      <c r="BO3388" s="237" t="s">
        <v>359</v>
      </c>
      <c r="CD3388" s="237">
        <v>254.07</v>
      </c>
      <c r="CE3388" s="237" t="s">
        <v>363</v>
      </c>
      <c r="CL3388" s="1789"/>
      <c r="CR3388" s="345"/>
      <c r="CS3388" s="345"/>
      <c r="DH3388" s="237"/>
      <c r="DI3388" s="237"/>
      <c r="DP3388" s="2505"/>
    </row>
    <row r="3389" spans="30:120">
      <c r="AD3389" s="1138"/>
      <c r="BH3389" s="1790"/>
      <c r="BN3389" s="237">
        <v>179.02</v>
      </c>
      <c r="BO3389" s="237" t="s">
        <v>359</v>
      </c>
      <c r="CD3389" s="237">
        <v>254.11</v>
      </c>
      <c r="CE3389" s="237" t="s">
        <v>363</v>
      </c>
      <c r="CL3389" s="1789"/>
      <c r="CR3389" s="345"/>
      <c r="CS3389" s="345"/>
      <c r="DH3389" s="237"/>
      <c r="DI3389" s="237"/>
      <c r="DP3389" s="2505"/>
    </row>
    <row r="3390" spans="30:120">
      <c r="AD3390" s="1138"/>
      <c r="BH3390" s="1790"/>
      <c r="BN3390" s="237">
        <v>180</v>
      </c>
      <c r="BO3390" s="237" t="s">
        <v>359</v>
      </c>
      <c r="CD3390" s="237">
        <v>254.12</v>
      </c>
      <c r="CE3390" s="237" t="s">
        <v>363</v>
      </c>
      <c r="CL3390" s="1789"/>
      <c r="CR3390" s="345"/>
      <c r="CS3390" s="345"/>
      <c r="DH3390" s="237"/>
      <c r="DI3390" s="237"/>
      <c r="DP3390" s="2505"/>
    </row>
    <row r="3391" spans="30:120">
      <c r="AD3391" s="1138"/>
      <c r="BH3391" s="1790"/>
      <c r="BN3391" s="237">
        <v>181</v>
      </c>
      <c r="BO3391" s="237" t="s">
        <v>359</v>
      </c>
      <c r="CD3391" s="237">
        <v>254.13</v>
      </c>
      <c r="CE3391" s="237" t="s">
        <v>363</v>
      </c>
      <c r="CL3391" s="1789"/>
      <c r="CR3391" s="345"/>
      <c r="CS3391" s="345"/>
      <c r="DH3391" s="237"/>
      <c r="DI3391" s="237"/>
      <c r="DP3391" s="2505"/>
    </row>
    <row r="3392" spans="30:120">
      <c r="AD3392" s="1138"/>
      <c r="BH3392" s="1790"/>
      <c r="BN3392" s="237">
        <v>182.01</v>
      </c>
      <c r="BO3392" s="237" t="s">
        <v>359</v>
      </c>
      <c r="CD3392" s="237">
        <v>254.14</v>
      </c>
      <c r="CE3392" s="237" t="s">
        <v>363</v>
      </c>
      <c r="CL3392" s="1789"/>
      <c r="CR3392" s="345"/>
      <c r="CS3392" s="345"/>
      <c r="DH3392" s="237"/>
      <c r="DI3392" s="237"/>
      <c r="DP3392" s="2505"/>
    </row>
    <row r="3393" spans="30:120">
      <c r="AD3393" s="1138"/>
      <c r="BH3393" s="1790"/>
      <c r="BN3393" s="237">
        <v>182.02</v>
      </c>
      <c r="BO3393" s="237" t="s">
        <v>359</v>
      </c>
      <c r="CD3393" s="237">
        <v>254.15</v>
      </c>
      <c r="CE3393" s="237" t="s">
        <v>363</v>
      </c>
      <c r="CL3393" s="1789"/>
      <c r="CR3393" s="345"/>
      <c r="CS3393" s="345"/>
      <c r="DH3393" s="237"/>
      <c r="DI3393" s="237"/>
      <c r="DP3393" s="2505"/>
    </row>
    <row r="3394" spans="30:120">
      <c r="AD3394" s="1138"/>
      <c r="BH3394" s="1790"/>
      <c r="BN3394" s="237">
        <v>182.03</v>
      </c>
      <c r="BO3394" s="237" t="s">
        <v>359</v>
      </c>
      <c r="CD3394" s="237">
        <v>254.16</v>
      </c>
      <c r="CE3394" s="237" t="s">
        <v>363</v>
      </c>
      <c r="CL3394" s="1789"/>
      <c r="CR3394" s="345"/>
      <c r="CS3394" s="345"/>
      <c r="DH3394" s="237"/>
      <c r="DI3394" s="237"/>
      <c r="DP3394" s="2505"/>
    </row>
    <row r="3395" spans="30:120">
      <c r="AD3395" s="1138"/>
      <c r="BH3395" s="1790"/>
      <c r="BN3395" s="237">
        <v>182.04</v>
      </c>
      <c r="BO3395" s="237" t="s">
        <v>359</v>
      </c>
      <c r="CD3395" s="237">
        <v>254.17</v>
      </c>
      <c r="CE3395" s="237" t="s">
        <v>363</v>
      </c>
      <c r="CL3395" s="1789"/>
      <c r="CR3395" s="345"/>
      <c r="CS3395" s="345"/>
      <c r="DH3395" s="237"/>
      <c r="DI3395" s="237"/>
      <c r="DP3395" s="2505"/>
    </row>
    <row r="3396" spans="30:120">
      <c r="AD3396" s="1138"/>
      <c r="BH3396" s="1790"/>
      <c r="BN3396" s="237">
        <v>183</v>
      </c>
      <c r="BO3396" s="237" t="s">
        <v>359</v>
      </c>
      <c r="CD3396" s="237">
        <v>254.18</v>
      </c>
      <c r="CE3396" s="237" t="s">
        <v>363</v>
      </c>
      <c r="CL3396" s="1789"/>
      <c r="CR3396" s="345"/>
      <c r="CS3396" s="345"/>
      <c r="DH3396" s="237"/>
      <c r="DI3396" s="237"/>
      <c r="DP3396" s="2505"/>
    </row>
    <row r="3397" spans="30:120">
      <c r="AD3397" s="1138"/>
      <c r="BH3397" s="1790"/>
      <c r="BN3397" s="237">
        <v>184</v>
      </c>
      <c r="BO3397" s="237" t="s">
        <v>359</v>
      </c>
      <c r="CD3397" s="237">
        <v>254.19</v>
      </c>
      <c r="CE3397" s="237" t="s">
        <v>363</v>
      </c>
      <c r="CL3397" s="1789"/>
      <c r="CR3397" s="345"/>
      <c r="CS3397" s="345"/>
      <c r="DH3397" s="237"/>
      <c r="DI3397" s="237"/>
      <c r="DP3397" s="2505"/>
    </row>
    <row r="3398" spans="30:120">
      <c r="AD3398" s="1138"/>
      <c r="BH3398" s="1790"/>
      <c r="BN3398" s="237">
        <v>185</v>
      </c>
      <c r="BO3398" s="237" t="s">
        <v>359</v>
      </c>
      <c r="CD3398" s="237">
        <v>254.2</v>
      </c>
      <c r="CE3398" s="237" t="s">
        <v>363</v>
      </c>
      <c r="CL3398" s="1789"/>
      <c r="CR3398" s="345"/>
      <c r="CS3398" s="345"/>
      <c r="DH3398" s="237"/>
      <c r="DI3398" s="237"/>
      <c r="DP3398" s="2505"/>
    </row>
    <row r="3399" spans="30:120">
      <c r="AD3399" s="1138"/>
      <c r="BH3399" s="1790"/>
      <c r="BN3399" s="237">
        <v>187</v>
      </c>
      <c r="BO3399" s="237" t="s">
        <v>359</v>
      </c>
      <c r="CD3399" s="237">
        <v>254.21</v>
      </c>
      <c r="CE3399" s="237" t="s">
        <v>363</v>
      </c>
      <c r="CL3399" s="1789"/>
      <c r="CR3399" s="345"/>
      <c r="CS3399" s="345"/>
      <c r="DH3399" s="237"/>
      <c r="DI3399" s="237"/>
      <c r="DP3399" s="2505"/>
    </row>
    <row r="3400" spans="30:120">
      <c r="AD3400" s="1138"/>
      <c r="BH3400" s="1790"/>
      <c r="BN3400" s="237">
        <v>188</v>
      </c>
      <c r="BO3400" s="237" t="s">
        <v>359</v>
      </c>
      <c r="CD3400" s="237">
        <v>255.01</v>
      </c>
      <c r="CE3400" s="237" t="s">
        <v>363</v>
      </c>
      <c r="CL3400" s="1789"/>
      <c r="CR3400" s="345"/>
      <c r="CS3400" s="345"/>
      <c r="DH3400" s="237"/>
      <c r="DI3400" s="237"/>
      <c r="DP3400" s="2505"/>
    </row>
    <row r="3401" spans="30:120">
      <c r="AD3401" s="1138"/>
      <c r="BH3401" s="1790"/>
      <c r="BN3401" s="237">
        <v>189.01</v>
      </c>
      <c r="BO3401" s="237" t="s">
        <v>359</v>
      </c>
      <c r="CD3401" s="237">
        <v>255.05</v>
      </c>
      <c r="CE3401" s="237" t="s">
        <v>363</v>
      </c>
      <c r="CL3401" s="1789"/>
      <c r="CR3401" s="345"/>
      <c r="CS3401" s="345"/>
      <c r="DH3401" s="237"/>
      <c r="DI3401" s="237"/>
      <c r="DP3401" s="2505"/>
    </row>
    <row r="3402" spans="30:120">
      <c r="AD3402" s="1138"/>
      <c r="BH3402" s="1790"/>
      <c r="BN3402" s="237">
        <v>189.02</v>
      </c>
      <c r="BO3402" s="237" t="s">
        <v>359</v>
      </c>
      <c r="CD3402" s="237">
        <v>255.07</v>
      </c>
      <c r="CE3402" s="237" t="s">
        <v>363</v>
      </c>
      <c r="CL3402" s="1789"/>
      <c r="CR3402" s="345"/>
      <c r="CS3402" s="345"/>
      <c r="DH3402" s="237"/>
      <c r="DI3402" s="237"/>
      <c r="DP3402" s="2505"/>
    </row>
    <row r="3403" spans="30:120">
      <c r="AD3403" s="1138"/>
      <c r="BH3403" s="1790"/>
      <c r="BN3403" s="237">
        <v>190</v>
      </c>
      <c r="BO3403" s="237" t="s">
        <v>359</v>
      </c>
      <c r="CD3403" s="237">
        <v>255.08</v>
      </c>
      <c r="CE3403" s="237" t="s">
        <v>363</v>
      </c>
      <c r="CL3403" s="1789"/>
      <c r="CR3403" s="345"/>
      <c r="CS3403" s="345"/>
      <c r="DH3403" s="237"/>
      <c r="DI3403" s="237"/>
      <c r="DP3403" s="2505"/>
    </row>
    <row r="3404" spans="30:120">
      <c r="AD3404" s="1138"/>
      <c r="BH3404" s="1790"/>
      <c r="BN3404" s="237">
        <v>9900</v>
      </c>
      <c r="BO3404" s="237" t="s">
        <v>359</v>
      </c>
      <c r="CD3404" s="237">
        <v>255.09</v>
      </c>
      <c r="CE3404" s="237" t="s">
        <v>363</v>
      </c>
      <c r="CL3404" s="1789"/>
      <c r="CR3404" s="345"/>
      <c r="CS3404" s="345"/>
      <c r="DH3404" s="237"/>
      <c r="DI3404" s="237"/>
      <c r="DP3404" s="2505"/>
    </row>
    <row r="3405" spans="30:120">
      <c r="AD3405" s="1138"/>
      <c r="BH3405" s="1790"/>
      <c r="BN3405" s="237">
        <v>408.01</v>
      </c>
      <c r="BO3405" s="237" t="s">
        <v>360</v>
      </c>
      <c r="CD3405" s="237">
        <v>255.1</v>
      </c>
      <c r="CE3405" s="237" t="s">
        <v>363</v>
      </c>
      <c r="CL3405" s="1789"/>
      <c r="CR3405" s="345"/>
      <c r="CS3405" s="345"/>
      <c r="DH3405" s="237"/>
      <c r="DI3405" s="237"/>
      <c r="DP3405" s="2505"/>
    </row>
    <row r="3406" spans="30:120">
      <c r="AD3406" s="1138"/>
      <c r="BH3406" s="1790"/>
      <c r="BN3406" s="237">
        <v>408.05</v>
      </c>
      <c r="BO3406" s="237" t="s">
        <v>360</v>
      </c>
      <c r="CD3406" s="237">
        <v>256.02</v>
      </c>
      <c r="CE3406" s="237" t="s">
        <v>363</v>
      </c>
      <c r="CL3406" s="1789"/>
      <c r="CR3406" s="345"/>
      <c r="CS3406" s="345"/>
      <c r="DH3406" s="237"/>
      <c r="DI3406" s="237"/>
      <c r="DP3406" s="2505"/>
    </row>
    <row r="3407" spans="30:120">
      <c r="AD3407" s="1138"/>
      <c r="BH3407" s="1790"/>
      <c r="BN3407" s="237">
        <v>408.06</v>
      </c>
      <c r="BO3407" s="237" t="s">
        <v>360</v>
      </c>
      <c r="CD3407" s="237">
        <v>256.02999999999997</v>
      </c>
      <c r="CE3407" s="237" t="s">
        <v>363</v>
      </c>
      <c r="CL3407" s="1789"/>
      <c r="CR3407" s="345"/>
      <c r="CS3407" s="345"/>
      <c r="DH3407" s="237"/>
      <c r="DI3407" s="237"/>
      <c r="DP3407" s="2505"/>
    </row>
    <row r="3408" spans="30:120">
      <c r="AD3408" s="1138"/>
      <c r="BH3408" s="1790"/>
      <c r="BN3408" s="237">
        <v>408.07</v>
      </c>
      <c r="BO3408" s="237" t="s">
        <v>360</v>
      </c>
      <c r="CD3408" s="237">
        <v>256.04000000000002</v>
      </c>
      <c r="CE3408" s="237" t="s">
        <v>363</v>
      </c>
      <c r="CL3408" s="1789"/>
      <c r="CR3408" s="345"/>
      <c r="CS3408" s="345"/>
      <c r="DH3408" s="237"/>
      <c r="DI3408" s="237"/>
      <c r="DP3408" s="2505"/>
    </row>
    <row r="3409" spans="30:120">
      <c r="AD3409" s="1138"/>
      <c r="BH3409" s="1790"/>
      <c r="BN3409" s="237">
        <v>408.08</v>
      </c>
      <c r="BO3409" s="237" t="s">
        <v>360</v>
      </c>
      <c r="CD3409" s="237">
        <v>257</v>
      </c>
      <c r="CE3409" s="237" t="s">
        <v>363</v>
      </c>
      <c r="CL3409" s="1789"/>
      <c r="CR3409" s="345"/>
      <c r="CS3409" s="345"/>
      <c r="DH3409" s="237"/>
      <c r="DI3409" s="237"/>
      <c r="DP3409" s="2505"/>
    </row>
    <row r="3410" spans="30:120">
      <c r="AD3410" s="1138"/>
      <c r="BH3410" s="1790"/>
      <c r="BN3410" s="237">
        <v>408.09</v>
      </c>
      <c r="BO3410" s="237" t="s">
        <v>360</v>
      </c>
      <c r="CD3410" s="237">
        <v>258</v>
      </c>
      <c r="CE3410" s="237" t="s">
        <v>363</v>
      </c>
      <c r="CL3410" s="1789"/>
      <c r="CR3410" s="345"/>
      <c r="CS3410" s="345"/>
      <c r="DH3410" s="237"/>
      <c r="DI3410" s="237"/>
      <c r="DP3410" s="2505"/>
    </row>
    <row r="3411" spans="30:120">
      <c r="AD3411" s="1138"/>
      <c r="BH3411" s="1790"/>
      <c r="BN3411" s="237">
        <v>408.1</v>
      </c>
      <c r="BO3411" s="237" t="s">
        <v>360</v>
      </c>
      <c r="CD3411" s="237">
        <v>259.01</v>
      </c>
      <c r="CE3411" s="237" t="s">
        <v>363</v>
      </c>
      <c r="CL3411" s="1789"/>
      <c r="CR3411" s="345"/>
      <c r="CS3411" s="345"/>
      <c r="DH3411" s="237"/>
      <c r="DI3411" s="237"/>
      <c r="DP3411" s="2505"/>
    </row>
    <row r="3412" spans="30:120">
      <c r="AD3412" s="1138"/>
      <c r="BH3412" s="1790"/>
      <c r="BN3412" s="237">
        <v>408.11</v>
      </c>
      <c r="BO3412" s="237" t="s">
        <v>360</v>
      </c>
      <c r="CD3412" s="237">
        <v>259.02</v>
      </c>
      <c r="CE3412" s="237" t="s">
        <v>363</v>
      </c>
      <c r="CL3412" s="1789"/>
      <c r="CR3412" s="345"/>
      <c r="CS3412" s="345"/>
      <c r="DH3412" s="237"/>
      <c r="DI3412" s="237"/>
      <c r="DP3412" s="2505"/>
    </row>
    <row r="3413" spans="30:120">
      <c r="AD3413" s="1138"/>
      <c r="BH3413" s="1790"/>
      <c r="BN3413" s="237">
        <v>408.12</v>
      </c>
      <c r="BO3413" s="237" t="s">
        <v>360</v>
      </c>
      <c r="CD3413" s="237">
        <v>260.01</v>
      </c>
      <c r="CE3413" s="237" t="s">
        <v>363</v>
      </c>
      <c r="CL3413" s="1789"/>
      <c r="CR3413" s="345"/>
      <c r="CS3413" s="345"/>
      <c r="DH3413" s="237"/>
      <c r="DI3413" s="237"/>
      <c r="DP3413" s="2505"/>
    </row>
    <row r="3414" spans="30:120">
      <c r="AD3414" s="1138"/>
      <c r="BH3414" s="1790"/>
      <c r="BN3414" s="237">
        <v>409.01</v>
      </c>
      <c r="BO3414" s="237" t="s">
        <v>360</v>
      </c>
      <c r="CD3414" s="237">
        <v>260.02999999999997</v>
      </c>
      <c r="CE3414" s="237" t="s">
        <v>363</v>
      </c>
      <c r="CL3414" s="1789"/>
      <c r="CR3414" s="345"/>
      <c r="CS3414" s="345"/>
      <c r="DH3414" s="237"/>
      <c r="DI3414" s="237"/>
      <c r="DP3414" s="2505"/>
    </row>
    <row r="3415" spans="30:120">
      <c r="AD3415" s="1138"/>
      <c r="BH3415" s="1790"/>
      <c r="BN3415" s="237">
        <v>409.03</v>
      </c>
      <c r="BO3415" s="237" t="s">
        <v>360</v>
      </c>
      <c r="CD3415" s="237">
        <v>260.04000000000002</v>
      </c>
      <c r="CE3415" s="237" t="s">
        <v>363</v>
      </c>
      <c r="CL3415" s="1789"/>
      <c r="CR3415" s="345"/>
      <c r="CS3415" s="345"/>
      <c r="DH3415" s="237"/>
      <c r="DI3415" s="237"/>
      <c r="DP3415" s="2505"/>
    </row>
    <row r="3416" spans="30:120">
      <c r="AD3416" s="1138"/>
      <c r="BH3416" s="1790"/>
      <c r="BN3416" s="237">
        <v>409.04</v>
      </c>
      <c r="BO3416" s="237" t="s">
        <v>360</v>
      </c>
      <c r="CD3416" s="237">
        <v>261.01</v>
      </c>
      <c r="CE3416" s="237" t="s">
        <v>363</v>
      </c>
      <c r="CL3416" s="1789"/>
      <c r="CR3416" s="345"/>
      <c r="CS3416" s="345"/>
      <c r="DH3416" s="237"/>
      <c r="DI3416" s="237"/>
      <c r="DP3416" s="2505"/>
    </row>
    <row r="3417" spans="30:120">
      <c r="AD3417" s="1138"/>
      <c r="BH3417" s="1790"/>
      <c r="BN3417" s="237">
        <v>410.03</v>
      </c>
      <c r="BO3417" s="237" t="s">
        <v>360</v>
      </c>
      <c r="CD3417" s="237">
        <v>261.02</v>
      </c>
      <c r="CE3417" s="237" t="s">
        <v>363</v>
      </c>
      <c r="CL3417" s="1789"/>
      <c r="CR3417" s="345"/>
      <c r="CS3417" s="345"/>
      <c r="DH3417" s="237"/>
      <c r="DI3417" s="237"/>
      <c r="DP3417" s="2505"/>
    </row>
    <row r="3418" spans="30:120">
      <c r="AD3418" s="1138"/>
      <c r="BH3418" s="1790"/>
      <c r="BN3418" s="237">
        <v>410.04</v>
      </c>
      <c r="BO3418" s="237" t="s">
        <v>360</v>
      </c>
      <c r="CD3418" s="237">
        <v>262</v>
      </c>
      <c r="CE3418" s="237" t="s">
        <v>363</v>
      </c>
      <c r="CL3418" s="1789"/>
      <c r="CR3418" s="345"/>
      <c r="CS3418" s="345"/>
      <c r="DH3418" s="237"/>
      <c r="DI3418" s="237"/>
      <c r="DP3418" s="2505"/>
    </row>
    <row r="3419" spans="30:120">
      <c r="AD3419" s="1138"/>
      <c r="BH3419" s="1790"/>
      <c r="BN3419" s="237">
        <v>410.05</v>
      </c>
      <c r="BO3419" s="237" t="s">
        <v>360</v>
      </c>
      <c r="CD3419" s="237">
        <v>263</v>
      </c>
      <c r="CE3419" s="237" t="s">
        <v>363</v>
      </c>
      <c r="CL3419" s="1789"/>
      <c r="CR3419" s="345"/>
      <c r="CS3419" s="345"/>
      <c r="DH3419" s="237"/>
      <c r="DI3419" s="237"/>
      <c r="DP3419" s="2505"/>
    </row>
    <row r="3420" spans="30:120">
      <c r="AD3420" s="1138"/>
      <c r="BH3420" s="1790"/>
      <c r="BN3420" s="237">
        <v>410.06</v>
      </c>
      <c r="BO3420" s="237" t="s">
        <v>360</v>
      </c>
      <c r="CD3420" s="237">
        <v>264.01</v>
      </c>
      <c r="CE3420" s="237" t="s">
        <v>363</v>
      </c>
      <c r="CL3420" s="1789"/>
      <c r="CR3420" s="345"/>
      <c r="CS3420" s="345"/>
      <c r="DH3420" s="237"/>
      <c r="DI3420" s="237"/>
      <c r="DP3420" s="2505"/>
    </row>
    <row r="3421" spans="30:120">
      <c r="AD3421" s="1138"/>
      <c r="BH3421" s="1790"/>
      <c r="BN3421" s="237">
        <v>411.01</v>
      </c>
      <c r="BO3421" s="237" t="s">
        <v>360</v>
      </c>
      <c r="CD3421" s="237">
        <v>264.02</v>
      </c>
      <c r="CE3421" s="237" t="s">
        <v>363</v>
      </c>
      <c r="CL3421" s="1789"/>
      <c r="CR3421" s="345"/>
      <c r="CS3421" s="345"/>
      <c r="DH3421" s="237"/>
      <c r="DI3421" s="237"/>
      <c r="DP3421" s="2505"/>
    </row>
    <row r="3422" spans="30:120">
      <c r="AD3422" s="1138"/>
      <c r="BH3422" s="1790"/>
      <c r="BN3422" s="237">
        <v>411.02</v>
      </c>
      <c r="BO3422" s="237" t="s">
        <v>360</v>
      </c>
      <c r="CD3422" s="237">
        <v>265.01</v>
      </c>
      <c r="CE3422" s="237" t="s">
        <v>363</v>
      </c>
      <c r="CL3422" s="1789"/>
      <c r="CR3422" s="345"/>
      <c r="CS3422" s="345"/>
      <c r="DH3422" s="237"/>
      <c r="DI3422" s="237"/>
      <c r="DP3422" s="2505"/>
    </row>
    <row r="3423" spans="30:120">
      <c r="AD3423" s="1138"/>
      <c r="BH3423" s="1790"/>
      <c r="BN3423" s="237">
        <v>413.01</v>
      </c>
      <c r="BO3423" s="237" t="s">
        <v>360</v>
      </c>
      <c r="CD3423" s="237">
        <v>265.02</v>
      </c>
      <c r="CE3423" s="237" t="s">
        <v>363</v>
      </c>
      <c r="CL3423" s="1789"/>
      <c r="CR3423" s="345"/>
      <c r="CS3423" s="345"/>
      <c r="DH3423" s="237"/>
      <c r="DI3423" s="237"/>
      <c r="DP3423" s="2505"/>
    </row>
    <row r="3424" spans="30:120">
      <c r="AD3424" s="1138"/>
      <c r="BH3424" s="1790"/>
      <c r="BN3424" s="237">
        <v>413.02</v>
      </c>
      <c r="BO3424" s="237" t="s">
        <v>360</v>
      </c>
      <c r="CD3424" s="237">
        <v>266.01</v>
      </c>
      <c r="CE3424" s="237" t="s">
        <v>363</v>
      </c>
      <c r="CL3424" s="1789"/>
      <c r="CR3424" s="345"/>
      <c r="CS3424" s="345"/>
      <c r="DH3424" s="237"/>
      <c r="DI3424" s="237"/>
      <c r="DP3424" s="2505"/>
    </row>
    <row r="3425" spans="30:120">
      <c r="AD3425" s="1138"/>
      <c r="BH3425" s="1790"/>
      <c r="BN3425" s="237">
        <v>415.01</v>
      </c>
      <c r="BO3425" s="237" t="s">
        <v>360</v>
      </c>
      <c r="CD3425" s="237">
        <v>266.02</v>
      </c>
      <c r="CE3425" s="237" t="s">
        <v>363</v>
      </c>
      <c r="CL3425" s="1789"/>
      <c r="CR3425" s="345"/>
      <c r="CS3425" s="345"/>
      <c r="DH3425" s="237"/>
      <c r="DI3425" s="237"/>
      <c r="DP3425" s="2505"/>
    </row>
    <row r="3426" spans="30:120">
      <c r="AD3426" s="1138"/>
      <c r="BH3426" s="1790"/>
      <c r="BN3426" s="237">
        <v>415.02</v>
      </c>
      <c r="BO3426" s="237" t="s">
        <v>360</v>
      </c>
      <c r="CD3426" s="237">
        <v>267.01</v>
      </c>
      <c r="CE3426" s="237" t="s">
        <v>363</v>
      </c>
      <c r="CL3426" s="1789"/>
      <c r="CR3426" s="345"/>
      <c r="CS3426" s="345"/>
      <c r="DH3426" s="237"/>
      <c r="DI3426" s="237"/>
      <c r="DP3426" s="2505"/>
    </row>
    <row r="3427" spans="30:120">
      <c r="AD3427" s="1138"/>
      <c r="BH3427" s="1790"/>
      <c r="BN3427" s="237">
        <v>416</v>
      </c>
      <c r="BO3427" s="237" t="s">
        <v>360</v>
      </c>
      <c r="CD3427" s="237">
        <v>267.02999999999997</v>
      </c>
      <c r="CE3427" s="237" t="s">
        <v>363</v>
      </c>
      <c r="CL3427" s="1789"/>
      <c r="CR3427" s="345"/>
      <c r="CS3427" s="345"/>
      <c r="DH3427" s="237"/>
      <c r="DI3427" s="237"/>
      <c r="DP3427" s="2505"/>
    </row>
    <row r="3428" spans="30:120">
      <c r="AD3428" s="1138"/>
      <c r="BH3428" s="1790"/>
      <c r="BN3428" s="237">
        <v>417</v>
      </c>
      <c r="BO3428" s="237" t="s">
        <v>360</v>
      </c>
      <c r="CD3428" s="237">
        <v>267.04000000000002</v>
      </c>
      <c r="CE3428" s="237" t="s">
        <v>363</v>
      </c>
      <c r="CL3428" s="1789"/>
      <c r="CR3428" s="345"/>
      <c r="CS3428" s="345"/>
      <c r="DH3428" s="237"/>
      <c r="DI3428" s="237"/>
      <c r="DP3428" s="2505"/>
    </row>
    <row r="3429" spans="30:120">
      <c r="AD3429" s="1138"/>
      <c r="BH3429" s="1790"/>
      <c r="BN3429" s="237">
        <v>418</v>
      </c>
      <c r="BO3429" s="237" t="s">
        <v>360</v>
      </c>
      <c r="CD3429" s="237">
        <v>267.05</v>
      </c>
      <c r="CE3429" s="237" t="s">
        <v>363</v>
      </c>
      <c r="CL3429" s="1789"/>
      <c r="CR3429" s="345"/>
      <c r="CS3429" s="345"/>
      <c r="DH3429" s="237"/>
      <c r="DI3429" s="237"/>
      <c r="DP3429" s="2505"/>
    </row>
    <row r="3430" spans="30:120">
      <c r="AD3430" s="1138"/>
      <c r="BH3430" s="1790"/>
      <c r="BN3430" s="237">
        <v>419</v>
      </c>
      <c r="BO3430" s="237" t="s">
        <v>360</v>
      </c>
      <c r="CD3430" s="237">
        <v>268.04000000000002</v>
      </c>
      <c r="CE3430" s="237" t="s">
        <v>363</v>
      </c>
      <c r="CL3430" s="1789"/>
      <c r="CR3430" s="345"/>
      <c r="CS3430" s="345"/>
      <c r="DH3430" s="237"/>
      <c r="DI3430" s="237"/>
      <c r="DP3430" s="2505"/>
    </row>
    <row r="3431" spans="30:120">
      <c r="AD3431" s="1138"/>
      <c r="BH3431" s="1790"/>
      <c r="BN3431" s="237">
        <v>420</v>
      </c>
      <c r="BO3431" s="237" t="s">
        <v>360</v>
      </c>
      <c r="CD3431" s="237">
        <v>268.08999999999997</v>
      </c>
      <c r="CE3431" s="237" t="s">
        <v>363</v>
      </c>
      <c r="CL3431" s="1789"/>
      <c r="CR3431" s="345"/>
      <c r="CS3431" s="345"/>
      <c r="DH3431" s="237"/>
      <c r="DI3431" s="237"/>
      <c r="DP3431" s="2505"/>
    </row>
    <row r="3432" spans="30:120">
      <c r="AD3432" s="1138"/>
      <c r="BH3432" s="1790"/>
      <c r="BN3432" s="237">
        <v>421</v>
      </c>
      <c r="BO3432" s="237" t="s">
        <v>360</v>
      </c>
      <c r="CD3432" s="237">
        <v>268.11</v>
      </c>
      <c r="CE3432" s="237" t="s">
        <v>363</v>
      </c>
      <c r="CL3432" s="1789"/>
      <c r="CR3432" s="345"/>
      <c r="CS3432" s="345"/>
      <c r="DH3432" s="237"/>
      <c r="DI3432" s="237"/>
      <c r="DP3432" s="2505"/>
    </row>
    <row r="3433" spans="30:120">
      <c r="AD3433" s="1138"/>
      <c r="BH3433" s="1790"/>
      <c r="BN3433" s="237">
        <v>422.01</v>
      </c>
      <c r="BO3433" s="237" t="s">
        <v>360</v>
      </c>
      <c r="CD3433" s="237">
        <v>268.12</v>
      </c>
      <c r="CE3433" s="237" t="s">
        <v>363</v>
      </c>
      <c r="CL3433" s="1789"/>
      <c r="CR3433" s="345"/>
      <c r="CS3433" s="345"/>
      <c r="DH3433" s="237"/>
      <c r="DI3433" s="237"/>
      <c r="DP3433" s="2505"/>
    </row>
    <row r="3434" spans="30:120">
      <c r="AD3434" s="1138"/>
      <c r="BH3434" s="1790"/>
      <c r="BN3434" s="237">
        <v>422.02</v>
      </c>
      <c r="BO3434" s="237" t="s">
        <v>360</v>
      </c>
      <c r="CD3434" s="237">
        <v>268.13</v>
      </c>
      <c r="CE3434" s="237" t="s">
        <v>363</v>
      </c>
      <c r="CL3434" s="1789"/>
      <c r="CR3434" s="345"/>
      <c r="CS3434" s="345"/>
      <c r="DH3434" s="237"/>
      <c r="DI3434" s="237"/>
      <c r="DP3434" s="2505"/>
    </row>
    <row r="3435" spans="30:120">
      <c r="AD3435" s="1138"/>
      <c r="BH3435" s="1790"/>
      <c r="BN3435" s="237">
        <v>423</v>
      </c>
      <c r="BO3435" s="237" t="s">
        <v>360</v>
      </c>
      <c r="CD3435" s="237">
        <v>268.14</v>
      </c>
      <c r="CE3435" s="237" t="s">
        <v>363</v>
      </c>
      <c r="CL3435" s="1789"/>
      <c r="CR3435" s="345"/>
      <c r="CS3435" s="345"/>
      <c r="DH3435" s="237"/>
      <c r="DI3435" s="237"/>
      <c r="DP3435" s="2505"/>
    </row>
    <row r="3436" spans="30:120">
      <c r="AD3436" s="1138"/>
      <c r="BH3436" s="1790"/>
      <c r="BN3436" s="237">
        <v>424</v>
      </c>
      <c r="BO3436" s="237" t="s">
        <v>360</v>
      </c>
      <c r="CD3436" s="237">
        <v>268.14999999999998</v>
      </c>
      <c r="CE3436" s="237" t="s">
        <v>363</v>
      </c>
      <c r="CL3436" s="1789"/>
      <c r="CR3436" s="345"/>
      <c r="CS3436" s="345"/>
      <c r="DH3436" s="237"/>
      <c r="DI3436" s="237"/>
      <c r="DP3436" s="2505"/>
    </row>
    <row r="3437" spans="30:120">
      <c r="AD3437" s="1138"/>
      <c r="BH3437" s="1790"/>
      <c r="BN3437" s="237">
        <v>425</v>
      </c>
      <c r="BO3437" s="237" t="s">
        <v>360</v>
      </c>
      <c r="CD3437" s="237">
        <v>268.16000000000003</v>
      </c>
      <c r="CE3437" s="237" t="s">
        <v>363</v>
      </c>
      <c r="CL3437" s="1789"/>
      <c r="CR3437" s="345"/>
      <c r="CS3437" s="345"/>
      <c r="DH3437" s="237"/>
      <c r="DI3437" s="237"/>
      <c r="DP3437" s="2505"/>
    </row>
    <row r="3438" spans="30:120">
      <c r="AD3438" s="1138"/>
      <c r="BH3438" s="1790"/>
      <c r="BN3438" s="237">
        <v>426.01</v>
      </c>
      <c r="BO3438" s="237" t="s">
        <v>360</v>
      </c>
      <c r="CD3438" s="237">
        <v>268.17</v>
      </c>
      <c r="CE3438" s="237" t="s">
        <v>363</v>
      </c>
      <c r="CL3438" s="1789"/>
      <c r="CR3438" s="345"/>
      <c r="CS3438" s="345"/>
      <c r="DH3438" s="237"/>
      <c r="DI3438" s="237"/>
      <c r="DP3438" s="2505"/>
    </row>
    <row r="3439" spans="30:120">
      <c r="AD3439" s="1138"/>
      <c r="BH3439" s="1790"/>
      <c r="BN3439" s="237">
        <v>426.03</v>
      </c>
      <c r="BO3439" s="237" t="s">
        <v>360</v>
      </c>
      <c r="CD3439" s="237">
        <v>268.18</v>
      </c>
      <c r="CE3439" s="237" t="s">
        <v>363</v>
      </c>
      <c r="CL3439" s="1789"/>
      <c r="CR3439" s="345"/>
      <c r="CS3439" s="345"/>
      <c r="DH3439" s="237"/>
      <c r="DI3439" s="237"/>
      <c r="DP3439" s="2505"/>
    </row>
    <row r="3440" spans="30:120">
      <c r="AD3440" s="1138"/>
      <c r="BH3440" s="1790"/>
      <c r="BN3440" s="237">
        <v>426.04</v>
      </c>
      <c r="BO3440" s="237" t="s">
        <v>360</v>
      </c>
      <c r="CD3440" s="237">
        <v>268.19</v>
      </c>
      <c r="CE3440" s="237" t="s">
        <v>363</v>
      </c>
      <c r="CL3440" s="1789"/>
      <c r="CR3440" s="345"/>
      <c r="CS3440" s="345"/>
      <c r="DH3440" s="237"/>
      <c r="DI3440" s="237"/>
      <c r="DP3440" s="2505"/>
    </row>
    <row r="3441" spans="30:120">
      <c r="AD3441" s="1138"/>
      <c r="BH3441" s="1790"/>
      <c r="BN3441" s="237">
        <v>427.01</v>
      </c>
      <c r="BO3441" s="237" t="s">
        <v>360</v>
      </c>
      <c r="CD3441" s="237">
        <v>268.2</v>
      </c>
      <c r="CE3441" s="237" t="s">
        <v>363</v>
      </c>
      <c r="CL3441" s="1789"/>
      <c r="CR3441" s="345"/>
      <c r="CS3441" s="345"/>
      <c r="DH3441" s="237"/>
      <c r="DI3441" s="237"/>
      <c r="DP3441" s="2505"/>
    </row>
    <row r="3442" spans="30:120">
      <c r="AD3442" s="1138"/>
      <c r="BH3442" s="1790"/>
      <c r="BN3442" s="237">
        <v>427.02</v>
      </c>
      <c r="BO3442" s="237" t="s">
        <v>360</v>
      </c>
      <c r="CD3442" s="237">
        <v>268.20999999999998</v>
      </c>
      <c r="CE3442" s="237" t="s">
        <v>363</v>
      </c>
      <c r="CL3442" s="1789"/>
      <c r="CR3442" s="345"/>
      <c r="CS3442" s="345"/>
      <c r="DH3442" s="237"/>
      <c r="DI3442" s="237"/>
      <c r="DP3442" s="2505"/>
    </row>
    <row r="3443" spans="30:120">
      <c r="AD3443" s="1138"/>
      <c r="BH3443" s="1790"/>
      <c r="BN3443" s="237">
        <v>428</v>
      </c>
      <c r="BO3443" s="237" t="s">
        <v>360</v>
      </c>
      <c r="CD3443" s="237">
        <v>269.04000000000002</v>
      </c>
      <c r="CE3443" s="237" t="s">
        <v>363</v>
      </c>
      <c r="CL3443" s="1789"/>
      <c r="CR3443" s="345"/>
      <c r="CS3443" s="345"/>
      <c r="DH3443" s="237"/>
      <c r="DI3443" s="237"/>
      <c r="DP3443" s="2505"/>
    </row>
    <row r="3444" spans="30:120">
      <c r="AD3444" s="1138"/>
      <c r="BH3444" s="1790"/>
      <c r="BN3444" s="237">
        <v>429.01</v>
      </c>
      <c r="BO3444" s="237" t="s">
        <v>360</v>
      </c>
      <c r="CD3444" s="237">
        <v>269.08</v>
      </c>
      <c r="CE3444" s="237" t="s">
        <v>363</v>
      </c>
      <c r="CL3444" s="1789"/>
      <c r="CR3444" s="345"/>
      <c r="CS3444" s="345"/>
      <c r="DH3444" s="237"/>
      <c r="DI3444" s="237"/>
      <c r="DP3444" s="2505"/>
    </row>
    <row r="3445" spans="30:120">
      <c r="AD3445" s="1138"/>
      <c r="BH3445" s="1790"/>
      <c r="BN3445" s="237">
        <v>429.02</v>
      </c>
      <c r="BO3445" s="237" t="s">
        <v>360</v>
      </c>
      <c r="CD3445" s="237">
        <v>269.08999999999997</v>
      </c>
      <c r="CE3445" s="237" t="s">
        <v>363</v>
      </c>
      <c r="CL3445" s="1789"/>
      <c r="CR3445" s="345"/>
      <c r="CS3445" s="345"/>
      <c r="DH3445" s="237"/>
      <c r="DI3445" s="237"/>
      <c r="DP3445" s="2505"/>
    </row>
    <row r="3446" spans="30:120">
      <c r="AD3446" s="1138"/>
      <c r="BH3446" s="1790"/>
      <c r="BN3446" s="237">
        <v>429.03</v>
      </c>
      <c r="BO3446" s="237" t="s">
        <v>360</v>
      </c>
      <c r="CD3446" s="237">
        <v>269.11</v>
      </c>
      <c r="CE3446" s="237" t="s">
        <v>363</v>
      </c>
      <c r="CL3446" s="1789"/>
      <c r="CR3446" s="345"/>
      <c r="CS3446" s="345"/>
      <c r="DH3446" s="237"/>
      <c r="DI3446" s="237"/>
      <c r="DP3446" s="2505"/>
    </row>
    <row r="3447" spans="30:120">
      <c r="AD3447" s="1138"/>
      <c r="BH3447" s="1790"/>
      <c r="BN3447" s="237">
        <v>429.04</v>
      </c>
      <c r="BO3447" s="237" t="s">
        <v>360</v>
      </c>
      <c r="CD3447" s="237">
        <v>269.12</v>
      </c>
      <c r="CE3447" s="237" t="s">
        <v>363</v>
      </c>
      <c r="CL3447" s="1789"/>
      <c r="CR3447" s="345"/>
      <c r="CS3447" s="345"/>
      <c r="DH3447" s="237"/>
      <c r="DI3447" s="237"/>
      <c r="DP3447" s="2505"/>
    </row>
    <row r="3448" spans="30:120">
      <c r="AD3448" s="1138"/>
      <c r="BH3448" s="1790"/>
      <c r="BN3448" s="237">
        <v>429.05</v>
      </c>
      <c r="BO3448" s="237" t="s">
        <v>360</v>
      </c>
      <c r="CD3448" s="237">
        <v>269.13</v>
      </c>
      <c r="CE3448" s="237" t="s">
        <v>363</v>
      </c>
      <c r="CL3448" s="1789"/>
      <c r="CR3448" s="345"/>
      <c r="CS3448" s="345"/>
      <c r="DH3448" s="237"/>
      <c r="DI3448" s="237"/>
      <c r="DP3448" s="2505"/>
    </row>
    <row r="3449" spans="30:120">
      <c r="AD3449" s="1138"/>
      <c r="BH3449" s="1790"/>
      <c r="BN3449" s="237">
        <v>431</v>
      </c>
      <c r="BO3449" s="237" t="s">
        <v>360</v>
      </c>
      <c r="CD3449" s="237">
        <v>269.14</v>
      </c>
      <c r="CE3449" s="237" t="s">
        <v>363</v>
      </c>
      <c r="CL3449" s="1789"/>
      <c r="CR3449" s="345"/>
      <c r="CS3449" s="345"/>
      <c r="DH3449" s="237"/>
      <c r="DI3449" s="237"/>
      <c r="DP3449" s="2505"/>
    </row>
    <row r="3450" spans="30:120">
      <c r="AD3450" s="1138"/>
      <c r="BH3450" s="1790"/>
      <c r="BN3450" s="237">
        <v>432.03</v>
      </c>
      <c r="BO3450" s="237" t="s">
        <v>360</v>
      </c>
      <c r="CD3450" s="237">
        <v>269.14999999999998</v>
      </c>
      <c r="CE3450" s="237" t="s">
        <v>363</v>
      </c>
      <c r="CL3450" s="1789"/>
      <c r="CR3450" s="345"/>
      <c r="CS3450" s="345"/>
      <c r="DH3450" s="237"/>
      <c r="DI3450" s="237"/>
      <c r="DP3450" s="2505"/>
    </row>
    <row r="3451" spans="30:120">
      <c r="AD3451" s="1138"/>
      <c r="BH3451" s="1790"/>
      <c r="BN3451" s="237">
        <v>432.05</v>
      </c>
      <c r="BO3451" s="237" t="s">
        <v>360</v>
      </c>
      <c r="CD3451" s="237">
        <v>269.16000000000003</v>
      </c>
      <c r="CE3451" s="237" t="s">
        <v>363</v>
      </c>
      <c r="CL3451" s="1789"/>
      <c r="CR3451" s="345"/>
      <c r="CS3451" s="345"/>
      <c r="DH3451" s="237"/>
      <c r="DI3451" s="237"/>
      <c r="DP3451" s="2505"/>
    </row>
    <row r="3452" spans="30:120">
      <c r="AD3452" s="1138"/>
      <c r="BH3452" s="1790"/>
      <c r="BN3452" s="237">
        <v>432.07</v>
      </c>
      <c r="BO3452" s="237" t="s">
        <v>360</v>
      </c>
      <c r="CD3452" s="237">
        <v>269.17</v>
      </c>
      <c r="CE3452" s="237" t="s">
        <v>363</v>
      </c>
      <c r="CL3452" s="1789"/>
      <c r="CR3452" s="345"/>
      <c r="CS3452" s="345"/>
      <c r="DH3452" s="237"/>
      <c r="DI3452" s="237"/>
      <c r="DP3452" s="2505"/>
    </row>
    <row r="3453" spans="30:120">
      <c r="AD3453" s="1138"/>
      <c r="BH3453" s="1790"/>
      <c r="BN3453" s="237">
        <v>432.08</v>
      </c>
      <c r="BO3453" s="237" t="s">
        <v>360</v>
      </c>
      <c r="CD3453" s="237">
        <v>270</v>
      </c>
      <c r="CE3453" s="237" t="s">
        <v>363</v>
      </c>
      <c r="CL3453" s="1789"/>
      <c r="CR3453" s="345"/>
      <c r="CS3453" s="345"/>
      <c r="DH3453" s="237"/>
      <c r="DI3453" s="237"/>
      <c r="DP3453" s="2505"/>
    </row>
    <row r="3454" spans="30:120">
      <c r="AD3454" s="1138"/>
      <c r="BH3454" s="1790"/>
      <c r="BN3454" s="237">
        <v>432.09</v>
      </c>
      <c r="BO3454" s="237" t="s">
        <v>360</v>
      </c>
      <c r="CD3454" s="237">
        <v>271.05</v>
      </c>
      <c r="CE3454" s="237" t="s">
        <v>363</v>
      </c>
      <c r="CL3454" s="1789"/>
      <c r="CR3454" s="345"/>
      <c r="CS3454" s="345"/>
      <c r="DH3454" s="237"/>
      <c r="DI3454" s="237"/>
      <c r="DP3454" s="2505"/>
    </row>
    <row r="3455" spans="30:120">
      <c r="AD3455" s="1138"/>
      <c r="BH3455" s="1790"/>
      <c r="BN3455" s="237">
        <v>433.01</v>
      </c>
      <c r="BO3455" s="237" t="s">
        <v>360</v>
      </c>
      <c r="CD3455" s="237">
        <v>271.06</v>
      </c>
      <c r="CE3455" s="237" t="s">
        <v>363</v>
      </c>
      <c r="CL3455" s="1789"/>
      <c r="CR3455" s="345"/>
      <c r="CS3455" s="345"/>
      <c r="DH3455" s="237"/>
      <c r="DI3455" s="237"/>
      <c r="DP3455" s="2505"/>
    </row>
    <row r="3456" spans="30:120">
      <c r="AD3456" s="1138"/>
      <c r="BH3456" s="1790"/>
      <c r="BN3456" s="237">
        <v>433.03</v>
      </c>
      <c r="BO3456" s="237" t="s">
        <v>360</v>
      </c>
      <c r="CD3456" s="237">
        <v>271.07</v>
      </c>
      <c r="CE3456" s="237" t="s">
        <v>363</v>
      </c>
      <c r="CL3456" s="1789"/>
      <c r="CR3456" s="345"/>
      <c r="CS3456" s="345"/>
      <c r="DH3456" s="237"/>
      <c r="DI3456" s="237"/>
      <c r="DP3456" s="2505"/>
    </row>
    <row r="3457" spans="30:120">
      <c r="AD3457" s="1138"/>
      <c r="BH3457" s="1790"/>
      <c r="BN3457" s="237">
        <v>433.04</v>
      </c>
      <c r="BO3457" s="237" t="s">
        <v>360</v>
      </c>
      <c r="CD3457" s="237">
        <v>271.08</v>
      </c>
      <c r="CE3457" s="237" t="s">
        <v>363</v>
      </c>
      <c r="CL3457" s="1789"/>
      <c r="CR3457" s="345"/>
      <c r="CS3457" s="345"/>
      <c r="DH3457" s="237"/>
      <c r="DI3457" s="237"/>
      <c r="DP3457" s="2505"/>
    </row>
    <row r="3458" spans="30:120">
      <c r="AD3458" s="1138"/>
      <c r="BH3458" s="1790"/>
      <c r="BN3458" s="237">
        <v>434</v>
      </c>
      <c r="BO3458" s="237" t="s">
        <v>360</v>
      </c>
      <c r="CD3458" s="237">
        <v>272.02</v>
      </c>
      <c r="CE3458" s="237" t="s">
        <v>363</v>
      </c>
      <c r="CL3458" s="1789"/>
      <c r="CR3458" s="345"/>
      <c r="CS3458" s="345"/>
      <c r="DH3458" s="237"/>
      <c r="DI3458" s="237"/>
      <c r="DP3458" s="2505"/>
    </row>
    <row r="3459" spans="30:120">
      <c r="AD3459" s="1138"/>
      <c r="BH3459" s="1790"/>
      <c r="BN3459" s="237">
        <v>435</v>
      </c>
      <c r="BO3459" s="237" t="s">
        <v>360</v>
      </c>
      <c r="CD3459" s="237">
        <v>272.04000000000002</v>
      </c>
      <c r="CE3459" s="237" t="s">
        <v>363</v>
      </c>
      <c r="CL3459" s="1789"/>
      <c r="CR3459" s="345"/>
      <c r="CS3459" s="345"/>
      <c r="DH3459" s="237"/>
      <c r="DI3459" s="237"/>
      <c r="DP3459" s="2505"/>
    </row>
    <row r="3460" spans="30:120">
      <c r="AD3460" s="1138"/>
      <c r="BH3460" s="1790"/>
      <c r="BN3460" s="237">
        <v>436</v>
      </c>
      <c r="BO3460" s="237" t="s">
        <v>360</v>
      </c>
      <c r="CD3460" s="237">
        <v>272.06</v>
      </c>
      <c r="CE3460" s="237" t="s">
        <v>363</v>
      </c>
      <c r="CL3460" s="1789"/>
      <c r="CR3460" s="345"/>
      <c r="CS3460" s="345"/>
      <c r="DH3460" s="237"/>
      <c r="DI3460" s="237"/>
      <c r="DP3460" s="2505"/>
    </row>
    <row r="3461" spans="30:120">
      <c r="AD3461" s="1138"/>
      <c r="BH3461" s="1790"/>
      <c r="BN3461" s="237">
        <v>437</v>
      </c>
      <c r="BO3461" s="237" t="s">
        <v>360</v>
      </c>
      <c r="CD3461" s="237">
        <v>272.07</v>
      </c>
      <c r="CE3461" s="237" t="s">
        <v>363</v>
      </c>
      <c r="CL3461" s="1789"/>
      <c r="CR3461" s="345"/>
      <c r="CS3461" s="345"/>
      <c r="DH3461" s="237"/>
      <c r="DI3461" s="237"/>
      <c r="DP3461" s="2505"/>
    </row>
    <row r="3462" spans="30:120">
      <c r="AD3462" s="1138"/>
      <c r="BH3462" s="1790"/>
      <c r="BN3462" s="237">
        <v>438.01</v>
      </c>
      <c r="BO3462" s="237" t="s">
        <v>360</v>
      </c>
      <c r="CD3462" s="237">
        <v>272.08</v>
      </c>
      <c r="CE3462" s="237" t="s">
        <v>363</v>
      </c>
      <c r="CL3462" s="1789"/>
      <c r="CR3462" s="345"/>
      <c r="CS3462" s="345"/>
      <c r="DH3462" s="237"/>
      <c r="DI3462" s="237"/>
      <c r="DP3462" s="2505"/>
    </row>
    <row r="3463" spans="30:120">
      <c r="AD3463" s="1138"/>
      <c r="BH3463" s="1790"/>
      <c r="BN3463" s="237">
        <v>438.02</v>
      </c>
      <c r="BO3463" s="237" t="s">
        <v>360</v>
      </c>
      <c r="CD3463" s="237">
        <v>272.08999999999997</v>
      </c>
      <c r="CE3463" s="237" t="s">
        <v>363</v>
      </c>
      <c r="CL3463" s="1789"/>
      <c r="CR3463" s="345"/>
      <c r="CS3463" s="345"/>
      <c r="DH3463" s="237"/>
      <c r="DI3463" s="237"/>
      <c r="DP3463" s="2505"/>
    </row>
    <row r="3464" spans="30:120">
      <c r="AD3464" s="1138"/>
      <c r="BH3464" s="1790"/>
      <c r="BN3464" s="237">
        <v>1.02</v>
      </c>
      <c r="BO3464" s="237" t="s">
        <v>361</v>
      </c>
      <c r="CD3464" s="237">
        <v>272.10000000000002</v>
      </c>
      <c r="CE3464" s="237" t="s">
        <v>363</v>
      </c>
      <c r="CL3464" s="1789"/>
      <c r="CR3464" s="345"/>
      <c r="CS3464" s="345"/>
      <c r="DH3464" s="237"/>
      <c r="DI3464" s="237"/>
      <c r="DP3464" s="2505"/>
    </row>
    <row r="3465" spans="30:120">
      <c r="AD3465" s="1138"/>
      <c r="BH3465" s="1790"/>
      <c r="BN3465" s="237">
        <v>1.03</v>
      </c>
      <c r="BO3465" s="237" t="s">
        <v>361</v>
      </c>
      <c r="CD3465" s="237">
        <v>272.11</v>
      </c>
      <c r="CE3465" s="237" t="s">
        <v>363</v>
      </c>
      <c r="CL3465" s="1789"/>
      <c r="CR3465" s="345"/>
      <c r="CS3465" s="345"/>
      <c r="DH3465" s="237"/>
      <c r="DI3465" s="237"/>
      <c r="DP3465" s="2505"/>
    </row>
    <row r="3466" spans="30:120">
      <c r="AD3466" s="1138"/>
      <c r="BH3466" s="1790"/>
      <c r="BN3466" s="237">
        <v>1.04</v>
      </c>
      <c r="BO3466" s="237" t="s">
        <v>361</v>
      </c>
      <c r="CD3466" s="237">
        <v>272.12</v>
      </c>
      <c r="CE3466" s="237" t="s">
        <v>363</v>
      </c>
      <c r="CL3466" s="1789"/>
      <c r="CR3466" s="345"/>
      <c r="CS3466" s="345"/>
      <c r="DH3466" s="237"/>
      <c r="DI3466" s="237"/>
      <c r="DP3466" s="2505"/>
    </row>
    <row r="3467" spans="30:120">
      <c r="AD3467" s="1138"/>
      <c r="BH3467" s="1790"/>
      <c r="BN3467" s="237">
        <v>2.02</v>
      </c>
      <c r="BO3467" s="237" t="s">
        <v>361</v>
      </c>
      <c r="CD3467" s="237">
        <v>273.08</v>
      </c>
      <c r="CE3467" s="237" t="s">
        <v>363</v>
      </c>
      <c r="CL3467" s="1789"/>
      <c r="CR3467" s="345"/>
      <c r="CS3467" s="345"/>
      <c r="DH3467" s="237"/>
      <c r="DI3467" s="237"/>
      <c r="DP3467" s="2505"/>
    </row>
    <row r="3468" spans="30:120">
      <c r="AD3468" s="1138"/>
      <c r="BH3468" s="1790"/>
      <c r="BN3468" s="237">
        <v>2.04</v>
      </c>
      <c r="BO3468" s="237" t="s">
        <v>361</v>
      </c>
      <c r="CD3468" s="237">
        <v>273.08999999999997</v>
      </c>
      <c r="CE3468" s="237" t="s">
        <v>363</v>
      </c>
      <c r="CL3468" s="1789"/>
      <c r="CR3468" s="345"/>
      <c r="CS3468" s="345"/>
      <c r="DH3468" s="237"/>
      <c r="DI3468" s="237"/>
      <c r="DP3468" s="2505"/>
    </row>
    <row r="3469" spans="30:120">
      <c r="AD3469" s="1138"/>
      <c r="BH3469" s="1790"/>
      <c r="BN3469" s="237">
        <v>2.08</v>
      </c>
      <c r="BO3469" s="237" t="s">
        <v>361</v>
      </c>
      <c r="CD3469" s="237">
        <v>273.14</v>
      </c>
      <c r="CE3469" s="237" t="s">
        <v>363</v>
      </c>
      <c r="CL3469" s="1789"/>
      <c r="CR3469" s="345"/>
      <c r="CS3469" s="345"/>
      <c r="DH3469" s="237"/>
      <c r="DI3469" s="237"/>
      <c r="DP3469" s="2505"/>
    </row>
    <row r="3470" spans="30:120">
      <c r="AD3470" s="1138"/>
      <c r="BH3470" s="1790"/>
      <c r="BN3470" s="237">
        <v>2.1</v>
      </c>
      <c r="BO3470" s="237" t="s">
        <v>361</v>
      </c>
      <c r="CD3470" s="237">
        <v>273.16000000000003</v>
      </c>
      <c r="CE3470" s="237" t="s">
        <v>363</v>
      </c>
      <c r="CL3470" s="1789"/>
      <c r="CR3470" s="345"/>
      <c r="CS3470" s="345"/>
      <c r="DH3470" s="237"/>
      <c r="DI3470" s="237"/>
      <c r="DP3470" s="2505"/>
    </row>
    <row r="3471" spans="30:120">
      <c r="AD3471" s="1138"/>
      <c r="BH3471" s="1790"/>
      <c r="BN3471" s="237">
        <v>2.11</v>
      </c>
      <c r="BO3471" s="237" t="s">
        <v>361</v>
      </c>
      <c r="CD3471" s="237">
        <v>273.17</v>
      </c>
      <c r="CE3471" s="237" t="s">
        <v>363</v>
      </c>
      <c r="CL3471" s="1789"/>
      <c r="CR3471" s="345"/>
      <c r="CS3471" s="345"/>
      <c r="DH3471" s="237"/>
      <c r="DI3471" s="237"/>
      <c r="DP3471" s="2505"/>
    </row>
    <row r="3472" spans="30:120">
      <c r="AD3472" s="1138"/>
      <c r="BH3472" s="1790"/>
      <c r="BN3472" s="237">
        <v>2.13</v>
      </c>
      <c r="BO3472" s="237" t="s">
        <v>361</v>
      </c>
      <c r="CD3472" s="237">
        <v>273.18</v>
      </c>
      <c r="CE3472" s="237" t="s">
        <v>363</v>
      </c>
      <c r="CL3472" s="1789"/>
      <c r="CR3472" s="345"/>
      <c r="CS3472" s="345"/>
      <c r="DH3472" s="237"/>
      <c r="DI3472" s="237"/>
      <c r="DP3472" s="2505"/>
    </row>
    <row r="3473" spans="30:120">
      <c r="AD3473" s="1138"/>
      <c r="BH3473" s="1790"/>
      <c r="BN3473" s="237">
        <v>2.14</v>
      </c>
      <c r="BO3473" s="237" t="s">
        <v>361</v>
      </c>
      <c r="CD3473" s="237">
        <v>273.19</v>
      </c>
      <c r="CE3473" s="237" t="s">
        <v>363</v>
      </c>
      <c r="CL3473" s="1789"/>
      <c r="CR3473" s="345"/>
      <c r="CS3473" s="345"/>
      <c r="DH3473" s="237"/>
      <c r="DI3473" s="237"/>
      <c r="DP3473" s="2505"/>
    </row>
    <row r="3474" spans="30:120">
      <c r="AD3474" s="1138"/>
      <c r="BH3474" s="1790"/>
      <c r="BN3474" s="237">
        <v>2.16</v>
      </c>
      <c r="BO3474" s="237" t="s">
        <v>361</v>
      </c>
      <c r="CD3474" s="237">
        <v>273.2</v>
      </c>
      <c r="CE3474" s="237" t="s">
        <v>363</v>
      </c>
      <c r="CL3474" s="1789"/>
      <c r="CR3474" s="345"/>
      <c r="CS3474" s="345"/>
      <c r="DH3474" s="237"/>
      <c r="DI3474" s="237"/>
      <c r="DP3474" s="2505"/>
    </row>
    <row r="3475" spans="30:120">
      <c r="AD3475" s="1138"/>
      <c r="BH3475" s="1790"/>
      <c r="BN3475" s="237">
        <v>2.17</v>
      </c>
      <c r="BO3475" s="237" t="s">
        <v>361</v>
      </c>
      <c r="CD3475" s="237">
        <v>273.20999999999998</v>
      </c>
      <c r="CE3475" s="237" t="s">
        <v>363</v>
      </c>
      <c r="CL3475" s="1789"/>
      <c r="CR3475" s="345"/>
      <c r="CS3475" s="345"/>
      <c r="DH3475" s="237"/>
      <c r="DI3475" s="237"/>
      <c r="DP3475" s="2505"/>
    </row>
    <row r="3476" spans="30:120">
      <c r="AD3476" s="1138"/>
      <c r="BH3476" s="1790"/>
      <c r="BN3476" s="237">
        <v>2.1800000000000002</v>
      </c>
      <c r="BO3476" s="237" t="s">
        <v>361</v>
      </c>
      <c r="CD3476" s="237">
        <v>273.23</v>
      </c>
      <c r="CE3476" s="237" t="s">
        <v>363</v>
      </c>
      <c r="CL3476" s="1789"/>
      <c r="CR3476" s="345"/>
      <c r="CS3476" s="345"/>
      <c r="DH3476" s="237"/>
      <c r="DI3476" s="237"/>
      <c r="DP3476" s="2505"/>
    </row>
    <row r="3477" spans="30:120">
      <c r="AD3477" s="1138"/>
      <c r="BH3477" s="1790"/>
      <c r="BN3477" s="237">
        <v>2.19</v>
      </c>
      <c r="BO3477" s="237" t="s">
        <v>361</v>
      </c>
      <c r="CD3477" s="237">
        <v>273.24</v>
      </c>
      <c r="CE3477" s="237" t="s">
        <v>363</v>
      </c>
      <c r="CL3477" s="1789"/>
      <c r="CR3477" s="345"/>
      <c r="CS3477" s="345"/>
      <c r="DH3477" s="237"/>
      <c r="DI3477" s="237"/>
      <c r="DP3477" s="2505"/>
    </row>
    <row r="3478" spans="30:120">
      <c r="AD3478" s="1138"/>
      <c r="BH3478" s="1790"/>
      <c r="BN3478" s="237">
        <v>2.2000000000000002</v>
      </c>
      <c r="BO3478" s="237" t="s">
        <v>361</v>
      </c>
      <c r="CD3478" s="237">
        <v>273.25</v>
      </c>
      <c r="CE3478" s="237" t="s">
        <v>363</v>
      </c>
      <c r="CL3478" s="1789"/>
      <c r="CR3478" s="345"/>
      <c r="CS3478" s="345"/>
      <c r="DH3478" s="237"/>
      <c r="DI3478" s="237"/>
      <c r="DP3478" s="2505"/>
    </row>
    <row r="3479" spans="30:120">
      <c r="AD3479" s="1138"/>
      <c r="BH3479" s="1790"/>
      <c r="BN3479" s="237">
        <v>2.21</v>
      </c>
      <c r="BO3479" s="237" t="s">
        <v>361</v>
      </c>
      <c r="CD3479" s="237">
        <v>273.26</v>
      </c>
      <c r="CE3479" s="237" t="s">
        <v>363</v>
      </c>
      <c r="CL3479" s="1789"/>
      <c r="CR3479" s="345"/>
      <c r="CS3479" s="345"/>
      <c r="DH3479" s="237"/>
      <c r="DI3479" s="237"/>
      <c r="DP3479" s="2505"/>
    </row>
    <row r="3480" spans="30:120">
      <c r="AD3480" s="1138"/>
      <c r="BH3480" s="1790"/>
      <c r="BN3480" s="237">
        <v>2.2200000000000002</v>
      </c>
      <c r="BO3480" s="237" t="s">
        <v>361</v>
      </c>
      <c r="CD3480" s="237">
        <v>273.27</v>
      </c>
      <c r="CE3480" s="237" t="s">
        <v>363</v>
      </c>
      <c r="CL3480" s="1789"/>
      <c r="CR3480" s="345"/>
      <c r="CS3480" s="345"/>
      <c r="DH3480" s="237"/>
      <c r="DI3480" s="237"/>
      <c r="DP3480" s="2505"/>
    </row>
    <row r="3481" spans="30:120">
      <c r="AD3481" s="1138"/>
      <c r="BH3481" s="1790"/>
      <c r="BN3481" s="237">
        <v>2.23</v>
      </c>
      <c r="BO3481" s="237" t="s">
        <v>361</v>
      </c>
      <c r="CD3481" s="237">
        <v>273.27999999999997</v>
      </c>
      <c r="CE3481" s="237" t="s">
        <v>363</v>
      </c>
      <c r="CL3481" s="1789"/>
      <c r="CR3481" s="345"/>
      <c r="CS3481" s="345"/>
      <c r="DH3481" s="237"/>
      <c r="DI3481" s="237"/>
      <c r="DP3481" s="2505"/>
    </row>
    <row r="3482" spans="30:120">
      <c r="AD3482" s="1138"/>
      <c r="BH3482" s="1790"/>
      <c r="BN3482" s="237">
        <v>3.01</v>
      </c>
      <c r="BO3482" s="237" t="s">
        <v>361</v>
      </c>
      <c r="CD3482" s="237">
        <v>273.29000000000002</v>
      </c>
      <c r="CE3482" s="237" t="s">
        <v>363</v>
      </c>
      <c r="CL3482" s="1789"/>
      <c r="CR3482" s="345"/>
      <c r="CS3482" s="345"/>
      <c r="DH3482" s="237"/>
      <c r="DI3482" s="237"/>
      <c r="DP3482" s="2505"/>
    </row>
    <row r="3483" spans="30:120">
      <c r="AD3483" s="1138"/>
      <c r="BH3483" s="1790"/>
      <c r="BN3483" s="237">
        <v>3.03</v>
      </c>
      <c r="BO3483" s="237" t="s">
        <v>361</v>
      </c>
      <c r="CD3483" s="237">
        <v>273.3</v>
      </c>
      <c r="CE3483" s="237" t="s">
        <v>363</v>
      </c>
      <c r="CL3483" s="1789"/>
      <c r="CR3483" s="345"/>
      <c r="CS3483" s="345"/>
      <c r="DH3483" s="237"/>
      <c r="DI3483" s="237"/>
      <c r="DP3483" s="2505"/>
    </row>
    <row r="3484" spans="30:120">
      <c r="AD3484" s="1138"/>
      <c r="BH3484" s="1790"/>
      <c r="BN3484" s="237">
        <v>3.04</v>
      </c>
      <c r="BO3484" s="237" t="s">
        <v>361</v>
      </c>
      <c r="CD3484" s="237">
        <v>273.31</v>
      </c>
      <c r="CE3484" s="237" t="s">
        <v>363</v>
      </c>
      <c r="CL3484" s="1789"/>
      <c r="CR3484" s="345"/>
      <c r="CS3484" s="345"/>
      <c r="DH3484" s="237"/>
      <c r="DI3484" s="237"/>
      <c r="DP3484" s="2505"/>
    </row>
    <row r="3485" spans="30:120">
      <c r="AD3485" s="1138"/>
      <c r="BH3485" s="1790"/>
      <c r="BN3485" s="237">
        <v>4.05</v>
      </c>
      <c r="BO3485" s="237" t="s">
        <v>361</v>
      </c>
      <c r="CD3485" s="237">
        <v>273.32</v>
      </c>
      <c r="CE3485" s="237" t="s">
        <v>363</v>
      </c>
      <c r="CL3485" s="1789"/>
      <c r="CR3485" s="345"/>
      <c r="CS3485" s="345"/>
      <c r="DH3485" s="237"/>
      <c r="DI3485" s="237"/>
      <c r="DP3485" s="2505"/>
    </row>
    <row r="3486" spans="30:120">
      <c r="AD3486" s="1138"/>
      <c r="BH3486" s="1790"/>
      <c r="BN3486" s="237">
        <v>4.0599999999999996</v>
      </c>
      <c r="BO3486" s="237" t="s">
        <v>361</v>
      </c>
      <c r="CD3486" s="237">
        <v>273.33</v>
      </c>
      <c r="CE3486" s="237" t="s">
        <v>363</v>
      </c>
      <c r="CL3486" s="1789"/>
      <c r="CR3486" s="345"/>
      <c r="CS3486" s="345"/>
      <c r="DH3486" s="237"/>
      <c r="DI3486" s="237"/>
      <c r="DP3486" s="2505"/>
    </row>
    <row r="3487" spans="30:120">
      <c r="AD3487" s="1138"/>
      <c r="BH3487" s="1790"/>
      <c r="BN3487" s="237">
        <v>4.07</v>
      </c>
      <c r="BO3487" s="237" t="s">
        <v>361</v>
      </c>
      <c r="CD3487" s="237">
        <v>274.01</v>
      </c>
      <c r="CE3487" s="237" t="s">
        <v>363</v>
      </c>
      <c r="CL3487" s="1789"/>
      <c r="CR3487" s="345"/>
      <c r="CS3487" s="345"/>
      <c r="DH3487" s="237"/>
      <c r="DI3487" s="237"/>
      <c r="DP3487" s="2505"/>
    </row>
    <row r="3488" spans="30:120">
      <c r="AD3488" s="1138"/>
      <c r="BH3488" s="1790"/>
      <c r="BN3488" s="237">
        <v>4.08</v>
      </c>
      <c r="BO3488" s="237" t="s">
        <v>361</v>
      </c>
      <c r="CD3488" s="237">
        <v>274.04000000000002</v>
      </c>
      <c r="CE3488" s="237" t="s">
        <v>363</v>
      </c>
      <c r="CL3488" s="1789"/>
      <c r="CR3488" s="345"/>
      <c r="CS3488" s="345"/>
      <c r="DH3488" s="237"/>
      <c r="DI3488" s="237"/>
      <c r="DP3488" s="2505"/>
    </row>
    <row r="3489" spans="30:120">
      <c r="AD3489" s="1138"/>
      <c r="BH3489" s="1790"/>
      <c r="BN3489" s="237">
        <v>4.0999999999999996</v>
      </c>
      <c r="BO3489" s="237" t="s">
        <v>361</v>
      </c>
      <c r="CD3489" s="237">
        <v>275.01</v>
      </c>
      <c r="CE3489" s="237" t="s">
        <v>363</v>
      </c>
      <c r="CL3489" s="1789"/>
      <c r="CR3489" s="345"/>
      <c r="CS3489" s="345"/>
      <c r="DH3489" s="237"/>
      <c r="DI3489" s="237"/>
      <c r="DP3489" s="2505"/>
    </row>
    <row r="3490" spans="30:120">
      <c r="AD3490" s="1138"/>
      <c r="BH3490" s="1790"/>
      <c r="BN3490" s="237">
        <v>5.05</v>
      </c>
      <c r="BO3490" s="237" t="s">
        <v>361</v>
      </c>
      <c r="CD3490" s="237">
        <v>275.02999999999997</v>
      </c>
      <c r="CE3490" s="237" t="s">
        <v>363</v>
      </c>
      <c r="CL3490" s="1789"/>
      <c r="CR3490" s="345"/>
      <c r="CS3490" s="345"/>
      <c r="DH3490" s="237"/>
      <c r="DI3490" s="237"/>
      <c r="DP3490" s="2505"/>
    </row>
    <row r="3491" spans="30:120">
      <c r="AD3491" s="1138"/>
      <c r="BH3491" s="1790"/>
      <c r="BN3491" s="237">
        <v>5.07</v>
      </c>
      <c r="BO3491" s="237" t="s">
        <v>361</v>
      </c>
      <c r="CD3491" s="237">
        <v>275.04000000000002</v>
      </c>
      <c r="CE3491" s="237" t="s">
        <v>363</v>
      </c>
      <c r="CL3491" s="1789"/>
      <c r="CR3491" s="345"/>
      <c r="CS3491" s="345"/>
      <c r="DH3491" s="237"/>
      <c r="DI3491" s="237"/>
      <c r="DP3491" s="2505"/>
    </row>
    <row r="3492" spans="30:120">
      <c r="AD3492" s="1138"/>
      <c r="BH3492" s="1790"/>
      <c r="BN3492" s="237">
        <v>5.09</v>
      </c>
      <c r="BO3492" s="237" t="s">
        <v>361</v>
      </c>
      <c r="CD3492" s="237">
        <v>276.02999999999997</v>
      </c>
      <c r="CE3492" s="237" t="s">
        <v>363</v>
      </c>
      <c r="CL3492" s="1789"/>
      <c r="CR3492" s="345"/>
      <c r="CS3492" s="345"/>
      <c r="DH3492" s="237"/>
      <c r="DI3492" s="237"/>
      <c r="DP3492" s="2505"/>
    </row>
    <row r="3493" spans="30:120">
      <c r="AD3493" s="1138"/>
      <c r="BH3493" s="1790"/>
      <c r="BN3493" s="237">
        <v>5.12</v>
      </c>
      <c r="BO3493" s="237" t="s">
        <v>361</v>
      </c>
      <c r="CD3493" s="237">
        <v>276.04000000000002</v>
      </c>
      <c r="CE3493" s="237" t="s">
        <v>363</v>
      </c>
      <c r="CL3493" s="1789"/>
      <c r="CR3493" s="345"/>
      <c r="CS3493" s="345"/>
      <c r="DH3493" s="237"/>
      <c r="DI3493" s="237"/>
      <c r="DP3493" s="2505"/>
    </row>
    <row r="3494" spans="30:120">
      <c r="AD3494" s="1138"/>
      <c r="BH3494" s="1790"/>
      <c r="BN3494" s="237">
        <v>5.13</v>
      </c>
      <c r="BO3494" s="237" t="s">
        <v>361</v>
      </c>
      <c r="CD3494" s="237">
        <v>276.05</v>
      </c>
      <c r="CE3494" s="237" t="s">
        <v>363</v>
      </c>
      <c r="CL3494" s="1789"/>
      <c r="CR3494" s="345"/>
      <c r="CS3494" s="345"/>
      <c r="DH3494" s="237"/>
      <c r="DI3494" s="237"/>
      <c r="DP3494" s="2505"/>
    </row>
    <row r="3495" spans="30:120">
      <c r="AD3495" s="1138"/>
      <c r="BH3495" s="1790"/>
      <c r="BN3495" s="237">
        <v>6</v>
      </c>
      <c r="BO3495" s="237" t="s">
        <v>361</v>
      </c>
      <c r="CD3495" s="237">
        <v>276.06</v>
      </c>
      <c r="CE3495" s="237" t="s">
        <v>363</v>
      </c>
      <c r="CL3495" s="1789"/>
      <c r="CR3495" s="345"/>
      <c r="CS3495" s="345"/>
      <c r="DH3495" s="237"/>
      <c r="DI3495" s="237"/>
      <c r="DP3495" s="2505"/>
    </row>
    <row r="3496" spans="30:120">
      <c r="AD3496" s="1138"/>
      <c r="BH3496" s="1790"/>
      <c r="BN3496" s="237">
        <v>7.02</v>
      </c>
      <c r="BO3496" s="237" t="s">
        <v>361</v>
      </c>
      <c r="CD3496" s="237">
        <v>277.01</v>
      </c>
      <c r="CE3496" s="237" t="s">
        <v>363</v>
      </c>
      <c r="CL3496" s="1789"/>
      <c r="CR3496" s="345"/>
      <c r="CS3496" s="345"/>
      <c r="DH3496" s="237"/>
      <c r="DI3496" s="237"/>
      <c r="DP3496" s="2505"/>
    </row>
    <row r="3497" spans="30:120">
      <c r="AD3497" s="1138"/>
      <c r="BH3497" s="1790"/>
      <c r="BN3497" s="237">
        <v>7.03</v>
      </c>
      <c r="BO3497" s="237" t="s">
        <v>361</v>
      </c>
      <c r="CD3497" s="237">
        <v>277.02999999999997</v>
      </c>
      <c r="CE3497" s="237" t="s">
        <v>363</v>
      </c>
      <c r="CL3497" s="1789"/>
      <c r="CR3497" s="345"/>
      <c r="CS3497" s="345"/>
      <c r="DH3497" s="237"/>
      <c r="DI3497" s="237"/>
      <c r="DP3497" s="2505"/>
    </row>
    <row r="3498" spans="30:120">
      <c r="AD3498" s="1138"/>
      <c r="BH3498" s="1790"/>
      <c r="BN3498" s="237">
        <v>8.0299999999999994</v>
      </c>
      <c r="BO3498" s="237" t="s">
        <v>361</v>
      </c>
      <c r="CD3498" s="237">
        <v>277.04000000000002</v>
      </c>
      <c r="CE3498" s="237" t="s">
        <v>363</v>
      </c>
      <c r="CL3498" s="1789"/>
      <c r="CR3498" s="345"/>
      <c r="CS3498" s="345"/>
      <c r="DH3498" s="237"/>
      <c r="DI3498" s="237"/>
      <c r="DP3498" s="2505"/>
    </row>
    <row r="3499" spans="30:120">
      <c r="AD3499" s="1138"/>
      <c r="BH3499" s="1790"/>
      <c r="BN3499" s="237">
        <v>8.0500000000000007</v>
      </c>
      <c r="BO3499" s="237" t="s">
        <v>361</v>
      </c>
      <c r="CD3499" s="237">
        <v>278.01</v>
      </c>
      <c r="CE3499" s="237" t="s">
        <v>363</v>
      </c>
      <c r="CL3499" s="1789"/>
      <c r="CR3499" s="345"/>
      <c r="CS3499" s="345"/>
      <c r="DH3499" s="237"/>
      <c r="DI3499" s="237"/>
      <c r="DP3499" s="2505"/>
    </row>
    <row r="3500" spans="30:120">
      <c r="AD3500" s="1138"/>
      <c r="BH3500" s="1790"/>
      <c r="BN3500" s="237">
        <v>9.02</v>
      </c>
      <c r="BO3500" s="237" t="s">
        <v>361</v>
      </c>
      <c r="CD3500" s="237">
        <v>278.02</v>
      </c>
      <c r="CE3500" s="237" t="s">
        <v>363</v>
      </c>
      <c r="CL3500" s="1789"/>
      <c r="CR3500" s="345"/>
      <c r="CS3500" s="345"/>
      <c r="DH3500" s="237"/>
      <c r="DI3500" s="237"/>
      <c r="DP3500" s="2505"/>
    </row>
    <row r="3501" spans="30:120">
      <c r="AD3501" s="1138"/>
      <c r="BH3501" s="1790"/>
      <c r="BN3501" s="237">
        <v>9.0299999999999994</v>
      </c>
      <c r="BO3501" s="237" t="s">
        <v>361</v>
      </c>
      <c r="CD3501" s="237">
        <v>279.01</v>
      </c>
      <c r="CE3501" s="237" t="s">
        <v>363</v>
      </c>
      <c r="CL3501" s="1789"/>
      <c r="CR3501" s="345"/>
      <c r="CS3501" s="345"/>
      <c r="DH3501" s="237"/>
      <c r="DI3501" s="237"/>
      <c r="DP3501" s="2505"/>
    </row>
    <row r="3502" spans="30:120">
      <c r="AD3502" s="1138"/>
      <c r="BH3502" s="1790"/>
      <c r="BN3502" s="237">
        <v>9.0399999999999991</v>
      </c>
      <c r="BO3502" s="237" t="s">
        <v>361</v>
      </c>
      <c r="CD3502" s="237">
        <v>279.05</v>
      </c>
      <c r="CE3502" s="237" t="s">
        <v>363</v>
      </c>
      <c r="CL3502" s="1789"/>
      <c r="CR3502" s="345"/>
      <c r="CS3502" s="345"/>
      <c r="DH3502" s="237"/>
      <c r="DI3502" s="237"/>
      <c r="DP3502" s="2505"/>
    </row>
    <row r="3503" spans="30:120">
      <c r="AD3503" s="1138"/>
      <c r="BH3503" s="1790"/>
      <c r="BN3503" s="237">
        <v>9.0500000000000007</v>
      </c>
      <c r="BO3503" s="237" t="s">
        <v>361</v>
      </c>
      <c r="CD3503" s="237">
        <v>280.02</v>
      </c>
      <c r="CE3503" s="237" t="s">
        <v>363</v>
      </c>
      <c r="CL3503" s="1789"/>
      <c r="CR3503" s="345"/>
      <c r="CS3503" s="345"/>
      <c r="DH3503" s="237"/>
      <c r="DI3503" s="237"/>
      <c r="DP3503" s="2505"/>
    </row>
    <row r="3504" spans="30:120">
      <c r="AD3504" s="1138"/>
      <c r="BH3504" s="1790"/>
      <c r="BN3504" s="237">
        <v>10.02</v>
      </c>
      <c r="BO3504" s="237" t="s">
        <v>361</v>
      </c>
      <c r="CD3504" s="237">
        <v>280.04000000000002</v>
      </c>
      <c r="CE3504" s="237" t="s">
        <v>363</v>
      </c>
      <c r="CL3504" s="1789"/>
      <c r="CR3504" s="345"/>
      <c r="CS3504" s="345"/>
      <c r="DH3504" s="237"/>
      <c r="DI3504" s="237"/>
      <c r="DP3504" s="2505"/>
    </row>
    <row r="3505" spans="30:120">
      <c r="AD3505" s="1138"/>
      <c r="BH3505" s="1790"/>
      <c r="BN3505" s="237">
        <v>10.029999999999999</v>
      </c>
      <c r="BO3505" s="237" t="s">
        <v>361</v>
      </c>
      <c r="CD3505" s="237">
        <v>280.05</v>
      </c>
      <c r="CE3505" s="237" t="s">
        <v>363</v>
      </c>
      <c r="CL3505" s="1789"/>
      <c r="CR3505" s="345"/>
      <c r="CS3505" s="345"/>
      <c r="DH3505" s="237"/>
      <c r="DI3505" s="237"/>
      <c r="DP3505" s="2505"/>
    </row>
    <row r="3506" spans="30:120">
      <c r="AD3506" s="1138"/>
      <c r="BH3506" s="1790"/>
      <c r="BN3506" s="237">
        <v>10.039999999999999</v>
      </c>
      <c r="BO3506" s="237" t="s">
        <v>361</v>
      </c>
      <c r="CD3506" s="237">
        <v>280.06</v>
      </c>
      <c r="CE3506" s="237" t="s">
        <v>363</v>
      </c>
      <c r="CL3506" s="1789"/>
      <c r="CR3506" s="345"/>
      <c r="CS3506" s="345"/>
      <c r="DH3506" s="237"/>
      <c r="DI3506" s="237"/>
      <c r="DP3506" s="2505"/>
    </row>
    <row r="3507" spans="30:120">
      <c r="AD3507" s="1138"/>
      <c r="BH3507" s="1790"/>
      <c r="BN3507" s="237">
        <v>11.01</v>
      </c>
      <c r="BO3507" s="237" t="s">
        <v>361</v>
      </c>
      <c r="CD3507" s="237">
        <v>281.02</v>
      </c>
      <c r="CE3507" s="237" t="s">
        <v>363</v>
      </c>
      <c r="CL3507" s="1789"/>
      <c r="CR3507" s="345"/>
      <c r="CS3507" s="345"/>
      <c r="DH3507" s="237"/>
      <c r="DI3507" s="237"/>
      <c r="DP3507" s="2505"/>
    </row>
    <row r="3508" spans="30:120">
      <c r="AD3508" s="1138"/>
      <c r="BH3508" s="1790"/>
      <c r="BN3508" s="237">
        <v>11.02</v>
      </c>
      <c r="BO3508" s="237" t="s">
        <v>361</v>
      </c>
      <c r="CD3508" s="237">
        <v>281.02999999999997</v>
      </c>
      <c r="CE3508" s="237" t="s">
        <v>363</v>
      </c>
      <c r="CL3508" s="1789"/>
      <c r="CR3508" s="345"/>
      <c r="CS3508" s="345"/>
      <c r="DH3508" s="237"/>
      <c r="DI3508" s="237"/>
      <c r="DP3508" s="2505"/>
    </row>
    <row r="3509" spans="30:120">
      <c r="AD3509" s="1138"/>
      <c r="BH3509" s="1790"/>
      <c r="BN3509" s="237">
        <v>12</v>
      </c>
      <c r="BO3509" s="237" t="s">
        <v>361</v>
      </c>
      <c r="CD3509" s="237">
        <v>281.04000000000002</v>
      </c>
      <c r="CE3509" s="237" t="s">
        <v>363</v>
      </c>
      <c r="CL3509" s="1789"/>
      <c r="CR3509" s="345"/>
      <c r="CS3509" s="345"/>
      <c r="DH3509" s="237"/>
      <c r="DI3509" s="237"/>
      <c r="DP3509" s="2505"/>
    </row>
    <row r="3510" spans="30:120">
      <c r="AD3510" s="1138"/>
      <c r="BH3510" s="1790"/>
      <c r="BN3510" s="237">
        <v>13.01</v>
      </c>
      <c r="BO3510" s="237" t="s">
        <v>361</v>
      </c>
      <c r="CD3510" s="237">
        <v>282</v>
      </c>
      <c r="CE3510" s="237" t="s">
        <v>363</v>
      </c>
      <c r="CL3510" s="1789"/>
      <c r="CR3510" s="345"/>
      <c r="CS3510" s="345"/>
      <c r="DH3510" s="237"/>
      <c r="DI3510" s="237"/>
      <c r="DP3510" s="2505"/>
    </row>
    <row r="3511" spans="30:120">
      <c r="AD3511" s="1138"/>
      <c r="BH3511" s="1790"/>
      <c r="BN3511" s="237">
        <v>13.02</v>
      </c>
      <c r="BO3511" s="237" t="s">
        <v>361</v>
      </c>
      <c r="CD3511" s="237">
        <v>283</v>
      </c>
      <c r="CE3511" s="237" t="s">
        <v>363</v>
      </c>
      <c r="CL3511" s="1789"/>
      <c r="CR3511" s="345"/>
      <c r="CS3511" s="345"/>
      <c r="DH3511" s="237"/>
      <c r="DI3511" s="237"/>
      <c r="DP3511" s="2505"/>
    </row>
    <row r="3512" spans="30:120">
      <c r="AD3512" s="1138"/>
      <c r="BH3512" s="1790"/>
      <c r="BN3512" s="237">
        <v>14.02</v>
      </c>
      <c r="BO3512" s="237" t="s">
        <v>361</v>
      </c>
      <c r="CD3512" s="237">
        <v>284.02999999999997</v>
      </c>
      <c r="CE3512" s="237" t="s">
        <v>363</v>
      </c>
      <c r="CL3512" s="1789"/>
      <c r="CR3512" s="345"/>
      <c r="CS3512" s="345"/>
      <c r="DH3512" s="237"/>
      <c r="DI3512" s="237"/>
      <c r="DP3512" s="2505"/>
    </row>
    <row r="3513" spans="30:120">
      <c r="AD3513" s="1138"/>
      <c r="BH3513" s="1790"/>
      <c r="BN3513" s="237">
        <v>14.03</v>
      </c>
      <c r="BO3513" s="237" t="s">
        <v>361</v>
      </c>
      <c r="CD3513" s="237">
        <v>285</v>
      </c>
      <c r="CE3513" s="237" t="s">
        <v>363</v>
      </c>
      <c r="CL3513" s="1789"/>
      <c r="CR3513" s="345"/>
      <c r="CS3513" s="345"/>
      <c r="DH3513" s="237"/>
      <c r="DI3513" s="237"/>
      <c r="DP3513" s="2505"/>
    </row>
    <row r="3514" spans="30:120">
      <c r="AD3514" s="1138"/>
      <c r="BH3514" s="1790"/>
      <c r="BN3514" s="237">
        <v>14.04</v>
      </c>
      <c r="BO3514" s="237" t="s">
        <v>361</v>
      </c>
      <c r="CD3514" s="237">
        <v>286.01</v>
      </c>
      <c r="CE3514" s="237" t="s">
        <v>363</v>
      </c>
      <c r="CL3514" s="1789"/>
      <c r="CR3514" s="345"/>
      <c r="CS3514" s="345"/>
      <c r="DH3514" s="237"/>
      <c r="DI3514" s="237"/>
      <c r="DP3514" s="2505"/>
    </row>
    <row r="3515" spans="30:120">
      <c r="AD3515" s="1138"/>
      <c r="BH3515" s="1790"/>
      <c r="BN3515" s="237">
        <v>15</v>
      </c>
      <c r="BO3515" s="237" t="s">
        <v>361</v>
      </c>
      <c r="CD3515" s="237">
        <v>286.02</v>
      </c>
      <c r="CE3515" s="237" t="s">
        <v>363</v>
      </c>
      <c r="CL3515" s="1789"/>
      <c r="CR3515" s="345"/>
      <c r="CS3515" s="345"/>
      <c r="DH3515" s="237"/>
      <c r="DI3515" s="237"/>
      <c r="DP3515" s="2505"/>
    </row>
    <row r="3516" spans="30:120">
      <c r="AD3516" s="1138"/>
      <c r="BH3516" s="1790"/>
      <c r="BN3516" s="237">
        <v>16</v>
      </c>
      <c r="BO3516" s="237" t="s">
        <v>361</v>
      </c>
      <c r="CD3516" s="237">
        <v>287</v>
      </c>
      <c r="CE3516" s="237" t="s">
        <v>363</v>
      </c>
      <c r="CL3516" s="1789"/>
      <c r="CR3516" s="345"/>
      <c r="CS3516" s="345"/>
      <c r="DH3516" s="237"/>
      <c r="DI3516" s="237"/>
      <c r="DP3516" s="2505"/>
    </row>
    <row r="3517" spans="30:120">
      <c r="AD3517" s="1138"/>
      <c r="BH3517" s="1790"/>
      <c r="BN3517" s="237">
        <v>17</v>
      </c>
      <c r="BO3517" s="237" t="s">
        <v>361</v>
      </c>
      <c r="CD3517" s="345">
        <v>301</v>
      </c>
      <c r="CE3517" s="345" t="s">
        <v>310</v>
      </c>
      <c r="CL3517" s="1789"/>
      <c r="CR3517" s="345"/>
      <c r="CS3517" s="345"/>
      <c r="DH3517" s="237"/>
      <c r="DI3517" s="237"/>
      <c r="DP3517" s="2505"/>
    </row>
    <row r="3518" spans="30:120">
      <c r="AD3518" s="1138"/>
      <c r="BH3518" s="1790"/>
      <c r="BN3518" s="237">
        <v>18.010000000000002</v>
      </c>
      <c r="BO3518" s="237" t="s">
        <v>361</v>
      </c>
      <c r="CD3518" s="237">
        <v>301</v>
      </c>
      <c r="CE3518" s="237" t="s">
        <v>344</v>
      </c>
      <c r="CL3518" s="1789"/>
      <c r="CR3518" s="345"/>
      <c r="CS3518" s="345"/>
      <c r="DH3518" s="237"/>
      <c r="DI3518" s="237"/>
      <c r="DP3518" s="2505"/>
    </row>
    <row r="3519" spans="30:120">
      <c r="AD3519" s="1138"/>
      <c r="BH3519" s="1790"/>
      <c r="BN3519" s="237">
        <v>18.02</v>
      </c>
      <c r="BO3519" s="237" t="s">
        <v>361</v>
      </c>
      <c r="CD3519" s="345">
        <v>301.01</v>
      </c>
      <c r="CE3519" s="345" t="s">
        <v>315</v>
      </c>
      <c r="CL3519" s="1789"/>
      <c r="CR3519" s="345"/>
      <c r="CS3519" s="345"/>
      <c r="DH3519" s="237"/>
      <c r="DI3519" s="237"/>
      <c r="DP3519" s="2505"/>
    </row>
    <row r="3520" spans="30:120">
      <c r="AD3520" s="1138"/>
      <c r="BH3520" s="1790"/>
      <c r="BN3520" s="237">
        <v>19.04</v>
      </c>
      <c r="BO3520" s="237" t="s">
        <v>361</v>
      </c>
      <c r="CD3520" s="237">
        <v>301.01</v>
      </c>
      <c r="CE3520" s="237" t="s">
        <v>362</v>
      </c>
      <c r="CL3520" s="1789"/>
      <c r="CR3520" s="345"/>
      <c r="CS3520" s="345"/>
      <c r="DH3520" s="237"/>
      <c r="DI3520" s="237"/>
      <c r="DP3520" s="2505"/>
    </row>
    <row r="3521" spans="30:120">
      <c r="AD3521" s="1138"/>
      <c r="BH3521" s="1790"/>
      <c r="BN3521" s="237">
        <v>19.07</v>
      </c>
      <c r="BO3521" s="237" t="s">
        <v>361</v>
      </c>
      <c r="CD3521" s="345">
        <v>301.02</v>
      </c>
      <c r="CE3521" s="345" t="s">
        <v>315</v>
      </c>
      <c r="CL3521" s="1789"/>
      <c r="CR3521" s="345"/>
      <c r="CS3521" s="345"/>
      <c r="DH3521" s="237"/>
      <c r="DI3521" s="237"/>
      <c r="DP3521" s="2505"/>
    </row>
    <row r="3522" spans="30:120">
      <c r="AD3522" s="1138"/>
      <c r="BH3522" s="1790"/>
      <c r="BN3522" s="237">
        <v>19.09</v>
      </c>
      <c r="BO3522" s="237" t="s">
        <v>361</v>
      </c>
      <c r="CD3522" s="237">
        <v>301.02</v>
      </c>
      <c r="CE3522" s="237" t="s">
        <v>343</v>
      </c>
      <c r="CL3522" s="1789"/>
      <c r="CR3522" s="345"/>
      <c r="CS3522" s="345"/>
      <c r="DH3522" s="237"/>
      <c r="DI3522" s="237"/>
      <c r="DP3522" s="2505"/>
    </row>
    <row r="3523" spans="30:120">
      <c r="AD3523" s="1138"/>
      <c r="BH3523" s="1790"/>
      <c r="BN3523" s="237">
        <v>19.100000000000001</v>
      </c>
      <c r="BO3523" s="237" t="s">
        <v>361</v>
      </c>
      <c r="CD3523" s="237">
        <v>301.02</v>
      </c>
      <c r="CE3523" s="237" t="s">
        <v>362</v>
      </c>
      <c r="CL3523" s="1789"/>
      <c r="CR3523" s="345"/>
      <c r="CS3523" s="345"/>
      <c r="DH3523" s="237"/>
      <c r="DI3523" s="237"/>
      <c r="DP3523" s="2505"/>
    </row>
    <row r="3524" spans="30:120">
      <c r="AD3524" s="1138"/>
      <c r="BH3524" s="1790"/>
      <c r="BN3524" s="237">
        <v>19.11</v>
      </c>
      <c r="BO3524" s="237" t="s">
        <v>361</v>
      </c>
      <c r="CD3524" s="345">
        <v>301.02999999999997</v>
      </c>
      <c r="CE3524" s="345" t="s">
        <v>317</v>
      </c>
      <c r="CL3524" s="1789"/>
      <c r="CR3524" s="345"/>
      <c r="CS3524" s="345"/>
      <c r="DH3524" s="237"/>
      <c r="DI3524" s="237"/>
      <c r="DP3524" s="2505"/>
    </row>
    <row r="3525" spans="30:120">
      <c r="AD3525" s="1138"/>
      <c r="BH3525" s="1790"/>
      <c r="BN3525" s="237">
        <v>19.12</v>
      </c>
      <c r="BO3525" s="237" t="s">
        <v>361</v>
      </c>
      <c r="CD3525" s="345">
        <v>301.04000000000002</v>
      </c>
      <c r="CE3525" s="345" t="s">
        <v>317</v>
      </c>
      <c r="CL3525" s="1789"/>
      <c r="CR3525" s="345"/>
      <c r="CS3525" s="345"/>
      <c r="DH3525" s="237"/>
      <c r="DI3525" s="237"/>
      <c r="DP3525" s="2505"/>
    </row>
    <row r="3526" spans="30:120">
      <c r="AD3526" s="1138"/>
      <c r="BH3526" s="1790"/>
      <c r="BN3526" s="237">
        <v>19.13</v>
      </c>
      <c r="BO3526" s="237" t="s">
        <v>361</v>
      </c>
      <c r="CD3526" s="237">
        <v>301.04000000000002</v>
      </c>
      <c r="CE3526" s="237" t="s">
        <v>343</v>
      </c>
      <c r="CL3526" s="1789"/>
      <c r="CR3526" s="345"/>
      <c r="CS3526" s="345"/>
      <c r="DH3526" s="237"/>
      <c r="DI3526" s="237"/>
      <c r="DP3526" s="2505"/>
    </row>
    <row r="3527" spans="30:120">
      <c r="AD3527" s="1138"/>
      <c r="BH3527" s="1790"/>
      <c r="BN3527" s="237">
        <v>19.16</v>
      </c>
      <c r="BO3527" s="237" t="s">
        <v>361</v>
      </c>
      <c r="CD3527" s="345">
        <v>301.05</v>
      </c>
      <c r="CE3527" s="345" t="s">
        <v>317</v>
      </c>
      <c r="CL3527" s="1789"/>
      <c r="CR3527" s="345"/>
      <c r="CS3527" s="345"/>
      <c r="DH3527" s="237"/>
      <c r="DI3527" s="237"/>
      <c r="DP3527" s="2505"/>
    </row>
    <row r="3528" spans="30:120">
      <c r="AD3528" s="1138"/>
      <c r="BH3528" s="1790"/>
      <c r="BN3528" s="237">
        <v>19.170000000000002</v>
      </c>
      <c r="BO3528" s="237" t="s">
        <v>361</v>
      </c>
      <c r="CD3528" s="345">
        <v>301.06</v>
      </c>
      <c r="CE3528" s="345" t="s">
        <v>317</v>
      </c>
      <c r="CL3528" s="1789"/>
      <c r="CR3528" s="345"/>
      <c r="CS3528" s="345"/>
      <c r="DH3528" s="237"/>
      <c r="DI3528" s="237"/>
      <c r="DP3528" s="2505"/>
    </row>
    <row r="3529" spans="30:120">
      <c r="AD3529" s="1138"/>
      <c r="BH3529" s="1790"/>
      <c r="BN3529" s="237">
        <v>19.18</v>
      </c>
      <c r="BO3529" s="237" t="s">
        <v>361</v>
      </c>
      <c r="CD3529" s="237">
        <v>301.06</v>
      </c>
      <c r="CE3529" s="237" t="s">
        <v>343</v>
      </c>
      <c r="CL3529" s="1789"/>
      <c r="CR3529" s="345"/>
      <c r="CS3529" s="345"/>
      <c r="DH3529" s="237"/>
      <c r="DI3529" s="237"/>
      <c r="DP3529" s="2505"/>
    </row>
    <row r="3530" spans="30:120">
      <c r="AD3530" s="1138"/>
      <c r="BH3530" s="1790"/>
      <c r="BN3530" s="237">
        <v>19.190000000000001</v>
      </c>
      <c r="BO3530" s="237" t="s">
        <v>361</v>
      </c>
      <c r="CD3530" s="237">
        <v>301.08</v>
      </c>
      <c r="CE3530" s="237" t="s">
        <v>343</v>
      </c>
      <c r="CL3530" s="1789"/>
      <c r="CR3530" s="345"/>
      <c r="CS3530" s="345"/>
      <c r="DH3530" s="237"/>
      <c r="DI3530" s="237"/>
      <c r="DP3530" s="2505"/>
    </row>
    <row r="3531" spans="30:120">
      <c r="AD3531" s="1138"/>
      <c r="BH3531" s="1790"/>
      <c r="BN3531" s="237">
        <v>19.2</v>
      </c>
      <c r="BO3531" s="237" t="s">
        <v>361</v>
      </c>
      <c r="CD3531" s="237">
        <v>301.08999999999997</v>
      </c>
      <c r="CE3531" s="237" t="s">
        <v>343</v>
      </c>
      <c r="CL3531" s="1789"/>
      <c r="CR3531" s="345"/>
      <c r="CS3531" s="345"/>
      <c r="DH3531" s="237"/>
      <c r="DI3531" s="237"/>
      <c r="DP3531" s="2505"/>
    </row>
    <row r="3532" spans="30:120">
      <c r="AD3532" s="1138"/>
      <c r="BH3532" s="1790"/>
      <c r="BN3532" s="237">
        <v>19.21</v>
      </c>
      <c r="BO3532" s="237" t="s">
        <v>361</v>
      </c>
      <c r="CD3532" s="237">
        <v>301.10000000000002</v>
      </c>
      <c r="CE3532" s="237" t="s">
        <v>343</v>
      </c>
      <c r="CL3532" s="1789"/>
      <c r="CR3532" s="345"/>
      <c r="CS3532" s="345"/>
      <c r="DH3532" s="237"/>
      <c r="DI3532" s="237"/>
      <c r="DP3532" s="2505"/>
    </row>
    <row r="3533" spans="30:120">
      <c r="AD3533" s="1138"/>
      <c r="BH3533" s="1790"/>
      <c r="BN3533" s="237">
        <v>20.05</v>
      </c>
      <c r="BO3533" s="237" t="s">
        <v>361</v>
      </c>
      <c r="CD3533" s="237">
        <v>301.11</v>
      </c>
      <c r="CE3533" s="237" t="s">
        <v>343</v>
      </c>
      <c r="CL3533" s="1789"/>
      <c r="CR3533" s="345"/>
      <c r="CS3533" s="345"/>
      <c r="DH3533" s="237"/>
      <c r="DI3533" s="237"/>
      <c r="DP3533" s="2505"/>
    </row>
    <row r="3534" spans="30:120">
      <c r="AD3534" s="1138"/>
      <c r="BH3534" s="1790"/>
      <c r="BN3534" s="237">
        <v>20.059999999999999</v>
      </c>
      <c r="BO3534" s="237" t="s">
        <v>361</v>
      </c>
      <c r="CD3534" s="237">
        <v>301.12</v>
      </c>
      <c r="CE3534" s="237" t="s">
        <v>343</v>
      </c>
      <c r="CL3534" s="1789"/>
      <c r="CR3534" s="345"/>
      <c r="CS3534" s="345"/>
      <c r="DH3534" s="237"/>
      <c r="DI3534" s="237"/>
      <c r="DP3534" s="2505"/>
    </row>
    <row r="3535" spans="30:120">
      <c r="AD3535" s="1138"/>
      <c r="BH3535" s="1790"/>
      <c r="BN3535" s="237">
        <v>21</v>
      </c>
      <c r="BO3535" s="237" t="s">
        <v>361</v>
      </c>
      <c r="CD3535" s="345">
        <v>302.01</v>
      </c>
      <c r="CE3535" s="345" t="s">
        <v>310</v>
      </c>
      <c r="CL3535" s="1789"/>
      <c r="CR3535" s="345"/>
      <c r="CS3535" s="345"/>
      <c r="DH3535" s="237"/>
      <c r="DI3535" s="237"/>
      <c r="DP3535" s="2505"/>
    </row>
    <row r="3536" spans="30:120">
      <c r="AD3536" s="1138"/>
      <c r="BH3536" s="1790"/>
      <c r="BN3536" s="237">
        <v>22</v>
      </c>
      <c r="BO3536" s="237" t="s">
        <v>361</v>
      </c>
      <c r="CD3536" s="345">
        <v>302.01</v>
      </c>
      <c r="CE3536" s="345" t="s">
        <v>315</v>
      </c>
      <c r="CL3536" s="1789"/>
      <c r="CR3536" s="345"/>
      <c r="CS3536" s="345"/>
      <c r="DH3536" s="237"/>
      <c r="DI3536" s="237"/>
      <c r="DP3536" s="2505"/>
    </row>
    <row r="3537" spans="30:120">
      <c r="AD3537" s="1138"/>
      <c r="BH3537" s="1790"/>
      <c r="BN3537" s="237">
        <v>23</v>
      </c>
      <c r="BO3537" s="237" t="s">
        <v>361</v>
      </c>
      <c r="CD3537" s="237">
        <v>302.01</v>
      </c>
      <c r="CE3537" s="237" t="s">
        <v>344</v>
      </c>
      <c r="CL3537" s="1789"/>
      <c r="CR3537" s="345"/>
      <c r="CS3537" s="345"/>
      <c r="DH3537" s="237"/>
      <c r="DI3537" s="237"/>
      <c r="DP3537" s="2505"/>
    </row>
    <row r="3538" spans="30:120">
      <c r="AD3538" s="1138"/>
      <c r="BH3538" s="1790"/>
      <c r="BN3538" s="237">
        <v>24</v>
      </c>
      <c r="BO3538" s="237" t="s">
        <v>361</v>
      </c>
      <c r="CD3538" s="345">
        <v>302.02</v>
      </c>
      <c r="CE3538" s="345" t="s">
        <v>310</v>
      </c>
      <c r="CL3538" s="1789"/>
      <c r="CR3538" s="345"/>
      <c r="CS3538" s="345"/>
      <c r="DH3538" s="237"/>
      <c r="DI3538" s="237"/>
      <c r="DP3538" s="2505"/>
    </row>
    <row r="3539" spans="30:120">
      <c r="AD3539" s="1138"/>
      <c r="BH3539" s="1790"/>
      <c r="BN3539" s="237">
        <v>26</v>
      </c>
      <c r="BO3539" s="237" t="s">
        <v>361</v>
      </c>
      <c r="CD3539" s="345">
        <v>302.02</v>
      </c>
      <c r="CE3539" s="345" t="s">
        <v>315</v>
      </c>
      <c r="CL3539" s="1789"/>
      <c r="CR3539" s="345"/>
      <c r="CS3539" s="345"/>
      <c r="DH3539" s="237"/>
      <c r="DI3539" s="237"/>
      <c r="DP3539" s="2505"/>
    </row>
    <row r="3540" spans="30:120">
      <c r="AD3540" s="1138"/>
      <c r="BH3540" s="1790"/>
      <c r="BN3540" s="237">
        <v>27.01</v>
      </c>
      <c r="BO3540" s="237" t="s">
        <v>361</v>
      </c>
      <c r="CD3540" s="237">
        <v>302.02</v>
      </c>
      <c r="CE3540" s="237" t="s">
        <v>344</v>
      </c>
      <c r="CL3540" s="1789"/>
      <c r="CR3540" s="345"/>
      <c r="CS3540" s="345"/>
      <c r="DH3540" s="237"/>
      <c r="DI3540" s="237"/>
      <c r="DP3540" s="2505"/>
    </row>
    <row r="3541" spans="30:120">
      <c r="AD3541" s="1138"/>
      <c r="BH3541" s="1790"/>
      <c r="BN3541" s="237">
        <v>27.02</v>
      </c>
      <c r="BO3541" s="237" t="s">
        <v>361</v>
      </c>
      <c r="CD3541" s="237">
        <v>302.02</v>
      </c>
      <c r="CE3541" s="237" t="s">
        <v>362</v>
      </c>
      <c r="CL3541" s="1789"/>
      <c r="CR3541" s="345"/>
      <c r="CS3541" s="345"/>
      <c r="DH3541" s="237"/>
      <c r="DI3541" s="237"/>
      <c r="DP3541" s="2505"/>
    </row>
    <row r="3542" spans="30:120">
      <c r="AD3542" s="1138"/>
      <c r="BH3542" s="1790"/>
      <c r="BN3542" s="237">
        <v>27.03</v>
      </c>
      <c r="BO3542" s="237" t="s">
        <v>361</v>
      </c>
      <c r="CD3542" s="345">
        <v>302.02999999999997</v>
      </c>
      <c r="CE3542" s="345" t="s">
        <v>310</v>
      </c>
      <c r="CL3542" s="1789"/>
      <c r="CR3542" s="345"/>
      <c r="CS3542" s="345"/>
      <c r="DH3542" s="237"/>
      <c r="DI3542" s="237"/>
      <c r="DP3542" s="2505"/>
    </row>
    <row r="3543" spans="30:120">
      <c r="AD3543" s="1138"/>
      <c r="BH3543" s="1790"/>
      <c r="BN3543" s="237">
        <v>28</v>
      </c>
      <c r="BO3543" s="237" t="s">
        <v>361</v>
      </c>
      <c r="CD3543" s="237">
        <v>302.02999999999997</v>
      </c>
      <c r="CE3543" s="237" t="s">
        <v>343</v>
      </c>
      <c r="CL3543" s="1789"/>
      <c r="CR3543" s="345"/>
      <c r="CS3543" s="345"/>
      <c r="DH3543" s="237"/>
      <c r="DI3543" s="237"/>
      <c r="DP3543" s="2505"/>
    </row>
    <row r="3544" spans="30:120">
      <c r="AD3544" s="1138"/>
      <c r="BH3544" s="1790"/>
      <c r="BN3544" s="237">
        <v>29</v>
      </c>
      <c r="BO3544" s="237" t="s">
        <v>361</v>
      </c>
      <c r="CD3544" s="237">
        <v>302.02999999999997</v>
      </c>
      <c r="CE3544" s="237" t="s">
        <v>362</v>
      </c>
      <c r="CL3544" s="1789"/>
      <c r="CR3544" s="345"/>
      <c r="CS3544" s="345"/>
      <c r="DH3544" s="237"/>
      <c r="DI3544" s="237"/>
      <c r="DP3544" s="2505"/>
    </row>
    <row r="3545" spans="30:120">
      <c r="AD3545" s="1138"/>
      <c r="BH3545" s="1790"/>
      <c r="BN3545" s="237">
        <v>30</v>
      </c>
      <c r="BO3545" s="237" t="s">
        <v>361</v>
      </c>
      <c r="CD3545" s="345">
        <v>302.04000000000002</v>
      </c>
      <c r="CE3545" s="345" t="s">
        <v>317</v>
      </c>
      <c r="CL3545" s="1789"/>
      <c r="CR3545" s="345"/>
      <c r="CS3545" s="345"/>
      <c r="DH3545" s="237"/>
      <c r="DI3545" s="237"/>
      <c r="DP3545" s="2505"/>
    </row>
    <row r="3546" spans="30:120">
      <c r="AD3546" s="1138"/>
      <c r="BH3546" s="1790"/>
      <c r="BN3546" s="237">
        <v>31.01</v>
      </c>
      <c r="BO3546" s="237" t="s">
        <v>361</v>
      </c>
      <c r="CD3546" s="237">
        <v>302.04000000000002</v>
      </c>
      <c r="CE3546" s="237" t="s">
        <v>343</v>
      </c>
      <c r="CL3546" s="1789"/>
      <c r="CR3546" s="345"/>
      <c r="CS3546" s="345"/>
      <c r="DH3546" s="237"/>
      <c r="DI3546" s="237"/>
      <c r="DP3546" s="2505"/>
    </row>
    <row r="3547" spans="30:120">
      <c r="AD3547" s="1138"/>
      <c r="BH3547" s="1790"/>
      <c r="BN3547" s="237">
        <v>31.02</v>
      </c>
      <c r="BO3547" s="237" t="s">
        <v>361</v>
      </c>
      <c r="CD3547" s="237">
        <v>302.04000000000002</v>
      </c>
      <c r="CE3547" s="237" t="s">
        <v>362</v>
      </c>
      <c r="CL3547" s="1789"/>
      <c r="CR3547" s="345"/>
      <c r="CS3547" s="345"/>
      <c r="DH3547" s="237"/>
      <c r="DI3547" s="237"/>
      <c r="DP3547" s="2505"/>
    </row>
    <row r="3548" spans="30:120">
      <c r="AD3548" s="1138"/>
      <c r="BH3548" s="1790"/>
      <c r="BN3548" s="237">
        <v>32.01</v>
      </c>
      <c r="BO3548" s="237" t="s">
        <v>361</v>
      </c>
      <c r="CD3548" s="345">
        <v>302.05</v>
      </c>
      <c r="CE3548" s="345" t="s">
        <v>317</v>
      </c>
      <c r="CL3548" s="1789"/>
      <c r="CR3548" s="345"/>
      <c r="CS3548" s="345"/>
      <c r="DH3548" s="237"/>
      <c r="DI3548" s="237"/>
      <c r="DP3548" s="2505"/>
    </row>
    <row r="3549" spans="30:120">
      <c r="AD3549" s="1138"/>
      <c r="BH3549" s="1790"/>
      <c r="BN3549" s="237">
        <v>32.020000000000003</v>
      </c>
      <c r="BO3549" s="237" t="s">
        <v>361</v>
      </c>
      <c r="CD3549" s="237">
        <v>302.05</v>
      </c>
      <c r="CE3549" s="237" t="s">
        <v>344</v>
      </c>
      <c r="CL3549" s="1789"/>
      <c r="CR3549" s="345"/>
      <c r="CS3549" s="345"/>
      <c r="DH3549" s="237"/>
      <c r="DI3549" s="237"/>
      <c r="DP3549" s="2505"/>
    </row>
    <row r="3550" spans="30:120">
      <c r="AD3550" s="1138"/>
      <c r="BH3550" s="1790"/>
      <c r="BN3550" s="237">
        <v>33</v>
      </c>
      <c r="BO3550" s="237" t="s">
        <v>361</v>
      </c>
      <c r="CD3550" s="237">
        <v>302.05</v>
      </c>
      <c r="CE3550" s="237" t="s">
        <v>362</v>
      </c>
      <c r="CL3550" s="1789"/>
      <c r="CR3550" s="345"/>
      <c r="CS3550" s="345"/>
      <c r="DH3550" s="237"/>
      <c r="DI3550" s="237"/>
      <c r="DP3550" s="2505"/>
    </row>
    <row r="3551" spans="30:120">
      <c r="AD3551" s="1138"/>
      <c r="BH3551" s="1790"/>
      <c r="BN3551" s="237">
        <v>34</v>
      </c>
      <c r="BO3551" s="237" t="s">
        <v>361</v>
      </c>
      <c r="CD3551" s="345">
        <v>302.06</v>
      </c>
      <c r="CE3551" s="345" t="s">
        <v>317</v>
      </c>
      <c r="CL3551" s="1789"/>
      <c r="CR3551" s="345"/>
      <c r="CS3551" s="345"/>
      <c r="DH3551" s="237"/>
      <c r="DI3551" s="237"/>
      <c r="DP3551" s="2505"/>
    </row>
    <row r="3552" spans="30:120">
      <c r="AD3552" s="1138"/>
      <c r="BH3552" s="1790"/>
      <c r="BN3552" s="237">
        <v>35.07</v>
      </c>
      <c r="BO3552" s="237" t="s">
        <v>361</v>
      </c>
      <c r="CD3552" s="237">
        <v>302.06</v>
      </c>
      <c r="CE3552" s="237" t="s">
        <v>343</v>
      </c>
      <c r="CL3552" s="1789"/>
      <c r="CR3552" s="345"/>
      <c r="CS3552" s="345"/>
      <c r="DH3552" s="237"/>
      <c r="DI3552" s="237"/>
      <c r="DP3552" s="2505"/>
    </row>
    <row r="3553" spans="30:120">
      <c r="AD3553" s="1138"/>
      <c r="BH3553" s="1790"/>
      <c r="BN3553" s="237">
        <v>35.119999999999997</v>
      </c>
      <c r="BO3553" s="237" t="s">
        <v>361</v>
      </c>
      <c r="CD3553" s="345">
        <v>302.07</v>
      </c>
      <c r="CE3553" s="345" t="s">
        <v>317</v>
      </c>
      <c r="CL3553" s="1789"/>
      <c r="CR3553" s="345"/>
      <c r="CS3553" s="345"/>
      <c r="DH3553" s="237"/>
      <c r="DI3553" s="237"/>
      <c r="DP3553" s="2505"/>
    </row>
    <row r="3554" spans="30:120">
      <c r="AD3554" s="1138"/>
      <c r="BH3554" s="1790"/>
      <c r="BN3554" s="237">
        <v>35.130000000000003</v>
      </c>
      <c r="BO3554" s="237" t="s">
        <v>361</v>
      </c>
      <c r="CD3554" s="345">
        <v>302.08</v>
      </c>
      <c r="CE3554" s="345" t="s">
        <v>317</v>
      </c>
      <c r="CL3554" s="1789"/>
      <c r="CR3554" s="345"/>
      <c r="CS3554" s="345"/>
      <c r="DH3554" s="237"/>
      <c r="DI3554" s="237"/>
      <c r="DP3554" s="2505"/>
    </row>
    <row r="3555" spans="30:120">
      <c r="AD3555" s="1138"/>
      <c r="BH3555" s="1790"/>
      <c r="BN3555" s="237">
        <v>35.14</v>
      </c>
      <c r="BO3555" s="237" t="s">
        <v>361</v>
      </c>
      <c r="CD3555" s="237">
        <v>302.08</v>
      </c>
      <c r="CE3555" s="237" t="s">
        <v>343</v>
      </c>
      <c r="CL3555" s="1789"/>
      <c r="CR3555" s="345"/>
      <c r="CS3555" s="345"/>
      <c r="DH3555" s="237"/>
      <c r="DI3555" s="237"/>
      <c r="DP3555" s="2505"/>
    </row>
    <row r="3556" spans="30:120">
      <c r="AD3556" s="1138"/>
      <c r="BH3556" s="1790"/>
      <c r="BN3556" s="237">
        <v>36</v>
      </c>
      <c r="BO3556" s="237" t="s">
        <v>361</v>
      </c>
      <c r="CD3556" s="345">
        <v>302.08999999999997</v>
      </c>
      <c r="CE3556" s="345" t="s">
        <v>317</v>
      </c>
      <c r="CL3556" s="1789"/>
      <c r="CR3556" s="345"/>
      <c r="CS3556" s="345"/>
      <c r="DH3556" s="237"/>
      <c r="DI3556" s="237"/>
      <c r="DP3556" s="2505"/>
    </row>
    <row r="3557" spans="30:120">
      <c r="AD3557" s="1138"/>
      <c r="BH3557" s="1790"/>
      <c r="BN3557" s="237">
        <v>37</v>
      </c>
      <c r="BO3557" s="237" t="s">
        <v>361</v>
      </c>
      <c r="CD3557" s="237">
        <v>302.08999999999997</v>
      </c>
      <c r="CE3557" s="237" t="s">
        <v>343</v>
      </c>
      <c r="CL3557" s="1789"/>
      <c r="CR3557" s="345"/>
      <c r="CS3557" s="345"/>
      <c r="DH3557" s="237"/>
      <c r="DI3557" s="237"/>
      <c r="DP3557" s="2505"/>
    </row>
    <row r="3558" spans="30:120">
      <c r="AD3558" s="1138"/>
      <c r="BH3558" s="1790"/>
      <c r="BN3558" s="237">
        <v>38.01</v>
      </c>
      <c r="BO3558" s="237" t="s">
        <v>361</v>
      </c>
      <c r="CD3558" s="345">
        <v>302.10000000000002</v>
      </c>
      <c r="CE3558" s="345" t="s">
        <v>317</v>
      </c>
      <c r="CL3558" s="1789"/>
      <c r="CR3558" s="345"/>
      <c r="CS3558" s="345"/>
      <c r="DH3558" s="237"/>
      <c r="DI3558" s="237"/>
      <c r="DP3558" s="2505"/>
    </row>
    <row r="3559" spans="30:120">
      <c r="AD3559" s="1138"/>
      <c r="BH3559" s="1790"/>
      <c r="BN3559" s="237">
        <v>38.020000000000003</v>
      </c>
      <c r="BO3559" s="237" t="s">
        <v>361</v>
      </c>
      <c r="CD3559" s="237">
        <v>302.10000000000002</v>
      </c>
      <c r="CE3559" s="237" t="s">
        <v>343</v>
      </c>
      <c r="CL3559" s="1789"/>
      <c r="CR3559" s="345"/>
      <c r="CS3559" s="345"/>
      <c r="DH3559" s="237"/>
      <c r="DI3559" s="237"/>
      <c r="DP3559" s="2505"/>
    </row>
    <row r="3560" spans="30:120">
      <c r="AD3560" s="1138"/>
      <c r="BH3560" s="1790"/>
      <c r="BN3560" s="237">
        <v>39.01</v>
      </c>
      <c r="BO3560" s="237" t="s">
        <v>361</v>
      </c>
      <c r="CD3560" s="237">
        <v>302.11</v>
      </c>
      <c r="CE3560" s="237" t="s">
        <v>343</v>
      </c>
      <c r="CL3560" s="1789"/>
      <c r="CR3560" s="345"/>
      <c r="CS3560" s="345"/>
      <c r="DH3560" s="237"/>
      <c r="DI3560" s="237"/>
      <c r="DP3560" s="2505"/>
    </row>
    <row r="3561" spans="30:120">
      <c r="AD3561" s="1138"/>
      <c r="BH3561" s="1790"/>
      <c r="BN3561" s="237">
        <v>39.020000000000003</v>
      </c>
      <c r="BO3561" s="237" t="s">
        <v>361</v>
      </c>
      <c r="CD3561" s="237">
        <v>303</v>
      </c>
      <c r="CE3561" s="237" t="s">
        <v>344</v>
      </c>
      <c r="CL3561" s="1789"/>
      <c r="CR3561" s="345"/>
      <c r="CS3561" s="345"/>
      <c r="DH3561" s="237"/>
      <c r="DI3561" s="237"/>
      <c r="DP3561" s="2505"/>
    </row>
    <row r="3562" spans="30:120">
      <c r="AD3562" s="1138"/>
      <c r="BH3562" s="1790"/>
      <c r="BN3562" s="237">
        <v>40.049999999999997</v>
      </c>
      <c r="BO3562" s="237" t="s">
        <v>361</v>
      </c>
      <c r="CD3562" s="345">
        <v>303.01</v>
      </c>
      <c r="CE3562" s="345" t="s">
        <v>310</v>
      </c>
      <c r="CL3562" s="1789"/>
      <c r="CR3562" s="345"/>
      <c r="CS3562" s="345"/>
      <c r="DH3562" s="237"/>
      <c r="DI3562" s="237"/>
      <c r="DP3562" s="2505"/>
    </row>
    <row r="3563" spans="30:120">
      <c r="AD3563" s="1138"/>
      <c r="BH3563" s="1790"/>
      <c r="BN3563" s="237">
        <v>40.07</v>
      </c>
      <c r="BO3563" s="237" t="s">
        <v>361</v>
      </c>
      <c r="CD3563" s="345">
        <v>303.01</v>
      </c>
      <c r="CE3563" s="345" t="s">
        <v>315</v>
      </c>
      <c r="CL3563" s="1789"/>
      <c r="CR3563" s="345"/>
      <c r="CS3563" s="345"/>
      <c r="DH3563" s="237"/>
      <c r="DI3563" s="237"/>
      <c r="DP3563" s="2505"/>
    </row>
    <row r="3564" spans="30:120">
      <c r="AD3564" s="1138"/>
      <c r="BH3564" s="1790"/>
      <c r="BN3564" s="237">
        <v>40.08</v>
      </c>
      <c r="BO3564" s="237" t="s">
        <v>361</v>
      </c>
      <c r="CD3564" s="345">
        <v>303.02</v>
      </c>
      <c r="CE3564" s="345" t="s">
        <v>310</v>
      </c>
      <c r="CL3564" s="1789"/>
      <c r="CR3564" s="345"/>
      <c r="CS3564" s="345"/>
      <c r="DH3564" s="237"/>
      <c r="DI3564" s="237"/>
      <c r="DP3564" s="2505"/>
    </row>
    <row r="3565" spans="30:120">
      <c r="AD3565" s="1138"/>
      <c r="BH3565" s="1790"/>
      <c r="BN3565" s="237">
        <v>40.090000000000003</v>
      </c>
      <c r="BO3565" s="237" t="s">
        <v>361</v>
      </c>
      <c r="CD3565" s="345">
        <v>303.02</v>
      </c>
      <c r="CE3565" s="345" t="s">
        <v>315</v>
      </c>
      <c r="CL3565" s="1789"/>
      <c r="CR3565" s="345"/>
      <c r="CS3565" s="345"/>
      <c r="DH3565" s="237"/>
      <c r="DI3565" s="237"/>
      <c r="DP3565" s="2505"/>
    </row>
    <row r="3566" spans="30:120">
      <c r="AD3566" s="1138"/>
      <c r="BH3566" s="1790"/>
      <c r="BN3566" s="237">
        <v>40.1</v>
      </c>
      <c r="BO3566" s="237" t="s">
        <v>361</v>
      </c>
      <c r="CD3566" s="237">
        <v>303.02</v>
      </c>
      <c r="CE3566" s="237" t="s">
        <v>343</v>
      </c>
      <c r="CL3566" s="1789"/>
      <c r="CR3566" s="345"/>
      <c r="CS3566" s="345"/>
      <c r="DH3566" s="237"/>
      <c r="DI3566" s="237"/>
      <c r="DP3566" s="2505"/>
    </row>
    <row r="3567" spans="30:120">
      <c r="AD3567" s="1138"/>
      <c r="BH3567" s="1790"/>
      <c r="BN3567" s="237">
        <v>40.11</v>
      </c>
      <c r="BO3567" s="237" t="s">
        <v>361</v>
      </c>
      <c r="CD3567" s="345">
        <v>303.02999999999997</v>
      </c>
      <c r="CE3567" s="345" t="s">
        <v>317</v>
      </c>
      <c r="CL3567" s="1789"/>
      <c r="CR3567" s="345"/>
      <c r="CS3567" s="345"/>
      <c r="DH3567" s="237"/>
      <c r="DI3567" s="237"/>
      <c r="DP3567" s="2505"/>
    </row>
    <row r="3568" spans="30:120">
      <c r="AD3568" s="1138"/>
      <c r="BH3568" s="1790"/>
      <c r="BN3568" s="237">
        <v>40.119999999999997</v>
      </c>
      <c r="BO3568" s="237" t="s">
        <v>361</v>
      </c>
      <c r="CD3568" s="237">
        <v>303.02999999999997</v>
      </c>
      <c r="CE3568" s="237" t="s">
        <v>362</v>
      </c>
      <c r="CL3568" s="1789"/>
      <c r="CR3568" s="345"/>
      <c r="CS3568" s="345"/>
      <c r="DH3568" s="237"/>
      <c r="DI3568" s="237"/>
      <c r="DP3568" s="2505"/>
    </row>
    <row r="3569" spans="30:120">
      <c r="AD3569" s="1138"/>
      <c r="BH3569" s="1790"/>
      <c r="BN3569" s="237">
        <v>40.130000000000003</v>
      </c>
      <c r="BO3569" s="237" t="s">
        <v>361</v>
      </c>
      <c r="CD3569" s="345">
        <v>303.04000000000002</v>
      </c>
      <c r="CE3569" s="345" t="s">
        <v>317</v>
      </c>
      <c r="CL3569" s="1789"/>
      <c r="CR3569" s="345"/>
      <c r="CS3569" s="345"/>
      <c r="DH3569" s="237"/>
      <c r="DI3569" s="237"/>
      <c r="DP3569" s="2505"/>
    </row>
    <row r="3570" spans="30:120">
      <c r="AD3570" s="1138"/>
      <c r="BH3570" s="1790"/>
      <c r="BN3570" s="237">
        <v>41.01</v>
      </c>
      <c r="BO3570" s="237" t="s">
        <v>361</v>
      </c>
      <c r="CD3570" s="237">
        <v>303.04000000000002</v>
      </c>
      <c r="CE3570" s="237" t="s">
        <v>362</v>
      </c>
      <c r="CL3570" s="1789"/>
      <c r="CR3570" s="345"/>
      <c r="CS3570" s="345"/>
      <c r="DH3570" s="237"/>
      <c r="DI3570" s="237"/>
      <c r="DP3570" s="2505"/>
    </row>
    <row r="3571" spans="30:120">
      <c r="AD3571" s="1138"/>
      <c r="BH3571" s="1790"/>
      <c r="BN3571" s="237">
        <v>41.02</v>
      </c>
      <c r="BO3571" s="237" t="s">
        <v>361</v>
      </c>
      <c r="CD3571" s="345">
        <v>303.05</v>
      </c>
      <c r="CE3571" s="345" t="s">
        <v>317</v>
      </c>
      <c r="CL3571" s="1789"/>
      <c r="CR3571" s="345"/>
      <c r="CS3571" s="345"/>
      <c r="DH3571" s="237"/>
      <c r="DI3571" s="237"/>
      <c r="DP3571" s="2505"/>
    </row>
    <row r="3572" spans="30:120">
      <c r="AD3572" s="1138"/>
      <c r="BH3572" s="1790"/>
      <c r="BN3572" s="237">
        <v>42.03</v>
      </c>
      <c r="BO3572" s="237" t="s">
        <v>361</v>
      </c>
      <c r="CD3572" s="237">
        <v>303.05</v>
      </c>
      <c r="CE3572" s="237" t="s">
        <v>343</v>
      </c>
      <c r="CL3572" s="1789"/>
      <c r="CR3572" s="345"/>
      <c r="CS3572" s="345"/>
      <c r="DH3572" s="237"/>
      <c r="DI3572" s="237"/>
      <c r="DP3572" s="2505"/>
    </row>
    <row r="3573" spans="30:120">
      <c r="AD3573" s="1138"/>
      <c r="BH3573" s="1790"/>
      <c r="BN3573" s="237">
        <v>42.04</v>
      </c>
      <c r="BO3573" s="237" t="s">
        <v>361</v>
      </c>
      <c r="CD3573" s="345">
        <v>303.06</v>
      </c>
      <c r="CE3573" s="345" t="s">
        <v>317</v>
      </c>
      <c r="CL3573" s="1789"/>
      <c r="CR3573" s="345"/>
      <c r="CS3573" s="345"/>
      <c r="DH3573" s="237"/>
      <c r="DI3573" s="237"/>
      <c r="DP3573" s="2505"/>
    </row>
    <row r="3574" spans="30:120">
      <c r="AD3574" s="1138"/>
      <c r="BH3574" s="1790"/>
      <c r="BN3574" s="237">
        <v>42.05</v>
      </c>
      <c r="BO3574" s="237" t="s">
        <v>361</v>
      </c>
      <c r="CD3574" s="237">
        <v>303.06</v>
      </c>
      <c r="CE3574" s="237" t="s">
        <v>343</v>
      </c>
      <c r="CL3574" s="1789"/>
      <c r="CR3574" s="345"/>
      <c r="CS3574" s="345"/>
      <c r="DH3574" s="237"/>
      <c r="DI3574" s="237"/>
      <c r="DP3574" s="2505"/>
    </row>
    <row r="3575" spans="30:120">
      <c r="AD3575" s="1138"/>
      <c r="BH3575" s="1790"/>
      <c r="BN3575" s="237">
        <v>42.06</v>
      </c>
      <c r="BO3575" s="237" t="s">
        <v>361</v>
      </c>
      <c r="CD3575" s="237">
        <v>303.07</v>
      </c>
      <c r="CE3575" s="237" t="s">
        <v>343</v>
      </c>
      <c r="CL3575" s="1789"/>
      <c r="CR3575" s="345"/>
      <c r="CS3575" s="345"/>
      <c r="DH3575" s="237"/>
      <c r="DI3575" s="237"/>
      <c r="DP3575" s="2505"/>
    </row>
    <row r="3576" spans="30:120">
      <c r="AD3576" s="1138"/>
      <c r="BH3576" s="1790"/>
      <c r="BN3576" s="237">
        <v>42.07</v>
      </c>
      <c r="BO3576" s="237" t="s">
        <v>361</v>
      </c>
      <c r="CD3576" s="237">
        <v>303.08</v>
      </c>
      <c r="CE3576" s="237" t="s">
        <v>343</v>
      </c>
      <c r="CL3576" s="1789"/>
      <c r="CR3576" s="345"/>
      <c r="CS3576" s="345"/>
      <c r="DH3576" s="237"/>
      <c r="DI3576" s="237"/>
      <c r="DP3576" s="2505"/>
    </row>
    <row r="3577" spans="30:120">
      <c r="AD3577" s="1138"/>
      <c r="BH3577" s="1790"/>
      <c r="BN3577" s="237">
        <v>43</v>
      </c>
      <c r="BO3577" s="237" t="s">
        <v>361</v>
      </c>
      <c r="CD3577" s="345">
        <v>304</v>
      </c>
      <c r="CE3577" s="345" t="s">
        <v>317</v>
      </c>
      <c r="CL3577" s="1789"/>
      <c r="CR3577" s="345"/>
      <c r="CS3577" s="345"/>
      <c r="DH3577" s="237"/>
      <c r="DI3577" s="237"/>
      <c r="DP3577" s="2505"/>
    </row>
    <row r="3578" spans="30:120">
      <c r="AD3578" s="1138"/>
      <c r="BH3578" s="1790"/>
      <c r="BN3578" s="237">
        <v>44.01</v>
      </c>
      <c r="BO3578" s="237" t="s">
        <v>361</v>
      </c>
      <c r="CD3578" s="345">
        <v>304.01</v>
      </c>
      <c r="CE3578" s="345" t="s">
        <v>310</v>
      </c>
      <c r="CL3578" s="1789"/>
      <c r="CR3578" s="345"/>
      <c r="CS3578" s="345"/>
      <c r="DH3578" s="237"/>
      <c r="DI3578" s="237"/>
      <c r="DP3578" s="2505"/>
    </row>
    <row r="3579" spans="30:120">
      <c r="AD3579" s="1138"/>
      <c r="BH3579" s="1790"/>
      <c r="BN3579" s="237">
        <v>44.02</v>
      </c>
      <c r="BO3579" s="237" t="s">
        <v>361</v>
      </c>
      <c r="CD3579" s="345">
        <v>304.01</v>
      </c>
      <c r="CE3579" s="345" t="s">
        <v>315</v>
      </c>
      <c r="CL3579" s="1789"/>
      <c r="CR3579" s="345"/>
      <c r="CS3579" s="345"/>
      <c r="DH3579" s="237"/>
      <c r="DI3579" s="237"/>
      <c r="DP3579" s="2505"/>
    </row>
    <row r="3580" spans="30:120">
      <c r="AD3580" s="1138"/>
      <c r="BH3580" s="1790"/>
      <c r="BN3580" s="237">
        <v>45</v>
      </c>
      <c r="BO3580" s="237" t="s">
        <v>361</v>
      </c>
      <c r="CD3580" s="345">
        <v>304.02</v>
      </c>
      <c r="CE3580" s="345" t="s">
        <v>310</v>
      </c>
      <c r="CL3580" s="1789"/>
      <c r="CR3580" s="345"/>
      <c r="CS3580" s="345"/>
      <c r="DH3580" s="237"/>
      <c r="DI3580" s="237"/>
      <c r="DP3580" s="2505"/>
    </row>
    <row r="3581" spans="30:120">
      <c r="AD3581" s="1138"/>
      <c r="BH3581" s="1790"/>
      <c r="BN3581" s="237">
        <v>46.01</v>
      </c>
      <c r="BO3581" s="237" t="s">
        <v>361</v>
      </c>
      <c r="CD3581" s="345">
        <v>304.02</v>
      </c>
      <c r="CE3581" s="345" t="s">
        <v>315</v>
      </c>
      <c r="CL3581" s="1789"/>
      <c r="CR3581" s="345"/>
      <c r="CS3581" s="345"/>
      <c r="DH3581" s="237"/>
      <c r="DI3581" s="237"/>
      <c r="DP3581" s="2505"/>
    </row>
    <row r="3582" spans="30:120">
      <c r="AD3582" s="1138"/>
      <c r="BH3582" s="1790"/>
      <c r="BN3582" s="237">
        <v>46.02</v>
      </c>
      <c r="BO3582" s="237" t="s">
        <v>361</v>
      </c>
      <c r="CD3582" s="237">
        <v>304.04000000000002</v>
      </c>
      <c r="CE3582" s="237" t="s">
        <v>362</v>
      </c>
      <c r="CL3582" s="1789"/>
      <c r="CR3582" s="345"/>
      <c r="CS3582" s="345"/>
      <c r="DH3582" s="237"/>
      <c r="DI3582" s="237"/>
      <c r="DP3582" s="2505"/>
    </row>
    <row r="3583" spans="30:120">
      <c r="AD3583" s="1138"/>
      <c r="BH3583" s="1790"/>
      <c r="BN3583" s="237">
        <v>47.02</v>
      </c>
      <c r="BO3583" s="237" t="s">
        <v>361</v>
      </c>
      <c r="CD3583" s="237">
        <v>304.05</v>
      </c>
      <c r="CE3583" s="237" t="s">
        <v>343</v>
      </c>
      <c r="CL3583" s="1789"/>
      <c r="CR3583" s="345"/>
      <c r="CS3583" s="345"/>
      <c r="DH3583" s="237"/>
      <c r="DI3583" s="237"/>
      <c r="DP3583" s="2505"/>
    </row>
    <row r="3584" spans="30:120">
      <c r="AD3584" s="1138"/>
      <c r="BH3584" s="1790"/>
      <c r="BN3584" s="237">
        <v>47.04</v>
      </c>
      <c r="BO3584" s="237" t="s">
        <v>361</v>
      </c>
      <c r="CD3584" s="237">
        <v>304.05</v>
      </c>
      <c r="CE3584" s="237" t="s">
        <v>362</v>
      </c>
      <c r="CL3584" s="1789"/>
      <c r="CR3584" s="345"/>
      <c r="CS3584" s="345"/>
      <c r="DH3584" s="237"/>
      <c r="DI3584" s="237"/>
      <c r="DP3584" s="2505"/>
    </row>
    <row r="3585" spans="30:120">
      <c r="AD3585" s="1138"/>
      <c r="BH3585" s="1790"/>
      <c r="BN3585" s="237">
        <v>47.05</v>
      </c>
      <c r="BO3585" s="237" t="s">
        <v>361</v>
      </c>
      <c r="CD3585" s="237">
        <v>304.06</v>
      </c>
      <c r="CE3585" s="237" t="s">
        <v>343</v>
      </c>
      <c r="CL3585" s="1789"/>
      <c r="CR3585" s="345"/>
      <c r="CS3585" s="345"/>
      <c r="DH3585" s="237"/>
      <c r="DI3585" s="237"/>
      <c r="DP3585" s="2505"/>
    </row>
    <row r="3586" spans="30:120">
      <c r="AD3586" s="1138"/>
      <c r="BH3586" s="1790"/>
      <c r="BN3586" s="237">
        <v>47.06</v>
      </c>
      <c r="BO3586" s="237" t="s">
        <v>361</v>
      </c>
      <c r="CD3586" s="237">
        <v>304.06</v>
      </c>
      <c r="CE3586" s="237" t="s">
        <v>362</v>
      </c>
      <c r="CL3586" s="1789"/>
      <c r="CR3586" s="345"/>
      <c r="CS3586" s="345"/>
      <c r="DH3586" s="237"/>
      <c r="DI3586" s="237"/>
      <c r="DP3586" s="2505"/>
    </row>
    <row r="3587" spans="30:120">
      <c r="AD3587" s="1138"/>
      <c r="BH3587" s="1790"/>
      <c r="BN3587" s="237">
        <v>48.1</v>
      </c>
      <c r="BO3587" s="237" t="s">
        <v>361</v>
      </c>
      <c r="CD3587" s="237">
        <v>304.07</v>
      </c>
      <c r="CE3587" s="237" t="s">
        <v>343</v>
      </c>
      <c r="CL3587" s="1789"/>
      <c r="CR3587" s="345"/>
      <c r="CS3587" s="345"/>
      <c r="DH3587" s="237"/>
      <c r="DI3587" s="237"/>
      <c r="DP3587" s="2505"/>
    </row>
    <row r="3588" spans="30:120">
      <c r="AD3588" s="1138"/>
      <c r="BH3588" s="1790"/>
      <c r="BN3588" s="237">
        <v>48.13</v>
      </c>
      <c r="BO3588" s="237" t="s">
        <v>361</v>
      </c>
      <c r="CD3588" s="237">
        <v>304.07</v>
      </c>
      <c r="CE3588" s="237" t="s">
        <v>362</v>
      </c>
      <c r="CL3588" s="1789"/>
      <c r="CR3588" s="345"/>
      <c r="CS3588" s="345"/>
      <c r="DH3588" s="237"/>
      <c r="DI3588" s="237"/>
      <c r="DP3588" s="2505"/>
    </row>
    <row r="3589" spans="30:120">
      <c r="AD3589" s="1138"/>
      <c r="BH3589" s="1790"/>
      <c r="BN3589" s="237">
        <v>48.15</v>
      </c>
      <c r="BO3589" s="237" t="s">
        <v>361</v>
      </c>
      <c r="CD3589" s="237">
        <v>304.08</v>
      </c>
      <c r="CE3589" s="237" t="s">
        <v>343</v>
      </c>
      <c r="CL3589" s="1789"/>
      <c r="CR3589" s="345"/>
      <c r="CS3589" s="345"/>
      <c r="DH3589" s="237"/>
      <c r="DI3589" s="237"/>
      <c r="DP3589" s="2505"/>
    </row>
    <row r="3590" spans="30:120">
      <c r="AD3590" s="1138"/>
      <c r="BH3590" s="1790"/>
      <c r="BN3590" s="237">
        <v>48.16</v>
      </c>
      <c r="BO3590" s="237" t="s">
        <v>361</v>
      </c>
      <c r="CD3590" s="237">
        <v>304.08</v>
      </c>
      <c r="CE3590" s="237" t="s">
        <v>362</v>
      </c>
      <c r="CL3590" s="1789"/>
      <c r="CR3590" s="345"/>
      <c r="CS3590" s="345"/>
      <c r="DH3590" s="237"/>
      <c r="DI3590" s="237"/>
      <c r="DP3590" s="2505"/>
    </row>
    <row r="3591" spans="30:120">
      <c r="AD3591" s="1138"/>
      <c r="BH3591" s="1790"/>
      <c r="BN3591" s="237">
        <v>48.17</v>
      </c>
      <c r="BO3591" s="237" t="s">
        <v>361</v>
      </c>
      <c r="CD3591" s="237">
        <v>304.08999999999997</v>
      </c>
      <c r="CE3591" s="237" t="s">
        <v>343</v>
      </c>
      <c r="CL3591" s="1789"/>
      <c r="CR3591" s="345"/>
      <c r="CS3591" s="345"/>
      <c r="DH3591" s="237"/>
      <c r="DI3591" s="237"/>
      <c r="DP3591" s="2505"/>
    </row>
    <row r="3592" spans="30:120">
      <c r="AD3592" s="1138"/>
      <c r="BH3592" s="1790"/>
      <c r="BN3592" s="237">
        <v>48.18</v>
      </c>
      <c r="BO3592" s="237" t="s">
        <v>361</v>
      </c>
      <c r="CD3592" s="237">
        <v>304.08999999999997</v>
      </c>
      <c r="CE3592" s="237" t="s">
        <v>362</v>
      </c>
      <c r="CL3592" s="1789"/>
      <c r="CR3592" s="345"/>
      <c r="CS3592" s="345"/>
      <c r="DH3592" s="237"/>
      <c r="DI3592" s="237"/>
      <c r="DP3592" s="2505"/>
    </row>
    <row r="3593" spans="30:120">
      <c r="AD3593" s="1138"/>
      <c r="BH3593" s="1790"/>
      <c r="BN3593" s="237">
        <v>48.19</v>
      </c>
      <c r="BO3593" s="237" t="s">
        <v>361</v>
      </c>
      <c r="CD3593" s="237">
        <v>304.10000000000002</v>
      </c>
      <c r="CE3593" s="237" t="s">
        <v>343</v>
      </c>
      <c r="CL3593" s="1789"/>
      <c r="CR3593" s="345"/>
      <c r="CS3593" s="345"/>
      <c r="DH3593" s="237"/>
      <c r="DI3593" s="237"/>
      <c r="DP3593" s="2505"/>
    </row>
    <row r="3594" spans="30:120">
      <c r="AD3594" s="1138"/>
      <c r="BH3594" s="1790"/>
      <c r="BN3594" s="237">
        <v>48.2</v>
      </c>
      <c r="BO3594" s="237" t="s">
        <v>361</v>
      </c>
      <c r="CD3594" s="237">
        <v>304.10000000000002</v>
      </c>
      <c r="CE3594" s="237" t="s">
        <v>362</v>
      </c>
      <c r="CL3594" s="1789"/>
      <c r="CR3594" s="345"/>
      <c r="CS3594" s="345"/>
      <c r="DH3594" s="237"/>
      <c r="DI3594" s="237"/>
      <c r="DP3594" s="2505"/>
    </row>
    <row r="3595" spans="30:120">
      <c r="AD3595" s="1138"/>
      <c r="BH3595" s="1790"/>
      <c r="BN3595" s="237">
        <v>48.21</v>
      </c>
      <c r="BO3595" s="237" t="s">
        <v>361</v>
      </c>
      <c r="CD3595" s="237">
        <v>304.11</v>
      </c>
      <c r="CE3595" s="237" t="s">
        <v>343</v>
      </c>
      <c r="CL3595" s="1789"/>
      <c r="CR3595" s="345"/>
      <c r="CS3595" s="345"/>
      <c r="DH3595" s="237"/>
      <c r="DI3595" s="237"/>
      <c r="DP3595" s="2505"/>
    </row>
    <row r="3596" spans="30:120">
      <c r="AD3596" s="1138"/>
      <c r="BH3596" s="1790"/>
      <c r="BN3596" s="237">
        <v>48.22</v>
      </c>
      <c r="BO3596" s="237" t="s">
        <v>361</v>
      </c>
      <c r="CD3596" s="237">
        <v>304.11</v>
      </c>
      <c r="CE3596" s="237" t="s">
        <v>362</v>
      </c>
      <c r="CL3596" s="1789"/>
      <c r="CR3596" s="345"/>
      <c r="CS3596" s="345"/>
      <c r="DH3596" s="237"/>
      <c r="DI3596" s="237"/>
      <c r="DP3596" s="2505"/>
    </row>
    <row r="3597" spans="30:120">
      <c r="AD3597" s="1138"/>
      <c r="BH3597" s="1790"/>
      <c r="BN3597" s="237">
        <v>48.23</v>
      </c>
      <c r="BO3597" s="237" t="s">
        <v>361</v>
      </c>
      <c r="CD3597" s="237">
        <v>304.12</v>
      </c>
      <c r="CE3597" s="237" t="s">
        <v>362</v>
      </c>
      <c r="CL3597" s="1789"/>
      <c r="CR3597" s="345"/>
      <c r="CS3597" s="345"/>
      <c r="DH3597" s="237"/>
      <c r="DI3597" s="237"/>
      <c r="DP3597" s="2505"/>
    </row>
    <row r="3598" spans="30:120">
      <c r="AD3598" s="1138"/>
      <c r="BH3598" s="1790"/>
      <c r="BN3598" s="237">
        <v>49.02</v>
      </c>
      <c r="BO3598" s="237" t="s">
        <v>361</v>
      </c>
      <c r="CD3598" s="345">
        <v>305</v>
      </c>
      <c r="CE3598" s="345" t="s">
        <v>310</v>
      </c>
      <c r="CL3598" s="1789"/>
      <c r="CR3598" s="345"/>
      <c r="CS3598" s="345"/>
      <c r="DH3598" s="237"/>
      <c r="DI3598" s="237"/>
      <c r="DP3598" s="2505"/>
    </row>
    <row r="3599" spans="30:120">
      <c r="AD3599" s="1138"/>
      <c r="BH3599" s="1790"/>
      <c r="BN3599" s="237">
        <v>49.03</v>
      </c>
      <c r="BO3599" s="237" t="s">
        <v>361</v>
      </c>
      <c r="CD3599" s="345">
        <v>305</v>
      </c>
      <c r="CE3599" s="345" t="s">
        <v>317</v>
      </c>
      <c r="CL3599" s="1789"/>
      <c r="CR3599" s="345"/>
      <c r="CS3599" s="345"/>
      <c r="DH3599" s="237"/>
      <c r="DI3599" s="237"/>
      <c r="DP3599" s="2505"/>
    </row>
    <row r="3600" spans="30:120">
      <c r="AD3600" s="1138"/>
      <c r="BH3600" s="1790"/>
      <c r="BN3600" s="237">
        <v>49.04</v>
      </c>
      <c r="BO3600" s="237" t="s">
        <v>361</v>
      </c>
      <c r="CD3600" s="345">
        <v>305.01</v>
      </c>
      <c r="CE3600" s="345" t="s">
        <v>315</v>
      </c>
      <c r="CL3600" s="1789"/>
      <c r="CR3600" s="345"/>
      <c r="CS3600" s="345"/>
      <c r="DH3600" s="237"/>
      <c r="DI3600" s="237"/>
      <c r="DP3600" s="2505"/>
    </row>
    <row r="3601" spans="30:120">
      <c r="AD3601" s="1138"/>
      <c r="BH3601" s="1790"/>
      <c r="BN3601" s="237">
        <v>50</v>
      </c>
      <c r="BO3601" s="237" t="s">
        <v>361</v>
      </c>
      <c r="CD3601" s="237">
        <v>305.01</v>
      </c>
      <c r="CE3601" s="237" t="s">
        <v>362</v>
      </c>
      <c r="CL3601" s="1789"/>
      <c r="CR3601" s="345"/>
      <c r="CS3601" s="345"/>
      <c r="DH3601" s="237"/>
      <c r="DI3601" s="237"/>
      <c r="DP3601" s="2505"/>
    </row>
    <row r="3602" spans="30:120">
      <c r="AD3602" s="1138"/>
      <c r="BH3602" s="1790"/>
      <c r="BN3602" s="237">
        <v>51.01</v>
      </c>
      <c r="BO3602" s="237" t="s">
        <v>361</v>
      </c>
      <c r="CD3602" s="237">
        <v>305.02</v>
      </c>
      <c r="CE3602" s="237" t="s">
        <v>362</v>
      </c>
      <c r="CL3602" s="1789"/>
      <c r="CR3602" s="345"/>
      <c r="CS3602" s="345"/>
      <c r="DH3602" s="237"/>
      <c r="DI3602" s="237"/>
      <c r="DP3602" s="2505"/>
    </row>
    <row r="3603" spans="30:120">
      <c r="AD3603" s="1138"/>
      <c r="BH3603" s="1790"/>
      <c r="BN3603" s="237">
        <v>51.02</v>
      </c>
      <c r="BO3603" s="237" t="s">
        <v>361</v>
      </c>
      <c r="CD3603" s="345">
        <v>305.04000000000002</v>
      </c>
      <c r="CE3603" s="345" t="s">
        <v>315</v>
      </c>
      <c r="CL3603" s="1789"/>
      <c r="CR3603" s="345"/>
      <c r="CS3603" s="345"/>
      <c r="DH3603" s="237"/>
      <c r="DI3603" s="237"/>
      <c r="DP3603" s="2505"/>
    </row>
    <row r="3604" spans="30:120">
      <c r="AD3604" s="1138"/>
      <c r="BH3604" s="1790"/>
      <c r="BN3604" s="237">
        <v>52.02</v>
      </c>
      <c r="BO3604" s="237" t="s">
        <v>361</v>
      </c>
      <c r="CD3604" s="345">
        <v>305.05</v>
      </c>
      <c r="CE3604" s="345" t="s">
        <v>315</v>
      </c>
      <c r="CL3604" s="1789"/>
      <c r="CR3604" s="345"/>
      <c r="CS3604" s="345"/>
      <c r="DH3604" s="237"/>
      <c r="DI3604" s="237"/>
      <c r="DP3604" s="2505"/>
    </row>
    <row r="3605" spans="30:120">
      <c r="AD3605" s="1138"/>
      <c r="BH3605" s="1790"/>
      <c r="BN3605" s="237">
        <v>52.03</v>
      </c>
      <c r="BO3605" s="237" t="s">
        <v>361</v>
      </c>
      <c r="CD3605" s="237">
        <v>305.05</v>
      </c>
      <c r="CE3605" s="237" t="s">
        <v>343</v>
      </c>
      <c r="CL3605" s="1789"/>
      <c r="CR3605" s="345"/>
      <c r="CS3605" s="345"/>
      <c r="DH3605" s="237"/>
      <c r="DI3605" s="237"/>
      <c r="DP3605" s="2505"/>
    </row>
    <row r="3606" spans="30:120">
      <c r="AD3606" s="1138"/>
      <c r="BH3606" s="1790"/>
      <c r="BN3606" s="237">
        <v>52.04</v>
      </c>
      <c r="BO3606" s="237" t="s">
        <v>361</v>
      </c>
      <c r="CD3606" s="345">
        <v>305.06</v>
      </c>
      <c r="CE3606" s="345" t="s">
        <v>315</v>
      </c>
      <c r="CL3606" s="1789"/>
      <c r="CR3606" s="345"/>
      <c r="CS3606" s="345"/>
      <c r="DH3606" s="237"/>
      <c r="DI3606" s="237"/>
      <c r="DP3606" s="2505"/>
    </row>
    <row r="3607" spans="30:120">
      <c r="AD3607" s="1138"/>
      <c r="BH3607" s="1790"/>
      <c r="BN3607" s="237">
        <v>53</v>
      </c>
      <c r="BO3607" s="237" t="s">
        <v>361</v>
      </c>
      <c r="CD3607" s="237">
        <v>305.06</v>
      </c>
      <c r="CE3607" s="237" t="s">
        <v>343</v>
      </c>
      <c r="CL3607" s="1789"/>
      <c r="CR3607" s="345"/>
      <c r="CS3607" s="345"/>
      <c r="DH3607" s="237"/>
      <c r="DI3607" s="237"/>
      <c r="DP3607" s="2505"/>
    </row>
    <row r="3608" spans="30:120">
      <c r="AD3608" s="1138"/>
      <c r="BH3608" s="1790"/>
      <c r="BN3608" s="237">
        <v>54.11</v>
      </c>
      <c r="BO3608" s="237" t="s">
        <v>361</v>
      </c>
      <c r="CD3608" s="345">
        <v>305.07</v>
      </c>
      <c r="CE3608" s="345" t="s">
        <v>315</v>
      </c>
      <c r="CL3608" s="1789"/>
      <c r="CR3608" s="345"/>
      <c r="CS3608" s="345"/>
      <c r="DH3608" s="237"/>
      <c r="DI3608" s="237"/>
      <c r="DP3608" s="2505"/>
    </row>
    <row r="3609" spans="30:120">
      <c r="AD3609" s="1138"/>
      <c r="BH3609" s="1790"/>
      <c r="BN3609" s="237">
        <v>54.12</v>
      </c>
      <c r="BO3609" s="237" t="s">
        <v>361</v>
      </c>
      <c r="CD3609" s="237">
        <v>305.07</v>
      </c>
      <c r="CE3609" s="237" t="s">
        <v>343</v>
      </c>
      <c r="CL3609" s="1789"/>
      <c r="CR3609" s="345"/>
      <c r="CS3609" s="345"/>
      <c r="DH3609" s="237"/>
      <c r="DI3609" s="237"/>
      <c r="DP3609" s="2505"/>
    </row>
    <row r="3610" spans="30:120">
      <c r="AD3610" s="1138"/>
      <c r="BH3610" s="1790"/>
      <c r="BN3610" s="237">
        <v>54.13</v>
      </c>
      <c r="BO3610" s="237" t="s">
        <v>361</v>
      </c>
      <c r="CD3610" s="345">
        <v>306</v>
      </c>
      <c r="CE3610" s="345" t="s">
        <v>317</v>
      </c>
      <c r="CL3610" s="1789"/>
      <c r="CR3610" s="345"/>
      <c r="CS3610" s="345"/>
      <c r="DH3610" s="237"/>
      <c r="DI3610" s="237"/>
      <c r="DP3610" s="2505"/>
    </row>
    <row r="3611" spans="30:120">
      <c r="AD3611" s="1138"/>
      <c r="BH3611" s="1790"/>
      <c r="BN3611" s="237">
        <v>55.01</v>
      </c>
      <c r="BO3611" s="237" t="s">
        <v>361</v>
      </c>
      <c r="CD3611" s="345">
        <v>306.01</v>
      </c>
      <c r="CE3611" s="345" t="s">
        <v>310</v>
      </c>
      <c r="CL3611" s="1789"/>
      <c r="CR3611" s="345"/>
      <c r="CS3611" s="345"/>
      <c r="DH3611" s="237"/>
      <c r="DI3611" s="237"/>
      <c r="DP3611" s="2505"/>
    </row>
    <row r="3612" spans="30:120">
      <c r="AD3612" s="1138"/>
      <c r="BH3612" s="1790"/>
      <c r="BN3612" s="237">
        <v>55.02</v>
      </c>
      <c r="BO3612" s="237" t="s">
        <v>361</v>
      </c>
      <c r="CD3612" s="237">
        <v>306.01</v>
      </c>
      <c r="CE3612" s="237" t="s">
        <v>343</v>
      </c>
      <c r="CL3612" s="1789"/>
      <c r="CR3612" s="345"/>
      <c r="CS3612" s="345"/>
      <c r="DH3612" s="237"/>
      <c r="DI3612" s="237"/>
      <c r="DP3612" s="2505"/>
    </row>
    <row r="3613" spans="30:120">
      <c r="AD3613" s="1138"/>
      <c r="BH3613" s="1790"/>
      <c r="BN3613" s="237">
        <v>56.01</v>
      </c>
      <c r="BO3613" s="237" t="s">
        <v>361</v>
      </c>
      <c r="CD3613" s="237">
        <v>306.01</v>
      </c>
      <c r="CE3613" s="237" t="s">
        <v>362</v>
      </c>
      <c r="CL3613" s="1789"/>
      <c r="CR3613" s="345"/>
      <c r="CS3613" s="345"/>
      <c r="DH3613" s="237"/>
      <c r="DI3613" s="237"/>
      <c r="DP3613" s="2505"/>
    </row>
    <row r="3614" spans="30:120">
      <c r="AD3614" s="1138"/>
      <c r="BH3614" s="1790"/>
      <c r="BN3614" s="237">
        <v>56.02</v>
      </c>
      <c r="BO3614" s="237" t="s">
        <v>361</v>
      </c>
      <c r="CD3614" s="345">
        <v>306.02</v>
      </c>
      <c r="CE3614" s="345" t="s">
        <v>310</v>
      </c>
      <c r="CL3614" s="1789"/>
      <c r="CR3614" s="345"/>
      <c r="CS3614" s="345"/>
      <c r="DH3614" s="237"/>
      <c r="DI3614" s="237"/>
      <c r="DP3614" s="2505"/>
    </row>
    <row r="3615" spans="30:120">
      <c r="AD3615" s="1138"/>
      <c r="BH3615" s="1790"/>
      <c r="BN3615" s="237">
        <v>57.02</v>
      </c>
      <c r="BO3615" s="237" t="s">
        <v>361</v>
      </c>
      <c r="CD3615" s="237">
        <v>306.02</v>
      </c>
      <c r="CE3615" s="237" t="s">
        <v>343</v>
      </c>
      <c r="CL3615" s="1789"/>
      <c r="CR3615" s="345"/>
      <c r="CS3615" s="345"/>
      <c r="DH3615" s="237"/>
      <c r="DI3615" s="237"/>
      <c r="DP3615" s="2505"/>
    </row>
    <row r="3616" spans="30:120">
      <c r="AD3616" s="1138"/>
      <c r="BH3616" s="1790"/>
      <c r="BN3616" s="237">
        <v>57.03</v>
      </c>
      <c r="BO3616" s="237" t="s">
        <v>361</v>
      </c>
      <c r="CD3616" s="237">
        <v>306.02</v>
      </c>
      <c r="CE3616" s="237" t="s">
        <v>362</v>
      </c>
      <c r="CL3616" s="1789"/>
      <c r="CR3616" s="345"/>
      <c r="CS3616" s="345"/>
      <c r="DH3616" s="237"/>
      <c r="DI3616" s="237"/>
      <c r="DP3616" s="2505"/>
    </row>
    <row r="3617" spans="30:120">
      <c r="AD3617" s="1138"/>
      <c r="BH3617" s="1790"/>
      <c r="BN3617" s="237">
        <v>57.04</v>
      </c>
      <c r="BO3617" s="237" t="s">
        <v>361</v>
      </c>
      <c r="CD3617" s="237">
        <v>307</v>
      </c>
      <c r="CE3617" s="237" t="s">
        <v>362</v>
      </c>
      <c r="CL3617" s="1789"/>
      <c r="CR3617" s="345"/>
      <c r="CS3617" s="345"/>
      <c r="DH3617" s="237"/>
      <c r="DI3617" s="237"/>
      <c r="DP3617" s="2505"/>
    </row>
    <row r="3618" spans="30:120">
      <c r="AD3618" s="1138"/>
      <c r="BH3618" s="1790"/>
      <c r="BN3618" s="237">
        <v>58.07</v>
      </c>
      <c r="BO3618" s="237" t="s">
        <v>361</v>
      </c>
      <c r="CD3618" s="345">
        <v>307.01</v>
      </c>
      <c r="CE3618" s="345" t="s">
        <v>317</v>
      </c>
      <c r="CL3618" s="1789"/>
      <c r="CR3618" s="345"/>
      <c r="CS3618" s="345"/>
      <c r="DH3618" s="237"/>
      <c r="DI3618" s="237"/>
      <c r="DP3618" s="2505"/>
    </row>
    <row r="3619" spans="30:120">
      <c r="AD3619" s="1138"/>
      <c r="BH3619" s="1790"/>
      <c r="BN3619" s="237">
        <v>58.1</v>
      </c>
      <c r="BO3619" s="237" t="s">
        <v>361</v>
      </c>
      <c r="CD3619" s="237">
        <v>307.01</v>
      </c>
      <c r="CE3619" s="237" t="s">
        <v>343</v>
      </c>
      <c r="CL3619" s="1789"/>
      <c r="CR3619" s="345"/>
      <c r="CS3619" s="345"/>
      <c r="DH3619" s="237"/>
      <c r="DI3619" s="237"/>
      <c r="DP3619" s="2505"/>
    </row>
    <row r="3620" spans="30:120">
      <c r="AD3620" s="1138"/>
      <c r="BH3620" s="1790"/>
      <c r="BN3620" s="237">
        <v>58.11</v>
      </c>
      <c r="BO3620" s="237" t="s">
        <v>361</v>
      </c>
      <c r="CD3620" s="345">
        <v>307.02</v>
      </c>
      <c r="CE3620" s="345" t="s">
        <v>310</v>
      </c>
      <c r="CL3620" s="1789"/>
      <c r="CR3620" s="345"/>
      <c r="CS3620" s="345"/>
      <c r="DH3620" s="237"/>
      <c r="DI3620" s="237"/>
      <c r="DP3620" s="2505"/>
    </row>
    <row r="3621" spans="30:120">
      <c r="AD3621" s="1138"/>
      <c r="BH3621" s="1790"/>
      <c r="BN3621" s="237">
        <v>58.12</v>
      </c>
      <c r="BO3621" s="237" t="s">
        <v>361</v>
      </c>
      <c r="CD3621" s="237">
        <v>307.02</v>
      </c>
      <c r="CE3621" s="237" t="s">
        <v>343</v>
      </c>
      <c r="CL3621" s="1789"/>
      <c r="CR3621" s="345"/>
      <c r="CS3621" s="345"/>
      <c r="DH3621" s="237"/>
      <c r="DI3621" s="237"/>
      <c r="DP3621" s="2505"/>
    </row>
    <row r="3622" spans="30:120">
      <c r="AD3622" s="1138"/>
      <c r="BH3622" s="1790"/>
      <c r="BN3622" s="237">
        <v>58.13</v>
      </c>
      <c r="BO3622" s="237" t="s">
        <v>361</v>
      </c>
      <c r="CD3622" s="345">
        <v>307.02999999999997</v>
      </c>
      <c r="CE3622" s="345" t="s">
        <v>310</v>
      </c>
      <c r="CL3622" s="1789"/>
      <c r="CR3622" s="345"/>
      <c r="CS3622" s="345"/>
      <c r="DH3622" s="237"/>
      <c r="DI3622" s="237"/>
      <c r="DP3622" s="2505"/>
    </row>
    <row r="3623" spans="30:120">
      <c r="AD3623" s="1138"/>
      <c r="BH3623" s="1790"/>
      <c r="BN3623" s="237">
        <v>58.14</v>
      </c>
      <c r="BO3623" s="237" t="s">
        <v>361</v>
      </c>
      <c r="CD3623" s="345">
        <v>307.04000000000002</v>
      </c>
      <c r="CE3623" s="345" t="s">
        <v>310</v>
      </c>
      <c r="CL3623" s="1789"/>
      <c r="CR3623" s="345"/>
      <c r="CS3623" s="345"/>
      <c r="DH3623" s="237"/>
      <c r="DI3623" s="237"/>
      <c r="DP3623" s="2505"/>
    </row>
    <row r="3624" spans="30:120">
      <c r="AD3624" s="1138"/>
      <c r="BH3624" s="1790"/>
      <c r="BN3624" s="237">
        <v>58.15</v>
      </c>
      <c r="BO3624" s="237" t="s">
        <v>361</v>
      </c>
      <c r="CD3624" s="345">
        <v>307.04000000000002</v>
      </c>
      <c r="CE3624" s="345" t="s">
        <v>317</v>
      </c>
      <c r="CL3624" s="1789"/>
      <c r="CR3624" s="345"/>
      <c r="CS3624" s="345"/>
      <c r="DH3624" s="237"/>
      <c r="DI3624" s="237"/>
      <c r="DP3624" s="2505"/>
    </row>
    <row r="3625" spans="30:120">
      <c r="AD3625" s="1138"/>
      <c r="BH3625" s="1790"/>
      <c r="BN3625" s="237">
        <v>58.18</v>
      </c>
      <c r="BO3625" s="237" t="s">
        <v>361</v>
      </c>
      <c r="CD3625" s="345">
        <v>307.05</v>
      </c>
      <c r="CE3625" s="345" t="s">
        <v>310</v>
      </c>
      <c r="CL3625" s="1789"/>
      <c r="CR3625" s="345"/>
      <c r="CS3625" s="345"/>
      <c r="DH3625" s="237"/>
      <c r="DI3625" s="237"/>
      <c r="DP3625" s="2505"/>
    </row>
    <row r="3626" spans="30:120">
      <c r="AD3626" s="1138"/>
      <c r="BH3626" s="1790"/>
      <c r="BN3626" s="237">
        <v>58.19</v>
      </c>
      <c r="BO3626" s="237" t="s">
        <v>361</v>
      </c>
      <c r="CD3626" s="345">
        <v>307.05</v>
      </c>
      <c r="CE3626" s="345" t="s">
        <v>317</v>
      </c>
      <c r="CL3626" s="1789"/>
      <c r="CR3626" s="345"/>
      <c r="CS3626" s="345"/>
      <c r="DH3626" s="237"/>
      <c r="DI3626" s="237"/>
      <c r="DP3626" s="2505"/>
    </row>
    <row r="3627" spans="30:120">
      <c r="AD3627" s="1138"/>
      <c r="BH3627" s="1790"/>
      <c r="BN3627" s="237">
        <v>58.2</v>
      </c>
      <c r="BO3627" s="237" t="s">
        <v>361</v>
      </c>
      <c r="CD3627" s="345">
        <v>307.06</v>
      </c>
      <c r="CE3627" s="345" t="s">
        <v>317</v>
      </c>
      <c r="CL3627" s="1789"/>
      <c r="CR3627" s="345"/>
      <c r="CS3627" s="345"/>
      <c r="DH3627" s="237"/>
      <c r="DI3627" s="237"/>
      <c r="DP3627" s="2505"/>
    </row>
    <row r="3628" spans="30:120">
      <c r="AD3628" s="1138"/>
      <c r="BH3628" s="1790"/>
      <c r="BN3628" s="237">
        <v>58.21</v>
      </c>
      <c r="BO3628" s="237" t="s">
        <v>361</v>
      </c>
      <c r="CD3628" s="345">
        <v>307.07</v>
      </c>
      <c r="CE3628" s="345" t="s">
        <v>317</v>
      </c>
      <c r="CL3628" s="1789"/>
      <c r="CR3628" s="345"/>
      <c r="CS3628" s="345"/>
      <c r="DH3628" s="237"/>
      <c r="DI3628" s="237"/>
      <c r="DP3628" s="2505"/>
    </row>
    <row r="3629" spans="30:120">
      <c r="AD3629" s="1138"/>
      <c r="BH3629" s="1790"/>
      <c r="BN3629" s="237">
        <v>59.16</v>
      </c>
      <c r="BO3629" s="237" t="s">
        <v>361</v>
      </c>
      <c r="CD3629" s="345">
        <v>307.08</v>
      </c>
      <c r="CE3629" s="345" t="s">
        <v>317</v>
      </c>
      <c r="CL3629" s="1789"/>
      <c r="CR3629" s="345"/>
      <c r="CS3629" s="345"/>
      <c r="DH3629" s="237"/>
      <c r="DI3629" s="237"/>
      <c r="DP3629" s="2505"/>
    </row>
    <row r="3630" spans="30:120">
      <c r="AD3630" s="1138"/>
      <c r="BH3630" s="1790"/>
      <c r="BN3630" s="237">
        <v>59.17</v>
      </c>
      <c r="BO3630" s="237" t="s">
        <v>361</v>
      </c>
      <c r="CD3630" s="237">
        <v>308</v>
      </c>
      <c r="CE3630" s="237" t="s">
        <v>362</v>
      </c>
      <c r="CL3630" s="1789"/>
      <c r="CR3630" s="345"/>
      <c r="CS3630" s="345"/>
      <c r="DH3630" s="237"/>
      <c r="DI3630" s="237"/>
      <c r="DP3630" s="2505"/>
    </row>
    <row r="3631" spans="30:120">
      <c r="AD3631" s="1138"/>
      <c r="BH3631" s="1790"/>
      <c r="BN3631" s="237">
        <v>59.18</v>
      </c>
      <c r="BO3631" s="237" t="s">
        <v>361</v>
      </c>
      <c r="CD3631" s="345">
        <v>308.01</v>
      </c>
      <c r="CE3631" s="345" t="s">
        <v>317</v>
      </c>
      <c r="CL3631" s="1789"/>
      <c r="CR3631" s="345"/>
      <c r="CS3631" s="345"/>
      <c r="DH3631" s="237"/>
      <c r="DI3631" s="237"/>
      <c r="DP3631" s="2505"/>
    </row>
    <row r="3632" spans="30:120">
      <c r="AD3632" s="1138"/>
      <c r="BH3632" s="1790"/>
      <c r="BN3632" s="237">
        <v>59.21</v>
      </c>
      <c r="BO3632" s="237" t="s">
        <v>361</v>
      </c>
      <c r="CD3632" s="345">
        <v>308.02</v>
      </c>
      <c r="CE3632" s="345" t="s">
        <v>317</v>
      </c>
      <c r="CL3632" s="1789"/>
      <c r="CR3632" s="345"/>
      <c r="CS3632" s="345"/>
      <c r="DH3632" s="237"/>
      <c r="DI3632" s="237"/>
      <c r="DP3632" s="2505"/>
    </row>
    <row r="3633" spans="30:120">
      <c r="AD3633" s="1138"/>
      <c r="BH3633" s="1790"/>
      <c r="BN3633" s="237">
        <v>59.22</v>
      </c>
      <c r="BO3633" s="237" t="s">
        <v>361</v>
      </c>
      <c r="CD3633" s="345">
        <v>308.02999999999997</v>
      </c>
      <c r="CE3633" s="345" t="s">
        <v>310</v>
      </c>
      <c r="CL3633" s="1789"/>
      <c r="CR3633" s="345"/>
      <c r="CS3633" s="345"/>
      <c r="DH3633" s="237"/>
      <c r="DI3633" s="237"/>
      <c r="DP3633" s="2505"/>
    </row>
    <row r="3634" spans="30:120">
      <c r="AD3634" s="1138"/>
      <c r="BH3634" s="1790"/>
      <c r="BN3634" s="237">
        <v>59.23</v>
      </c>
      <c r="BO3634" s="237" t="s">
        <v>361</v>
      </c>
      <c r="CD3634" s="237">
        <v>308.02999999999997</v>
      </c>
      <c r="CE3634" s="237" t="s">
        <v>343</v>
      </c>
      <c r="CL3634" s="1789"/>
      <c r="CR3634" s="345"/>
      <c r="CS3634" s="345"/>
      <c r="DH3634" s="237"/>
      <c r="DI3634" s="237"/>
      <c r="DP3634" s="2505"/>
    </row>
    <row r="3635" spans="30:120">
      <c r="AD3635" s="1138"/>
      <c r="BH3635" s="1790"/>
      <c r="BN3635" s="237">
        <v>59.26</v>
      </c>
      <c r="BO3635" s="237" t="s">
        <v>361</v>
      </c>
      <c r="CD3635" s="345">
        <v>308.04000000000002</v>
      </c>
      <c r="CE3635" s="345" t="s">
        <v>310</v>
      </c>
      <c r="CL3635" s="1789"/>
      <c r="CR3635" s="345"/>
      <c r="CS3635" s="345"/>
      <c r="DH3635" s="237"/>
      <c r="DI3635" s="237"/>
      <c r="DP3635" s="2505"/>
    </row>
    <row r="3636" spans="30:120">
      <c r="AD3636" s="1138"/>
      <c r="BH3636" s="1790"/>
      <c r="BN3636" s="237">
        <v>59.3</v>
      </c>
      <c r="BO3636" s="237" t="s">
        <v>361</v>
      </c>
      <c r="CD3636" s="237">
        <v>308.04000000000002</v>
      </c>
      <c r="CE3636" s="237" t="s">
        <v>343</v>
      </c>
      <c r="CL3636" s="1789"/>
      <c r="CR3636" s="345"/>
      <c r="CS3636" s="345"/>
      <c r="DH3636" s="237"/>
      <c r="DI3636" s="237"/>
      <c r="DP3636" s="2505"/>
    </row>
    <row r="3637" spans="30:120">
      <c r="AD3637" s="1138"/>
      <c r="BH3637" s="1790"/>
      <c r="BN3637" s="237">
        <v>59.31</v>
      </c>
      <c r="BO3637" s="237" t="s">
        <v>361</v>
      </c>
      <c r="CD3637" s="345">
        <v>308.05</v>
      </c>
      <c r="CE3637" s="345" t="s">
        <v>310</v>
      </c>
      <c r="CL3637" s="1789"/>
      <c r="CR3637" s="345"/>
      <c r="CS3637" s="345"/>
      <c r="DH3637" s="237"/>
      <c r="DI3637" s="237"/>
      <c r="DP3637" s="2505"/>
    </row>
    <row r="3638" spans="30:120">
      <c r="AD3638" s="1138"/>
      <c r="BH3638" s="1790"/>
      <c r="BN3638" s="237">
        <v>59.33</v>
      </c>
      <c r="BO3638" s="237" t="s">
        <v>361</v>
      </c>
      <c r="CD3638" s="237">
        <v>308.05</v>
      </c>
      <c r="CE3638" s="237" t="s">
        <v>343</v>
      </c>
      <c r="CL3638" s="1789"/>
      <c r="CR3638" s="345"/>
      <c r="CS3638" s="345"/>
      <c r="DH3638" s="237"/>
      <c r="DI3638" s="237"/>
      <c r="DP3638" s="2505"/>
    </row>
    <row r="3639" spans="30:120">
      <c r="AD3639" s="1138"/>
      <c r="BH3639" s="1790"/>
      <c r="BN3639" s="237">
        <v>59.34</v>
      </c>
      <c r="BO3639" s="237" t="s">
        <v>361</v>
      </c>
      <c r="CD3639" s="345">
        <v>308.06</v>
      </c>
      <c r="CE3639" s="345" t="s">
        <v>310</v>
      </c>
      <c r="CL3639" s="1789"/>
      <c r="CR3639" s="345"/>
      <c r="CS3639" s="345"/>
      <c r="DH3639" s="237"/>
      <c r="DI3639" s="237"/>
      <c r="DP3639" s="2505"/>
    </row>
    <row r="3640" spans="30:120">
      <c r="AD3640" s="1138"/>
      <c r="BH3640" s="1790"/>
      <c r="BN3640" s="237">
        <v>59.36</v>
      </c>
      <c r="BO3640" s="237" t="s">
        <v>361</v>
      </c>
      <c r="CD3640" s="237">
        <v>308.06</v>
      </c>
      <c r="CE3640" s="237" t="s">
        <v>343</v>
      </c>
      <c r="CL3640" s="1789"/>
      <c r="CR3640" s="345"/>
      <c r="CS3640" s="345"/>
      <c r="DH3640" s="237"/>
      <c r="DI3640" s="237"/>
      <c r="DP3640" s="2505"/>
    </row>
    <row r="3641" spans="30:120">
      <c r="AD3641" s="1138"/>
      <c r="BH3641" s="1790"/>
      <c r="BN3641" s="237">
        <v>59.37</v>
      </c>
      <c r="BO3641" s="237" t="s">
        <v>361</v>
      </c>
      <c r="CD3641" s="237">
        <v>308.07</v>
      </c>
      <c r="CE3641" s="237" t="s">
        <v>343</v>
      </c>
      <c r="CL3641" s="1789"/>
      <c r="CR3641" s="345"/>
      <c r="CS3641" s="345"/>
      <c r="DH3641" s="237"/>
      <c r="DI3641" s="237"/>
      <c r="DP3641" s="2505"/>
    </row>
    <row r="3642" spans="30:120">
      <c r="AD3642" s="1138"/>
      <c r="BH3642" s="1790"/>
      <c r="BN3642" s="237">
        <v>59.38</v>
      </c>
      <c r="BO3642" s="237" t="s">
        <v>361</v>
      </c>
      <c r="CD3642" s="237">
        <v>309.01</v>
      </c>
      <c r="CE3642" s="237" t="s">
        <v>362</v>
      </c>
      <c r="CL3642" s="1789"/>
      <c r="CR3642" s="345"/>
      <c r="CS3642" s="345"/>
      <c r="DH3642" s="237"/>
      <c r="DI3642" s="237"/>
      <c r="DP3642" s="2505"/>
    </row>
    <row r="3643" spans="30:120">
      <c r="AD3643" s="1138"/>
      <c r="BH3643" s="1790"/>
      <c r="BN3643" s="237">
        <v>59.39</v>
      </c>
      <c r="BO3643" s="237" t="s">
        <v>361</v>
      </c>
      <c r="CD3643" s="345">
        <v>309.02</v>
      </c>
      <c r="CE3643" s="345" t="s">
        <v>310</v>
      </c>
      <c r="CL3643" s="1789"/>
      <c r="CR3643" s="345"/>
      <c r="CS3643" s="345"/>
      <c r="DH3643" s="237"/>
      <c r="DI3643" s="237"/>
      <c r="DP3643" s="2505"/>
    </row>
    <row r="3644" spans="30:120">
      <c r="AD3644" s="1138"/>
      <c r="BH3644" s="1790"/>
      <c r="BN3644" s="237">
        <v>59.4</v>
      </c>
      <c r="BO3644" s="237" t="s">
        <v>361</v>
      </c>
      <c r="CD3644" s="345">
        <v>309.02999999999997</v>
      </c>
      <c r="CE3644" s="345" t="s">
        <v>310</v>
      </c>
      <c r="CL3644" s="1789"/>
      <c r="CR3644" s="345"/>
      <c r="CS3644" s="345"/>
      <c r="DH3644" s="237"/>
      <c r="DI3644" s="237"/>
      <c r="DP3644" s="2505"/>
    </row>
    <row r="3645" spans="30:120">
      <c r="AD3645" s="1138"/>
      <c r="BH3645" s="1790"/>
      <c r="BN3645" s="237">
        <v>59.42</v>
      </c>
      <c r="BO3645" s="237" t="s">
        <v>361</v>
      </c>
      <c r="CD3645" s="345">
        <v>309.02999999999997</v>
      </c>
      <c r="CE3645" s="345" t="s">
        <v>317</v>
      </c>
      <c r="CL3645" s="1789"/>
      <c r="CR3645" s="345"/>
      <c r="CS3645" s="345"/>
      <c r="DH3645" s="237"/>
      <c r="DI3645" s="237"/>
      <c r="DP3645" s="2505"/>
    </row>
    <row r="3646" spans="30:120">
      <c r="AD3646" s="1138"/>
      <c r="BH3646" s="1790"/>
      <c r="BN3646" s="237">
        <v>59.43</v>
      </c>
      <c r="BO3646" s="237" t="s">
        <v>361</v>
      </c>
      <c r="CD3646" s="345">
        <v>309.04000000000002</v>
      </c>
      <c r="CE3646" s="345" t="s">
        <v>310</v>
      </c>
      <c r="CL3646" s="1789"/>
      <c r="CR3646" s="345"/>
      <c r="CS3646" s="345"/>
      <c r="DH3646" s="237"/>
      <c r="DI3646" s="237"/>
      <c r="DP3646" s="2505"/>
    </row>
    <row r="3647" spans="30:120">
      <c r="AD3647" s="1138"/>
      <c r="BH3647" s="1790"/>
      <c r="BN3647" s="237">
        <v>59.44</v>
      </c>
      <c r="BO3647" s="237" t="s">
        <v>361</v>
      </c>
      <c r="CD3647" s="345">
        <v>309.04000000000002</v>
      </c>
      <c r="CE3647" s="345" t="s">
        <v>317</v>
      </c>
      <c r="CL3647" s="1789"/>
      <c r="CR3647" s="345"/>
      <c r="CS3647" s="345"/>
      <c r="DH3647" s="237"/>
      <c r="DI3647" s="237"/>
      <c r="DP3647" s="2505"/>
    </row>
    <row r="3648" spans="30:120">
      <c r="AD3648" s="1138"/>
      <c r="BH3648" s="1790"/>
      <c r="BN3648" s="237">
        <v>59.45</v>
      </c>
      <c r="BO3648" s="237" t="s">
        <v>361</v>
      </c>
      <c r="CD3648" s="345">
        <v>309.05</v>
      </c>
      <c r="CE3648" s="345" t="s">
        <v>317</v>
      </c>
      <c r="CL3648" s="1789"/>
      <c r="CR3648" s="345"/>
      <c r="CS3648" s="345"/>
      <c r="DH3648" s="237"/>
      <c r="DI3648" s="237"/>
      <c r="DP3648" s="2505"/>
    </row>
    <row r="3649" spans="30:120">
      <c r="AD3649" s="1138"/>
      <c r="BH3649" s="1790"/>
      <c r="BN3649" s="237">
        <v>59.46</v>
      </c>
      <c r="BO3649" s="237" t="s">
        <v>361</v>
      </c>
      <c r="CD3649" s="237">
        <v>309.05</v>
      </c>
      <c r="CE3649" s="237" t="s">
        <v>362</v>
      </c>
      <c r="CL3649" s="1789"/>
      <c r="CR3649" s="345"/>
      <c r="CS3649" s="345"/>
      <c r="DH3649" s="237"/>
      <c r="DI3649" s="237"/>
      <c r="DP3649" s="2505"/>
    </row>
    <row r="3650" spans="30:120">
      <c r="AD3650" s="1138"/>
      <c r="BH3650" s="1790"/>
      <c r="BN3650" s="237">
        <v>59.47</v>
      </c>
      <c r="BO3650" s="237" t="s">
        <v>361</v>
      </c>
      <c r="CD3650" s="345">
        <v>309.06</v>
      </c>
      <c r="CE3650" s="345" t="s">
        <v>317</v>
      </c>
      <c r="CL3650" s="1789"/>
      <c r="CR3650" s="345"/>
      <c r="CS3650" s="345"/>
      <c r="DH3650" s="237"/>
      <c r="DI3650" s="237"/>
      <c r="DP3650" s="2505"/>
    </row>
    <row r="3651" spans="30:120">
      <c r="AD3651" s="1138"/>
      <c r="BH3651" s="1790"/>
      <c r="BN3651" s="237">
        <v>59.49</v>
      </c>
      <c r="BO3651" s="237" t="s">
        <v>361</v>
      </c>
      <c r="CD3651" s="237">
        <v>309.06</v>
      </c>
      <c r="CE3651" s="237" t="s">
        <v>362</v>
      </c>
      <c r="CL3651" s="1789"/>
      <c r="CR3651" s="345"/>
      <c r="CS3651" s="345"/>
      <c r="DH3651" s="237"/>
      <c r="DI3651" s="237"/>
      <c r="DP3651" s="2505"/>
    </row>
    <row r="3652" spans="30:120">
      <c r="AD3652" s="1138"/>
      <c r="BH3652" s="1790"/>
      <c r="BN3652" s="237">
        <v>59.5</v>
      </c>
      <c r="BO3652" s="237" t="s">
        <v>361</v>
      </c>
      <c r="CD3652" s="237">
        <v>309.14</v>
      </c>
      <c r="CE3652" s="237" t="s">
        <v>343</v>
      </c>
      <c r="CL3652" s="1789"/>
      <c r="CR3652" s="345"/>
      <c r="CS3652" s="345"/>
      <c r="DH3652" s="237"/>
      <c r="DI3652" s="237"/>
      <c r="DP3652" s="2505"/>
    </row>
    <row r="3653" spans="30:120">
      <c r="AD3653" s="1138"/>
      <c r="BH3653" s="1790"/>
      <c r="BN3653" s="237">
        <v>59.51</v>
      </c>
      <c r="BO3653" s="237" t="s">
        <v>361</v>
      </c>
      <c r="CD3653" s="237">
        <v>309.14999999999998</v>
      </c>
      <c r="CE3653" s="237" t="s">
        <v>343</v>
      </c>
      <c r="CL3653" s="1789"/>
      <c r="CR3653" s="345"/>
      <c r="CS3653" s="345"/>
      <c r="DH3653" s="237"/>
      <c r="DI3653" s="237"/>
      <c r="DP3653" s="2505"/>
    </row>
    <row r="3654" spans="30:120">
      <c r="AD3654" s="1138"/>
      <c r="BH3654" s="1790"/>
      <c r="BN3654" s="237">
        <v>59.52</v>
      </c>
      <c r="BO3654" s="237" t="s">
        <v>361</v>
      </c>
      <c r="CD3654" s="237">
        <v>309.16000000000003</v>
      </c>
      <c r="CE3654" s="237" t="s">
        <v>343</v>
      </c>
      <c r="CL3654" s="1789"/>
      <c r="CR3654" s="345"/>
      <c r="CS3654" s="345"/>
      <c r="DH3654" s="237"/>
      <c r="DI3654" s="237"/>
      <c r="DP3654" s="2505"/>
    </row>
    <row r="3655" spans="30:120">
      <c r="AD3655" s="1138"/>
      <c r="BH3655" s="1790"/>
      <c r="BN3655" s="237">
        <v>59.53</v>
      </c>
      <c r="BO3655" s="237" t="s">
        <v>361</v>
      </c>
      <c r="CD3655" s="237">
        <v>309.17</v>
      </c>
      <c r="CE3655" s="237" t="s">
        <v>343</v>
      </c>
      <c r="CL3655" s="1789"/>
      <c r="CR3655" s="345"/>
      <c r="CS3655" s="345"/>
      <c r="DH3655" s="237"/>
      <c r="DI3655" s="237"/>
      <c r="DP3655" s="2505"/>
    </row>
    <row r="3656" spans="30:120">
      <c r="AD3656" s="1138"/>
      <c r="BH3656" s="1790"/>
      <c r="BN3656" s="237">
        <v>59.54</v>
      </c>
      <c r="BO3656" s="237" t="s">
        <v>361</v>
      </c>
      <c r="CD3656" s="237">
        <v>309.18</v>
      </c>
      <c r="CE3656" s="237" t="s">
        <v>343</v>
      </c>
      <c r="CL3656" s="1789"/>
      <c r="CR3656" s="345"/>
      <c r="CS3656" s="345"/>
      <c r="DH3656" s="237"/>
      <c r="DI3656" s="237"/>
      <c r="DP3656" s="2505"/>
    </row>
    <row r="3657" spans="30:120">
      <c r="AD3657" s="1138"/>
      <c r="BH3657" s="1790"/>
      <c r="BN3657" s="237">
        <v>59.55</v>
      </c>
      <c r="BO3657" s="237" t="s">
        <v>361</v>
      </c>
      <c r="CD3657" s="345">
        <v>310.01</v>
      </c>
      <c r="CE3657" s="345" t="s">
        <v>310</v>
      </c>
      <c r="CL3657" s="1789"/>
      <c r="CR3657" s="345"/>
      <c r="CS3657" s="345"/>
      <c r="DH3657" s="237"/>
      <c r="DI3657" s="237"/>
      <c r="DP3657" s="2505"/>
    </row>
    <row r="3658" spans="30:120">
      <c r="AD3658" s="1138"/>
      <c r="BH3658" s="1790"/>
      <c r="BN3658" s="237">
        <v>59.57</v>
      </c>
      <c r="BO3658" s="237" t="s">
        <v>361</v>
      </c>
      <c r="CD3658" s="237">
        <v>310.01</v>
      </c>
      <c r="CE3658" s="237" t="s">
        <v>343</v>
      </c>
      <c r="CL3658" s="1789"/>
      <c r="CR3658" s="345"/>
      <c r="CS3658" s="345"/>
      <c r="DH3658" s="237"/>
      <c r="DI3658" s="237"/>
      <c r="DP3658" s="2505"/>
    </row>
    <row r="3659" spans="30:120">
      <c r="AD3659" s="1138"/>
      <c r="BH3659" s="1790"/>
      <c r="BN3659" s="237">
        <v>59.58</v>
      </c>
      <c r="BO3659" s="237" t="s">
        <v>361</v>
      </c>
      <c r="CD3659" s="345">
        <v>310.02</v>
      </c>
      <c r="CE3659" s="345" t="s">
        <v>310</v>
      </c>
      <c r="CL3659" s="1789"/>
      <c r="CR3659" s="345"/>
      <c r="CS3659" s="345"/>
      <c r="DH3659" s="237"/>
      <c r="DI3659" s="237"/>
      <c r="DP3659" s="2505"/>
    </row>
    <row r="3660" spans="30:120">
      <c r="AD3660" s="1138"/>
      <c r="BH3660" s="1790"/>
      <c r="BN3660" s="237">
        <v>59.59</v>
      </c>
      <c r="BO3660" s="237" t="s">
        <v>361</v>
      </c>
      <c r="CD3660" s="237">
        <v>310.02</v>
      </c>
      <c r="CE3660" s="237" t="s">
        <v>343</v>
      </c>
      <c r="CL3660" s="1789"/>
      <c r="CR3660" s="345"/>
      <c r="CS3660" s="345"/>
      <c r="DH3660" s="237"/>
      <c r="DI3660" s="237"/>
      <c r="DP3660" s="2505"/>
    </row>
    <row r="3661" spans="30:120">
      <c r="AD3661" s="1138"/>
      <c r="BH3661" s="1790"/>
      <c r="BN3661" s="237">
        <v>59.6</v>
      </c>
      <c r="BO3661" s="237" t="s">
        <v>361</v>
      </c>
      <c r="CD3661" s="237">
        <v>310.02999999999997</v>
      </c>
      <c r="CE3661" s="237" t="s">
        <v>362</v>
      </c>
      <c r="CL3661" s="1789"/>
      <c r="CR3661" s="345"/>
      <c r="CS3661" s="345"/>
      <c r="DH3661" s="237"/>
      <c r="DI3661" s="237"/>
      <c r="DP3661" s="2505"/>
    </row>
    <row r="3662" spans="30:120">
      <c r="AD3662" s="1138"/>
      <c r="BH3662" s="1790"/>
      <c r="BN3662" s="237">
        <v>59.61</v>
      </c>
      <c r="BO3662" s="237" t="s">
        <v>361</v>
      </c>
      <c r="CD3662" s="237">
        <v>310.05</v>
      </c>
      <c r="CE3662" s="237" t="s">
        <v>362</v>
      </c>
      <c r="CL3662" s="1789"/>
      <c r="CR3662" s="345"/>
      <c r="CS3662" s="345"/>
      <c r="DH3662" s="237"/>
      <c r="DI3662" s="237"/>
      <c r="DP3662" s="2505"/>
    </row>
    <row r="3663" spans="30:120">
      <c r="AD3663" s="1138"/>
      <c r="BH3663" s="1790"/>
      <c r="BN3663" s="237">
        <v>60.05</v>
      </c>
      <c r="BO3663" s="237" t="s">
        <v>361</v>
      </c>
      <c r="CD3663" s="237">
        <v>310.06</v>
      </c>
      <c r="CE3663" s="237" t="s">
        <v>362</v>
      </c>
      <c r="CL3663" s="1789"/>
      <c r="CR3663" s="345"/>
      <c r="CS3663" s="345"/>
      <c r="DH3663" s="237"/>
      <c r="DI3663" s="237"/>
      <c r="DP3663" s="2505"/>
    </row>
    <row r="3664" spans="30:120">
      <c r="AD3664" s="1138"/>
      <c r="BH3664" s="1790"/>
      <c r="BN3664" s="237">
        <v>60.06</v>
      </c>
      <c r="BO3664" s="237" t="s">
        <v>361</v>
      </c>
      <c r="CD3664" s="237">
        <v>310.07</v>
      </c>
      <c r="CE3664" s="237" t="s">
        <v>362</v>
      </c>
      <c r="CL3664" s="1789"/>
      <c r="CR3664" s="345"/>
      <c r="CS3664" s="345"/>
      <c r="DH3664" s="237"/>
      <c r="DI3664" s="237"/>
      <c r="DP3664" s="2505"/>
    </row>
    <row r="3665" spans="30:120">
      <c r="AD3665" s="1138"/>
      <c r="BH3665" s="1790"/>
      <c r="BN3665" s="237">
        <v>60.07</v>
      </c>
      <c r="BO3665" s="237" t="s">
        <v>361</v>
      </c>
      <c r="CD3665" s="237">
        <v>310.08</v>
      </c>
      <c r="CE3665" s="237" t="s">
        <v>362</v>
      </c>
      <c r="CL3665" s="1789"/>
      <c r="CR3665" s="345"/>
      <c r="CS3665" s="345"/>
      <c r="DH3665" s="237"/>
      <c r="DI3665" s="237"/>
      <c r="DP3665" s="2505"/>
    </row>
    <row r="3666" spans="30:120">
      <c r="AD3666" s="1138"/>
      <c r="BH3666" s="1790"/>
      <c r="BN3666" s="237">
        <v>60.08</v>
      </c>
      <c r="BO3666" s="237" t="s">
        <v>361</v>
      </c>
      <c r="CD3666" s="237">
        <v>310.08999999999997</v>
      </c>
      <c r="CE3666" s="237" t="s">
        <v>362</v>
      </c>
      <c r="CL3666" s="1789"/>
      <c r="CR3666" s="345"/>
      <c r="CS3666" s="345"/>
      <c r="DH3666" s="237"/>
      <c r="DI3666" s="237"/>
      <c r="DP3666" s="2505"/>
    </row>
    <row r="3667" spans="30:120">
      <c r="AD3667" s="1138"/>
      <c r="BH3667" s="1790"/>
      <c r="BN3667" s="237">
        <v>60.09</v>
      </c>
      <c r="BO3667" s="237" t="s">
        <v>361</v>
      </c>
      <c r="CD3667" s="237">
        <v>310.10000000000002</v>
      </c>
      <c r="CE3667" s="237" t="s">
        <v>362</v>
      </c>
      <c r="CL3667" s="1789"/>
      <c r="CR3667" s="345"/>
      <c r="CS3667" s="345"/>
      <c r="DH3667" s="237"/>
      <c r="DI3667" s="237"/>
      <c r="DP3667" s="2505"/>
    </row>
    <row r="3668" spans="30:120">
      <c r="AD3668" s="1138"/>
      <c r="BH3668" s="1790"/>
      <c r="BN3668" s="237">
        <v>60.1</v>
      </c>
      <c r="BO3668" s="237" t="s">
        <v>361</v>
      </c>
      <c r="CD3668" s="237">
        <v>310.11</v>
      </c>
      <c r="CE3668" s="237" t="s">
        <v>362</v>
      </c>
      <c r="CL3668" s="1789"/>
      <c r="CR3668" s="345"/>
      <c r="CS3668" s="345"/>
      <c r="DH3668" s="237"/>
      <c r="DI3668" s="237"/>
      <c r="DP3668" s="2505"/>
    </row>
    <row r="3669" spans="30:120">
      <c r="AD3669" s="1138"/>
      <c r="BH3669" s="1790"/>
      <c r="BN3669" s="237">
        <v>60.11</v>
      </c>
      <c r="BO3669" s="237" t="s">
        <v>361</v>
      </c>
      <c r="CD3669" s="237">
        <v>310.12</v>
      </c>
      <c r="CE3669" s="237" t="s">
        <v>362</v>
      </c>
      <c r="CL3669" s="1789"/>
      <c r="CR3669" s="345"/>
      <c r="CS3669" s="345"/>
      <c r="DH3669" s="237"/>
      <c r="DI3669" s="237"/>
      <c r="DP3669" s="2505"/>
    </row>
    <row r="3670" spans="30:120">
      <c r="AD3670" s="1138"/>
      <c r="BH3670" s="1790"/>
      <c r="BN3670" s="237">
        <v>60.12</v>
      </c>
      <c r="BO3670" s="237" t="s">
        <v>361</v>
      </c>
      <c r="CD3670" s="237">
        <v>310.13</v>
      </c>
      <c r="CE3670" s="237" t="s">
        <v>362</v>
      </c>
      <c r="CL3670" s="1789"/>
      <c r="CR3670" s="345"/>
      <c r="CS3670" s="345"/>
      <c r="DH3670" s="237"/>
      <c r="DI3670" s="237"/>
      <c r="DP3670" s="2505"/>
    </row>
    <row r="3671" spans="30:120">
      <c r="AD3671" s="1138"/>
      <c r="BH3671" s="1790"/>
      <c r="BN3671" s="237">
        <v>61</v>
      </c>
      <c r="BO3671" s="237" t="s">
        <v>361</v>
      </c>
      <c r="CD3671" s="237">
        <v>310.14</v>
      </c>
      <c r="CE3671" s="237" t="s">
        <v>362</v>
      </c>
      <c r="CL3671" s="1789"/>
      <c r="CR3671" s="345"/>
      <c r="CS3671" s="345"/>
      <c r="DH3671" s="237"/>
      <c r="DI3671" s="237"/>
      <c r="DP3671" s="2505"/>
    </row>
    <row r="3672" spans="30:120">
      <c r="AD3672" s="1138"/>
      <c r="BH3672" s="1790"/>
      <c r="BN3672" s="237">
        <v>62.01</v>
      </c>
      <c r="BO3672" s="237" t="s">
        <v>361</v>
      </c>
      <c r="CD3672" s="345">
        <v>311.01</v>
      </c>
      <c r="CE3672" s="345" t="s">
        <v>310</v>
      </c>
      <c r="CL3672" s="1789"/>
      <c r="CR3672" s="345"/>
      <c r="CS3672" s="345"/>
      <c r="DH3672" s="237"/>
      <c r="DI3672" s="237"/>
      <c r="DP3672" s="2505"/>
    </row>
    <row r="3673" spans="30:120">
      <c r="AD3673" s="1138"/>
      <c r="BH3673" s="1790"/>
      <c r="BN3673" s="237">
        <v>62.02</v>
      </c>
      <c r="BO3673" s="237" t="s">
        <v>361</v>
      </c>
      <c r="CD3673" s="345">
        <v>311.01</v>
      </c>
      <c r="CE3673" s="345" t="s">
        <v>317</v>
      </c>
      <c r="CL3673" s="1789"/>
      <c r="CR3673" s="345"/>
      <c r="CS3673" s="345"/>
      <c r="DH3673" s="237"/>
      <c r="DI3673" s="237"/>
      <c r="DP3673" s="2505"/>
    </row>
    <row r="3674" spans="30:120">
      <c r="AD3674" s="1138"/>
      <c r="BH3674" s="1790"/>
      <c r="BN3674" s="237">
        <v>62.03</v>
      </c>
      <c r="BO3674" s="237" t="s">
        <v>361</v>
      </c>
      <c r="CD3674" s="237">
        <v>311.01</v>
      </c>
      <c r="CE3674" s="237" t="s">
        <v>362</v>
      </c>
      <c r="CL3674" s="1789"/>
      <c r="CR3674" s="345"/>
      <c r="CS3674" s="345"/>
      <c r="DH3674" s="237"/>
      <c r="DI3674" s="237"/>
      <c r="DP3674" s="2505"/>
    </row>
    <row r="3675" spans="30:120">
      <c r="AD3675" s="1138"/>
      <c r="BH3675" s="1790"/>
      <c r="BN3675" s="237">
        <v>63.01</v>
      </c>
      <c r="BO3675" s="237" t="s">
        <v>361</v>
      </c>
      <c r="CD3675" s="345">
        <v>311.02</v>
      </c>
      <c r="CE3675" s="345" t="s">
        <v>310</v>
      </c>
      <c r="CL3675" s="1789"/>
      <c r="CR3675" s="345"/>
      <c r="CS3675" s="345"/>
      <c r="DH3675" s="237"/>
      <c r="DI3675" s="237"/>
      <c r="DP3675" s="2505"/>
    </row>
    <row r="3676" spans="30:120">
      <c r="AD3676" s="1138"/>
      <c r="BH3676" s="1790"/>
      <c r="BN3676" s="237">
        <v>63.02</v>
      </c>
      <c r="BO3676" s="237" t="s">
        <v>361</v>
      </c>
      <c r="CD3676" s="237">
        <v>311.02999999999997</v>
      </c>
      <c r="CE3676" s="237" t="s">
        <v>343</v>
      </c>
      <c r="CL3676" s="1789"/>
      <c r="CR3676" s="345"/>
      <c r="CS3676" s="345"/>
      <c r="DH3676" s="237"/>
      <c r="DI3676" s="237"/>
      <c r="DP3676" s="2505"/>
    </row>
    <row r="3677" spans="30:120">
      <c r="AD3677" s="1138"/>
      <c r="BH3677" s="1790"/>
      <c r="BN3677" s="237">
        <v>64.010000000000005</v>
      </c>
      <c r="BO3677" s="237" t="s">
        <v>361</v>
      </c>
      <c r="CD3677" s="237">
        <v>311.02999999999997</v>
      </c>
      <c r="CE3677" s="237" t="s">
        <v>362</v>
      </c>
      <c r="CL3677" s="1789"/>
      <c r="CR3677" s="345"/>
      <c r="CS3677" s="345"/>
      <c r="DH3677" s="237"/>
      <c r="DI3677" s="237"/>
      <c r="DP3677" s="2505"/>
    </row>
    <row r="3678" spans="30:120">
      <c r="AD3678" s="1138"/>
      <c r="BH3678" s="1790"/>
      <c r="BN3678" s="237">
        <v>64.02</v>
      </c>
      <c r="BO3678" s="237" t="s">
        <v>361</v>
      </c>
      <c r="CD3678" s="345">
        <v>311.04000000000002</v>
      </c>
      <c r="CE3678" s="345" t="s">
        <v>317</v>
      </c>
      <c r="CL3678" s="1789"/>
      <c r="CR3678" s="345"/>
      <c r="CS3678" s="345"/>
      <c r="DH3678" s="237"/>
      <c r="DI3678" s="237"/>
      <c r="DP3678" s="2505"/>
    </row>
    <row r="3679" spans="30:120">
      <c r="AD3679" s="1138"/>
      <c r="BH3679" s="1790"/>
      <c r="BN3679" s="237">
        <v>65.010000000000005</v>
      </c>
      <c r="BO3679" s="237" t="s">
        <v>361</v>
      </c>
      <c r="CD3679" s="237">
        <v>311.04000000000002</v>
      </c>
      <c r="CE3679" s="237" t="s">
        <v>343</v>
      </c>
      <c r="CL3679" s="1789"/>
      <c r="CR3679" s="345"/>
      <c r="CS3679" s="345"/>
      <c r="DH3679" s="237"/>
      <c r="DI3679" s="237"/>
      <c r="DP3679" s="2505"/>
    </row>
    <row r="3680" spans="30:120">
      <c r="AD3680" s="1138"/>
      <c r="BH3680" s="1790"/>
      <c r="BN3680" s="237">
        <v>65.02</v>
      </c>
      <c r="BO3680" s="237" t="s">
        <v>361</v>
      </c>
      <c r="CD3680" s="237">
        <v>311.04000000000002</v>
      </c>
      <c r="CE3680" s="237" t="s">
        <v>362</v>
      </c>
      <c r="CL3680" s="1789"/>
      <c r="CR3680" s="345"/>
      <c r="CS3680" s="345"/>
      <c r="DH3680" s="237"/>
      <c r="DI3680" s="237"/>
      <c r="DP3680" s="2505"/>
    </row>
    <row r="3681" spans="30:120">
      <c r="AD3681" s="1138"/>
      <c r="BH3681" s="1790"/>
      <c r="BN3681" s="237">
        <v>66.02</v>
      </c>
      <c r="BO3681" s="237" t="s">
        <v>361</v>
      </c>
      <c r="CD3681" s="345">
        <v>311.05</v>
      </c>
      <c r="CE3681" s="345" t="s">
        <v>317</v>
      </c>
      <c r="CL3681" s="1789"/>
      <c r="CR3681" s="345"/>
      <c r="CS3681" s="345"/>
      <c r="DH3681" s="237"/>
      <c r="DI3681" s="237"/>
      <c r="DP3681" s="2505"/>
    </row>
    <row r="3682" spans="30:120">
      <c r="AD3682" s="1138"/>
      <c r="BH3682" s="1790"/>
      <c r="BN3682" s="237">
        <v>66.040000000000006</v>
      </c>
      <c r="BO3682" s="237" t="s">
        <v>361</v>
      </c>
      <c r="CD3682" s="237">
        <v>311.05</v>
      </c>
      <c r="CE3682" s="237" t="s">
        <v>343</v>
      </c>
      <c r="CL3682" s="1789"/>
      <c r="CR3682" s="345"/>
      <c r="CS3682" s="345"/>
      <c r="DH3682" s="237"/>
      <c r="DI3682" s="237"/>
      <c r="DP3682" s="2505"/>
    </row>
    <row r="3683" spans="30:120">
      <c r="AD3683" s="1138"/>
      <c r="BH3683" s="1790"/>
      <c r="BN3683" s="237">
        <v>66.06</v>
      </c>
      <c r="BO3683" s="237" t="s">
        <v>361</v>
      </c>
      <c r="CD3683" s="237">
        <v>311.06</v>
      </c>
      <c r="CE3683" s="237" t="s">
        <v>343</v>
      </c>
      <c r="CL3683" s="1789"/>
      <c r="CR3683" s="345"/>
      <c r="CS3683" s="345"/>
      <c r="DH3683" s="237"/>
      <c r="DI3683" s="237"/>
      <c r="DP3683" s="2505"/>
    </row>
    <row r="3684" spans="30:120">
      <c r="AD3684" s="1138"/>
      <c r="BH3684" s="1790"/>
      <c r="BN3684" s="237">
        <v>66.069999999999993</v>
      </c>
      <c r="BO3684" s="237" t="s">
        <v>361</v>
      </c>
      <c r="CD3684" s="237">
        <v>311.07</v>
      </c>
      <c r="CE3684" s="237" t="s">
        <v>343</v>
      </c>
      <c r="CL3684" s="1789"/>
      <c r="CR3684" s="345"/>
      <c r="CS3684" s="345"/>
      <c r="DH3684" s="237"/>
      <c r="DI3684" s="237"/>
      <c r="DP3684" s="2505"/>
    </row>
    <row r="3685" spans="30:120">
      <c r="AD3685" s="1138"/>
      <c r="BH3685" s="1790"/>
      <c r="BN3685" s="237">
        <v>67</v>
      </c>
      <c r="BO3685" s="237" t="s">
        <v>361</v>
      </c>
      <c r="CD3685" s="345">
        <v>311.08</v>
      </c>
      <c r="CE3685" s="345" t="s">
        <v>317</v>
      </c>
      <c r="CL3685" s="1789"/>
      <c r="CR3685" s="345"/>
      <c r="CS3685" s="345"/>
      <c r="DH3685" s="237"/>
      <c r="DI3685" s="237"/>
      <c r="DP3685" s="2505"/>
    </row>
    <row r="3686" spans="30:120">
      <c r="AD3686" s="1138"/>
      <c r="BH3686" s="1790"/>
      <c r="BN3686" s="237">
        <v>68.010000000000005</v>
      </c>
      <c r="BO3686" s="237" t="s">
        <v>361</v>
      </c>
      <c r="CD3686" s="237">
        <v>311.08</v>
      </c>
      <c r="CE3686" s="237" t="s">
        <v>343</v>
      </c>
      <c r="CL3686" s="1789"/>
      <c r="CR3686" s="345"/>
      <c r="CS3686" s="345"/>
      <c r="DH3686" s="237"/>
      <c r="DI3686" s="237"/>
      <c r="DP3686" s="2505"/>
    </row>
    <row r="3687" spans="30:120">
      <c r="AD3687" s="1138"/>
      <c r="BH3687" s="1790"/>
      <c r="BN3687" s="237">
        <v>68.02</v>
      </c>
      <c r="BO3687" s="237" t="s">
        <v>361</v>
      </c>
      <c r="CD3687" s="345">
        <v>311.08999999999997</v>
      </c>
      <c r="CE3687" s="345" t="s">
        <v>317</v>
      </c>
      <c r="CL3687" s="1789"/>
      <c r="CR3687" s="345"/>
      <c r="CS3687" s="345"/>
      <c r="DH3687" s="237"/>
      <c r="DI3687" s="237"/>
      <c r="DP3687" s="2505"/>
    </row>
    <row r="3688" spans="30:120">
      <c r="AD3688" s="1138"/>
      <c r="BH3688" s="1790"/>
      <c r="BN3688" s="237">
        <v>69.06</v>
      </c>
      <c r="BO3688" s="237" t="s">
        <v>361</v>
      </c>
      <c r="CD3688" s="345">
        <v>311.10000000000002</v>
      </c>
      <c r="CE3688" s="345" t="s">
        <v>317</v>
      </c>
      <c r="CL3688" s="1789"/>
      <c r="CR3688" s="345"/>
      <c r="CS3688" s="345"/>
      <c r="DH3688" s="237"/>
      <c r="DI3688" s="237"/>
      <c r="DP3688" s="2505"/>
    </row>
    <row r="3689" spans="30:120">
      <c r="AD3689" s="1138"/>
      <c r="BH3689" s="1790"/>
      <c r="BN3689" s="237">
        <v>69.069999999999993</v>
      </c>
      <c r="BO3689" s="237" t="s">
        <v>361</v>
      </c>
      <c r="CD3689" s="237">
        <v>312.01</v>
      </c>
      <c r="CE3689" s="237" t="s">
        <v>317</v>
      </c>
      <c r="CL3689" s="1789"/>
      <c r="CR3689" s="345"/>
      <c r="CS3689" s="345"/>
      <c r="DH3689" s="237"/>
      <c r="DI3689" s="237"/>
      <c r="DP3689" s="2505"/>
    </row>
    <row r="3690" spans="30:120">
      <c r="AD3690" s="1138"/>
      <c r="BH3690" s="1790"/>
      <c r="BN3690" s="237">
        <v>69.08</v>
      </c>
      <c r="BO3690" s="237" t="s">
        <v>361</v>
      </c>
      <c r="CD3690" s="237">
        <v>312.02</v>
      </c>
      <c r="CE3690" s="237" t="s">
        <v>317</v>
      </c>
      <c r="CL3690" s="1789"/>
      <c r="CR3690" s="345"/>
      <c r="CS3690" s="345"/>
      <c r="DH3690" s="237"/>
      <c r="DI3690" s="237"/>
      <c r="DP3690" s="2505"/>
    </row>
    <row r="3691" spans="30:120">
      <c r="AD3691" s="1138"/>
      <c r="BH3691" s="1790"/>
      <c r="BN3691" s="237">
        <v>69.09</v>
      </c>
      <c r="BO3691" s="237" t="s">
        <v>361</v>
      </c>
      <c r="CD3691" s="237">
        <v>312.02</v>
      </c>
      <c r="CE3691" s="237" t="s">
        <v>343</v>
      </c>
      <c r="CL3691" s="1789"/>
      <c r="CR3691" s="345"/>
      <c r="CS3691" s="345"/>
      <c r="DH3691" s="237"/>
      <c r="DI3691" s="237"/>
      <c r="DP3691" s="2505"/>
    </row>
    <row r="3692" spans="30:120">
      <c r="AD3692" s="1138"/>
      <c r="BH3692" s="1790"/>
      <c r="BN3692" s="237">
        <v>69.099999999999994</v>
      </c>
      <c r="BO3692" s="237" t="s">
        <v>361</v>
      </c>
      <c r="CD3692" s="345">
        <v>312.02999999999997</v>
      </c>
      <c r="CE3692" s="345" t="s">
        <v>310</v>
      </c>
      <c r="CL3692" s="1789"/>
      <c r="CR3692" s="345"/>
      <c r="CS3692" s="345"/>
      <c r="DH3692" s="237"/>
      <c r="DI3692" s="237"/>
      <c r="DP3692" s="2505"/>
    </row>
    <row r="3693" spans="30:120">
      <c r="AD3693" s="1138"/>
      <c r="BH3693" s="1790"/>
      <c r="BN3693" s="237">
        <v>69.11</v>
      </c>
      <c r="BO3693" s="237" t="s">
        <v>361</v>
      </c>
      <c r="CD3693" s="237">
        <v>312.02999999999997</v>
      </c>
      <c r="CE3693" s="237" t="s">
        <v>317</v>
      </c>
      <c r="CL3693" s="1789"/>
      <c r="CR3693" s="345"/>
      <c r="CS3693" s="345"/>
      <c r="DH3693" s="237"/>
      <c r="DI3693" s="237"/>
      <c r="DP3693" s="2505"/>
    </row>
    <row r="3694" spans="30:120">
      <c r="AD3694" s="1138"/>
      <c r="BH3694" s="1790"/>
      <c r="BN3694" s="237">
        <v>69.12</v>
      </c>
      <c r="BO3694" s="237" t="s">
        <v>361</v>
      </c>
      <c r="CD3694" s="237">
        <v>312.02999999999997</v>
      </c>
      <c r="CE3694" s="237" t="s">
        <v>343</v>
      </c>
      <c r="CL3694" s="1789"/>
      <c r="CR3694" s="345"/>
      <c r="CS3694" s="345"/>
      <c r="DH3694" s="237"/>
      <c r="DI3694" s="237"/>
      <c r="DP3694" s="2505"/>
    </row>
    <row r="3695" spans="30:120">
      <c r="AD3695" s="1138"/>
      <c r="BH3695" s="1790"/>
      <c r="BN3695" s="237">
        <v>70.05</v>
      </c>
      <c r="BO3695" s="237" t="s">
        <v>361</v>
      </c>
      <c r="CD3695" s="237">
        <v>312.02999999999997</v>
      </c>
      <c r="CE3695" s="237" t="s">
        <v>362</v>
      </c>
      <c r="CL3695" s="1789"/>
      <c r="CR3695" s="345"/>
      <c r="CS3695" s="345"/>
      <c r="DH3695" s="237"/>
      <c r="DI3695" s="237"/>
      <c r="DP3695" s="2505"/>
    </row>
    <row r="3696" spans="30:120">
      <c r="AD3696" s="1138"/>
      <c r="BH3696" s="1790"/>
      <c r="BN3696" s="237">
        <v>70.06</v>
      </c>
      <c r="BO3696" s="237" t="s">
        <v>361</v>
      </c>
      <c r="CD3696" s="345">
        <v>312.04000000000002</v>
      </c>
      <c r="CE3696" s="345" t="s">
        <v>310</v>
      </c>
      <c r="CL3696" s="1789"/>
      <c r="CR3696" s="345"/>
      <c r="CS3696" s="345"/>
      <c r="DH3696" s="237"/>
      <c r="DI3696" s="237"/>
      <c r="DP3696" s="2505"/>
    </row>
    <row r="3697" spans="30:120">
      <c r="AD3697" s="1138"/>
      <c r="BH3697" s="1790"/>
      <c r="BN3697" s="237">
        <v>70.069999999999993</v>
      </c>
      <c r="BO3697" s="237" t="s">
        <v>361</v>
      </c>
      <c r="CD3697" s="237">
        <v>312.04000000000002</v>
      </c>
      <c r="CE3697" s="237" t="s">
        <v>362</v>
      </c>
      <c r="CL3697" s="1789"/>
      <c r="CR3697" s="345"/>
      <c r="CS3697" s="345"/>
      <c r="DH3697" s="237"/>
      <c r="DI3697" s="237"/>
      <c r="DP3697" s="2505"/>
    </row>
    <row r="3698" spans="30:120">
      <c r="AD3698" s="1138"/>
      <c r="BH3698" s="1790"/>
      <c r="BN3698" s="237">
        <v>70.08</v>
      </c>
      <c r="BO3698" s="237" t="s">
        <v>361</v>
      </c>
      <c r="CD3698" s="345">
        <v>312.05</v>
      </c>
      <c r="CE3698" s="345" t="s">
        <v>310</v>
      </c>
      <c r="CL3698" s="1789"/>
      <c r="CR3698" s="345"/>
      <c r="CS3698" s="345"/>
      <c r="DH3698" s="237"/>
      <c r="DI3698" s="237"/>
      <c r="DP3698" s="2505"/>
    </row>
    <row r="3699" spans="30:120">
      <c r="AD3699" s="1138"/>
      <c r="BH3699" s="1790"/>
      <c r="BN3699" s="237">
        <v>70.09</v>
      </c>
      <c r="BO3699" s="237" t="s">
        <v>361</v>
      </c>
      <c r="CD3699" s="237">
        <v>312.05</v>
      </c>
      <c r="CE3699" s="237" t="s">
        <v>343</v>
      </c>
      <c r="CL3699" s="1789"/>
      <c r="CR3699" s="345"/>
      <c r="CS3699" s="345"/>
      <c r="DH3699" s="237"/>
      <c r="DI3699" s="237"/>
      <c r="DP3699" s="2505"/>
    </row>
    <row r="3700" spans="30:120">
      <c r="AD3700" s="1138"/>
      <c r="BH3700" s="1790"/>
      <c r="BN3700" s="237">
        <v>70.099999999999994</v>
      </c>
      <c r="BO3700" s="237" t="s">
        <v>361</v>
      </c>
      <c r="CD3700" s="237">
        <v>312.05</v>
      </c>
      <c r="CE3700" s="237" t="s">
        <v>362</v>
      </c>
      <c r="CL3700" s="1789"/>
      <c r="CR3700" s="345"/>
      <c r="CS3700" s="345"/>
      <c r="DH3700" s="237"/>
      <c r="DI3700" s="237"/>
      <c r="DP3700" s="2505"/>
    </row>
    <row r="3701" spans="30:120">
      <c r="AD3701" s="1138"/>
      <c r="BH3701" s="1790"/>
      <c r="BN3701" s="237">
        <v>70.11</v>
      </c>
      <c r="BO3701" s="237" t="s">
        <v>361</v>
      </c>
      <c r="CD3701" s="345">
        <v>312.06</v>
      </c>
      <c r="CE3701" s="345" t="s">
        <v>310</v>
      </c>
      <c r="CL3701" s="1789"/>
      <c r="CR3701" s="345"/>
      <c r="CS3701" s="345"/>
      <c r="DH3701" s="237"/>
      <c r="DI3701" s="237"/>
      <c r="DP3701" s="2505"/>
    </row>
    <row r="3702" spans="30:120">
      <c r="AD3702" s="1138"/>
      <c r="BH3702" s="1790"/>
      <c r="BN3702" s="237">
        <v>70.12</v>
      </c>
      <c r="BO3702" s="237" t="s">
        <v>361</v>
      </c>
      <c r="CD3702" s="237">
        <v>312.06</v>
      </c>
      <c r="CE3702" s="237" t="s">
        <v>343</v>
      </c>
      <c r="CL3702" s="1789"/>
      <c r="CR3702" s="345"/>
      <c r="CS3702" s="345"/>
      <c r="DH3702" s="237"/>
      <c r="DI3702" s="237"/>
      <c r="DP3702" s="2505"/>
    </row>
    <row r="3703" spans="30:120">
      <c r="AD3703" s="1138"/>
      <c r="BH3703" s="1790"/>
      <c r="BN3703" s="237">
        <v>70.13</v>
      </c>
      <c r="BO3703" s="237" t="s">
        <v>361</v>
      </c>
      <c r="CD3703" s="237">
        <v>312.06</v>
      </c>
      <c r="CE3703" s="237" t="s">
        <v>362</v>
      </c>
      <c r="CL3703" s="1789"/>
      <c r="CR3703" s="345"/>
      <c r="CS3703" s="345"/>
      <c r="DH3703" s="237"/>
      <c r="DI3703" s="237"/>
      <c r="DP3703" s="2505"/>
    </row>
    <row r="3704" spans="30:120">
      <c r="AD3704" s="1138"/>
      <c r="BH3704" s="1790"/>
      <c r="BN3704" s="237">
        <v>71</v>
      </c>
      <c r="BO3704" s="237" t="s">
        <v>361</v>
      </c>
      <c r="CD3704" s="345">
        <v>312.07</v>
      </c>
      <c r="CE3704" s="345" t="s">
        <v>310</v>
      </c>
      <c r="CL3704" s="1789"/>
      <c r="CR3704" s="345"/>
      <c r="CS3704" s="345"/>
      <c r="DH3704" s="237"/>
      <c r="DI3704" s="237"/>
      <c r="DP3704" s="2505"/>
    </row>
    <row r="3705" spans="30:120">
      <c r="AD3705" s="1138"/>
      <c r="BH3705" s="1790"/>
      <c r="BN3705" s="237">
        <v>72.02</v>
      </c>
      <c r="BO3705" s="237" t="s">
        <v>361</v>
      </c>
      <c r="CD3705" s="237">
        <v>312.07</v>
      </c>
      <c r="CE3705" s="237" t="s">
        <v>343</v>
      </c>
      <c r="CL3705" s="1789"/>
      <c r="CR3705" s="345"/>
      <c r="CS3705" s="345"/>
      <c r="DH3705" s="237"/>
      <c r="DI3705" s="237"/>
      <c r="DP3705" s="2505"/>
    </row>
    <row r="3706" spans="30:120">
      <c r="AD3706" s="1138"/>
      <c r="BH3706" s="1790"/>
      <c r="BN3706" s="237">
        <v>72.040000000000006</v>
      </c>
      <c r="BO3706" s="237" t="s">
        <v>361</v>
      </c>
      <c r="CD3706" s="237">
        <v>312.07</v>
      </c>
      <c r="CE3706" s="237" t="s">
        <v>362</v>
      </c>
      <c r="CL3706" s="1789"/>
      <c r="CR3706" s="345"/>
      <c r="CS3706" s="345"/>
      <c r="DH3706" s="237"/>
      <c r="DI3706" s="237"/>
      <c r="DP3706" s="2505"/>
    </row>
    <row r="3707" spans="30:120">
      <c r="AD3707" s="1138"/>
      <c r="BH3707" s="1790"/>
      <c r="BN3707" s="237">
        <v>72.05</v>
      </c>
      <c r="BO3707" s="237" t="s">
        <v>361</v>
      </c>
      <c r="CD3707" s="237">
        <v>312.08</v>
      </c>
      <c r="CE3707" s="237" t="s">
        <v>343</v>
      </c>
      <c r="CL3707" s="1789"/>
      <c r="CR3707" s="345"/>
      <c r="CS3707" s="345"/>
      <c r="DH3707" s="237"/>
      <c r="DI3707" s="237"/>
      <c r="DP3707" s="2505"/>
    </row>
    <row r="3708" spans="30:120">
      <c r="AD3708" s="1138"/>
      <c r="BH3708" s="1790"/>
      <c r="BN3708" s="237">
        <v>72.06</v>
      </c>
      <c r="BO3708" s="237" t="s">
        <v>361</v>
      </c>
      <c r="CD3708" s="237">
        <v>312.08</v>
      </c>
      <c r="CE3708" s="237" t="s">
        <v>362</v>
      </c>
      <c r="CL3708" s="1789"/>
      <c r="CR3708" s="345"/>
      <c r="CS3708" s="345"/>
      <c r="DH3708" s="237"/>
      <c r="DI3708" s="237"/>
      <c r="DP3708" s="2505"/>
    </row>
    <row r="3709" spans="30:120">
      <c r="AD3709" s="1138"/>
      <c r="BH3709" s="1790"/>
      <c r="BN3709" s="237">
        <v>72.069999999999993</v>
      </c>
      <c r="BO3709" s="237" t="s">
        <v>361</v>
      </c>
      <c r="CD3709" s="237">
        <v>313.01</v>
      </c>
      <c r="CE3709" s="237" t="s">
        <v>317</v>
      </c>
      <c r="CL3709" s="1789"/>
      <c r="CR3709" s="345"/>
      <c r="CS3709" s="345"/>
      <c r="DH3709" s="237"/>
      <c r="DI3709" s="237"/>
      <c r="DP3709" s="2505"/>
    </row>
    <row r="3710" spans="30:120">
      <c r="AD3710" s="1138"/>
      <c r="BH3710" s="1790"/>
      <c r="BN3710" s="237">
        <v>72.08</v>
      </c>
      <c r="BO3710" s="237" t="s">
        <v>361</v>
      </c>
      <c r="CD3710" s="237">
        <v>313.01</v>
      </c>
      <c r="CE3710" s="237" t="s">
        <v>343</v>
      </c>
      <c r="CL3710" s="1789"/>
      <c r="CR3710" s="345"/>
      <c r="CS3710" s="345"/>
      <c r="DH3710" s="237"/>
      <c r="DI3710" s="237"/>
      <c r="DP3710" s="2505"/>
    </row>
    <row r="3711" spans="30:120">
      <c r="AD3711" s="1138"/>
      <c r="BH3711" s="1790"/>
      <c r="BN3711" s="237">
        <v>73.010000000000005</v>
      </c>
      <c r="BO3711" s="237" t="s">
        <v>361</v>
      </c>
      <c r="CD3711" s="237">
        <v>313.01</v>
      </c>
      <c r="CE3711" s="237" t="s">
        <v>362</v>
      </c>
      <c r="CL3711" s="1789"/>
      <c r="CR3711" s="345"/>
      <c r="CS3711" s="345"/>
      <c r="DH3711" s="237"/>
      <c r="DI3711" s="237"/>
      <c r="DP3711" s="2505"/>
    </row>
    <row r="3712" spans="30:120">
      <c r="AD3712" s="1138"/>
      <c r="BH3712" s="1790"/>
      <c r="BN3712" s="237">
        <v>73.02</v>
      </c>
      <c r="BO3712" s="237" t="s">
        <v>361</v>
      </c>
      <c r="CD3712" s="237">
        <v>313.02</v>
      </c>
      <c r="CE3712" s="237" t="s">
        <v>317</v>
      </c>
      <c r="CL3712" s="1789"/>
      <c r="CR3712" s="345"/>
      <c r="CS3712" s="345"/>
      <c r="DH3712" s="237"/>
      <c r="DI3712" s="237"/>
      <c r="DP3712" s="2505"/>
    </row>
    <row r="3713" spans="30:120">
      <c r="AD3713" s="1138"/>
      <c r="BH3713" s="1790"/>
      <c r="BN3713" s="237">
        <v>74.069999999999993</v>
      </c>
      <c r="BO3713" s="237" t="s">
        <v>361</v>
      </c>
      <c r="CD3713" s="237">
        <v>313.02</v>
      </c>
      <c r="CE3713" s="237" t="s">
        <v>362</v>
      </c>
      <c r="CL3713" s="1789"/>
      <c r="CR3713" s="345"/>
      <c r="CS3713" s="345"/>
      <c r="DH3713" s="237"/>
      <c r="DI3713" s="237"/>
      <c r="DP3713" s="2505"/>
    </row>
    <row r="3714" spans="30:120">
      <c r="AD3714" s="1138"/>
      <c r="BH3714" s="1790"/>
      <c r="BN3714" s="237">
        <v>74.099999999999994</v>
      </c>
      <c r="BO3714" s="237" t="s">
        <v>361</v>
      </c>
      <c r="CD3714" s="237">
        <v>313.02999999999997</v>
      </c>
      <c r="CE3714" s="237" t="s">
        <v>317</v>
      </c>
      <c r="CL3714" s="1789"/>
      <c r="CR3714" s="345"/>
      <c r="CS3714" s="345"/>
      <c r="DH3714" s="237"/>
      <c r="DI3714" s="237"/>
      <c r="DP3714" s="2505"/>
    </row>
    <row r="3715" spans="30:120">
      <c r="AD3715" s="1138"/>
      <c r="BH3715" s="1790"/>
      <c r="BN3715" s="237">
        <v>74.12</v>
      </c>
      <c r="BO3715" s="237" t="s">
        <v>361</v>
      </c>
      <c r="CD3715" s="237">
        <v>313.06</v>
      </c>
      <c r="CE3715" s="237" t="s">
        <v>343</v>
      </c>
      <c r="CL3715" s="1789"/>
      <c r="CR3715" s="345"/>
      <c r="CS3715" s="345"/>
      <c r="DH3715" s="237"/>
      <c r="DI3715" s="237"/>
      <c r="DP3715" s="2505"/>
    </row>
    <row r="3716" spans="30:120">
      <c r="AD3716" s="1138"/>
      <c r="BH3716" s="1790"/>
      <c r="BN3716" s="237">
        <v>74.14</v>
      </c>
      <c r="BO3716" s="237" t="s">
        <v>361</v>
      </c>
      <c r="CD3716" s="237">
        <v>313.08</v>
      </c>
      <c r="CE3716" s="237" t="s">
        <v>343</v>
      </c>
      <c r="CL3716" s="1789"/>
      <c r="CR3716" s="345"/>
      <c r="CS3716" s="345"/>
      <c r="DH3716" s="237"/>
      <c r="DI3716" s="237"/>
      <c r="DP3716" s="2505"/>
    </row>
    <row r="3717" spans="30:120">
      <c r="AD3717" s="1138"/>
      <c r="BH3717" s="1790"/>
      <c r="BN3717" s="237">
        <v>74.2</v>
      </c>
      <c r="BO3717" s="237" t="s">
        <v>361</v>
      </c>
      <c r="CD3717" s="237">
        <v>313.08999999999997</v>
      </c>
      <c r="CE3717" s="237" t="s">
        <v>343</v>
      </c>
      <c r="CL3717" s="1789"/>
      <c r="CR3717" s="345"/>
      <c r="CS3717" s="345"/>
      <c r="DH3717" s="237"/>
      <c r="DI3717" s="237"/>
      <c r="DP3717" s="2505"/>
    </row>
    <row r="3718" spans="30:120">
      <c r="AD3718" s="1138"/>
      <c r="BH3718" s="1790"/>
      <c r="BN3718" s="237">
        <v>74.209999999999994</v>
      </c>
      <c r="BO3718" s="237" t="s">
        <v>361</v>
      </c>
      <c r="CD3718" s="237">
        <v>313.12</v>
      </c>
      <c r="CE3718" s="237" t="s">
        <v>343</v>
      </c>
      <c r="CL3718" s="1789"/>
      <c r="CR3718" s="345"/>
      <c r="CS3718" s="345"/>
      <c r="DH3718" s="237"/>
      <c r="DI3718" s="237"/>
      <c r="DP3718" s="2505"/>
    </row>
    <row r="3719" spans="30:120">
      <c r="AD3719" s="1138"/>
      <c r="BH3719" s="1790"/>
      <c r="BN3719" s="237">
        <v>75.010000000000005</v>
      </c>
      <c r="BO3719" s="237" t="s">
        <v>361</v>
      </c>
      <c r="CD3719" s="237">
        <v>313.13</v>
      </c>
      <c r="CE3719" s="237" t="s">
        <v>343</v>
      </c>
      <c r="CL3719" s="1789"/>
      <c r="CR3719" s="345"/>
      <c r="CS3719" s="345"/>
      <c r="DH3719" s="237"/>
      <c r="DI3719" s="237"/>
      <c r="DP3719" s="2505"/>
    </row>
    <row r="3720" spans="30:120">
      <c r="AD3720" s="1138"/>
      <c r="BH3720" s="1790"/>
      <c r="BN3720" s="237">
        <v>75.040000000000006</v>
      </c>
      <c r="BO3720" s="237" t="s">
        <v>361</v>
      </c>
      <c r="CD3720" s="237">
        <v>313.14</v>
      </c>
      <c r="CE3720" s="237" t="s">
        <v>343</v>
      </c>
      <c r="CL3720" s="1789"/>
      <c r="CR3720" s="345"/>
      <c r="CS3720" s="345"/>
      <c r="DH3720" s="237"/>
      <c r="DI3720" s="237"/>
      <c r="DP3720" s="2505"/>
    </row>
    <row r="3721" spans="30:120">
      <c r="AD3721" s="1138"/>
      <c r="BH3721" s="1790"/>
      <c r="BN3721" s="237">
        <v>75.05</v>
      </c>
      <c r="BO3721" s="237" t="s">
        <v>361</v>
      </c>
      <c r="CD3721" s="237">
        <v>313.14999999999998</v>
      </c>
      <c r="CE3721" s="237" t="s">
        <v>343</v>
      </c>
      <c r="CL3721" s="1789"/>
      <c r="CR3721" s="345"/>
      <c r="CS3721" s="345"/>
      <c r="DH3721" s="237"/>
      <c r="DI3721" s="237"/>
      <c r="DP3721" s="2505"/>
    </row>
    <row r="3722" spans="30:120">
      <c r="AD3722" s="1138"/>
      <c r="BH3722" s="1790"/>
      <c r="BN3722" s="237">
        <v>76.03</v>
      </c>
      <c r="BO3722" s="237" t="s">
        <v>361</v>
      </c>
      <c r="CD3722" s="237">
        <v>313.16000000000003</v>
      </c>
      <c r="CE3722" s="237" t="s">
        <v>343</v>
      </c>
      <c r="CL3722" s="1789"/>
      <c r="CR3722" s="345"/>
      <c r="CS3722" s="345"/>
      <c r="DH3722" s="237"/>
      <c r="DI3722" s="237"/>
      <c r="DP3722" s="2505"/>
    </row>
    <row r="3723" spans="30:120">
      <c r="AD3723" s="1138"/>
      <c r="BH3723" s="1790"/>
      <c r="BN3723" s="237">
        <v>76.040000000000006</v>
      </c>
      <c r="BO3723" s="237" t="s">
        <v>361</v>
      </c>
      <c r="CD3723" s="237">
        <v>313.17</v>
      </c>
      <c r="CE3723" s="237" t="s">
        <v>343</v>
      </c>
      <c r="CL3723" s="1789"/>
      <c r="CR3723" s="345"/>
      <c r="CS3723" s="345"/>
      <c r="DH3723" s="237"/>
      <c r="DI3723" s="237"/>
      <c r="DP3723" s="2505"/>
    </row>
    <row r="3724" spans="30:120">
      <c r="AD3724" s="1138"/>
      <c r="BH3724" s="1790"/>
      <c r="BN3724" s="237">
        <v>76.05</v>
      </c>
      <c r="BO3724" s="237" t="s">
        <v>361</v>
      </c>
      <c r="CD3724" s="237">
        <v>313.18</v>
      </c>
      <c r="CE3724" s="237" t="s">
        <v>343</v>
      </c>
      <c r="CL3724" s="1789"/>
      <c r="CR3724" s="345"/>
      <c r="CS3724" s="345"/>
      <c r="DH3724" s="237"/>
      <c r="DI3724" s="237"/>
      <c r="DP3724" s="2505"/>
    </row>
    <row r="3725" spans="30:120">
      <c r="AD3725" s="1138"/>
      <c r="BH3725" s="1790"/>
      <c r="BN3725" s="237">
        <v>76.099999999999994</v>
      </c>
      <c r="BO3725" s="237" t="s">
        <v>361</v>
      </c>
      <c r="CD3725" s="237">
        <v>313.19</v>
      </c>
      <c r="CE3725" s="237" t="s">
        <v>343</v>
      </c>
      <c r="CL3725" s="1789"/>
      <c r="CR3725" s="345"/>
      <c r="CS3725" s="345"/>
      <c r="DH3725" s="237"/>
      <c r="DI3725" s="237"/>
      <c r="DP3725" s="2505"/>
    </row>
    <row r="3726" spans="30:120">
      <c r="AD3726" s="1138"/>
      <c r="BH3726" s="1790"/>
      <c r="BN3726" s="237">
        <v>76.12</v>
      </c>
      <c r="BO3726" s="237" t="s">
        <v>361</v>
      </c>
      <c r="CD3726" s="237">
        <v>313.2</v>
      </c>
      <c r="CE3726" s="237" t="s">
        <v>343</v>
      </c>
      <c r="CL3726" s="1789"/>
      <c r="CR3726" s="345"/>
      <c r="CS3726" s="345"/>
      <c r="DH3726" s="237"/>
      <c r="DI3726" s="237"/>
      <c r="DP3726" s="2505"/>
    </row>
    <row r="3727" spans="30:120">
      <c r="AD3727" s="1138"/>
      <c r="BH3727" s="1790"/>
      <c r="BN3727" s="237">
        <v>76.13</v>
      </c>
      <c r="BO3727" s="237" t="s">
        <v>361</v>
      </c>
      <c r="CD3727" s="237">
        <v>313.20999999999998</v>
      </c>
      <c r="CE3727" s="237" t="s">
        <v>343</v>
      </c>
      <c r="CL3727" s="1789"/>
      <c r="CR3727" s="345"/>
      <c r="CS3727" s="345"/>
      <c r="DH3727" s="237"/>
      <c r="DI3727" s="237"/>
      <c r="DP3727" s="2505"/>
    </row>
    <row r="3728" spans="30:120">
      <c r="AD3728" s="1138"/>
      <c r="BH3728" s="1790"/>
      <c r="BN3728" s="237">
        <v>76.14</v>
      </c>
      <c r="BO3728" s="237" t="s">
        <v>361</v>
      </c>
      <c r="CD3728" s="237">
        <v>313.22000000000003</v>
      </c>
      <c r="CE3728" s="237" t="s">
        <v>343</v>
      </c>
      <c r="CL3728" s="1789"/>
      <c r="CR3728" s="345"/>
      <c r="CS3728" s="345"/>
      <c r="DH3728" s="237"/>
      <c r="DI3728" s="237"/>
      <c r="DP3728" s="2505"/>
    </row>
    <row r="3729" spans="30:120">
      <c r="AD3729" s="1138"/>
      <c r="BH3729" s="1790"/>
      <c r="BN3729" s="237">
        <v>76.150000000000006</v>
      </c>
      <c r="BO3729" s="237" t="s">
        <v>361</v>
      </c>
      <c r="CD3729" s="237">
        <v>313.23</v>
      </c>
      <c r="CE3729" s="237" t="s">
        <v>343</v>
      </c>
      <c r="CL3729" s="1789"/>
      <c r="CR3729" s="345"/>
      <c r="CS3729" s="345"/>
      <c r="DH3729" s="237"/>
      <c r="DI3729" s="237"/>
      <c r="DP3729" s="2505"/>
    </row>
    <row r="3730" spans="30:120">
      <c r="AD3730" s="1138"/>
      <c r="BH3730" s="1790"/>
      <c r="BN3730" s="237">
        <v>76.16</v>
      </c>
      <c r="BO3730" s="237" t="s">
        <v>361</v>
      </c>
      <c r="CD3730" s="237">
        <v>313.24</v>
      </c>
      <c r="CE3730" s="237" t="s">
        <v>343</v>
      </c>
      <c r="CL3730" s="1789"/>
      <c r="CR3730" s="345"/>
      <c r="CS3730" s="345"/>
      <c r="DH3730" s="237"/>
      <c r="DI3730" s="237"/>
      <c r="DP3730" s="2505"/>
    </row>
    <row r="3731" spans="30:120">
      <c r="AD3731" s="1138"/>
      <c r="BH3731" s="1790"/>
      <c r="BN3731" s="237">
        <v>76.19</v>
      </c>
      <c r="BO3731" s="237" t="s">
        <v>361</v>
      </c>
      <c r="CD3731" s="237">
        <v>314</v>
      </c>
      <c r="CE3731" s="237" t="s">
        <v>317</v>
      </c>
      <c r="CL3731" s="1789"/>
      <c r="CR3731" s="345"/>
      <c r="CS3731" s="345"/>
      <c r="DH3731" s="237"/>
      <c r="DI3731" s="237"/>
      <c r="DP3731" s="2505"/>
    </row>
    <row r="3732" spans="30:120">
      <c r="AD3732" s="1138"/>
      <c r="BH3732" s="1790"/>
      <c r="BN3732" s="237">
        <v>76.2</v>
      </c>
      <c r="BO3732" s="237" t="s">
        <v>361</v>
      </c>
      <c r="CD3732" s="237">
        <v>314.01</v>
      </c>
      <c r="CE3732" s="237" t="s">
        <v>362</v>
      </c>
      <c r="CL3732" s="1789"/>
      <c r="CR3732" s="345"/>
      <c r="CS3732" s="345"/>
      <c r="DH3732" s="237"/>
      <c r="DI3732" s="237"/>
      <c r="DP3732" s="2505"/>
    </row>
    <row r="3733" spans="30:120">
      <c r="AD3733" s="1138"/>
      <c r="BH3733" s="1790"/>
      <c r="BN3733" s="237">
        <v>76.209999999999994</v>
      </c>
      <c r="BO3733" s="237" t="s">
        <v>361</v>
      </c>
      <c r="CD3733" s="237">
        <v>314.04000000000002</v>
      </c>
      <c r="CE3733" s="237" t="s">
        <v>362</v>
      </c>
      <c r="CL3733" s="1789"/>
      <c r="CR3733" s="345"/>
      <c r="CS3733" s="345"/>
      <c r="DH3733" s="237"/>
      <c r="DI3733" s="237"/>
      <c r="DP3733" s="2505"/>
    </row>
    <row r="3734" spans="30:120">
      <c r="AD3734" s="1138"/>
      <c r="BH3734" s="1790"/>
      <c r="BN3734" s="237">
        <v>76.22</v>
      </c>
      <c r="BO3734" s="237" t="s">
        <v>361</v>
      </c>
      <c r="CD3734" s="237">
        <v>314.06</v>
      </c>
      <c r="CE3734" s="237" t="s">
        <v>362</v>
      </c>
      <c r="CL3734" s="1789"/>
      <c r="CR3734" s="345"/>
      <c r="CS3734" s="345"/>
      <c r="DH3734" s="237"/>
      <c r="DI3734" s="237"/>
      <c r="DP3734" s="2505"/>
    </row>
    <row r="3735" spans="30:120">
      <c r="AD3735" s="1138"/>
      <c r="BH3735" s="1790"/>
      <c r="BN3735" s="237">
        <v>76.23</v>
      </c>
      <c r="BO3735" s="237" t="s">
        <v>361</v>
      </c>
      <c r="CD3735" s="237">
        <v>314.07</v>
      </c>
      <c r="CE3735" s="237" t="s">
        <v>362</v>
      </c>
      <c r="CL3735" s="1789"/>
      <c r="CR3735" s="345"/>
      <c r="CS3735" s="345"/>
      <c r="DH3735" s="237"/>
      <c r="DI3735" s="237"/>
      <c r="DP3735" s="2505"/>
    </row>
    <row r="3736" spans="30:120">
      <c r="AD3736" s="1138"/>
      <c r="BH3736" s="1790"/>
      <c r="BN3736" s="237">
        <v>76.239999999999995</v>
      </c>
      <c r="BO3736" s="237" t="s">
        <v>361</v>
      </c>
      <c r="CD3736" s="237">
        <v>314.10000000000002</v>
      </c>
      <c r="CE3736" s="237" t="s">
        <v>362</v>
      </c>
      <c r="CL3736" s="1789"/>
      <c r="CR3736" s="345"/>
      <c r="CS3736" s="345"/>
      <c r="DH3736" s="237"/>
      <c r="DI3736" s="237"/>
      <c r="DP3736" s="2505"/>
    </row>
    <row r="3737" spans="30:120">
      <c r="AD3737" s="1138"/>
      <c r="BH3737" s="1790"/>
      <c r="BN3737" s="237">
        <v>77.05</v>
      </c>
      <c r="BO3737" s="237" t="s">
        <v>361</v>
      </c>
      <c r="CD3737" s="237">
        <v>314.11</v>
      </c>
      <c r="CE3737" s="237" t="s">
        <v>362</v>
      </c>
      <c r="CL3737" s="1789"/>
      <c r="CR3737" s="345"/>
      <c r="CS3737" s="345"/>
      <c r="DH3737" s="237"/>
      <c r="DI3737" s="237"/>
      <c r="DP3737" s="2505"/>
    </row>
    <row r="3738" spans="30:120">
      <c r="AD3738" s="1138"/>
      <c r="BH3738" s="1790"/>
      <c r="BN3738" s="237">
        <v>77.099999999999994</v>
      </c>
      <c r="BO3738" s="237" t="s">
        <v>361</v>
      </c>
      <c r="CD3738" s="237">
        <v>314.12</v>
      </c>
      <c r="CE3738" s="237" t="s">
        <v>362</v>
      </c>
      <c r="CL3738" s="1789"/>
      <c r="CR3738" s="345"/>
      <c r="CS3738" s="345"/>
      <c r="DH3738" s="237"/>
      <c r="DI3738" s="237"/>
      <c r="DP3738" s="2505"/>
    </row>
    <row r="3739" spans="30:120">
      <c r="AD3739" s="1138"/>
      <c r="BH3739" s="1790"/>
      <c r="BN3739" s="237">
        <v>77.16</v>
      </c>
      <c r="BO3739" s="237" t="s">
        <v>361</v>
      </c>
      <c r="CD3739" s="237">
        <v>315</v>
      </c>
      <c r="CE3739" s="237" t="s">
        <v>317</v>
      </c>
      <c r="CL3739" s="1789"/>
      <c r="CR3739" s="345"/>
      <c r="CS3739" s="345"/>
      <c r="DH3739" s="237"/>
      <c r="DI3739" s="237"/>
      <c r="DP3739" s="2505"/>
    </row>
    <row r="3740" spans="30:120">
      <c r="AD3740" s="1138"/>
      <c r="BH3740" s="1790"/>
      <c r="BN3740" s="237">
        <v>77.209999999999994</v>
      </c>
      <c r="BO3740" s="237" t="s">
        <v>361</v>
      </c>
      <c r="CD3740" s="237">
        <v>315.02999999999997</v>
      </c>
      <c r="CE3740" s="237" t="s">
        <v>362</v>
      </c>
      <c r="CL3740" s="1789"/>
      <c r="CR3740" s="345"/>
      <c r="CS3740" s="345"/>
      <c r="DH3740" s="237"/>
      <c r="DI3740" s="237"/>
      <c r="DP3740" s="2505"/>
    </row>
    <row r="3741" spans="30:120">
      <c r="AD3741" s="1138"/>
      <c r="BH3741" s="1790"/>
      <c r="BN3741" s="237">
        <v>77.23</v>
      </c>
      <c r="BO3741" s="237" t="s">
        <v>361</v>
      </c>
      <c r="CD3741" s="237">
        <v>315.04000000000002</v>
      </c>
      <c r="CE3741" s="237" t="s">
        <v>362</v>
      </c>
      <c r="CL3741" s="1789"/>
      <c r="CR3741" s="345"/>
      <c r="CS3741" s="345"/>
      <c r="DH3741" s="237"/>
      <c r="DI3741" s="237"/>
      <c r="DP3741" s="2505"/>
    </row>
    <row r="3742" spans="30:120">
      <c r="AD3742" s="1138"/>
      <c r="BH3742" s="1790"/>
      <c r="BN3742" s="237">
        <v>77.239999999999995</v>
      </c>
      <c r="BO3742" s="237" t="s">
        <v>361</v>
      </c>
      <c r="CD3742" s="237">
        <v>315.05</v>
      </c>
      <c r="CE3742" s="237" t="s">
        <v>362</v>
      </c>
      <c r="CL3742" s="1789"/>
      <c r="CR3742" s="345"/>
      <c r="CS3742" s="345"/>
      <c r="DH3742" s="237"/>
      <c r="DI3742" s="237"/>
      <c r="DP3742" s="2505"/>
    </row>
    <row r="3743" spans="30:120">
      <c r="AD3743" s="1138"/>
      <c r="BH3743" s="1790"/>
      <c r="BN3743" s="237">
        <v>77.25</v>
      </c>
      <c r="BO3743" s="237" t="s">
        <v>361</v>
      </c>
      <c r="CD3743" s="237">
        <v>315.06</v>
      </c>
      <c r="CE3743" s="237" t="s">
        <v>362</v>
      </c>
      <c r="CL3743" s="1789"/>
      <c r="CR3743" s="345"/>
      <c r="CS3743" s="345"/>
      <c r="DH3743" s="237"/>
      <c r="DI3743" s="237"/>
      <c r="DP3743" s="2505"/>
    </row>
    <row r="3744" spans="30:120">
      <c r="AD3744" s="1138"/>
      <c r="BH3744" s="1790"/>
      <c r="BN3744" s="237">
        <v>77.3</v>
      </c>
      <c r="BO3744" s="237" t="s">
        <v>361</v>
      </c>
      <c r="CD3744" s="237">
        <v>315.07</v>
      </c>
      <c r="CE3744" s="237" t="s">
        <v>362</v>
      </c>
      <c r="CL3744" s="1789"/>
      <c r="CR3744" s="345"/>
      <c r="CS3744" s="345"/>
      <c r="DH3744" s="237"/>
      <c r="DI3744" s="237"/>
      <c r="DP3744" s="2505"/>
    </row>
    <row r="3745" spans="30:120">
      <c r="AD3745" s="1138"/>
      <c r="BH3745" s="1790"/>
      <c r="BN3745" s="237">
        <v>77.31</v>
      </c>
      <c r="BO3745" s="237" t="s">
        <v>361</v>
      </c>
      <c r="CD3745" s="237">
        <v>315.08</v>
      </c>
      <c r="CE3745" s="237" t="s">
        <v>362</v>
      </c>
      <c r="CL3745" s="1789"/>
      <c r="CR3745" s="345"/>
      <c r="CS3745" s="345"/>
      <c r="DH3745" s="237"/>
      <c r="DI3745" s="237"/>
      <c r="DP3745" s="2505"/>
    </row>
    <row r="3746" spans="30:120">
      <c r="AD3746" s="1138"/>
      <c r="BH3746" s="1790"/>
      <c r="BN3746" s="237">
        <v>77.319999999999993</v>
      </c>
      <c r="BO3746" s="237" t="s">
        <v>361</v>
      </c>
      <c r="CD3746" s="237">
        <v>316.01</v>
      </c>
      <c r="CE3746" s="237" t="s">
        <v>362</v>
      </c>
      <c r="CL3746" s="1789"/>
      <c r="CR3746" s="345"/>
      <c r="CS3746" s="345"/>
      <c r="DH3746" s="237"/>
      <c r="DI3746" s="237"/>
      <c r="DP3746" s="2505"/>
    </row>
    <row r="3747" spans="30:120">
      <c r="AD3747" s="1138"/>
      <c r="BH3747" s="1790"/>
      <c r="BN3747" s="237">
        <v>77.349999999999994</v>
      </c>
      <c r="BO3747" s="237" t="s">
        <v>361</v>
      </c>
      <c r="CD3747" s="237">
        <v>316.02</v>
      </c>
      <c r="CE3747" s="237" t="s">
        <v>362</v>
      </c>
      <c r="CL3747" s="1789"/>
      <c r="CR3747" s="345"/>
      <c r="CS3747" s="345"/>
      <c r="DH3747" s="237"/>
      <c r="DI3747" s="237"/>
      <c r="DP3747" s="2505"/>
    </row>
    <row r="3748" spans="30:120">
      <c r="AD3748" s="1138"/>
      <c r="BH3748" s="1790"/>
      <c r="BN3748" s="237">
        <v>77.36</v>
      </c>
      <c r="BO3748" s="237" t="s">
        <v>361</v>
      </c>
      <c r="CD3748" s="237">
        <v>316.02999999999997</v>
      </c>
      <c r="CE3748" s="237" t="s">
        <v>362</v>
      </c>
      <c r="CL3748" s="1789"/>
      <c r="CR3748" s="345"/>
      <c r="CS3748" s="345"/>
      <c r="DH3748" s="237"/>
      <c r="DI3748" s="237"/>
      <c r="DP3748" s="2505"/>
    </row>
    <row r="3749" spans="30:120">
      <c r="AD3749" s="1138"/>
      <c r="BH3749" s="1790"/>
      <c r="BN3749" s="237">
        <v>77.38</v>
      </c>
      <c r="BO3749" s="237" t="s">
        <v>361</v>
      </c>
      <c r="CD3749" s="237">
        <v>316.04000000000002</v>
      </c>
      <c r="CE3749" s="237" t="s">
        <v>362</v>
      </c>
      <c r="CL3749" s="1789"/>
      <c r="CR3749" s="345"/>
      <c r="CS3749" s="345"/>
      <c r="DH3749" s="237"/>
      <c r="DI3749" s="237"/>
      <c r="DP3749" s="2505"/>
    </row>
    <row r="3750" spans="30:120">
      <c r="AD3750" s="1138"/>
      <c r="BH3750" s="1790"/>
      <c r="BN3750" s="237">
        <v>77.39</v>
      </c>
      <c r="BO3750" s="237" t="s">
        <v>361</v>
      </c>
      <c r="CD3750" s="237">
        <v>316.05</v>
      </c>
      <c r="CE3750" s="237" t="s">
        <v>362</v>
      </c>
      <c r="CL3750" s="1789"/>
      <c r="CR3750" s="345"/>
      <c r="CS3750" s="345"/>
      <c r="DH3750" s="237"/>
      <c r="DI3750" s="237"/>
      <c r="DP3750" s="2505"/>
    </row>
    <row r="3751" spans="30:120">
      <c r="AD3751" s="1138"/>
      <c r="BH3751" s="1790"/>
      <c r="BN3751" s="237">
        <v>77.400000000000006</v>
      </c>
      <c r="BO3751" s="237" t="s">
        <v>361</v>
      </c>
      <c r="CD3751" s="237">
        <v>317.01</v>
      </c>
      <c r="CE3751" s="237" t="s">
        <v>362</v>
      </c>
      <c r="CL3751" s="1789"/>
      <c r="CR3751" s="345"/>
      <c r="CS3751" s="345"/>
      <c r="DH3751" s="237"/>
      <c r="DI3751" s="237"/>
      <c r="DP3751" s="2505"/>
    </row>
    <row r="3752" spans="30:120">
      <c r="AD3752" s="1138"/>
      <c r="BH3752" s="1790"/>
      <c r="BN3752" s="237">
        <v>77.41</v>
      </c>
      <c r="BO3752" s="237" t="s">
        <v>361</v>
      </c>
      <c r="CD3752" s="237">
        <v>317.02999999999997</v>
      </c>
      <c r="CE3752" s="237" t="s">
        <v>362</v>
      </c>
      <c r="CL3752" s="1789"/>
      <c r="CR3752" s="345"/>
      <c r="CS3752" s="345"/>
      <c r="DH3752" s="237"/>
      <c r="DI3752" s="237"/>
      <c r="DP3752" s="2505"/>
    </row>
    <row r="3753" spans="30:120">
      <c r="AD3753" s="1138"/>
      <c r="BH3753" s="1790"/>
      <c r="BN3753" s="237">
        <v>77.42</v>
      </c>
      <c r="BO3753" s="237" t="s">
        <v>361</v>
      </c>
      <c r="CD3753" s="237">
        <v>317.04000000000002</v>
      </c>
      <c r="CE3753" s="237" t="s">
        <v>362</v>
      </c>
      <c r="CL3753" s="1789"/>
      <c r="CR3753" s="345"/>
      <c r="CS3753" s="345"/>
      <c r="DH3753" s="237"/>
      <c r="DI3753" s="237"/>
      <c r="DP3753" s="2505"/>
    </row>
    <row r="3754" spans="30:120">
      <c r="AD3754" s="1138"/>
      <c r="BH3754" s="1790"/>
      <c r="BN3754" s="237">
        <v>77.430000000000007</v>
      </c>
      <c r="BO3754" s="237" t="s">
        <v>361</v>
      </c>
      <c r="CD3754" s="237">
        <v>317.05</v>
      </c>
      <c r="CE3754" s="237" t="s">
        <v>362</v>
      </c>
      <c r="CL3754" s="1789"/>
      <c r="CR3754" s="345"/>
      <c r="CS3754" s="345"/>
      <c r="DH3754" s="237"/>
      <c r="DI3754" s="237"/>
      <c r="DP3754" s="2505"/>
    </row>
    <row r="3755" spans="30:120">
      <c r="AD3755" s="1138"/>
      <c r="BH3755" s="1790"/>
      <c r="BN3755" s="237">
        <v>77.459999999999994</v>
      </c>
      <c r="BO3755" s="237" t="s">
        <v>361</v>
      </c>
      <c r="CD3755" s="237">
        <v>317.06</v>
      </c>
      <c r="CE3755" s="237" t="s">
        <v>362</v>
      </c>
      <c r="CL3755" s="1789"/>
      <c r="CR3755" s="345"/>
      <c r="CS3755" s="345"/>
      <c r="DH3755" s="237"/>
      <c r="DI3755" s="237"/>
      <c r="DP3755" s="2505"/>
    </row>
    <row r="3756" spans="30:120">
      <c r="AD3756" s="1138"/>
      <c r="BH3756" s="1790"/>
      <c r="BN3756" s="237">
        <v>77.47</v>
      </c>
      <c r="BO3756" s="237" t="s">
        <v>361</v>
      </c>
      <c r="CD3756" s="237">
        <v>317.07</v>
      </c>
      <c r="CE3756" s="237" t="s">
        <v>362</v>
      </c>
      <c r="CL3756" s="1789"/>
      <c r="CR3756" s="345"/>
      <c r="CS3756" s="345"/>
      <c r="DH3756" s="237"/>
      <c r="DI3756" s="237"/>
      <c r="DP3756" s="2505"/>
    </row>
    <row r="3757" spans="30:120">
      <c r="AD3757" s="1138"/>
      <c r="BH3757" s="1790"/>
      <c r="BN3757" s="237">
        <v>77.48</v>
      </c>
      <c r="BO3757" s="237" t="s">
        <v>361</v>
      </c>
      <c r="CD3757" s="237">
        <v>317.08</v>
      </c>
      <c r="CE3757" s="237" t="s">
        <v>362</v>
      </c>
      <c r="CL3757" s="1789"/>
      <c r="CR3757" s="345"/>
      <c r="CS3757" s="345"/>
      <c r="DH3757" s="237"/>
      <c r="DI3757" s="237"/>
      <c r="DP3757" s="2505"/>
    </row>
    <row r="3758" spans="30:120">
      <c r="AD3758" s="1138"/>
      <c r="BH3758" s="1790"/>
      <c r="BN3758" s="237">
        <v>77.489999999999995</v>
      </c>
      <c r="BO3758" s="237" t="s">
        <v>361</v>
      </c>
      <c r="CD3758" s="237">
        <v>318.04000000000002</v>
      </c>
      <c r="CE3758" s="237" t="s">
        <v>362</v>
      </c>
      <c r="CL3758" s="1789"/>
      <c r="CR3758" s="345"/>
      <c r="CS3758" s="345"/>
      <c r="DH3758" s="237"/>
      <c r="DI3758" s="237"/>
      <c r="DP3758" s="2505"/>
    </row>
    <row r="3759" spans="30:120">
      <c r="AD3759" s="1138"/>
      <c r="BH3759" s="1790"/>
      <c r="BN3759" s="237">
        <v>77.5</v>
      </c>
      <c r="BO3759" s="237" t="s">
        <v>361</v>
      </c>
      <c r="CD3759" s="237">
        <v>318.05</v>
      </c>
      <c r="CE3759" s="237" t="s">
        <v>362</v>
      </c>
      <c r="CL3759" s="1789"/>
      <c r="CR3759" s="345"/>
      <c r="CS3759" s="345"/>
      <c r="DH3759" s="237"/>
      <c r="DI3759" s="237"/>
      <c r="DP3759" s="2505"/>
    </row>
    <row r="3760" spans="30:120">
      <c r="AD3760" s="1138"/>
      <c r="BH3760" s="1790"/>
      <c r="BN3760" s="237">
        <v>77.510000000000005</v>
      </c>
      <c r="BO3760" s="237" t="s">
        <v>361</v>
      </c>
      <c r="CD3760" s="237">
        <v>318.06</v>
      </c>
      <c r="CE3760" s="237" t="s">
        <v>362</v>
      </c>
      <c r="CL3760" s="1789"/>
      <c r="CR3760" s="345"/>
      <c r="CS3760" s="345"/>
      <c r="DH3760" s="237"/>
      <c r="DI3760" s="237"/>
      <c r="DP3760" s="2505"/>
    </row>
    <row r="3761" spans="30:120">
      <c r="AD3761" s="1138"/>
      <c r="BH3761" s="1790"/>
      <c r="BN3761" s="237">
        <v>77.52</v>
      </c>
      <c r="BO3761" s="237" t="s">
        <v>361</v>
      </c>
      <c r="CD3761" s="237">
        <v>318.07</v>
      </c>
      <c r="CE3761" s="237" t="s">
        <v>362</v>
      </c>
      <c r="CL3761" s="1789"/>
      <c r="CR3761" s="345"/>
      <c r="CS3761" s="345"/>
      <c r="DH3761" s="237"/>
      <c r="DI3761" s="237"/>
      <c r="DP3761" s="2505"/>
    </row>
    <row r="3762" spans="30:120">
      <c r="AD3762" s="1138"/>
      <c r="BH3762" s="1790"/>
      <c r="BN3762" s="237">
        <v>77.540000000000006</v>
      </c>
      <c r="BO3762" s="237" t="s">
        <v>361</v>
      </c>
      <c r="CD3762" s="237">
        <v>318.08</v>
      </c>
      <c r="CE3762" s="237" t="s">
        <v>362</v>
      </c>
      <c r="CL3762" s="1789"/>
      <c r="CR3762" s="345"/>
      <c r="CS3762" s="345"/>
      <c r="DH3762" s="237"/>
      <c r="DI3762" s="237"/>
      <c r="DP3762" s="2505"/>
    </row>
    <row r="3763" spans="30:120">
      <c r="AD3763" s="1138"/>
      <c r="BH3763" s="1790"/>
      <c r="BN3763" s="237">
        <v>77.569999999999993</v>
      </c>
      <c r="BO3763" s="237" t="s">
        <v>361</v>
      </c>
      <c r="CD3763" s="237">
        <v>318.08999999999997</v>
      </c>
      <c r="CE3763" s="237" t="s">
        <v>362</v>
      </c>
      <c r="CL3763" s="1789"/>
      <c r="CR3763" s="345"/>
      <c r="CS3763" s="345"/>
      <c r="DH3763" s="237"/>
      <c r="DI3763" s="237"/>
      <c r="DP3763" s="2505"/>
    </row>
    <row r="3764" spans="30:120">
      <c r="AD3764" s="1138"/>
      <c r="BH3764" s="1790"/>
      <c r="BN3764" s="237">
        <v>77.58</v>
      </c>
      <c r="BO3764" s="237" t="s">
        <v>361</v>
      </c>
      <c r="CD3764" s="237">
        <v>319.01</v>
      </c>
      <c r="CE3764" s="237" t="s">
        <v>362</v>
      </c>
      <c r="CL3764" s="1789"/>
      <c r="CR3764" s="345"/>
      <c r="CS3764" s="345"/>
      <c r="DH3764" s="237"/>
      <c r="DI3764" s="237"/>
      <c r="DP3764" s="2505"/>
    </row>
    <row r="3765" spans="30:120">
      <c r="AD3765" s="1138"/>
      <c r="BH3765" s="1790"/>
      <c r="BN3765" s="237">
        <v>77.59</v>
      </c>
      <c r="BO3765" s="237" t="s">
        <v>361</v>
      </c>
      <c r="CD3765" s="237">
        <v>319.02</v>
      </c>
      <c r="CE3765" s="237" t="s">
        <v>362</v>
      </c>
      <c r="CL3765" s="1789"/>
      <c r="CR3765" s="345"/>
      <c r="CS3765" s="345"/>
      <c r="DH3765" s="237"/>
      <c r="DI3765" s="237"/>
      <c r="DP3765" s="2505"/>
    </row>
    <row r="3766" spans="30:120">
      <c r="AD3766" s="1138"/>
      <c r="BH3766" s="1790"/>
      <c r="BN3766" s="237">
        <v>77.63</v>
      </c>
      <c r="BO3766" s="237" t="s">
        <v>361</v>
      </c>
      <c r="CD3766" s="237">
        <v>319.02999999999997</v>
      </c>
      <c r="CE3766" s="237" t="s">
        <v>362</v>
      </c>
      <c r="CL3766" s="1789"/>
      <c r="CR3766" s="345"/>
      <c r="CS3766" s="345"/>
      <c r="DH3766" s="237"/>
      <c r="DI3766" s="237"/>
      <c r="DP3766" s="2505"/>
    </row>
    <row r="3767" spans="30:120">
      <c r="AD3767" s="1138"/>
      <c r="BH3767" s="1790"/>
      <c r="BN3767" s="237">
        <v>77.64</v>
      </c>
      <c r="BO3767" s="237" t="s">
        <v>361</v>
      </c>
      <c r="CD3767" s="237">
        <v>320.01</v>
      </c>
      <c r="CE3767" s="237" t="s">
        <v>362</v>
      </c>
      <c r="CL3767" s="1789"/>
      <c r="CR3767" s="345"/>
      <c r="CS3767" s="345"/>
      <c r="DH3767" s="237"/>
      <c r="DI3767" s="237"/>
      <c r="DP3767" s="2505"/>
    </row>
    <row r="3768" spans="30:120">
      <c r="AD3768" s="1138"/>
      <c r="BH3768" s="1790"/>
      <c r="BN3768" s="237">
        <v>77.66</v>
      </c>
      <c r="BO3768" s="237" t="s">
        <v>361</v>
      </c>
      <c r="CD3768" s="237">
        <v>320.05</v>
      </c>
      <c r="CE3768" s="237" t="s">
        <v>362</v>
      </c>
      <c r="CL3768" s="1789"/>
      <c r="CR3768" s="345"/>
      <c r="CS3768" s="345"/>
      <c r="DH3768" s="237"/>
      <c r="DI3768" s="237"/>
      <c r="DP3768" s="2505"/>
    </row>
    <row r="3769" spans="30:120">
      <c r="AD3769" s="1138"/>
      <c r="BH3769" s="1790"/>
      <c r="BN3769" s="237">
        <v>77.67</v>
      </c>
      <c r="BO3769" s="237" t="s">
        <v>361</v>
      </c>
      <c r="CD3769" s="237">
        <v>320.06</v>
      </c>
      <c r="CE3769" s="237" t="s">
        <v>362</v>
      </c>
      <c r="CL3769" s="1789"/>
      <c r="CR3769" s="345"/>
      <c r="CS3769" s="345"/>
      <c r="DH3769" s="237"/>
      <c r="DI3769" s="237"/>
      <c r="DP3769" s="2505"/>
    </row>
    <row r="3770" spans="30:120">
      <c r="AD3770" s="1138"/>
      <c r="BH3770" s="1790"/>
      <c r="BN3770" s="237">
        <v>77.680000000000007</v>
      </c>
      <c r="BO3770" s="237" t="s">
        <v>361</v>
      </c>
      <c r="CD3770" s="237">
        <v>320.07</v>
      </c>
      <c r="CE3770" s="237" t="s">
        <v>362</v>
      </c>
      <c r="CL3770" s="1789"/>
      <c r="CR3770" s="345"/>
      <c r="CS3770" s="345"/>
      <c r="DH3770" s="237"/>
      <c r="DI3770" s="237"/>
      <c r="DP3770" s="2505"/>
    </row>
    <row r="3771" spans="30:120">
      <c r="AD3771" s="1138"/>
      <c r="BH3771" s="1790"/>
      <c r="BN3771" s="237">
        <v>77.69</v>
      </c>
      <c r="BO3771" s="237" t="s">
        <v>361</v>
      </c>
      <c r="CD3771" s="237">
        <v>320.08</v>
      </c>
      <c r="CE3771" s="237" t="s">
        <v>362</v>
      </c>
      <c r="CL3771" s="1789"/>
      <c r="CR3771" s="345"/>
      <c r="CS3771" s="345"/>
      <c r="DH3771" s="237"/>
      <c r="DI3771" s="237"/>
      <c r="DP3771" s="2505"/>
    </row>
    <row r="3772" spans="30:120">
      <c r="AD3772" s="1138"/>
      <c r="BH3772" s="1790"/>
      <c r="BN3772" s="237">
        <v>77.7</v>
      </c>
      <c r="BO3772" s="237" t="s">
        <v>361</v>
      </c>
      <c r="CD3772" s="237">
        <v>320.08999999999997</v>
      </c>
      <c r="CE3772" s="237" t="s">
        <v>362</v>
      </c>
      <c r="CL3772" s="1789"/>
      <c r="CR3772" s="345"/>
      <c r="CS3772" s="345"/>
      <c r="DH3772" s="237"/>
      <c r="DI3772" s="237"/>
      <c r="DP3772" s="2505"/>
    </row>
    <row r="3773" spans="30:120">
      <c r="AD3773" s="1138"/>
      <c r="BH3773" s="1790"/>
      <c r="BN3773" s="237">
        <v>77.709999999999994</v>
      </c>
      <c r="BO3773" s="237" t="s">
        <v>361</v>
      </c>
      <c r="CD3773" s="237">
        <v>320.10000000000002</v>
      </c>
      <c r="CE3773" s="237" t="s">
        <v>362</v>
      </c>
      <c r="CL3773" s="1789"/>
      <c r="CR3773" s="345"/>
      <c r="CS3773" s="345"/>
      <c r="DH3773" s="237"/>
      <c r="DI3773" s="237"/>
      <c r="DP3773" s="2505"/>
    </row>
    <row r="3774" spans="30:120">
      <c r="AD3774" s="1138"/>
      <c r="BH3774" s="1790"/>
      <c r="BN3774" s="237">
        <v>77.72</v>
      </c>
      <c r="BO3774" s="237" t="s">
        <v>361</v>
      </c>
      <c r="CD3774" s="237">
        <v>320.11</v>
      </c>
      <c r="CE3774" s="237" t="s">
        <v>362</v>
      </c>
      <c r="CL3774" s="1789"/>
      <c r="CR3774" s="345"/>
      <c r="CS3774" s="345"/>
      <c r="DH3774" s="237"/>
      <c r="DI3774" s="237"/>
      <c r="DP3774" s="2505"/>
    </row>
    <row r="3775" spans="30:120">
      <c r="AD3775" s="1138"/>
      <c r="BH3775" s="1790"/>
      <c r="BN3775" s="237">
        <v>77.73</v>
      </c>
      <c r="BO3775" s="237" t="s">
        <v>361</v>
      </c>
      <c r="CD3775" s="237">
        <v>320.12</v>
      </c>
      <c r="CE3775" s="237" t="s">
        <v>362</v>
      </c>
      <c r="CL3775" s="1789"/>
      <c r="CR3775" s="345"/>
      <c r="CS3775" s="345"/>
      <c r="DH3775" s="237"/>
      <c r="DI3775" s="237"/>
      <c r="DP3775" s="2505"/>
    </row>
    <row r="3776" spans="30:120">
      <c r="AD3776" s="1138"/>
      <c r="BH3776" s="1790"/>
      <c r="BN3776" s="237">
        <v>77.739999999999995</v>
      </c>
      <c r="BO3776" s="237" t="s">
        <v>361</v>
      </c>
      <c r="CD3776" s="237">
        <v>320.13</v>
      </c>
      <c r="CE3776" s="237" t="s">
        <v>362</v>
      </c>
      <c r="CL3776" s="1789"/>
      <c r="CR3776" s="345"/>
      <c r="CS3776" s="345"/>
      <c r="DH3776" s="237"/>
      <c r="DI3776" s="237"/>
      <c r="DP3776" s="2505"/>
    </row>
    <row r="3777" spans="30:120">
      <c r="AD3777" s="1138"/>
      <c r="BH3777" s="1790"/>
      <c r="BN3777" s="237">
        <v>77.75</v>
      </c>
      <c r="BO3777" s="237" t="s">
        <v>361</v>
      </c>
      <c r="CD3777" s="237">
        <v>320.14</v>
      </c>
      <c r="CE3777" s="237" t="s">
        <v>362</v>
      </c>
      <c r="CL3777" s="1789"/>
      <c r="CR3777" s="345"/>
      <c r="CS3777" s="345"/>
      <c r="DH3777" s="237"/>
      <c r="DI3777" s="237"/>
      <c r="DP3777" s="2505"/>
    </row>
    <row r="3778" spans="30:120">
      <c r="AD3778" s="1138"/>
      <c r="BH3778" s="1790"/>
      <c r="BN3778" s="237">
        <v>77.760000000000005</v>
      </c>
      <c r="BO3778" s="237" t="s">
        <v>361</v>
      </c>
      <c r="CD3778" s="237">
        <v>321.02999999999997</v>
      </c>
      <c r="CE3778" s="237" t="s">
        <v>362</v>
      </c>
      <c r="CL3778" s="1789"/>
      <c r="CR3778" s="345"/>
      <c r="CS3778" s="345"/>
      <c r="DH3778" s="237"/>
      <c r="DI3778" s="237"/>
      <c r="DP3778" s="2505"/>
    </row>
    <row r="3779" spans="30:120">
      <c r="AD3779" s="1138"/>
      <c r="BH3779" s="1790"/>
      <c r="BN3779" s="237">
        <v>77.77</v>
      </c>
      <c r="BO3779" s="237" t="s">
        <v>361</v>
      </c>
      <c r="CD3779" s="237">
        <v>321.04000000000002</v>
      </c>
      <c r="CE3779" s="237" t="s">
        <v>362</v>
      </c>
      <c r="CL3779" s="1789"/>
      <c r="CR3779" s="345"/>
      <c r="CS3779" s="345"/>
      <c r="DH3779" s="237"/>
      <c r="DI3779" s="237"/>
      <c r="DP3779" s="2505"/>
    </row>
    <row r="3780" spans="30:120">
      <c r="AD3780" s="1138"/>
      <c r="BH3780" s="1790"/>
      <c r="BN3780" s="237">
        <v>77.78</v>
      </c>
      <c r="BO3780" s="237" t="s">
        <v>361</v>
      </c>
      <c r="CD3780" s="237">
        <v>321.05</v>
      </c>
      <c r="CE3780" s="237" t="s">
        <v>362</v>
      </c>
      <c r="CL3780" s="1789"/>
      <c r="CR3780" s="345"/>
      <c r="CS3780" s="345"/>
      <c r="DH3780" s="237"/>
      <c r="DI3780" s="237"/>
      <c r="DP3780" s="2505"/>
    </row>
    <row r="3781" spans="30:120">
      <c r="AD3781" s="1138"/>
      <c r="BH3781" s="1790"/>
      <c r="BN3781" s="237">
        <v>77.790000000000006</v>
      </c>
      <c r="BO3781" s="237" t="s">
        <v>361</v>
      </c>
      <c r="CD3781" s="237">
        <v>321.06</v>
      </c>
      <c r="CE3781" s="237" t="s">
        <v>362</v>
      </c>
      <c r="CL3781" s="1789"/>
      <c r="CR3781" s="345"/>
      <c r="CS3781" s="345"/>
      <c r="DH3781" s="237"/>
      <c r="DI3781" s="237"/>
      <c r="DP3781" s="2505"/>
    </row>
    <row r="3782" spans="30:120">
      <c r="AD3782" s="1138"/>
      <c r="BH3782" s="1790"/>
      <c r="BN3782" s="237">
        <v>77.8</v>
      </c>
      <c r="BO3782" s="237" t="s">
        <v>361</v>
      </c>
      <c r="CD3782" s="237">
        <v>321.07</v>
      </c>
      <c r="CE3782" s="237" t="s">
        <v>362</v>
      </c>
      <c r="CL3782" s="1789"/>
      <c r="CR3782" s="345"/>
      <c r="CS3782" s="345"/>
      <c r="DH3782" s="237"/>
      <c r="DI3782" s="237"/>
      <c r="DP3782" s="2505"/>
    </row>
    <row r="3783" spans="30:120">
      <c r="AD3783" s="1138"/>
      <c r="BH3783" s="1790"/>
      <c r="BN3783" s="237">
        <v>78.05</v>
      </c>
      <c r="BO3783" s="237" t="s">
        <v>361</v>
      </c>
      <c r="CD3783" s="237">
        <v>321.08</v>
      </c>
      <c r="CE3783" s="237" t="s">
        <v>362</v>
      </c>
      <c r="CL3783" s="1789"/>
      <c r="CR3783" s="345"/>
      <c r="CS3783" s="345"/>
      <c r="DH3783" s="237"/>
      <c r="DI3783" s="237"/>
      <c r="DP3783" s="2505"/>
    </row>
    <row r="3784" spans="30:120">
      <c r="AD3784" s="1138"/>
      <c r="BH3784" s="1790"/>
      <c r="BN3784" s="237">
        <v>78.12</v>
      </c>
      <c r="BO3784" s="237" t="s">
        <v>361</v>
      </c>
      <c r="CD3784" s="237">
        <v>321.08999999999997</v>
      </c>
      <c r="CE3784" s="237" t="s">
        <v>362</v>
      </c>
      <c r="CL3784" s="1789"/>
      <c r="CR3784" s="345"/>
      <c r="CS3784" s="345"/>
      <c r="DH3784" s="237"/>
      <c r="DI3784" s="237"/>
      <c r="DP3784" s="2505"/>
    </row>
    <row r="3785" spans="30:120">
      <c r="AD3785" s="1138"/>
      <c r="BH3785" s="1790"/>
      <c r="BN3785" s="237">
        <v>78.13</v>
      </c>
      <c r="BO3785" s="237" t="s">
        <v>361</v>
      </c>
      <c r="CD3785" s="237">
        <v>321.10000000000002</v>
      </c>
      <c r="CE3785" s="237" t="s">
        <v>362</v>
      </c>
      <c r="CL3785" s="1789"/>
      <c r="CR3785" s="345"/>
      <c r="CS3785" s="345"/>
      <c r="DH3785" s="237"/>
      <c r="DI3785" s="237"/>
      <c r="DP3785" s="2505"/>
    </row>
    <row r="3786" spans="30:120">
      <c r="AD3786" s="1138"/>
      <c r="BH3786" s="1790"/>
      <c r="BN3786" s="237">
        <v>78.14</v>
      </c>
      <c r="BO3786" s="237" t="s">
        <v>361</v>
      </c>
      <c r="CD3786" s="237">
        <v>321.11</v>
      </c>
      <c r="CE3786" s="237" t="s">
        <v>362</v>
      </c>
      <c r="CL3786" s="1789"/>
      <c r="CR3786" s="345"/>
      <c r="CS3786" s="345"/>
      <c r="DH3786" s="237"/>
      <c r="DI3786" s="237"/>
      <c r="DP3786" s="2505"/>
    </row>
    <row r="3787" spans="30:120">
      <c r="AD3787" s="1138"/>
      <c r="BH3787" s="1790"/>
      <c r="BN3787" s="237">
        <v>78.180000000000007</v>
      </c>
      <c r="BO3787" s="237" t="s">
        <v>361</v>
      </c>
      <c r="CD3787" s="237">
        <v>321.12</v>
      </c>
      <c r="CE3787" s="237" t="s">
        <v>362</v>
      </c>
      <c r="CL3787" s="1789"/>
      <c r="CR3787" s="345"/>
      <c r="CS3787" s="345"/>
      <c r="DH3787" s="237"/>
      <c r="DI3787" s="237"/>
      <c r="DP3787" s="2505"/>
    </row>
    <row r="3788" spans="30:120">
      <c r="AD3788" s="1138"/>
      <c r="BH3788" s="1790"/>
      <c r="BN3788" s="237">
        <v>78.2</v>
      </c>
      <c r="BO3788" s="237" t="s">
        <v>361</v>
      </c>
      <c r="CD3788" s="237">
        <v>321.13</v>
      </c>
      <c r="CE3788" s="237" t="s">
        <v>362</v>
      </c>
      <c r="CL3788" s="1789"/>
      <c r="CR3788" s="345"/>
      <c r="CS3788" s="345"/>
      <c r="DH3788" s="237"/>
      <c r="DI3788" s="237"/>
      <c r="DP3788" s="2505"/>
    </row>
    <row r="3789" spans="30:120">
      <c r="AD3789" s="1138"/>
      <c r="BH3789" s="1790"/>
      <c r="BN3789" s="237">
        <v>78.209999999999994</v>
      </c>
      <c r="BO3789" s="237" t="s">
        <v>361</v>
      </c>
      <c r="CD3789" s="237">
        <v>322</v>
      </c>
      <c r="CE3789" s="237" t="s">
        <v>362</v>
      </c>
      <c r="CL3789" s="1789"/>
      <c r="CR3789" s="345"/>
      <c r="CS3789" s="345"/>
      <c r="DH3789" s="237"/>
      <c r="DI3789" s="237"/>
      <c r="DP3789" s="2505"/>
    </row>
    <row r="3790" spans="30:120">
      <c r="AD3790" s="1138"/>
      <c r="BH3790" s="1790"/>
      <c r="BN3790" s="237">
        <v>78.23</v>
      </c>
      <c r="BO3790" s="237" t="s">
        <v>361</v>
      </c>
      <c r="CD3790" s="237">
        <v>323</v>
      </c>
      <c r="CE3790" s="237" t="s">
        <v>362</v>
      </c>
      <c r="CL3790" s="1789"/>
      <c r="CR3790" s="345"/>
      <c r="CS3790" s="345"/>
      <c r="DH3790" s="237"/>
      <c r="DI3790" s="237"/>
      <c r="DP3790" s="2505"/>
    </row>
    <row r="3791" spans="30:120">
      <c r="AD3791" s="1138"/>
      <c r="BH3791" s="1790"/>
      <c r="BN3791" s="237">
        <v>78.3</v>
      </c>
      <c r="BO3791" s="237" t="s">
        <v>361</v>
      </c>
      <c r="CD3791" s="237">
        <v>324.01</v>
      </c>
      <c r="CE3791" s="237" t="s">
        <v>362</v>
      </c>
      <c r="CL3791" s="1789"/>
      <c r="CR3791" s="345"/>
      <c r="CS3791" s="345"/>
      <c r="DH3791" s="237"/>
      <c r="DI3791" s="237"/>
      <c r="DP3791" s="2505"/>
    </row>
    <row r="3792" spans="30:120">
      <c r="AD3792" s="1138"/>
      <c r="BH3792" s="1790"/>
      <c r="BN3792" s="237">
        <v>78.31</v>
      </c>
      <c r="BO3792" s="237" t="s">
        <v>361</v>
      </c>
      <c r="CD3792" s="237">
        <v>324.02</v>
      </c>
      <c r="CE3792" s="237" t="s">
        <v>362</v>
      </c>
      <c r="CL3792" s="1789"/>
      <c r="CR3792" s="345"/>
      <c r="CS3792" s="345"/>
      <c r="DH3792" s="237"/>
      <c r="DI3792" s="237"/>
      <c r="DP3792" s="2505"/>
    </row>
    <row r="3793" spans="30:120">
      <c r="AD3793" s="1138"/>
      <c r="BH3793" s="1790"/>
      <c r="BN3793" s="237">
        <v>78.319999999999993</v>
      </c>
      <c r="BO3793" s="237" t="s">
        <v>361</v>
      </c>
      <c r="CD3793" s="237">
        <v>325</v>
      </c>
      <c r="CE3793" s="237" t="s">
        <v>362</v>
      </c>
      <c r="CL3793" s="1789"/>
      <c r="CR3793" s="345"/>
      <c r="CS3793" s="345"/>
      <c r="DH3793" s="237"/>
      <c r="DI3793" s="237"/>
      <c r="DP3793" s="2505"/>
    </row>
    <row r="3794" spans="30:120">
      <c r="AD3794" s="1138"/>
      <c r="BH3794" s="1790"/>
      <c r="BN3794" s="237">
        <v>78.33</v>
      </c>
      <c r="BO3794" s="237" t="s">
        <v>361</v>
      </c>
      <c r="CD3794" s="237">
        <v>326.01</v>
      </c>
      <c r="CE3794" s="237" t="s">
        <v>362</v>
      </c>
      <c r="CL3794" s="1789"/>
      <c r="CR3794" s="345"/>
      <c r="CS3794" s="345"/>
      <c r="DH3794" s="237"/>
      <c r="DI3794" s="237"/>
      <c r="DP3794" s="2505"/>
    </row>
    <row r="3795" spans="30:120">
      <c r="AD3795" s="1138"/>
      <c r="BH3795" s="1790"/>
      <c r="BN3795" s="237">
        <v>78.34</v>
      </c>
      <c r="BO3795" s="237" t="s">
        <v>361</v>
      </c>
      <c r="CD3795" s="237">
        <v>326.02</v>
      </c>
      <c r="CE3795" s="237" t="s">
        <v>362</v>
      </c>
      <c r="CL3795" s="1789"/>
      <c r="CR3795" s="345"/>
      <c r="CS3795" s="345"/>
      <c r="DH3795" s="237"/>
      <c r="DI3795" s="237"/>
      <c r="DP3795" s="2505"/>
    </row>
    <row r="3796" spans="30:120">
      <c r="AD3796" s="1138"/>
      <c r="BH3796" s="1790"/>
      <c r="BN3796" s="237">
        <v>78.349999999999994</v>
      </c>
      <c r="BO3796" s="237" t="s">
        <v>361</v>
      </c>
      <c r="CD3796" s="237">
        <v>327</v>
      </c>
      <c r="CE3796" s="237" t="s">
        <v>362</v>
      </c>
      <c r="CL3796" s="1789"/>
      <c r="CR3796" s="345"/>
      <c r="CS3796" s="345"/>
      <c r="DH3796" s="237"/>
      <c r="DI3796" s="237"/>
      <c r="DP3796" s="2505"/>
    </row>
    <row r="3797" spans="30:120">
      <c r="AD3797" s="1138"/>
      <c r="BH3797" s="1790"/>
      <c r="BN3797" s="237">
        <v>78.37</v>
      </c>
      <c r="BO3797" s="237" t="s">
        <v>361</v>
      </c>
      <c r="CD3797" s="237">
        <v>328.02</v>
      </c>
      <c r="CE3797" s="237" t="s">
        <v>362</v>
      </c>
      <c r="CL3797" s="1789"/>
      <c r="CR3797" s="345"/>
      <c r="CS3797" s="345"/>
      <c r="DH3797" s="237"/>
      <c r="DI3797" s="237"/>
      <c r="DP3797" s="2505"/>
    </row>
    <row r="3798" spans="30:120">
      <c r="AD3798" s="1138"/>
      <c r="BH3798" s="1790"/>
      <c r="BN3798" s="237">
        <v>78.38</v>
      </c>
      <c r="BO3798" s="237" t="s">
        <v>361</v>
      </c>
      <c r="CD3798" s="237">
        <v>328.04</v>
      </c>
      <c r="CE3798" s="237" t="s">
        <v>362</v>
      </c>
      <c r="CL3798" s="1789"/>
      <c r="CR3798" s="345"/>
      <c r="CS3798" s="345"/>
      <c r="DH3798" s="237"/>
      <c r="DI3798" s="237"/>
      <c r="DP3798" s="2505"/>
    </row>
    <row r="3799" spans="30:120">
      <c r="AD3799" s="1138"/>
      <c r="BH3799" s="1790"/>
      <c r="BN3799" s="237">
        <v>78.400000000000006</v>
      </c>
      <c r="BO3799" s="237" t="s">
        <v>361</v>
      </c>
      <c r="CD3799" s="237">
        <v>328.05</v>
      </c>
      <c r="CE3799" s="237" t="s">
        <v>362</v>
      </c>
      <c r="CL3799" s="1789"/>
      <c r="CR3799" s="345"/>
      <c r="CS3799" s="345"/>
      <c r="DH3799" s="237"/>
      <c r="DI3799" s="237"/>
      <c r="DP3799" s="2505"/>
    </row>
    <row r="3800" spans="30:120">
      <c r="AD3800" s="1138"/>
      <c r="BH3800" s="1790"/>
      <c r="BN3800" s="237">
        <v>78.41</v>
      </c>
      <c r="BO3800" s="237" t="s">
        <v>361</v>
      </c>
      <c r="CD3800" s="237">
        <v>329.01</v>
      </c>
      <c r="CE3800" s="237" t="s">
        <v>362</v>
      </c>
      <c r="CL3800" s="1789"/>
      <c r="CR3800" s="345"/>
      <c r="CS3800" s="345"/>
      <c r="DH3800" s="237"/>
      <c r="DI3800" s="237"/>
      <c r="DP3800" s="2505"/>
    </row>
    <row r="3801" spans="30:120">
      <c r="AD3801" s="1138"/>
      <c r="BH3801" s="1790"/>
      <c r="BN3801" s="237">
        <v>78.42</v>
      </c>
      <c r="BO3801" s="237" t="s">
        <v>361</v>
      </c>
      <c r="CD3801" s="237">
        <v>329.02</v>
      </c>
      <c r="CE3801" s="237" t="s">
        <v>362</v>
      </c>
      <c r="CL3801" s="1789"/>
      <c r="CR3801" s="345"/>
      <c r="CS3801" s="345"/>
      <c r="DH3801" s="237"/>
      <c r="DI3801" s="237"/>
      <c r="DP3801" s="2505"/>
    </row>
    <row r="3802" spans="30:120">
      <c r="AD3802" s="1138"/>
      <c r="BH3802" s="1790"/>
      <c r="BN3802" s="237">
        <v>78.430000000000007</v>
      </c>
      <c r="BO3802" s="237" t="s">
        <v>361</v>
      </c>
      <c r="CD3802" s="237">
        <v>329.05</v>
      </c>
      <c r="CE3802" s="237" t="s">
        <v>362</v>
      </c>
      <c r="CL3802" s="1789"/>
      <c r="CR3802" s="345"/>
      <c r="CS3802" s="345"/>
      <c r="DH3802" s="237"/>
      <c r="DI3802" s="237"/>
      <c r="DP3802" s="2505"/>
    </row>
    <row r="3803" spans="30:120">
      <c r="AD3803" s="1138"/>
      <c r="BH3803" s="1790"/>
      <c r="BN3803" s="237">
        <v>78.44</v>
      </c>
      <c r="BO3803" s="237" t="s">
        <v>361</v>
      </c>
      <c r="CD3803" s="237">
        <v>330.05</v>
      </c>
      <c r="CE3803" s="237" t="s">
        <v>362</v>
      </c>
      <c r="CL3803" s="1789"/>
      <c r="CR3803" s="345"/>
      <c r="CS3803" s="345"/>
      <c r="DH3803" s="237"/>
      <c r="DI3803" s="237"/>
      <c r="DP3803" s="2505"/>
    </row>
    <row r="3804" spans="30:120">
      <c r="AD3804" s="1138"/>
      <c r="BH3804" s="1790"/>
      <c r="BN3804" s="237">
        <v>78.45</v>
      </c>
      <c r="BO3804" s="237" t="s">
        <v>361</v>
      </c>
      <c r="CD3804" s="237">
        <v>330.06</v>
      </c>
      <c r="CE3804" s="237" t="s">
        <v>362</v>
      </c>
      <c r="CL3804" s="1789"/>
      <c r="CR3804" s="345"/>
      <c r="CS3804" s="345"/>
      <c r="DH3804" s="237"/>
      <c r="DI3804" s="237"/>
      <c r="DP3804" s="2505"/>
    </row>
    <row r="3805" spans="30:120">
      <c r="AD3805" s="1138"/>
      <c r="BH3805" s="1790"/>
      <c r="BN3805" s="237">
        <v>78.459999999999994</v>
      </c>
      <c r="BO3805" s="237" t="s">
        <v>361</v>
      </c>
      <c r="CD3805" s="237">
        <v>330.07</v>
      </c>
      <c r="CE3805" s="237" t="s">
        <v>362</v>
      </c>
      <c r="CL3805" s="1789"/>
      <c r="CR3805" s="345"/>
      <c r="CS3805" s="345"/>
      <c r="DH3805" s="237"/>
      <c r="DI3805" s="237"/>
      <c r="DP3805" s="2505"/>
    </row>
    <row r="3806" spans="30:120">
      <c r="AD3806" s="1138"/>
      <c r="BH3806" s="1790"/>
      <c r="BN3806" s="237">
        <v>78.47</v>
      </c>
      <c r="BO3806" s="237" t="s">
        <v>361</v>
      </c>
      <c r="CD3806" s="237">
        <v>330.08</v>
      </c>
      <c r="CE3806" s="237" t="s">
        <v>362</v>
      </c>
      <c r="CL3806" s="1789"/>
      <c r="CR3806" s="345"/>
      <c r="CS3806" s="345"/>
      <c r="DH3806" s="237"/>
      <c r="DI3806" s="237"/>
      <c r="DP3806" s="2505"/>
    </row>
    <row r="3807" spans="30:120">
      <c r="AD3807" s="1138"/>
      <c r="BH3807" s="1790"/>
      <c r="BN3807" s="237">
        <v>78.48</v>
      </c>
      <c r="BO3807" s="237" t="s">
        <v>361</v>
      </c>
      <c r="CD3807" s="237">
        <v>330.09</v>
      </c>
      <c r="CE3807" s="237" t="s">
        <v>362</v>
      </c>
      <c r="CL3807" s="1789"/>
      <c r="CR3807" s="345"/>
      <c r="CS3807" s="345"/>
      <c r="DH3807" s="237"/>
      <c r="DI3807" s="237"/>
      <c r="DP3807" s="2505"/>
    </row>
    <row r="3808" spans="30:120">
      <c r="AD3808" s="1138"/>
      <c r="BH3808" s="1790"/>
      <c r="BN3808" s="237">
        <v>78.489999999999995</v>
      </c>
      <c r="BO3808" s="237" t="s">
        <v>361</v>
      </c>
      <c r="CD3808" s="237">
        <v>330.1</v>
      </c>
      <c r="CE3808" s="237" t="s">
        <v>362</v>
      </c>
      <c r="CL3808" s="1789"/>
      <c r="CR3808" s="345"/>
      <c r="CS3808" s="345"/>
      <c r="DH3808" s="237"/>
      <c r="DI3808" s="237"/>
      <c r="DP3808" s="2505"/>
    </row>
    <row r="3809" spans="30:120">
      <c r="AD3809" s="1138"/>
      <c r="BH3809" s="1790"/>
      <c r="BN3809" s="237">
        <v>78.5</v>
      </c>
      <c r="BO3809" s="237" t="s">
        <v>361</v>
      </c>
      <c r="CD3809" s="237">
        <v>330.11</v>
      </c>
      <c r="CE3809" s="237" t="s">
        <v>362</v>
      </c>
      <c r="CL3809" s="1789"/>
      <c r="CR3809" s="345"/>
      <c r="CS3809" s="345"/>
      <c r="DH3809" s="237"/>
      <c r="DI3809" s="237"/>
      <c r="DP3809" s="2505"/>
    </row>
    <row r="3810" spans="30:120">
      <c r="AD3810" s="1138"/>
      <c r="BH3810" s="1790"/>
      <c r="BN3810" s="237">
        <v>78.510000000000005</v>
      </c>
      <c r="BO3810" s="237" t="s">
        <v>361</v>
      </c>
      <c r="CD3810" s="237">
        <v>330.12</v>
      </c>
      <c r="CE3810" s="237" t="s">
        <v>362</v>
      </c>
      <c r="CL3810" s="1789"/>
      <c r="CR3810" s="345"/>
      <c r="CS3810" s="345"/>
      <c r="DH3810" s="237"/>
      <c r="DI3810" s="237"/>
      <c r="DP3810" s="2505"/>
    </row>
    <row r="3811" spans="30:120">
      <c r="AD3811" s="1138"/>
      <c r="BH3811" s="1790"/>
      <c r="BN3811" s="237">
        <v>78.52</v>
      </c>
      <c r="BO3811" s="237" t="s">
        <v>361</v>
      </c>
      <c r="CD3811" s="237">
        <v>330.13</v>
      </c>
      <c r="CE3811" s="237" t="s">
        <v>362</v>
      </c>
      <c r="CL3811" s="1789"/>
      <c r="CR3811" s="345"/>
      <c r="CS3811" s="345"/>
      <c r="DH3811" s="237"/>
      <c r="DI3811" s="237"/>
      <c r="DP3811" s="2505"/>
    </row>
    <row r="3812" spans="30:120">
      <c r="AD3812" s="1138"/>
      <c r="BH3812" s="1790"/>
      <c r="BN3812" s="237">
        <v>78.53</v>
      </c>
      <c r="BO3812" s="237" t="s">
        <v>361</v>
      </c>
      <c r="CD3812" s="237">
        <v>330.14</v>
      </c>
      <c r="CE3812" s="237" t="s">
        <v>362</v>
      </c>
      <c r="CL3812" s="1789"/>
      <c r="CR3812" s="345"/>
      <c r="CS3812" s="345"/>
      <c r="DH3812" s="237"/>
      <c r="DI3812" s="237"/>
      <c r="DP3812" s="2505"/>
    </row>
    <row r="3813" spans="30:120">
      <c r="AD3813" s="1138"/>
      <c r="BH3813" s="1790"/>
      <c r="BN3813" s="237">
        <v>79.09</v>
      </c>
      <c r="BO3813" s="237" t="s">
        <v>361</v>
      </c>
      <c r="CD3813" s="237">
        <v>331.01</v>
      </c>
      <c r="CE3813" s="237" t="s">
        <v>362</v>
      </c>
      <c r="CL3813" s="1789"/>
      <c r="CR3813" s="345"/>
      <c r="CS3813" s="345"/>
      <c r="DH3813" s="237"/>
      <c r="DI3813" s="237"/>
      <c r="DP3813" s="2505"/>
    </row>
    <row r="3814" spans="30:120">
      <c r="AD3814" s="1138"/>
      <c r="BH3814" s="1790"/>
      <c r="BN3814" s="237">
        <v>79.13</v>
      </c>
      <c r="BO3814" s="237" t="s">
        <v>361</v>
      </c>
      <c r="CD3814" s="237">
        <v>331.02</v>
      </c>
      <c r="CE3814" s="237" t="s">
        <v>362</v>
      </c>
      <c r="CL3814" s="1789"/>
      <c r="CR3814" s="345"/>
      <c r="CS3814" s="345"/>
      <c r="DH3814" s="237"/>
      <c r="DI3814" s="237"/>
      <c r="DP3814" s="2505"/>
    </row>
    <row r="3815" spans="30:120">
      <c r="AD3815" s="1138"/>
      <c r="BH3815" s="1790"/>
      <c r="BN3815" s="237">
        <v>79.14</v>
      </c>
      <c r="BO3815" s="237" t="s">
        <v>361</v>
      </c>
      <c r="CD3815" s="345">
        <v>401.01</v>
      </c>
      <c r="CE3815" s="345" t="s">
        <v>302</v>
      </c>
      <c r="CL3815" s="1789"/>
      <c r="CR3815" s="345"/>
      <c r="CS3815" s="345"/>
      <c r="DH3815" s="237"/>
      <c r="DI3815" s="237"/>
      <c r="DP3815" s="2505"/>
    </row>
    <row r="3816" spans="30:120">
      <c r="AD3816" s="1138"/>
      <c r="BH3816" s="1790"/>
      <c r="BN3816" s="237">
        <v>79.150000000000006</v>
      </c>
      <c r="BO3816" s="237" t="s">
        <v>361</v>
      </c>
      <c r="CD3816" s="345">
        <v>401.01</v>
      </c>
      <c r="CE3816" s="345" t="s">
        <v>310</v>
      </c>
      <c r="CL3816" s="1789"/>
      <c r="CR3816" s="345"/>
      <c r="CS3816" s="345"/>
      <c r="DH3816" s="237"/>
      <c r="DI3816" s="237"/>
      <c r="DP3816" s="2505"/>
    </row>
    <row r="3817" spans="30:120">
      <c r="AD3817" s="1138"/>
      <c r="BH3817" s="1790"/>
      <c r="BN3817" s="237">
        <v>79.16</v>
      </c>
      <c r="BO3817" s="237" t="s">
        <v>361</v>
      </c>
      <c r="CD3817" s="237">
        <v>401.01</v>
      </c>
      <c r="CE3817" s="237" t="s">
        <v>335</v>
      </c>
      <c r="CL3817" s="1789"/>
      <c r="CR3817" s="345"/>
      <c r="CS3817" s="345"/>
      <c r="DH3817" s="237"/>
      <c r="DI3817" s="237"/>
      <c r="DP3817" s="2505"/>
    </row>
    <row r="3818" spans="30:120">
      <c r="AD3818" s="1138"/>
      <c r="BH3818" s="1790"/>
      <c r="BN3818" s="237">
        <v>79.17</v>
      </c>
      <c r="BO3818" s="237" t="s">
        <v>361</v>
      </c>
      <c r="CD3818" s="345">
        <v>401.02</v>
      </c>
      <c r="CE3818" s="345" t="s">
        <v>302</v>
      </c>
      <c r="CL3818" s="1789"/>
      <c r="CR3818" s="345"/>
      <c r="CS3818" s="345"/>
      <c r="DH3818" s="237"/>
      <c r="DI3818" s="237"/>
      <c r="DP3818" s="2505"/>
    </row>
    <row r="3819" spans="30:120">
      <c r="AD3819" s="1138"/>
      <c r="BH3819" s="1790"/>
      <c r="BN3819" s="237">
        <v>79.180000000000007</v>
      </c>
      <c r="BO3819" s="237" t="s">
        <v>361</v>
      </c>
      <c r="CD3819" s="345">
        <v>401.02</v>
      </c>
      <c r="CE3819" s="345" t="s">
        <v>310</v>
      </c>
      <c r="CL3819" s="1789"/>
      <c r="CR3819" s="345"/>
      <c r="CS3819" s="345"/>
      <c r="DH3819" s="237"/>
      <c r="DI3819" s="237"/>
      <c r="DP3819" s="2505"/>
    </row>
    <row r="3820" spans="30:120">
      <c r="AD3820" s="1138"/>
      <c r="BH3820" s="1790"/>
      <c r="BN3820" s="237">
        <v>79.19</v>
      </c>
      <c r="BO3820" s="237" t="s">
        <v>361</v>
      </c>
      <c r="CD3820" s="237">
        <v>401.02</v>
      </c>
      <c r="CE3820" s="237" t="s">
        <v>335</v>
      </c>
      <c r="CL3820" s="1789"/>
      <c r="CR3820" s="345"/>
      <c r="CS3820" s="345"/>
      <c r="DH3820" s="237"/>
      <c r="DI3820" s="237"/>
      <c r="DP3820" s="2505"/>
    </row>
    <row r="3821" spans="30:120">
      <c r="AD3821" s="1138"/>
      <c r="BH3821" s="1790"/>
      <c r="BN3821" s="237">
        <v>80.010000000000005</v>
      </c>
      <c r="BO3821" s="237" t="s">
        <v>361</v>
      </c>
      <c r="CD3821" s="237">
        <v>401.08</v>
      </c>
      <c r="CE3821" s="237" t="s">
        <v>344</v>
      </c>
      <c r="CL3821" s="1789"/>
      <c r="CR3821" s="345"/>
      <c r="CS3821" s="345"/>
      <c r="DH3821" s="237"/>
      <c r="DI3821" s="237"/>
      <c r="DP3821" s="2505"/>
    </row>
    <row r="3822" spans="30:120">
      <c r="AD3822" s="1138"/>
      <c r="BH3822" s="1790"/>
      <c r="BN3822" s="237">
        <v>80.02</v>
      </c>
      <c r="BO3822" s="237" t="s">
        <v>361</v>
      </c>
      <c r="CD3822" s="237">
        <v>401.09</v>
      </c>
      <c r="CE3822" s="237" t="s">
        <v>344</v>
      </c>
      <c r="CL3822" s="1789"/>
      <c r="CR3822" s="345"/>
      <c r="CS3822" s="345"/>
      <c r="DH3822" s="237"/>
      <c r="DI3822" s="237"/>
      <c r="DP3822" s="2505"/>
    </row>
    <row r="3823" spans="30:120">
      <c r="AD3823" s="1138"/>
      <c r="BH3823" s="1790"/>
      <c r="BN3823" s="237">
        <v>81.010000000000005</v>
      </c>
      <c r="BO3823" s="237" t="s">
        <v>361</v>
      </c>
      <c r="CD3823" s="237">
        <v>401.1</v>
      </c>
      <c r="CE3823" s="237" t="s">
        <v>344</v>
      </c>
      <c r="CL3823" s="1789"/>
      <c r="CR3823" s="345"/>
      <c r="CS3823" s="345"/>
      <c r="DH3823" s="237"/>
      <c r="DI3823" s="237"/>
      <c r="DP3823" s="2505"/>
    </row>
    <row r="3824" spans="30:120">
      <c r="AD3824" s="1138"/>
      <c r="BH3824" s="1790"/>
      <c r="BN3824" s="237">
        <v>81.02</v>
      </c>
      <c r="BO3824" s="237" t="s">
        <v>361</v>
      </c>
      <c r="CD3824" s="237">
        <v>401.11</v>
      </c>
      <c r="CE3824" s="237" t="s">
        <v>344</v>
      </c>
      <c r="CL3824" s="1789"/>
      <c r="CR3824" s="345"/>
      <c r="CS3824" s="345"/>
      <c r="DH3824" s="237"/>
      <c r="DI3824" s="237"/>
      <c r="DP3824" s="2505"/>
    </row>
    <row r="3825" spans="30:120">
      <c r="AD3825" s="1138"/>
      <c r="BH3825" s="1790"/>
      <c r="BN3825" s="237">
        <v>82.01</v>
      </c>
      <c r="BO3825" s="237" t="s">
        <v>361</v>
      </c>
      <c r="CD3825" s="237">
        <v>401.13</v>
      </c>
      <c r="CE3825" s="237" t="s">
        <v>344</v>
      </c>
      <c r="CL3825" s="1789"/>
      <c r="CR3825" s="345"/>
      <c r="CS3825" s="345"/>
      <c r="DH3825" s="237"/>
      <c r="DI3825" s="237"/>
      <c r="DP3825" s="2505"/>
    </row>
    <row r="3826" spans="30:120">
      <c r="AD3826" s="1138"/>
      <c r="BH3826" s="1790"/>
      <c r="BN3826" s="237">
        <v>82.02</v>
      </c>
      <c r="BO3826" s="237" t="s">
        <v>361</v>
      </c>
      <c r="CD3826" s="237">
        <v>401.17</v>
      </c>
      <c r="CE3826" s="237" t="s">
        <v>344</v>
      </c>
      <c r="CL3826" s="1789"/>
      <c r="CR3826" s="345"/>
      <c r="CS3826" s="345"/>
      <c r="DH3826" s="237"/>
      <c r="DI3826" s="237"/>
      <c r="DP3826" s="2505"/>
    </row>
    <row r="3827" spans="30:120">
      <c r="AD3827" s="1138"/>
      <c r="BH3827" s="1790"/>
      <c r="BN3827" s="237">
        <v>82.03</v>
      </c>
      <c r="BO3827" s="237" t="s">
        <v>361</v>
      </c>
      <c r="CD3827" s="237">
        <v>401.18</v>
      </c>
      <c r="CE3827" s="237" t="s">
        <v>344</v>
      </c>
      <c r="CL3827" s="1789"/>
      <c r="CR3827" s="345"/>
      <c r="CS3827" s="345"/>
      <c r="DH3827" s="237"/>
      <c r="DI3827" s="237"/>
      <c r="DP3827" s="2505"/>
    </row>
    <row r="3828" spans="30:120">
      <c r="AD3828" s="1138"/>
      <c r="BH3828" s="1790"/>
      <c r="BN3828" s="237">
        <v>83.01</v>
      </c>
      <c r="BO3828" s="237" t="s">
        <v>361</v>
      </c>
      <c r="CD3828" s="237">
        <v>401.2</v>
      </c>
      <c r="CE3828" s="237" t="s">
        <v>344</v>
      </c>
      <c r="CL3828" s="1789"/>
      <c r="CR3828" s="345"/>
      <c r="CS3828" s="345"/>
      <c r="DH3828" s="237"/>
      <c r="DI3828" s="237"/>
      <c r="DP3828" s="2505"/>
    </row>
    <row r="3829" spans="30:120">
      <c r="AD3829" s="1138"/>
      <c r="BH3829" s="1790"/>
      <c r="BN3829" s="237">
        <v>83.02</v>
      </c>
      <c r="BO3829" s="237" t="s">
        <v>361</v>
      </c>
      <c r="CD3829" s="237">
        <v>401.21</v>
      </c>
      <c r="CE3829" s="237" t="s">
        <v>344</v>
      </c>
      <c r="CL3829" s="1789"/>
      <c r="CR3829" s="345"/>
      <c r="CS3829" s="345"/>
      <c r="DH3829" s="237"/>
      <c r="DI3829" s="237"/>
      <c r="DP3829" s="2505"/>
    </row>
    <row r="3830" spans="30:120">
      <c r="AD3830" s="1138"/>
      <c r="BH3830" s="1790"/>
      <c r="BN3830" s="237">
        <v>9800</v>
      </c>
      <c r="BO3830" s="237" t="s">
        <v>361</v>
      </c>
      <c r="CD3830" s="237">
        <v>401.22</v>
      </c>
      <c r="CE3830" s="237" t="s">
        <v>344</v>
      </c>
      <c r="CL3830" s="1789"/>
      <c r="CR3830" s="345"/>
      <c r="CS3830" s="345"/>
      <c r="DH3830" s="237"/>
      <c r="DI3830" s="237"/>
      <c r="DP3830" s="2505"/>
    </row>
    <row r="3831" spans="30:120">
      <c r="AD3831" s="1138"/>
      <c r="BH3831" s="1790"/>
      <c r="BN3831" s="237">
        <v>9801</v>
      </c>
      <c r="BO3831" s="237" t="s">
        <v>361</v>
      </c>
      <c r="CD3831" s="237">
        <v>401.23</v>
      </c>
      <c r="CE3831" s="237" t="s">
        <v>344</v>
      </c>
      <c r="CL3831" s="1789"/>
      <c r="CR3831" s="345"/>
      <c r="CS3831" s="345"/>
      <c r="DH3831" s="237"/>
      <c r="DI3831" s="237"/>
      <c r="DP3831" s="2505"/>
    </row>
    <row r="3832" spans="30:120">
      <c r="AD3832" s="1138"/>
      <c r="BH3832" s="1790"/>
      <c r="BN3832" s="237">
        <v>9802</v>
      </c>
      <c r="BO3832" s="237" t="s">
        <v>361</v>
      </c>
      <c r="CD3832" s="237">
        <v>401.24</v>
      </c>
      <c r="CE3832" s="237" t="s">
        <v>344</v>
      </c>
      <c r="CL3832" s="1789"/>
      <c r="CR3832" s="345"/>
      <c r="CS3832" s="345"/>
      <c r="DH3832" s="237"/>
      <c r="DI3832" s="237"/>
      <c r="DP3832" s="2505"/>
    </row>
    <row r="3833" spans="30:120">
      <c r="AD3833" s="1138"/>
      <c r="BH3833" s="1790"/>
      <c r="BN3833" s="237">
        <v>9804</v>
      </c>
      <c r="BO3833" s="237" t="s">
        <v>361</v>
      </c>
      <c r="CD3833" s="237">
        <v>401.25</v>
      </c>
      <c r="CE3833" s="237" t="s">
        <v>344</v>
      </c>
      <c r="CL3833" s="1789"/>
      <c r="CR3833" s="345"/>
      <c r="CS3833" s="345"/>
      <c r="DH3833" s="237"/>
      <c r="DI3833" s="237"/>
      <c r="DP3833" s="2505"/>
    </row>
    <row r="3834" spans="30:120">
      <c r="AD3834" s="1138"/>
      <c r="BH3834" s="1790"/>
      <c r="BN3834" s="237">
        <v>9805</v>
      </c>
      <c r="BO3834" s="237" t="s">
        <v>361</v>
      </c>
      <c r="CD3834" s="237">
        <v>401.26</v>
      </c>
      <c r="CE3834" s="237" t="s">
        <v>344</v>
      </c>
      <c r="CL3834" s="1789"/>
      <c r="CR3834" s="345"/>
      <c r="CS3834" s="345"/>
      <c r="DH3834" s="237"/>
      <c r="DI3834" s="237"/>
      <c r="DP3834" s="2505"/>
    </row>
    <row r="3835" spans="30:120">
      <c r="AD3835" s="1138"/>
      <c r="BH3835" s="1790"/>
      <c r="BN3835" s="237">
        <v>9900</v>
      </c>
      <c r="BO3835" s="237" t="s">
        <v>361</v>
      </c>
      <c r="CD3835" s="237">
        <v>401.27</v>
      </c>
      <c r="CE3835" s="237" t="s">
        <v>344</v>
      </c>
      <c r="CL3835" s="1789"/>
      <c r="CR3835" s="345"/>
      <c r="CS3835" s="345"/>
      <c r="DH3835" s="237"/>
      <c r="DI3835" s="237"/>
      <c r="DP3835" s="2505"/>
    </row>
    <row r="3836" spans="30:120">
      <c r="AD3836" s="1138"/>
      <c r="BH3836" s="1790"/>
      <c r="BN3836" s="237">
        <v>9901</v>
      </c>
      <c r="BO3836" s="237" t="s">
        <v>361</v>
      </c>
      <c r="CD3836" s="237">
        <v>401.28</v>
      </c>
      <c r="CE3836" s="237" t="s">
        <v>344</v>
      </c>
      <c r="CL3836" s="1789"/>
      <c r="CR3836" s="345"/>
      <c r="CS3836" s="345"/>
      <c r="DH3836" s="237"/>
      <c r="DI3836" s="237"/>
      <c r="DP3836" s="2505"/>
    </row>
    <row r="3837" spans="30:120">
      <c r="AD3837" s="1138"/>
      <c r="BH3837" s="1790"/>
      <c r="BN3837" s="237">
        <v>301.01</v>
      </c>
      <c r="BO3837" s="237" t="s">
        <v>362</v>
      </c>
      <c r="CD3837" s="237">
        <v>401.29</v>
      </c>
      <c r="CE3837" s="237" t="s">
        <v>344</v>
      </c>
      <c r="CL3837" s="1789"/>
      <c r="CR3837" s="345"/>
      <c r="CS3837" s="345"/>
      <c r="DH3837" s="237"/>
      <c r="DI3837" s="237"/>
      <c r="DP3837" s="2505"/>
    </row>
    <row r="3838" spans="30:120">
      <c r="AD3838" s="1138"/>
      <c r="BH3838" s="1790"/>
      <c r="BN3838" s="237">
        <v>301.02</v>
      </c>
      <c r="BO3838" s="237" t="s">
        <v>362</v>
      </c>
      <c r="CD3838" s="237">
        <v>401.3</v>
      </c>
      <c r="CE3838" s="237" t="s">
        <v>344</v>
      </c>
      <c r="CL3838" s="1789"/>
      <c r="CR3838" s="345"/>
      <c r="CS3838" s="345"/>
      <c r="DH3838" s="237"/>
      <c r="DI3838" s="237"/>
      <c r="DP3838" s="2505"/>
    </row>
    <row r="3839" spans="30:120">
      <c r="AD3839" s="1138"/>
      <c r="BH3839" s="1790"/>
      <c r="BN3839" s="237">
        <v>302.02</v>
      </c>
      <c r="BO3839" s="237" t="s">
        <v>362</v>
      </c>
      <c r="CD3839" s="237">
        <v>401.31</v>
      </c>
      <c r="CE3839" s="237" t="s">
        <v>344</v>
      </c>
      <c r="CL3839" s="1789"/>
      <c r="CR3839" s="345"/>
      <c r="CS3839" s="345"/>
      <c r="DH3839" s="237"/>
      <c r="DI3839" s="237"/>
      <c r="DP3839" s="2505"/>
    </row>
    <row r="3840" spans="30:120">
      <c r="AD3840" s="1138"/>
      <c r="BH3840" s="1790"/>
      <c r="BN3840" s="237">
        <v>302.02999999999997</v>
      </c>
      <c r="BO3840" s="237" t="s">
        <v>362</v>
      </c>
      <c r="CD3840" s="237">
        <v>401.32</v>
      </c>
      <c r="CE3840" s="237" t="s">
        <v>344</v>
      </c>
      <c r="CL3840" s="1789"/>
      <c r="CR3840" s="345"/>
      <c r="CS3840" s="345"/>
      <c r="DH3840" s="237"/>
      <c r="DI3840" s="237"/>
      <c r="DP3840" s="2505"/>
    </row>
    <row r="3841" spans="30:120">
      <c r="AD3841" s="1138"/>
      <c r="BH3841" s="1790"/>
      <c r="BN3841" s="237">
        <v>302.04000000000002</v>
      </c>
      <c r="BO3841" s="237" t="s">
        <v>362</v>
      </c>
      <c r="CD3841" s="237">
        <v>401.33</v>
      </c>
      <c r="CE3841" s="237" t="s">
        <v>344</v>
      </c>
      <c r="CL3841" s="1789"/>
      <c r="CR3841" s="345"/>
      <c r="CS3841" s="345"/>
      <c r="DH3841" s="237"/>
      <c r="DI3841" s="237"/>
      <c r="DP3841" s="2505"/>
    </row>
    <row r="3842" spans="30:120">
      <c r="AD3842" s="1138"/>
      <c r="BH3842" s="1790"/>
      <c r="BN3842" s="237">
        <v>302.05</v>
      </c>
      <c r="BO3842" s="237" t="s">
        <v>362</v>
      </c>
      <c r="CD3842" s="237">
        <v>401.34</v>
      </c>
      <c r="CE3842" s="237" t="s">
        <v>344</v>
      </c>
      <c r="CL3842" s="1789"/>
      <c r="CR3842" s="345"/>
      <c r="CS3842" s="345"/>
      <c r="DH3842" s="237"/>
      <c r="DI3842" s="237"/>
      <c r="DP3842" s="2505"/>
    </row>
    <row r="3843" spans="30:120">
      <c r="AD3843" s="1138"/>
      <c r="BH3843" s="1790"/>
      <c r="BN3843" s="237">
        <v>303.02999999999997</v>
      </c>
      <c r="BO3843" s="237" t="s">
        <v>362</v>
      </c>
      <c r="CD3843" s="237">
        <v>401.35</v>
      </c>
      <c r="CE3843" s="237" t="s">
        <v>344</v>
      </c>
      <c r="CL3843" s="1789"/>
      <c r="CR3843" s="345"/>
      <c r="CS3843" s="345"/>
      <c r="DH3843" s="237"/>
      <c r="DI3843" s="237"/>
      <c r="DP3843" s="2505"/>
    </row>
    <row r="3844" spans="30:120">
      <c r="AD3844" s="1138"/>
      <c r="BH3844" s="1790"/>
      <c r="BN3844" s="237">
        <v>303.04000000000002</v>
      </c>
      <c r="BO3844" s="237" t="s">
        <v>362</v>
      </c>
      <c r="CD3844" s="237">
        <v>401.36</v>
      </c>
      <c r="CE3844" s="237" t="s">
        <v>344</v>
      </c>
      <c r="CL3844" s="1789"/>
      <c r="CR3844" s="345"/>
      <c r="CS3844" s="345"/>
      <c r="DH3844" s="237"/>
      <c r="DI3844" s="237"/>
      <c r="DP3844" s="2505"/>
    </row>
    <row r="3845" spans="30:120">
      <c r="AD3845" s="1138"/>
      <c r="BH3845" s="1790"/>
      <c r="BN3845" s="237">
        <v>304.04000000000002</v>
      </c>
      <c r="BO3845" s="237" t="s">
        <v>362</v>
      </c>
      <c r="CD3845" s="237">
        <v>401.37</v>
      </c>
      <c r="CE3845" s="237" t="s">
        <v>344</v>
      </c>
      <c r="CL3845" s="1789"/>
      <c r="CR3845" s="345"/>
      <c r="CS3845" s="345"/>
      <c r="DH3845" s="237"/>
      <c r="DI3845" s="237"/>
      <c r="DP3845" s="2505"/>
    </row>
    <row r="3846" spans="30:120">
      <c r="AD3846" s="1138"/>
      <c r="BH3846" s="1790"/>
      <c r="BN3846" s="237">
        <v>304.05</v>
      </c>
      <c r="BO3846" s="237" t="s">
        <v>362</v>
      </c>
      <c r="CD3846" s="237">
        <v>401.38</v>
      </c>
      <c r="CE3846" s="237" t="s">
        <v>344</v>
      </c>
      <c r="CL3846" s="1789"/>
      <c r="CR3846" s="345"/>
      <c r="CS3846" s="345"/>
      <c r="DH3846" s="237"/>
      <c r="DI3846" s="237"/>
      <c r="DP3846" s="2505"/>
    </row>
    <row r="3847" spans="30:120">
      <c r="AD3847" s="1138"/>
      <c r="BH3847" s="1790"/>
      <c r="BN3847" s="237">
        <v>304.06</v>
      </c>
      <c r="BO3847" s="237" t="s">
        <v>362</v>
      </c>
      <c r="CD3847" s="237">
        <v>401.39</v>
      </c>
      <c r="CE3847" s="237" t="s">
        <v>344</v>
      </c>
      <c r="CL3847" s="1789"/>
      <c r="CR3847" s="345"/>
      <c r="CS3847" s="345"/>
      <c r="DH3847" s="237"/>
      <c r="DI3847" s="237"/>
      <c r="DP3847" s="2505"/>
    </row>
    <row r="3848" spans="30:120">
      <c r="AD3848" s="1138"/>
      <c r="BH3848" s="1790"/>
      <c r="BN3848" s="237">
        <v>304.07</v>
      </c>
      <c r="BO3848" s="237" t="s">
        <v>362</v>
      </c>
      <c r="CD3848" s="345">
        <v>402.01</v>
      </c>
      <c r="CE3848" s="345" t="s">
        <v>302</v>
      </c>
      <c r="CL3848" s="1789"/>
      <c r="CR3848" s="345"/>
      <c r="CS3848" s="345"/>
      <c r="DH3848" s="237"/>
      <c r="DI3848" s="237"/>
      <c r="DP3848" s="2505"/>
    </row>
    <row r="3849" spans="30:120">
      <c r="AD3849" s="1138"/>
      <c r="BH3849" s="1790"/>
      <c r="BN3849" s="237">
        <v>304.08</v>
      </c>
      <c r="BO3849" s="237" t="s">
        <v>362</v>
      </c>
      <c r="CD3849" s="237">
        <v>402.01</v>
      </c>
      <c r="CE3849" s="237" t="s">
        <v>335</v>
      </c>
      <c r="CL3849" s="1789"/>
      <c r="CR3849" s="345"/>
      <c r="CS3849" s="345"/>
      <c r="DH3849" s="237"/>
      <c r="DI3849" s="237"/>
      <c r="DP3849" s="2505"/>
    </row>
    <row r="3850" spans="30:120">
      <c r="AD3850" s="1138"/>
      <c r="BH3850" s="1790"/>
      <c r="BN3850" s="237">
        <v>304.08999999999997</v>
      </c>
      <c r="BO3850" s="237" t="s">
        <v>362</v>
      </c>
      <c r="CD3850" s="345">
        <v>402.02</v>
      </c>
      <c r="CE3850" s="345" t="s">
        <v>302</v>
      </c>
      <c r="CL3850" s="1789"/>
      <c r="CR3850" s="345"/>
      <c r="CS3850" s="345"/>
      <c r="DH3850" s="237"/>
      <c r="DI3850" s="237"/>
      <c r="DP3850" s="2505"/>
    </row>
    <row r="3851" spans="30:120">
      <c r="AD3851" s="1138"/>
      <c r="BH3851" s="1790"/>
      <c r="BN3851" s="237">
        <v>304.10000000000002</v>
      </c>
      <c r="BO3851" s="237" t="s">
        <v>362</v>
      </c>
      <c r="CD3851" s="237">
        <v>402.02</v>
      </c>
      <c r="CE3851" s="237" t="s">
        <v>335</v>
      </c>
      <c r="CL3851" s="1789"/>
      <c r="CR3851" s="345"/>
      <c r="CS3851" s="345"/>
      <c r="DH3851" s="237"/>
      <c r="DI3851" s="237"/>
      <c r="DP3851" s="2505"/>
    </row>
    <row r="3852" spans="30:120">
      <c r="AD3852" s="1138"/>
      <c r="BH3852" s="1790"/>
      <c r="BN3852" s="237">
        <v>304.11</v>
      </c>
      <c r="BO3852" s="237" t="s">
        <v>362</v>
      </c>
      <c r="CD3852" s="345">
        <v>402.03</v>
      </c>
      <c r="CE3852" s="345" t="s">
        <v>310</v>
      </c>
      <c r="CL3852" s="1789"/>
      <c r="CR3852" s="345"/>
      <c r="CS3852" s="345"/>
      <c r="DH3852" s="237"/>
      <c r="DI3852" s="237"/>
      <c r="DP3852" s="2505"/>
    </row>
    <row r="3853" spans="30:120">
      <c r="AD3853" s="1138"/>
      <c r="BH3853" s="1790"/>
      <c r="BN3853" s="237">
        <v>304.12</v>
      </c>
      <c r="BO3853" s="237" t="s">
        <v>362</v>
      </c>
      <c r="CD3853" s="345">
        <v>402.04</v>
      </c>
      <c r="CE3853" s="345" t="s">
        <v>310</v>
      </c>
      <c r="CL3853" s="1789"/>
      <c r="CR3853" s="345"/>
      <c r="CS3853" s="345"/>
      <c r="DH3853" s="237"/>
      <c r="DI3853" s="237"/>
      <c r="DP3853" s="2505"/>
    </row>
    <row r="3854" spans="30:120">
      <c r="AD3854" s="1138"/>
      <c r="BH3854" s="1790"/>
      <c r="BN3854" s="237">
        <v>305.01</v>
      </c>
      <c r="BO3854" s="237" t="s">
        <v>362</v>
      </c>
      <c r="CD3854" s="345">
        <v>402.05</v>
      </c>
      <c r="CE3854" s="345" t="s">
        <v>310</v>
      </c>
      <c r="CL3854" s="1789"/>
      <c r="CR3854" s="345"/>
      <c r="CS3854" s="345"/>
      <c r="DH3854" s="237"/>
      <c r="DI3854" s="237"/>
      <c r="DP3854" s="2505"/>
    </row>
    <row r="3855" spans="30:120">
      <c r="AD3855" s="1138"/>
      <c r="BH3855" s="1790"/>
      <c r="BN3855" s="237">
        <v>305.02</v>
      </c>
      <c r="BO3855" s="237" t="s">
        <v>362</v>
      </c>
      <c r="CD3855" s="237">
        <v>402.05</v>
      </c>
      <c r="CE3855" s="237" t="s">
        <v>344</v>
      </c>
      <c r="CL3855" s="1789"/>
      <c r="CR3855" s="345"/>
      <c r="CS3855" s="345"/>
      <c r="DH3855" s="237"/>
      <c r="DI3855" s="237"/>
      <c r="DP3855" s="2505"/>
    </row>
    <row r="3856" spans="30:120">
      <c r="AD3856" s="1138"/>
      <c r="BH3856" s="1790"/>
      <c r="BN3856" s="237">
        <v>306.01</v>
      </c>
      <c r="BO3856" s="237" t="s">
        <v>362</v>
      </c>
      <c r="CD3856" s="345">
        <v>402.06</v>
      </c>
      <c r="CE3856" s="345" t="s">
        <v>310</v>
      </c>
      <c r="CL3856" s="1789"/>
      <c r="CR3856" s="345"/>
      <c r="CS3856" s="345"/>
      <c r="DH3856" s="237"/>
      <c r="DI3856" s="237"/>
      <c r="DP3856" s="2505"/>
    </row>
    <row r="3857" spans="30:120">
      <c r="AD3857" s="1138"/>
      <c r="BH3857" s="1790"/>
      <c r="BN3857" s="237">
        <v>306.02</v>
      </c>
      <c r="BO3857" s="237" t="s">
        <v>362</v>
      </c>
      <c r="CD3857" s="237">
        <v>402.06</v>
      </c>
      <c r="CE3857" s="237" t="s">
        <v>344</v>
      </c>
      <c r="CL3857" s="1789"/>
      <c r="CR3857" s="345"/>
      <c r="CS3857" s="345"/>
      <c r="DH3857" s="237"/>
      <c r="DI3857" s="237"/>
      <c r="DP3857" s="2505"/>
    </row>
    <row r="3858" spans="30:120">
      <c r="AD3858" s="1138"/>
      <c r="BH3858" s="1790"/>
      <c r="BN3858" s="237">
        <v>307</v>
      </c>
      <c r="BO3858" s="237" t="s">
        <v>362</v>
      </c>
      <c r="CD3858" s="237">
        <v>402.07</v>
      </c>
      <c r="CE3858" s="237" t="s">
        <v>344</v>
      </c>
      <c r="CL3858" s="1789"/>
      <c r="CR3858" s="345"/>
      <c r="CS3858" s="345"/>
      <c r="DH3858" s="237"/>
      <c r="DI3858" s="237"/>
      <c r="DP3858" s="2505"/>
    </row>
    <row r="3859" spans="30:120">
      <c r="AD3859" s="1138"/>
      <c r="BH3859" s="1790"/>
      <c r="BN3859" s="237">
        <v>308</v>
      </c>
      <c r="BO3859" s="237" t="s">
        <v>362</v>
      </c>
      <c r="CD3859" s="237">
        <v>402.08</v>
      </c>
      <c r="CE3859" s="237" t="s">
        <v>344</v>
      </c>
      <c r="CL3859" s="1789"/>
      <c r="CR3859" s="345"/>
      <c r="CS3859" s="345"/>
      <c r="DH3859" s="237"/>
      <c r="DI3859" s="237"/>
      <c r="DP3859" s="2505"/>
    </row>
    <row r="3860" spans="30:120">
      <c r="AD3860" s="1138"/>
      <c r="BH3860" s="1790"/>
      <c r="BN3860" s="237">
        <v>309.01</v>
      </c>
      <c r="BO3860" s="237" t="s">
        <v>362</v>
      </c>
      <c r="CD3860" s="237">
        <v>402.09</v>
      </c>
      <c r="CE3860" s="237" t="s">
        <v>344</v>
      </c>
      <c r="CL3860" s="1789"/>
      <c r="CR3860" s="345"/>
      <c r="CS3860" s="345"/>
      <c r="DH3860" s="237"/>
      <c r="DI3860" s="237"/>
      <c r="DP3860" s="2505"/>
    </row>
    <row r="3861" spans="30:120">
      <c r="AD3861" s="1138"/>
      <c r="BH3861" s="1790"/>
      <c r="BN3861" s="237">
        <v>309.05</v>
      </c>
      <c r="BO3861" s="237" t="s">
        <v>362</v>
      </c>
      <c r="CD3861" s="237">
        <v>402.1</v>
      </c>
      <c r="CE3861" s="237" t="s">
        <v>344</v>
      </c>
      <c r="CL3861" s="1789"/>
      <c r="CR3861" s="345"/>
      <c r="CS3861" s="345"/>
      <c r="DH3861" s="237"/>
      <c r="DI3861" s="237"/>
      <c r="DP3861" s="2505"/>
    </row>
    <row r="3862" spans="30:120">
      <c r="AD3862" s="1138"/>
      <c r="BH3862" s="1790"/>
      <c r="BN3862" s="237">
        <v>309.06</v>
      </c>
      <c r="BO3862" s="237" t="s">
        <v>362</v>
      </c>
      <c r="CD3862" s="237">
        <v>402.11</v>
      </c>
      <c r="CE3862" s="237" t="s">
        <v>344</v>
      </c>
      <c r="CL3862" s="1789"/>
      <c r="CR3862" s="345"/>
      <c r="CS3862" s="345"/>
      <c r="DH3862" s="237"/>
      <c r="DI3862" s="237"/>
      <c r="DP3862" s="2505"/>
    </row>
    <row r="3863" spans="30:120">
      <c r="AD3863" s="1138"/>
      <c r="BH3863" s="1790"/>
      <c r="BN3863" s="237">
        <v>310.02999999999997</v>
      </c>
      <c r="BO3863" s="237" t="s">
        <v>362</v>
      </c>
      <c r="CD3863" s="237">
        <v>402.12</v>
      </c>
      <c r="CE3863" s="237" t="s">
        <v>344</v>
      </c>
      <c r="CL3863" s="1789"/>
      <c r="CR3863" s="345"/>
      <c r="CS3863" s="345"/>
      <c r="DH3863" s="237"/>
      <c r="DI3863" s="237"/>
      <c r="DP3863" s="2505"/>
    </row>
    <row r="3864" spans="30:120">
      <c r="AD3864" s="1138"/>
      <c r="BH3864" s="1790"/>
      <c r="BN3864" s="237">
        <v>310.05</v>
      </c>
      <c r="BO3864" s="237" t="s">
        <v>362</v>
      </c>
      <c r="CD3864" s="345">
        <v>403</v>
      </c>
      <c r="CE3864" s="345" t="s">
        <v>310</v>
      </c>
      <c r="CL3864" s="1789"/>
      <c r="CR3864" s="345"/>
      <c r="CS3864" s="345"/>
      <c r="DH3864" s="237"/>
      <c r="DI3864" s="237"/>
      <c r="DP3864" s="2505"/>
    </row>
    <row r="3865" spans="30:120">
      <c r="AD3865" s="1138"/>
      <c r="BH3865" s="1790"/>
      <c r="BN3865" s="237">
        <v>310.06</v>
      </c>
      <c r="BO3865" s="237" t="s">
        <v>362</v>
      </c>
      <c r="CD3865" s="237">
        <v>403.01</v>
      </c>
      <c r="CE3865" s="237" t="s">
        <v>335</v>
      </c>
      <c r="CL3865" s="1789"/>
      <c r="CR3865" s="345"/>
      <c r="CS3865" s="345"/>
      <c r="DH3865" s="237"/>
      <c r="DI3865" s="237"/>
      <c r="DP3865" s="2505"/>
    </row>
    <row r="3866" spans="30:120">
      <c r="AD3866" s="1138"/>
      <c r="BH3866" s="1790"/>
      <c r="BN3866" s="237">
        <v>310.07</v>
      </c>
      <c r="BO3866" s="237" t="s">
        <v>362</v>
      </c>
      <c r="CD3866" s="237">
        <v>403.01</v>
      </c>
      <c r="CE3866" s="237" t="s">
        <v>344</v>
      </c>
      <c r="CL3866" s="1789"/>
      <c r="CR3866" s="345"/>
      <c r="CS3866" s="345"/>
      <c r="DH3866" s="237"/>
      <c r="DI3866" s="237"/>
      <c r="DP3866" s="2505"/>
    </row>
    <row r="3867" spans="30:120">
      <c r="AD3867" s="1138"/>
      <c r="BH3867" s="1790"/>
      <c r="BN3867" s="237">
        <v>310.08</v>
      </c>
      <c r="BO3867" s="237" t="s">
        <v>362</v>
      </c>
      <c r="CD3867" s="237">
        <v>403.02</v>
      </c>
      <c r="CE3867" s="237" t="s">
        <v>335</v>
      </c>
      <c r="CL3867" s="1789"/>
      <c r="CR3867" s="345"/>
      <c r="CS3867" s="345"/>
      <c r="DH3867" s="237"/>
      <c r="DI3867" s="237"/>
      <c r="DP3867" s="2505"/>
    </row>
    <row r="3868" spans="30:120">
      <c r="AD3868" s="1138"/>
      <c r="BH3868" s="1790"/>
      <c r="BN3868" s="237">
        <v>310.08999999999997</v>
      </c>
      <c r="BO3868" s="237" t="s">
        <v>362</v>
      </c>
      <c r="CD3868" s="237">
        <v>403.02</v>
      </c>
      <c r="CE3868" s="237" t="s">
        <v>344</v>
      </c>
      <c r="CL3868" s="1789"/>
      <c r="CR3868" s="345"/>
      <c r="CS3868" s="345"/>
      <c r="DH3868" s="237"/>
      <c r="DI3868" s="237"/>
      <c r="DP3868" s="2505"/>
    </row>
    <row r="3869" spans="30:120">
      <c r="AD3869" s="1138"/>
      <c r="BH3869" s="1790"/>
      <c r="BN3869" s="237">
        <v>310.10000000000002</v>
      </c>
      <c r="BO3869" s="237" t="s">
        <v>362</v>
      </c>
      <c r="CD3869" s="237">
        <v>403.03</v>
      </c>
      <c r="CE3869" s="237" t="s">
        <v>335</v>
      </c>
      <c r="CL3869" s="1789"/>
      <c r="CR3869" s="345"/>
      <c r="CS3869" s="345"/>
      <c r="DH3869" s="237"/>
      <c r="DI3869" s="237"/>
      <c r="DP3869" s="2505"/>
    </row>
    <row r="3870" spans="30:120">
      <c r="AD3870" s="1138"/>
      <c r="BH3870" s="1790"/>
      <c r="BN3870" s="237">
        <v>310.11</v>
      </c>
      <c r="BO3870" s="237" t="s">
        <v>362</v>
      </c>
      <c r="CD3870" s="237">
        <v>403.03</v>
      </c>
      <c r="CE3870" s="237" t="s">
        <v>344</v>
      </c>
      <c r="CL3870" s="1789"/>
      <c r="CR3870" s="345"/>
      <c r="CS3870" s="345"/>
      <c r="DH3870" s="237"/>
      <c r="DI3870" s="237"/>
      <c r="DP3870" s="2505"/>
    </row>
    <row r="3871" spans="30:120">
      <c r="AD3871" s="1138"/>
      <c r="BH3871" s="1790"/>
      <c r="BN3871" s="237">
        <v>310.12</v>
      </c>
      <c r="BO3871" s="237" t="s">
        <v>362</v>
      </c>
      <c r="CD3871" s="237">
        <v>403.04</v>
      </c>
      <c r="CE3871" s="237" t="s">
        <v>344</v>
      </c>
      <c r="CL3871" s="1789"/>
      <c r="CR3871" s="345"/>
      <c r="CS3871" s="345"/>
      <c r="DH3871" s="237"/>
      <c r="DI3871" s="237"/>
      <c r="DP3871" s="2505"/>
    </row>
    <row r="3872" spans="30:120">
      <c r="AD3872" s="1138"/>
      <c r="BH3872" s="1790"/>
      <c r="BN3872" s="237">
        <v>310.13</v>
      </c>
      <c r="BO3872" s="237" t="s">
        <v>362</v>
      </c>
      <c r="CD3872" s="237">
        <v>403.05</v>
      </c>
      <c r="CE3872" s="237" t="s">
        <v>344</v>
      </c>
      <c r="CL3872" s="1789"/>
      <c r="CR3872" s="345"/>
      <c r="CS3872" s="345"/>
      <c r="DH3872" s="237"/>
      <c r="DI3872" s="237"/>
      <c r="DP3872" s="2505"/>
    </row>
    <row r="3873" spans="30:120">
      <c r="AD3873" s="1138"/>
      <c r="BH3873" s="1790"/>
      <c r="BN3873" s="237">
        <v>310.14</v>
      </c>
      <c r="BO3873" s="237" t="s">
        <v>362</v>
      </c>
      <c r="CD3873" s="237">
        <v>403.08</v>
      </c>
      <c r="CE3873" s="237" t="s">
        <v>344</v>
      </c>
      <c r="CL3873" s="1789"/>
      <c r="CR3873" s="345"/>
      <c r="CS3873" s="345"/>
      <c r="DH3873" s="237"/>
      <c r="DI3873" s="237"/>
      <c r="DP3873" s="2505"/>
    </row>
    <row r="3874" spans="30:120">
      <c r="AD3874" s="1138"/>
      <c r="BH3874" s="1790"/>
      <c r="BN3874" s="237">
        <v>311.01</v>
      </c>
      <c r="BO3874" s="237" t="s">
        <v>362</v>
      </c>
      <c r="CD3874" s="237">
        <v>403.1</v>
      </c>
      <c r="CE3874" s="237" t="s">
        <v>344</v>
      </c>
      <c r="CL3874" s="1789"/>
      <c r="CR3874" s="345"/>
      <c r="CS3874" s="345"/>
      <c r="DH3874" s="237"/>
      <c r="DI3874" s="237"/>
      <c r="DP3874" s="2505"/>
    </row>
    <row r="3875" spans="30:120">
      <c r="AD3875" s="1138"/>
      <c r="BH3875" s="1790"/>
      <c r="BN3875" s="237">
        <v>311.02999999999997</v>
      </c>
      <c r="BO3875" s="237" t="s">
        <v>362</v>
      </c>
      <c r="CD3875" s="237">
        <v>403.11</v>
      </c>
      <c r="CE3875" s="237" t="s">
        <v>344</v>
      </c>
      <c r="CL3875" s="1789"/>
      <c r="CR3875" s="345"/>
      <c r="CS3875" s="345"/>
      <c r="DH3875" s="237"/>
      <c r="DI3875" s="237"/>
      <c r="DP3875" s="2505"/>
    </row>
    <row r="3876" spans="30:120">
      <c r="AD3876" s="1138"/>
      <c r="BH3876" s="1790"/>
      <c r="BN3876" s="237">
        <v>311.04000000000002</v>
      </c>
      <c r="BO3876" s="237" t="s">
        <v>362</v>
      </c>
      <c r="CD3876" s="237">
        <v>403.12</v>
      </c>
      <c r="CE3876" s="237" t="s">
        <v>344</v>
      </c>
      <c r="CL3876" s="1789"/>
      <c r="CR3876" s="345"/>
      <c r="CS3876" s="345"/>
      <c r="DH3876" s="237"/>
      <c r="DI3876" s="237"/>
      <c r="DP3876" s="2505"/>
    </row>
    <row r="3877" spans="30:120">
      <c r="AD3877" s="1138"/>
      <c r="BH3877" s="1790"/>
      <c r="BN3877" s="237">
        <v>312.02999999999997</v>
      </c>
      <c r="BO3877" s="237" t="s">
        <v>362</v>
      </c>
      <c r="CD3877" s="237">
        <v>403.13</v>
      </c>
      <c r="CE3877" s="237" t="s">
        <v>344</v>
      </c>
      <c r="CL3877" s="1789"/>
      <c r="CR3877" s="345"/>
      <c r="CS3877" s="345"/>
      <c r="DH3877" s="237"/>
      <c r="DI3877" s="237"/>
      <c r="DP3877" s="2505"/>
    </row>
    <row r="3878" spans="30:120">
      <c r="AD3878" s="1138"/>
      <c r="BH3878" s="1790"/>
      <c r="BN3878" s="237">
        <v>312.04000000000002</v>
      </c>
      <c r="BO3878" s="237" t="s">
        <v>362</v>
      </c>
      <c r="CD3878" s="237">
        <v>403.14</v>
      </c>
      <c r="CE3878" s="237" t="s">
        <v>344</v>
      </c>
      <c r="CL3878" s="1789"/>
      <c r="CR3878" s="345"/>
      <c r="CS3878" s="345"/>
      <c r="DH3878" s="237"/>
      <c r="DI3878" s="237"/>
      <c r="DP3878" s="2505"/>
    </row>
    <row r="3879" spans="30:120">
      <c r="AD3879" s="1138"/>
      <c r="BH3879" s="1790"/>
      <c r="BN3879" s="237">
        <v>312.05</v>
      </c>
      <c r="BO3879" s="237" t="s">
        <v>362</v>
      </c>
      <c r="CD3879" s="237">
        <v>403.15</v>
      </c>
      <c r="CE3879" s="237" t="s">
        <v>344</v>
      </c>
      <c r="CL3879" s="1789"/>
      <c r="CR3879" s="345"/>
      <c r="CS3879" s="345"/>
      <c r="DH3879" s="237"/>
      <c r="DI3879" s="237"/>
      <c r="DP3879" s="2505"/>
    </row>
    <row r="3880" spans="30:120">
      <c r="AD3880" s="1138"/>
      <c r="BH3880" s="1790"/>
      <c r="BN3880" s="237">
        <v>312.06</v>
      </c>
      <c r="BO3880" s="237" t="s">
        <v>362</v>
      </c>
      <c r="CD3880" s="237">
        <v>403.16</v>
      </c>
      <c r="CE3880" s="237" t="s">
        <v>344</v>
      </c>
      <c r="CL3880" s="1789"/>
      <c r="CR3880" s="345"/>
      <c r="CS3880" s="345"/>
      <c r="DH3880" s="237"/>
      <c r="DI3880" s="237"/>
      <c r="DP3880" s="2505"/>
    </row>
    <row r="3881" spans="30:120">
      <c r="AD3881" s="1138"/>
      <c r="BH3881" s="1790"/>
      <c r="BN3881" s="237">
        <v>312.07</v>
      </c>
      <c r="BO3881" s="237" t="s">
        <v>362</v>
      </c>
      <c r="CD3881" s="237">
        <v>404</v>
      </c>
      <c r="CE3881" s="237" t="s">
        <v>335</v>
      </c>
      <c r="CL3881" s="1789"/>
      <c r="CR3881" s="345"/>
      <c r="CS3881" s="345"/>
      <c r="DH3881" s="237"/>
      <c r="DI3881" s="237"/>
      <c r="DP3881" s="2505"/>
    </row>
    <row r="3882" spans="30:120">
      <c r="AD3882" s="1138"/>
      <c r="BH3882" s="1790"/>
      <c r="BN3882" s="237">
        <v>312.08</v>
      </c>
      <c r="BO3882" s="237" t="s">
        <v>362</v>
      </c>
      <c r="CD3882" s="345">
        <v>404.01</v>
      </c>
      <c r="CE3882" s="345" t="s">
        <v>310</v>
      </c>
      <c r="CL3882" s="1789"/>
      <c r="CR3882" s="345"/>
      <c r="CS3882" s="345"/>
      <c r="DH3882" s="237"/>
      <c r="DI3882" s="237"/>
      <c r="DP3882" s="2505"/>
    </row>
    <row r="3883" spans="30:120">
      <c r="AD3883" s="1138"/>
      <c r="BH3883" s="1790"/>
      <c r="BN3883" s="237">
        <v>313.01</v>
      </c>
      <c r="BO3883" s="237" t="s">
        <v>362</v>
      </c>
      <c r="CD3883" s="345">
        <v>404.02</v>
      </c>
      <c r="CE3883" s="345" t="s">
        <v>310</v>
      </c>
      <c r="CL3883" s="1789"/>
      <c r="CR3883" s="345"/>
      <c r="CS3883" s="345"/>
      <c r="DH3883" s="237"/>
      <c r="DI3883" s="237"/>
      <c r="DP3883" s="2505"/>
    </row>
    <row r="3884" spans="30:120">
      <c r="AD3884" s="1138"/>
      <c r="BH3884" s="1790"/>
      <c r="BN3884" s="237">
        <v>313.02</v>
      </c>
      <c r="BO3884" s="237" t="s">
        <v>362</v>
      </c>
      <c r="CD3884" s="237">
        <v>405.01</v>
      </c>
      <c r="CE3884" s="237" t="s">
        <v>335</v>
      </c>
      <c r="CL3884" s="1789"/>
      <c r="CR3884" s="345"/>
      <c r="CS3884" s="345"/>
      <c r="DH3884" s="237"/>
      <c r="DI3884" s="237"/>
      <c r="DP3884" s="2505"/>
    </row>
    <row r="3885" spans="30:120">
      <c r="AD3885" s="1138"/>
      <c r="BH3885" s="1790"/>
      <c r="BN3885" s="237">
        <v>314.01</v>
      </c>
      <c r="BO3885" s="237" t="s">
        <v>362</v>
      </c>
      <c r="CD3885" s="345">
        <v>405.02</v>
      </c>
      <c r="CE3885" s="345" t="s">
        <v>310</v>
      </c>
      <c r="CL3885" s="1789"/>
      <c r="CR3885" s="345"/>
      <c r="CS3885" s="345"/>
      <c r="DH3885" s="237"/>
      <c r="DI3885" s="237"/>
      <c r="DP3885" s="2505"/>
    </row>
    <row r="3886" spans="30:120">
      <c r="AD3886" s="1138"/>
      <c r="BH3886" s="1790"/>
      <c r="BN3886" s="237">
        <v>314.04000000000002</v>
      </c>
      <c r="BO3886" s="237" t="s">
        <v>362</v>
      </c>
      <c r="CD3886" s="237">
        <v>405.02</v>
      </c>
      <c r="CE3886" s="237" t="s">
        <v>335</v>
      </c>
      <c r="CL3886" s="1789"/>
      <c r="CR3886" s="345"/>
      <c r="CS3886" s="345"/>
      <c r="DH3886" s="237"/>
      <c r="DI3886" s="237"/>
      <c r="DP3886" s="2505"/>
    </row>
    <row r="3887" spans="30:120">
      <c r="AD3887" s="1138"/>
      <c r="BH3887" s="1790"/>
      <c r="BN3887" s="237">
        <v>314.06</v>
      </c>
      <c r="BO3887" s="237" t="s">
        <v>362</v>
      </c>
      <c r="CD3887" s="345">
        <v>405.03</v>
      </c>
      <c r="CE3887" s="345" t="s">
        <v>310</v>
      </c>
      <c r="CL3887" s="1789"/>
      <c r="CR3887" s="345"/>
      <c r="CS3887" s="345"/>
      <c r="DH3887" s="237"/>
      <c r="DI3887" s="237"/>
      <c r="DP3887" s="2505"/>
    </row>
    <row r="3888" spans="30:120">
      <c r="AD3888" s="1138"/>
      <c r="BH3888" s="1790"/>
      <c r="BN3888" s="237">
        <v>314.07</v>
      </c>
      <c r="BO3888" s="237" t="s">
        <v>362</v>
      </c>
      <c r="CD3888" s="345">
        <v>405.05</v>
      </c>
      <c r="CE3888" s="345" t="s">
        <v>310</v>
      </c>
      <c r="CL3888" s="1789"/>
      <c r="CR3888" s="345"/>
      <c r="CS3888" s="345"/>
      <c r="DH3888" s="237"/>
      <c r="DI3888" s="237"/>
      <c r="DP3888" s="2505"/>
    </row>
    <row r="3889" spans="30:120">
      <c r="AD3889" s="1138"/>
      <c r="BH3889" s="1790"/>
      <c r="BN3889" s="237">
        <v>314.10000000000002</v>
      </c>
      <c r="BO3889" s="237" t="s">
        <v>362</v>
      </c>
      <c r="CD3889" s="345">
        <v>405.06</v>
      </c>
      <c r="CE3889" s="345" t="s">
        <v>310</v>
      </c>
      <c r="CL3889" s="1789"/>
      <c r="CR3889" s="345"/>
      <c r="CS3889" s="345"/>
      <c r="DH3889" s="237"/>
      <c r="DI3889" s="237"/>
      <c r="DP3889" s="2505"/>
    </row>
    <row r="3890" spans="30:120">
      <c r="AD3890" s="1138"/>
      <c r="BH3890" s="1790"/>
      <c r="BN3890" s="237">
        <v>314.11</v>
      </c>
      <c r="BO3890" s="237" t="s">
        <v>362</v>
      </c>
      <c r="CD3890" s="345">
        <v>406.01</v>
      </c>
      <c r="CE3890" s="345" t="s">
        <v>310</v>
      </c>
      <c r="CL3890" s="1789"/>
      <c r="CR3890" s="345"/>
      <c r="CS3890" s="345"/>
      <c r="DH3890" s="237"/>
      <c r="DI3890" s="237"/>
      <c r="DP3890" s="2505"/>
    </row>
    <row r="3891" spans="30:120">
      <c r="AD3891" s="1138"/>
      <c r="BH3891" s="1790"/>
      <c r="BN3891" s="237">
        <v>314.12</v>
      </c>
      <c r="BO3891" s="237" t="s">
        <v>362</v>
      </c>
      <c r="CD3891" s="237">
        <v>406.01</v>
      </c>
      <c r="CE3891" s="237" t="s">
        <v>335</v>
      </c>
      <c r="CL3891" s="1789"/>
      <c r="CR3891" s="345"/>
      <c r="CS3891" s="345"/>
      <c r="DH3891" s="237"/>
      <c r="DI3891" s="237"/>
      <c r="DP3891" s="2505"/>
    </row>
    <row r="3892" spans="30:120">
      <c r="AD3892" s="1138"/>
      <c r="BH3892" s="1790"/>
      <c r="BN3892" s="237">
        <v>315.02999999999997</v>
      </c>
      <c r="BO3892" s="237" t="s">
        <v>362</v>
      </c>
      <c r="CD3892" s="345">
        <v>406.02</v>
      </c>
      <c r="CE3892" s="345" t="s">
        <v>310</v>
      </c>
      <c r="CL3892" s="1789"/>
      <c r="CR3892" s="345"/>
      <c r="CS3892" s="345"/>
      <c r="DH3892" s="237"/>
      <c r="DI3892" s="237"/>
      <c r="DP3892" s="2505"/>
    </row>
    <row r="3893" spans="30:120">
      <c r="AD3893" s="1138"/>
      <c r="BH3893" s="1790"/>
      <c r="BN3893" s="237">
        <v>315.04000000000002</v>
      </c>
      <c r="BO3893" s="237" t="s">
        <v>362</v>
      </c>
      <c r="CD3893" s="237">
        <v>406.02</v>
      </c>
      <c r="CE3893" s="237" t="s">
        <v>335</v>
      </c>
      <c r="CL3893" s="1789"/>
      <c r="CR3893" s="345"/>
      <c r="CS3893" s="345"/>
      <c r="DH3893" s="237"/>
      <c r="DI3893" s="237"/>
      <c r="DP3893" s="2505"/>
    </row>
    <row r="3894" spans="30:120">
      <c r="AD3894" s="1138"/>
      <c r="BH3894" s="1790"/>
      <c r="BN3894" s="237">
        <v>315.05</v>
      </c>
      <c r="BO3894" s="237" t="s">
        <v>362</v>
      </c>
      <c r="CD3894" s="345">
        <v>407.01</v>
      </c>
      <c r="CE3894" s="345" t="s">
        <v>310</v>
      </c>
      <c r="CL3894" s="1789"/>
      <c r="CR3894" s="345"/>
      <c r="CS3894" s="345"/>
      <c r="DH3894" s="237"/>
      <c r="DI3894" s="237"/>
      <c r="DP3894" s="2505"/>
    </row>
    <row r="3895" spans="30:120">
      <c r="AD3895" s="1138"/>
      <c r="BH3895" s="1790"/>
      <c r="BN3895" s="237">
        <v>315.06</v>
      </c>
      <c r="BO3895" s="237" t="s">
        <v>362</v>
      </c>
      <c r="CD3895" s="237">
        <v>407.01</v>
      </c>
      <c r="CE3895" s="237" t="s">
        <v>335</v>
      </c>
      <c r="CL3895" s="1789"/>
      <c r="CR3895" s="345"/>
      <c r="CS3895" s="345"/>
      <c r="DH3895" s="237"/>
      <c r="DI3895" s="237"/>
      <c r="DP3895" s="2505"/>
    </row>
    <row r="3896" spans="30:120">
      <c r="AD3896" s="1138"/>
      <c r="BH3896" s="1790"/>
      <c r="BN3896" s="237">
        <v>315.07</v>
      </c>
      <c r="BO3896" s="237" t="s">
        <v>362</v>
      </c>
      <c r="CD3896" s="345">
        <v>407.02</v>
      </c>
      <c r="CE3896" s="345" t="s">
        <v>310</v>
      </c>
      <c r="CL3896" s="1789"/>
      <c r="CR3896" s="345"/>
      <c r="CS3896" s="345"/>
      <c r="DH3896" s="237"/>
      <c r="DI3896" s="237"/>
      <c r="DP3896" s="2505"/>
    </row>
    <row r="3897" spans="30:120">
      <c r="AD3897" s="1138"/>
      <c r="BH3897" s="1790"/>
      <c r="BN3897" s="237">
        <v>315.08</v>
      </c>
      <c r="BO3897" s="237" t="s">
        <v>362</v>
      </c>
      <c r="CD3897" s="237">
        <v>407.02</v>
      </c>
      <c r="CE3897" s="237" t="s">
        <v>335</v>
      </c>
      <c r="CL3897" s="1789"/>
      <c r="CR3897" s="345"/>
      <c r="CS3897" s="345"/>
      <c r="DH3897" s="237"/>
      <c r="DI3897" s="237"/>
      <c r="DP3897" s="2505"/>
    </row>
    <row r="3898" spans="30:120">
      <c r="AD3898" s="1138"/>
      <c r="BH3898" s="1790"/>
      <c r="BN3898" s="237">
        <v>316.01</v>
      </c>
      <c r="BO3898" s="237" t="s">
        <v>362</v>
      </c>
      <c r="CD3898" s="345">
        <v>408.01</v>
      </c>
      <c r="CE3898" s="345" t="s">
        <v>310</v>
      </c>
      <c r="CL3898" s="1789"/>
      <c r="CR3898" s="345"/>
      <c r="CS3898" s="345"/>
      <c r="DH3898" s="237"/>
      <c r="DI3898" s="237"/>
      <c r="DP3898" s="2505"/>
    </row>
    <row r="3899" spans="30:120">
      <c r="AD3899" s="1138"/>
      <c r="BH3899" s="1790"/>
      <c r="BN3899" s="237">
        <v>316.02</v>
      </c>
      <c r="BO3899" s="237" t="s">
        <v>362</v>
      </c>
      <c r="CD3899" s="237">
        <v>408.01</v>
      </c>
      <c r="CE3899" s="237" t="s">
        <v>335</v>
      </c>
      <c r="CL3899" s="1789"/>
      <c r="CR3899" s="345"/>
      <c r="CS3899" s="345"/>
      <c r="DH3899" s="237"/>
      <c r="DI3899" s="237"/>
      <c r="DP3899" s="2505"/>
    </row>
    <row r="3900" spans="30:120">
      <c r="AD3900" s="1138"/>
      <c r="BH3900" s="1790"/>
      <c r="BN3900" s="237">
        <v>316.02999999999997</v>
      </c>
      <c r="BO3900" s="237" t="s">
        <v>362</v>
      </c>
      <c r="CD3900" s="237">
        <v>408.01</v>
      </c>
      <c r="CE3900" s="237" t="s">
        <v>360</v>
      </c>
      <c r="CL3900" s="1789"/>
      <c r="CR3900" s="345"/>
      <c r="CS3900" s="345"/>
      <c r="DH3900" s="237"/>
      <c r="DI3900" s="237"/>
      <c r="DP3900" s="2505"/>
    </row>
    <row r="3901" spans="30:120">
      <c r="AD3901" s="1138"/>
      <c r="BH3901" s="1790"/>
      <c r="BN3901" s="237">
        <v>316.04000000000002</v>
      </c>
      <c r="BO3901" s="237" t="s">
        <v>362</v>
      </c>
      <c r="CD3901" s="345">
        <v>408.02</v>
      </c>
      <c r="CE3901" s="345" t="s">
        <v>310</v>
      </c>
      <c r="CL3901" s="1789"/>
      <c r="CR3901" s="345"/>
      <c r="CS3901" s="345"/>
      <c r="DH3901" s="237"/>
      <c r="DI3901" s="237"/>
      <c r="DP3901" s="2505"/>
    </row>
    <row r="3902" spans="30:120">
      <c r="AD3902" s="1138"/>
      <c r="BH3902" s="1790"/>
      <c r="BN3902" s="237">
        <v>316.05</v>
      </c>
      <c r="BO3902" s="237" t="s">
        <v>362</v>
      </c>
      <c r="CD3902" s="237">
        <v>408.02</v>
      </c>
      <c r="CE3902" s="237" t="s">
        <v>335</v>
      </c>
      <c r="CL3902" s="1789"/>
      <c r="CR3902" s="345"/>
      <c r="CS3902" s="345"/>
      <c r="DH3902" s="237"/>
      <c r="DI3902" s="237"/>
      <c r="DP3902" s="2505"/>
    </row>
    <row r="3903" spans="30:120">
      <c r="AD3903" s="1138"/>
      <c r="BH3903" s="1790"/>
      <c r="BN3903" s="237">
        <v>317.01</v>
      </c>
      <c r="BO3903" s="237" t="s">
        <v>362</v>
      </c>
      <c r="CD3903" s="237">
        <v>408.05</v>
      </c>
      <c r="CE3903" s="237" t="s">
        <v>360</v>
      </c>
      <c r="CL3903" s="1789"/>
      <c r="CR3903" s="345"/>
      <c r="CS3903" s="345"/>
      <c r="DH3903" s="237"/>
      <c r="DI3903" s="237"/>
      <c r="DP3903" s="2505"/>
    </row>
    <row r="3904" spans="30:120">
      <c r="AD3904" s="1138"/>
      <c r="BH3904" s="1790"/>
      <c r="BN3904" s="237">
        <v>317.02999999999997</v>
      </c>
      <c r="BO3904" s="237" t="s">
        <v>362</v>
      </c>
      <c r="CD3904" s="237">
        <v>408.06</v>
      </c>
      <c r="CE3904" s="237" t="s">
        <v>360</v>
      </c>
      <c r="CL3904" s="1789"/>
      <c r="CR3904" s="345"/>
      <c r="CS3904" s="345"/>
      <c r="DH3904" s="237"/>
      <c r="DI3904" s="237"/>
      <c r="DP3904" s="2505"/>
    </row>
    <row r="3905" spans="30:120">
      <c r="AD3905" s="1138"/>
      <c r="BH3905" s="1790"/>
      <c r="BN3905" s="237">
        <v>317.04000000000002</v>
      </c>
      <c r="BO3905" s="237" t="s">
        <v>362</v>
      </c>
      <c r="CD3905" s="237">
        <v>408.07</v>
      </c>
      <c r="CE3905" s="237" t="s">
        <v>360</v>
      </c>
      <c r="CL3905" s="1789"/>
      <c r="CR3905" s="345"/>
      <c r="CS3905" s="345"/>
      <c r="DH3905" s="237"/>
      <c r="DI3905" s="237"/>
      <c r="DP3905" s="2505"/>
    </row>
    <row r="3906" spans="30:120">
      <c r="AD3906" s="1138"/>
      <c r="BH3906" s="1790"/>
      <c r="BN3906" s="237">
        <v>317.05</v>
      </c>
      <c r="BO3906" s="237" t="s">
        <v>362</v>
      </c>
      <c r="CD3906" s="237">
        <v>408.08</v>
      </c>
      <c r="CE3906" s="237" t="s">
        <v>360</v>
      </c>
      <c r="CL3906" s="1789"/>
      <c r="CR3906" s="345"/>
      <c r="CS3906" s="345"/>
      <c r="DH3906" s="237"/>
      <c r="DI3906" s="237"/>
      <c r="DP3906" s="2505"/>
    </row>
    <row r="3907" spans="30:120">
      <c r="AD3907" s="1138"/>
      <c r="BH3907" s="1790"/>
      <c r="BN3907" s="237">
        <v>317.06</v>
      </c>
      <c r="BO3907" s="237" t="s">
        <v>362</v>
      </c>
      <c r="CD3907" s="237">
        <v>408.09</v>
      </c>
      <c r="CE3907" s="237" t="s">
        <v>360</v>
      </c>
      <c r="CL3907" s="1789"/>
      <c r="CR3907" s="345"/>
      <c r="CS3907" s="345"/>
      <c r="DH3907" s="237"/>
      <c r="DI3907" s="237"/>
      <c r="DP3907" s="2505"/>
    </row>
    <row r="3908" spans="30:120">
      <c r="AD3908" s="1138"/>
      <c r="BH3908" s="1790"/>
      <c r="BN3908" s="237">
        <v>317.07</v>
      </c>
      <c r="BO3908" s="237" t="s">
        <v>362</v>
      </c>
      <c r="CD3908" s="237">
        <v>408.1</v>
      </c>
      <c r="CE3908" s="237" t="s">
        <v>360</v>
      </c>
      <c r="CL3908" s="1789"/>
      <c r="CR3908" s="345"/>
      <c r="CS3908" s="345"/>
      <c r="DH3908" s="237"/>
      <c r="DI3908" s="237"/>
      <c r="DP3908" s="2505"/>
    </row>
    <row r="3909" spans="30:120">
      <c r="AD3909" s="1138"/>
      <c r="BH3909" s="1790"/>
      <c r="BN3909" s="237">
        <v>317.08</v>
      </c>
      <c r="BO3909" s="237" t="s">
        <v>362</v>
      </c>
      <c r="CD3909" s="237">
        <v>408.11</v>
      </c>
      <c r="CE3909" s="237" t="s">
        <v>360</v>
      </c>
      <c r="CL3909" s="1789"/>
      <c r="CR3909" s="345"/>
      <c r="CS3909" s="345"/>
      <c r="DH3909" s="237"/>
      <c r="DI3909" s="237"/>
      <c r="DP3909" s="2505"/>
    </row>
    <row r="3910" spans="30:120">
      <c r="AD3910" s="1138"/>
      <c r="BH3910" s="1790"/>
      <c r="BN3910" s="237">
        <v>318.04000000000002</v>
      </c>
      <c r="BO3910" s="237" t="s">
        <v>362</v>
      </c>
      <c r="CD3910" s="237">
        <v>408.12</v>
      </c>
      <c r="CE3910" s="237" t="s">
        <v>360</v>
      </c>
      <c r="CL3910" s="1789"/>
      <c r="CR3910" s="345"/>
      <c r="CS3910" s="345"/>
      <c r="DH3910" s="237"/>
      <c r="DI3910" s="237"/>
      <c r="DP3910" s="2505"/>
    </row>
    <row r="3911" spans="30:120">
      <c r="AD3911" s="1138"/>
      <c r="BH3911" s="1790"/>
      <c r="BN3911" s="237">
        <v>318.05</v>
      </c>
      <c r="BO3911" s="237" t="s">
        <v>362</v>
      </c>
      <c r="CD3911" s="345">
        <v>409.01</v>
      </c>
      <c r="CE3911" s="345" t="s">
        <v>310</v>
      </c>
      <c r="CL3911" s="1789"/>
      <c r="CR3911" s="345"/>
      <c r="CS3911" s="345"/>
      <c r="DH3911" s="237"/>
      <c r="DI3911" s="237"/>
      <c r="DP3911" s="2505"/>
    </row>
    <row r="3912" spans="30:120">
      <c r="AD3912" s="1138"/>
      <c r="BH3912" s="1790"/>
      <c r="BN3912" s="237">
        <v>318.06</v>
      </c>
      <c r="BO3912" s="237" t="s">
        <v>362</v>
      </c>
      <c r="CD3912" s="237">
        <v>409.01</v>
      </c>
      <c r="CE3912" s="237" t="s">
        <v>335</v>
      </c>
      <c r="CL3912" s="1789"/>
      <c r="CR3912" s="345"/>
      <c r="CS3912" s="345"/>
      <c r="DH3912" s="237"/>
      <c r="DI3912" s="237"/>
      <c r="DP3912" s="2505"/>
    </row>
    <row r="3913" spans="30:120">
      <c r="AD3913" s="1138"/>
      <c r="BH3913" s="1790"/>
      <c r="BN3913" s="237">
        <v>318.07</v>
      </c>
      <c r="BO3913" s="237" t="s">
        <v>362</v>
      </c>
      <c r="CD3913" s="237">
        <v>409.01</v>
      </c>
      <c r="CE3913" s="237" t="s">
        <v>360</v>
      </c>
      <c r="CL3913" s="1789"/>
      <c r="CR3913" s="345"/>
      <c r="CS3913" s="345"/>
      <c r="DH3913" s="237"/>
      <c r="DI3913" s="237"/>
      <c r="DP3913" s="2505"/>
    </row>
    <row r="3914" spans="30:120">
      <c r="AD3914" s="1138"/>
      <c r="BH3914" s="1790"/>
      <c r="BN3914" s="237">
        <v>318.08</v>
      </c>
      <c r="BO3914" s="237" t="s">
        <v>362</v>
      </c>
      <c r="CD3914" s="345">
        <v>409.02</v>
      </c>
      <c r="CE3914" s="345" t="s">
        <v>310</v>
      </c>
      <c r="CL3914" s="1789"/>
      <c r="CR3914" s="345"/>
      <c r="CS3914" s="345"/>
      <c r="DH3914" s="237"/>
      <c r="DI3914" s="237"/>
      <c r="DP3914" s="2505"/>
    </row>
    <row r="3915" spans="30:120">
      <c r="AD3915" s="1138"/>
      <c r="BH3915" s="1790"/>
      <c r="BN3915" s="237">
        <v>318.08999999999997</v>
      </c>
      <c r="BO3915" s="237" t="s">
        <v>362</v>
      </c>
      <c r="CD3915" s="237">
        <v>409.03</v>
      </c>
      <c r="CE3915" s="237" t="s">
        <v>360</v>
      </c>
      <c r="CL3915" s="1789"/>
      <c r="CR3915" s="345"/>
      <c r="CS3915" s="345"/>
      <c r="DH3915" s="237"/>
      <c r="DI3915" s="237"/>
      <c r="DP3915" s="2505"/>
    </row>
    <row r="3916" spans="30:120">
      <c r="AD3916" s="1138"/>
      <c r="BH3916" s="1790"/>
      <c r="BN3916" s="237">
        <v>319.01</v>
      </c>
      <c r="BO3916" s="237" t="s">
        <v>362</v>
      </c>
      <c r="CD3916" s="237">
        <v>409.04</v>
      </c>
      <c r="CE3916" s="237" t="s">
        <v>360</v>
      </c>
      <c r="CL3916" s="1789"/>
      <c r="CR3916" s="345"/>
      <c r="CS3916" s="345"/>
      <c r="DH3916" s="237"/>
      <c r="DI3916" s="237"/>
      <c r="DP3916" s="2505"/>
    </row>
    <row r="3917" spans="30:120">
      <c r="AD3917" s="1138"/>
      <c r="BH3917" s="1790"/>
      <c r="BN3917" s="237">
        <v>319.02</v>
      </c>
      <c r="BO3917" s="237" t="s">
        <v>362</v>
      </c>
      <c r="CD3917" s="237">
        <v>409.06</v>
      </c>
      <c r="CE3917" s="237" t="s">
        <v>335</v>
      </c>
      <c r="CL3917" s="1789"/>
      <c r="CR3917" s="345"/>
      <c r="CS3917" s="345"/>
      <c r="DH3917" s="237"/>
      <c r="DI3917" s="237"/>
      <c r="DP3917" s="2505"/>
    </row>
    <row r="3918" spans="30:120">
      <c r="AD3918" s="1138"/>
      <c r="BH3918" s="1790"/>
      <c r="BN3918" s="237">
        <v>319.02999999999997</v>
      </c>
      <c r="BO3918" s="237" t="s">
        <v>362</v>
      </c>
      <c r="CD3918" s="237">
        <v>409.07</v>
      </c>
      <c r="CE3918" s="237" t="s">
        <v>335</v>
      </c>
      <c r="CL3918" s="1789"/>
      <c r="CR3918" s="345"/>
      <c r="CS3918" s="345"/>
      <c r="DH3918" s="237"/>
      <c r="DI3918" s="237"/>
      <c r="DP3918" s="2505"/>
    </row>
    <row r="3919" spans="30:120">
      <c r="AD3919" s="1138"/>
      <c r="BH3919" s="1790"/>
      <c r="BN3919" s="237">
        <v>320.01</v>
      </c>
      <c r="BO3919" s="237" t="s">
        <v>362</v>
      </c>
      <c r="CD3919" s="237">
        <v>409.08</v>
      </c>
      <c r="CE3919" s="237" t="s">
        <v>335</v>
      </c>
      <c r="CL3919" s="1789"/>
      <c r="CR3919" s="345"/>
      <c r="CS3919" s="345"/>
      <c r="DH3919" s="237"/>
      <c r="DI3919" s="237"/>
      <c r="DP3919" s="2505"/>
    </row>
    <row r="3920" spans="30:120">
      <c r="AD3920" s="1138"/>
      <c r="BH3920" s="1790"/>
      <c r="BN3920" s="237">
        <v>320.05</v>
      </c>
      <c r="BO3920" s="237" t="s">
        <v>362</v>
      </c>
      <c r="CD3920" s="237">
        <v>409.09</v>
      </c>
      <c r="CE3920" s="237" t="s">
        <v>335</v>
      </c>
      <c r="CL3920" s="1789"/>
      <c r="CR3920" s="345"/>
      <c r="CS3920" s="345"/>
      <c r="DH3920" s="237"/>
      <c r="DI3920" s="237"/>
      <c r="DP3920" s="2505"/>
    </row>
    <row r="3921" spans="30:120">
      <c r="AD3921" s="1138"/>
      <c r="BH3921" s="1790"/>
      <c r="BN3921" s="237">
        <v>320.06</v>
      </c>
      <c r="BO3921" s="237" t="s">
        <v>362</v>
      </c>
      <c r="CD3921" s="237">
        <v>409.1</v>
      </c>
      <c r="CE3921" s="237" t="s">
        <v>335</v>
      </c>
      <c r="CL3921" s="1789"/>
      <c r="CR3921" s="345"/>
      <c r="CS3921" s="345"/>
      <c r="DH3921" s="237"/>
      <c r="DI3921" s="237"/>
      <c r="DP3921" s="2505"/>
    </row>
    <row r="3922" spans="30:120">
      <c r="AD3922" s="1138"/>
      <c r="BH3922" s="1790"/>
      <c r="BN3922" s="237">
        <v>320.07</v>
      </c>
      <c r="BO3922" s="237" t="s">
        <v>362</v>
      </c>
      <c r="CD3922" s="237">
        <v>409.11</v>
      </c>
      <c r="CE3922" s="237" t="s">
        <v>335</v>
      </c>
      <c r="CL3922" s="1789"/>
      <c r="CR3922" s="345"/>
      <c r="CS3922" s="345"/>
      <c r="DH3922" s="237"/>
      <c r="DI3922" s="237"/>
      <c r="DP3922" s="2505"/>
    </row>
    <row r="3923" spans="30:120">
      <c r="AD3923" s="1138"/>
      <c r="BH3923" s="1790"/>
      <c r="BN3923" s="237">
        <v>320.08</v>
      </c>
      <c r="BO3923" s="237" t="s">
        <v>362</v>
      </c>
      <c r="CD3923" s="237">
        <v>409.12</v>
      </c>
      <c r="CE3923" s="237" t="s">
        <v>335</v>
      </c>
      <c r="CL3923" s="1789"/>
      <c r="CR3923" s="345"/>
      <c r="CS3923" s="345"/>
      <c r="DH3923" s="237"/>
      <c r="DI3923" s="237"/>
      <c r="DP3923" s="2505"/>
    </row>
    <row r="3924" spans="30:120">
      <c r="AD3924" s="1138"/>
      <c r="BH3924" s="1790"/>
      <c r="BN3924" s="237">
        <v>320.08999999999997</v>
      </c>
      <c r="BO3924" s="237" t="s">
        <v>362</v>
      </c>
      <c r="CD3924" s="237">
        <v>409.13</v>
      </c>
      <c r="CE3924" s="237" t="s">
        <v>335</v>
      </c>
      <c r="CL3924" s="1789"/>
      <c r="CR3924" s="345"/>
      <c r="CS3924" s="345"/>
      <c r="DH3924" s="237"/>
      <c r="DI3924" s="237"/>
      <c r="DP3924" s="2505"/>
    </row>
    <row r="3925" spans="30:120">
      <c r="AD3925" s="1138"/>
      <c r="BH3925" s="1790"/>
      <c r="BN3925" s="237">
        <v>320.10000000000002</v>
      </c>
      <c r="BO3925" s="237" t="s">
        <v>362</v>
      </c>
      <c r="CD3925" s="345">
        <v>410</v>
      </c>
      <c r="CE3925" s="345" t="s">
        <v>310</v>
      </c>
      <c r="CL3925" s="1789"/>
      <c r="CR3925" s="345"/>
      <c r="CS3925" s="345"/>
      <c r="DH3925" s="237"/>
      <c r="DI3925" s="237"/>
      <c r="DP3925" s="2505"/>
    </row>
    <row r="3926" spans="30:120">
      <c r="AD3926" s="1138"/>
      <c r="BH3926" s="1790"/>
      <c r="BN3926" s="237">
        <v>320.11</v>
      </c>
      <c r="BO3926" s="237" t="s">
        <v>362</v>
      </c>
      <c r="CD3926" s="237">
        <v>410.03</v>
      </c>
      <c r="CE3926" s="237" t="s">
        <v>335</v>
      </c>
      <c r="CL3926" s="1789"/>
      <c r="CR3926" s="345"/>
      <c r="CS3926" s="345"/>
      <c r="DH3926" s="237"/>
      <c r="DI3926" s="237"/>
      <c r="DP3926" s="2505"/>
    </row>
    <row r="3927" spans="30:120">
      <c r="AD3927" s="1138"/>
      <c r="BH3927" s="1790"/>
      <c r="BN3927" s="237">
        <v>320.12</v>
      </c>
      <c r="BO3927" s="237" t="s">
        <v>362</v>
      </c>
      <c r="CD3927" s="237">
        <v>410.03</v>
      </c>
      <c r="CE3927" s="237" t="s">
        <v>360</v>
      </c>
      <c r="CL3927" s="1789"/>
      <c r="CR3927" s="345"/>
      <c r="CS3927" s="345"/>
      <c r="DH3927" s="237"/>
      <c r="DI3927" s="237"/>
      <c r="DP3927" s="2505"/>
    </row>
    <row r="3928" spans="30:120">
      <c r="AD3928" s="1138"/>
      <c r="BH3928" s="1790"/>
      <c r="BN3928" s="237">
        <v>320.13</v>
      </c>
      <c r="BO3928" s="237" t="s">
        <v>362</v>
      </c>
      <c r="CD3928" s="237">
        <v>410.04</v>
      </c>
      <c r="CE3928" s="237" t="s">
        <v>335</v>
      </c>
      <c r="CL3928" s="1789"/>
      <c r="CR3928" s="345"/>
      <c r="CS3928" s="345"/>
      <c r="DH3928" s="237"/>
      <c r="DI3928" s="237"/>
      <c r="DP3928" s="2505"/>
    </row>
    <row r="3929" spans="30:120">
      <c r="AD3929" s="1138"/>
      <c r="BH3929" s="1790"/>
      <c r="BN3929" s="237">
        <v>320.14</v>
      </c>
      <c r="BO3929" s="237" t="s">
        <v>362</v>
      </c>
      <c r="CD3929" s="237">
        <v>410.04</v>
      </c>
      <c r="CE3929" s="237" t="s">
        <v>360</v>
      </c>
      <c r="CL3929" s="1789"/>
      <c r="CR3929" s="345"/>
      <c r="CS3929" s="345"/>
      <c r="DH3929" s="237"/>
      <c r="DI3929" s="237"/>
      <c r="DP3929" s="2505"/>
    </row>
    <row r="3930" spans="30:120">
      <c r="AD3930" s="1138"/>
      <c r="BH3930" s="1790"/>
      <c r="BN3930" s="237">
        <v>321.02999999999997</v>
      </c>
      <c r="BO3930" s="237" t="s">
        <v>362</v>
      </c>
      <c r="CD3930" s="237">
        <v>410.05</v>
      </c>
      <c r="CE3930" s="237" t="s">
        <v>335</v>
      </c>
      <c r="CL3930" s="1789"/>
      <c r="CR3930" s="345"/>
      <c r="CS3930" s="345"/>
      <c r="DH3930" s="237"/>
      <c r="DI3930" s="237"/>
      <c r="DP3930" s="2505"/>
    </row>
    <row r="3931" spans="30:120">
      <c r="AD3931" s="1138"/>
      <c r="BH3931" s="1790"/>
      <c r="BN3931" s="237">
        <v>321.04000000000002</v>
      </c>
      <c r="BO3931" s="237" t="s">
        <v>362</v>
      </c>
      <c r="CD3931" s="237">
        <v>410.05</v>
      </c>
      <c r="CE3931" s="237" t="s">
        <v>360</v>
      </c>
      <c r="CL3931" s="1789"/>
      <c r="CR3931" s="345"/>
      <c r="CS3931" s="345"/>
      <c r="DH3931" s="237"/>
      <c r="DI3931" s="237"/>
      <c r="DP3931" s="2505"/>
    </row>
    <row r="3932" spans="30:120">
      <c r="AD3932" s="1138"/>
      <c r="BH3932" s="1790"/>
      <c r="BN3932" s="237">
        <v>321.05</v>
      </c>
      <c r="BO3932" s="237" t="s">
        <v>362</v>
      </c>
      <c r="CD3932" s="237">
        <v>410.06</v>
      </c>
      <c r="CE3932" s="237" t="s">
        <v>335</v>
      </c>
      <c r="CL3932" s="1789"/>
      <c r="CR3932" s="345"/>
      <c r="CS3932" s="345"/>
      <c r="DH3932" s="237"/>
      <c r="DI3932" s="237"/>
      <c r="DP3932" s="2505"/>
    </row>
    <row r="3933" spans="30:120">
      <c r="AD3933" s="1138"/>
      <c r="BH3933" s="1790"/>
      <c r="BN3933" s="237">
        <v>321.06</v>
      </c>
      <c r="BO3933" s="237" t="s">
        <v>362</v>
      </c>
      <c r="CD3933" s="237">
        <v>410.06</v>
      </c>
      <c r="CE3933" s="237" t="s">
        <v>360</v>
      </c>
      <c r="CL3933" s="1789"/>
      <c r="CR3933" s="345"/>
      <c r="CS3933" s="345"/>
      <c r="DH3933" s="237"/>
      <c r="DI3933" s="237"/>
      <c r="DP3933" s="2505"/>
    </row>
    <row r="3934" spans="30:120">
      <c r="AD3934" s="1138"/>
      <c r="BH3934" s="1790"/>
      <c r="BN3934" s="237">
        <v>321.07</v>
      </c>
      <c r="BO3934" s="237" t="s">
        <v>362</v>
      </c>
      <c r="CD3934" s="345">
        <v>411</v>
      </c>
      <c r="CE3934" s="345" t="s">
        <v>310</v>
      </c>
      <c r="CL3934" s="1789"/>
      <c r="CR3934" s="345"/>
      <c r="CS3934" s="345"/>
      <c r="DH3934" s="237"/>
      <c r="DI3934" s="237"/>
      <c r="DP3934" s="2505"/>
    </row>
    <row r="3935" spans="30:120">
      <c r="AD3935" s="1138"/>
      <c r="BH3935" s="1790"/>
      <c r="BN3935" s="237">
        <v>321.08</v>
      </c>
      <c r="BO3935" s="237" t="s">
        <v>362</v>
      </c>
      <c r="CD3935" s="237">
        <v>411.01</v>
      </c>
      <c r="CE3935" s="237" t="s">
        <v>360</v>
      </c>
      <c r="CL3935" s="1789"/>
      <c r="CR3935" s="345"/>
      <c r="CS3935" s="345"/>
      <c r="DH3935" s="237"/>
      <c r="DI3935" s="237"/>
      <c r="DP3935" s="2505"/>
    </row>
    <row r="3936" spans="30:120">
      <c r="AD3936" s="1138"/>
      <c r="BH3936" s="1790"/>
      <c r="BN3936" s="237">
        <v>321.08999999999997</v>
      </c>
      <c r="BO3936" s="237" t="s">
        <v>362</v>
      </c>
      <c r="CD3936" s="237">
        <v>411.02</v>
      </c>
      <c r="CE3936" s="237" t="s">
        <v>360</v>
      </c>
      <c r="CL3936" s="1789"/>
      <c r="CR3936" s="345"/>
      <c r="CS3936" s="345"/>
      <c r="DH3936" s="237"/>
      <c r="DI3936" s="237"/>
      <c r="DP3936" s="2505"/>
    </row>
    <row r="3937" spans="30:120">
      <c r="AD3937" s="1138"/>
      <c r="BH3937" s="1790"/>
      <c r="BN3937" s="237">
        <v>321.10000000000002</v>
      </c>
      <c r="BO3937" s="237" t="s">
        <v>362</v>
      </c>
      <c r="CD3937" s="237">
        <v>411.03</v>
      </c>
      <c r="CE3937" s="237" t="s">
        <v>335</v>
      </c>
      <c r="CL3937" s="1789"/>
      <c r="CR3937" s="345"/>
      <c r="CS3937" s="345"/>
      <c r="DH3937" s="237"/>
      <c r="DI3937" s="237"/>
      <c r="DP3937" s="2505"/>
    </row>
    <row r="3938" spans="30:120">
      <c r="AD3938" s="1138"/>
      <c r="BH3938" s="1790"/>
      <c r="BN3938" s="237">
        <v>321.11</v>
      </c>
      <c r="BO3938" s="237" t="s">
        <v>362</v>
      </c>
      <c r="CD3938" s="237">
        <v>411.04</v>
      </c>
      <c r="CE3938" s="237" t="s">
        <v>335</v>
      </c>
      <c r="CL3938" s="1789"/>
      <c r="CR3938" s="345"/>
      <c r="CS3938" s="345"/>
      <c r="DH3938" s="237"/>
      <c r="DI3938" s="237"/>
      <c r="DP3938" s="2505"/>
    </row>
    <row r="3939" spans="30:120">
      <c r="AD3939" s="1138"/>
      <c r="BH3939" s="1790"/>
      <c r="BN3939" s="237">
        <v>321.12</v>
      </c>
      <c r="BO3939" s="237" t="s">
        <v>362</v>
      </c>
      <c r="CD3939" s="237">
        <v>411.05</v>
      </c>
      <c r="CE3939" s="237" t="s">
        <v>335</v>
      </c>
      <c r="CL3939" s="1789"/>
      <c r="CR3939" s="345"/>
      <c r="CS3939" s="345"/>
      <c r="DH3939" s="237"/>
      <c r="DI3939" s="237"/>
      <c r="DP3939" s="2505"/>
    </row>
    <row r="3940" spans="30:120">
      <c r="AD3940" s="1138"/>
      <c r="BH3940" s="1790"/>
      <c r="BN3940" s="237">
        <v>321.13</v>
      </c>
      <c r="BO3940" s="237" t="s">
        <v>362</v>
      </c>
      <c r="CD3940" s="237">
        <v>411.06</v>
      </c>
      <c r="CE3940" s="237" t="s">
        <v>335</v>
      </c>
      <c r="CL3940" s="1789"/>
      <c r="CR3940" s="345"/>
      <c r="CS3940" s="345"/>
      <c r="DH3940" s="237"/>
      <c r="DI3940" s="237"/>
      <c r="DP3940" s="2505"/>
    </row>
    <row r="3941" spans="30:120">
      <c r="AD3941" s="1138"/>
      <c r="BH3941" s="1790"/>
      <c r="BN3941" s="237">
        <v>322</v>
      </c>
      <c r="BO3941" s="237" t="s">
        <v>362</v>
      </c>
      <c r="CD3941" s="345">
        <v>412</v>
      </c>
      <c r="CE3941" s="345" t="s">
        <v>310</v>
      </c>
      <c r="CL3941" s="1789"/>
      <c r="CR3941" s="345"/>
      <c r="CS3941" s="345"/>
      <c r="DH3941" s="237"/>
      <c r="DI3941" s="237"/>
      <c r="DP3941" s="2505"/>
    </row>
    <row r="3942" spans="30:120">
      <c r="AD3942" s="1138"/>
      <c r="BH3942" s="1790"/>
      <c r="BN3942" s="237">
        <v>323</v>
      </c>
      <c r="BO3942" s="237" t="s">
        <v>362</v>
      </c>
      <c r="CD3942" s="237">
        <v>412.01</v>
      </c>
      <c r="CE3942" s="237" t="s">
        <v>335</v>
      </c>
      <c r="CL3942" s="1789"/>
      <c r="CR3942" s="345"/>
      <c r="CS3942" s="345"/>
      <c r="DH3942" s="237"/>
      <c r="DI3942" s="237"/>
      <c r="DP3942" s="2505"/>
    </row>
    <row r="3943" spans="30:120">
      <c r="AD3943" s="1138"/>
      <c r="BH3943" s="1790"/>
      <c r="BN3943" s="237">
        <v>324.01</v>
      </c>
      <c r="BO3943" s="237" t="s">
        <v>362</v>
      </c>
      <c r="CD3943" s="237">
        <v>412.03</v>
      </c>
      <c r="CE3943" s="237" t="s">
        <v>335</v>
      </c>
      <c r="CL3943" s="1789"/>
      <c r="CR3943" s="345"/>
      <c r="CS3943" s="345"/>
      <c r="DH3943" s="237"/>
      <c r="DI3943" s="237"/>
      <c r="DP3943" s="2505"/>
    </row>
    <row r="3944" spans="30:120">
      <c r="AD3944" s="1138"/>
      <c r="BH3944" s="1790"/>
      <c r="BN3944" s="237">
        <v>324.02</v>
      </c>
      <c r="BO3944" s="237" t="s">
        <v>362</v>
      </c>
      <c r="CD3944" s="237">
        <v>412.04</v>
      </c>
      <c r="CE3944" s="237" t="s">
        <v>335</v>
      </c>
      <c r="CL3944" s="1789"/>
      <c r="CR3944" s="345"/>
      <c r="CS3944" s="345"/>
      <c r="DH3944" s="237"/>
      <c r="DI3944" s="237"/>
      <c r="DP3944" s="2505"/>
    </row>
    <row r="3945" spans="30:120">
      <c r="AD3945" s="1138"/>
      <c r="BH3945" s="1790"/>
      <c r="BN3945" s="237">
        <v>325</v>
      </c>
      <c r="BO3945" s="237" t="s">
        <v>362</v>
      </c>
      <c r="CD3945" s="345">
        <v>413</v>
      </c>
      <c r="CE3945" s="345" t="s">
        <v>310</v>
      </c>
      <c r="CL3945" s="1789"/>
      <c r="CR3945" s="345"/>
      <c r="CS3945" s="345"/>
      <c r="DH3945" s="237"/>
      <c r="DI3945" s="237"/>
      <c r="DP3945" s="2505"/>
    </row>
    <row r="3946" spans="30:120">
      <c r="AD3946" s="1138"/>
      <c r="BH3946" s="1790"/>
      <c r="BN3946" s="237">
        <v>326.01</v>
      </c>
      <c r="BO3946" s="237" t="s">
        <v>362</v>
      </c>
      <c r="CD3946" s="237">
        <v>413.01</v>
      </c>
      <c r="CE3946" s="237" t="s">
        <v>360</v>
      </c>
      <c r="CL3946" s="1789"/>
      <c r="CR3946" s="345"/>
      <c r="CS3946" s="345"/>
      <c r="DH3946" s="237"/>
      <c r="DI3946" s="237"/>
      <c r="DP3946" s="2505"/>
    </row>
    <row r="3947" spans="30:120">
      <c r="AD3947" s="1138"/>
      <c r="BH3947" s="1790"/>
      <c r="BN3947" s="237">
        <v>326.02</v>
      </c>
      <c r="BO3947" s="237" t="s">
        <v>362</v>
      </c>
      <c r="CD3947" s="237">
        <v>413.02</v>
      </c>
      <c r="CE3947" s="237" t="s">
        <v>335</v>
      </c>
      <c r="CL3947" s="1789"/>
      <c r="CR3947" s="345"/>
      <c r="CS3947" s="345"/>
      <c r="DH3947" s="237"/>
      <c r="DI3947" s="237"/>
      <c r="DP3947" s="2505"/>
    </row>
    <row r="3948" spans="30:120">
      <c r="AD3948" s="1138"/>
      <c r="BH3948" s="1790"/>
      <c r="BN3948" s="237">
        <v>327</v>
      </c>
      <c r="BO3948" s="237" t="s">
        <v>362</v>
      </c>
      <c r="CD3948" s="237">
        <v>413.02</v>
      </c>
      <c r="CE3948" s="237" t="s">
        <v>360</v>
      </c>
      <c r="CL3948" s="1789"/>
      <c r="CR3948" s="345"/>
      <c r="CS3948" s="345"/>
      <c r="DH3948" s="237"/>
      <c r="DI3948" s="237"/>
      <c r="DP3948" s="2505"/>
    </row>
    <row r="3949" spans="30:120">
      <c r="AD3949" s="1138"/>
      <c r="BH3949" s="1790"/>
      <c r="BN3949" s="237">
        <v>328.02</v>
      </c>
      <c r="BO3949" s="237" t="s">
        <v>362</v>
      </c>
      <c r="CD3949" s="237">
        <v>413.03</v>
      </c>
      <c r="CE3949" s="237" t="s">
        <v>335</v>
      </c>
      <c r="CL3949" s="1789"/>
      <c r="CR3949" s="345"/>
      <c r="CS3949" s="345"/>
      <c r="DH3949" s="237"/>
      <c r="DI3949" s="237"/>
      <c r="DP3949" s="2505"/>
    </row>
    <row r="3950" spans="30:120">
      <c r="AD3950" s="1138"/>
      <c r="BH3950" s="1790"/>
      <c r="BN3950" s="237">
        <v>328.04</v>
      </c>
      <c r="BO3950" s="237" t="s">
        <v>362</v>
      </c>
      <c r="CD3950" s="237">
        <v>413.04</v>
      </c>
      <c r="CE3950" s="237" t="s">
        <v>335</v>
      </c>
      <c r="CL3950" s="1789"/>
      <c r="CR3950" s="345"/>
      <c r="CS3950" s="345"/>
      <c r="DH3950" s="237"/>
      <c r="DI3950" s="237"/>
      <c r="DP3950" s="2505"/>
    </row>
    <row r="3951" spans="30:120">
      <c r="AD3951" s="1138"/>
      <c r="BH3951" s="1790"/>
      <c r="BN3951" s="237">
        <v>328.05</v>
      </c>
      <c r="BO3951" s="237" t="s">
        <v>362</v>
      </c>
      <c r="CD3951" s="237">
        <v>413.05</v>
      </c>
      <c r="CE3951" s="237" t="s">
        <v>335</v>
      </c>
      <c r="CL3951" s="1789"/>
      <c r="CR3951" s="345"/>
      <c r="CS3951" s="345"/>
      <c r="DH3951" s="237"/>
      <c r="DI3951" s="237"/>
      <c r="DP3951" s="2505"/>
    </row>
    <row r="3952" spans="30:120">
      <c r="AD3952" s="1138"/>
      <c r="BH3952" s="1790"/>
      <c r="BN3952" s="237">
        <v>329.01</v>
      </c>
      <c r="BO3952" s="237" t="s">
        <v>362</v>
      </c>
      <c r="CD3952" s="345">
        <v>414</v>
      </c>
      <c r="CE3952" s="345" t="s">
        <v>310</v>
      </c>
      <c r="CL3952" s="1789"/>
      <c r="CR3952" s="345"/>
      <c r="CS3952" s="345"/>
      <c r="DH3952" s="237"/>
      <c r="DI3952" s="237"/>
      <c r="DP3952" s="2505"/>
    </row>
    <row r="3953" spans="30:120">
      <c r="AD3953" s="1138"/>
      <c r="BH3953" s="1790"/>
      <c r="BN3953" s="237">
        <v>329.02</v>
      </c>
      <c r="BO3953" s="237" t="s">
        <v>362</v>
      </c>
      <c r="CD3953" s="237">
        <v>414.01</v>
      </c>
      <c r="CE3953" s="237" t="s">
        <v>335</v>
      </c>
      <c r="CL3953" s="1789"/>
      <c r="CR3953" s="345"/>
      <c r="CS3953" s="345"/>
      <c r="DH3953" s="237"/>
      <c r="DI3953" s="237"/>
      <c r="DP3953" s="2505"/>
    </row>
    <row r="3954" spans="30:120">
      <c r="AD3954" s="1138"/>
      <c r="BH3954" s="1790"/>
      <c r="BN3954" s="237">
        <v>329.05</v>
      </c>
      <c r="BO3954" s="237" t="s">
        <v>362</v>
      </c>
      <c r="CD3954" s="237">
        <v>414.02</v>
      </c>
      <c r="CE3954" s="237" t="s">
        <v>335</v>
      </c>
      <c r="CL3954" s="1789"/>
      <c r="CR3954" s="345"/>
      <c r="CS3954" s="345"/>
      <c r="DH3954" s="237"/>
      <c r="DI3954" s="237"/>
      <c r="DP3954" s="2505"/>
    </row>
    <row r="3955" spans="30:120">
      <c r="AD3955" s="1138"/>
      <c r="BH3955" s="1790"/>
      <c r="BN3955" s="237">
        <v>330.05</v>
      </c>
      <c r="BO3955" s="237" t="s">
        <v>362</v>
      </c>
      <c r="CD3955" s="345">
        <v>415</v>
      </c>
      <c r="CE3955" s="345" t="s">
        <v>310</v>
      </c>
      <c r="CL3955" s="1789"/>
      <c r="CR3955" s="345"/>
      <c r="CS3955" s="345"/>
      <c r="DH3955" s="237"/>
      <c r="DI3955" s="237"/>
      <c r="DP3955" s="2505"/>
    </row>
    <row r="3956" spans="30:120">
      <c r="AD3956" s="1138"/>
      <c r="BH3956" s="1790"/>
      <c r="BN3956" s="237">
        <v>330.06</v>
      </c>
      <c r="BO3956" s="237" t="s">
        <v>362</v>
      </c>
      <c r="CD3956" s="237">
        <v>415.01</v>
      </c>
      <c r="CE3956" s="237" t="s">
        <v>335</v>
      </c>
      <c r="CL3956" s="1789"/>
      <c r="CR3956" s="345"/>
      <c r="CS3956" s="345"/>
      <c r="DH3956" s="237"/>
      <c r="DI3956" s="237"/>
      <c r="DP3956" s="2505"/>
    </row>
    <row r="3957" spans="30:120">
      <c r="AD3957" s="1138"/>
      <c r="BH3957" s="1790"/>
      <c r="BN3957" s="237">
        <v>330.07</v>
      </c>
      <c r="BO3957" s="237" t="s">
        <v>362</v>
      </c>
      <c r="CD3957" s="237">
        <v>415.01</v>
      </c>
      <c r="CE3957" s="237" t="s">
        <v>360</v>
      </c>
      <c r="CL3957" s="1789"/>
      <c r="CR3957" s="345"/>
      <c r="CS3957" s="345"/>
      <c r="DH3957" s="237"/>
      <c r="DI3957" s="237"/>
      <c r="DP3957" s="2505"/>
    </row>
    <row r="3958" spans="30:120">
      <c r="AD3958" s="1138"/>
      <c r="BH3958" s="1790"/>
      <c r="BN3958" s="237">
        <v>330.08</v>
      </c>
      <c r="BO3958" s="237" t="s">
        <v>362</v>
      </c>
      <c r="CD3958" s="237">
        <v>415.02</v>
      </c>
      <c r="CE3958" s="237" t="s">
        <v>335</v>
      </c>
      <c r="CL3958" s="1789"/>
      <c r="CR3958" s="345"/>
      <c r="CS3958" s="345"/>
      <c r="DH3958" s="237"/>
      <c r="DI3958" s="237"/>
      <c r="DP3958" s="2505"/>
    </row>
    <row r="3959" spans="30:120">
      <c r="AD3959" s="1138"/>
      <c r="BH3959" s="1790"/>
      <c r="BN3959" s="237">
        <v>330.09</v>
      </c>
      <c r="BO3959" s="237" t="s">
        <v>362</v>
      </c>
      <c r="CD3959" s="237">
        <v>415.02</v>
      </c>
      <c r="CE3959" s="237" t="s">
        <v>360</v>
      </c>
      <c r="CL3959" s="1789"/>
      <c r="CR3959" s="345"/>
      <c r="CS3959" s="345"/>
      <c r="DH3959" s="237"/>
      <c r="DI3959" s="237"/>
      <c r="DP3959" s="2505"/>
    </row>
    <row r="3960" spans="30:120">
      <c r="AD3960" s="1138"/>
      <c r="BH3960" s="1790"/>
      <c r="BN3960" s="237">
        <v>330.1</v>
      </c>
      <c r="BO3960" s="237" t="s">
        <v>362</v>
      </c>
      <c r="CD3960" s="237">
        <v>416</v>
      </c>
      <c r="CE3960" s="237" t="s">
        <v>360</v>
      </c>
      <c r="CL3960" s="1789"/>
      <c r="CR3960" s="345"/>
      <c r="CS3960" s="345"/>
      <c r="DH3960" s="237"/>
      <c r="DI3960" s="237"/>
      <c r="DP3960" s="2505"/>
    </row>
    <row r="3961" spans="30:120">
      <c r="AD3961" s="1138"/>
      <c r="BH3961" s="1790"/>
      <c r="BN3961" s="237">
        <v>330.11</v>
      </c>
      <c r="BO3961" s="237" t="s">
        <v>362</v>
      </c>
      <c r="CD3961" s="345">
        <v>416.01</v>
      </c>
      <c r="CE3961" s="345" t="s">
        <v>310</v>
      </c>
      <c r="CL3961" s="1789"/>
      <c r="CR3961" s="345"/>
      <c r="CS3961" s="345"/>
      <c r="DH3961" s="237"/>
      <c r="DI3961" s="237"/>
      <c r="DP3961" s="2505"/>
    </row>
    <row r="3962" spans="30:120">
      <c r="AD3962" s="1138"/>
      <c r="BH3962" s="1790"/>
      <c r="BN3962" s="237">
        <v>330.12</v>
      </c>
      <c r="BO3962" s="237" t="s">
        <v>362</v>
      </c>
      <c r="CD3962" s="237">
        <v>416.01</v>
      </c>
      <c r="CE3962" s="237" t="s">
        <v>335</v>
      </c>
      <c r="CL3962" s="1789"/>
      <c r="CR3962" s="345"/>
      <c r="CS3962" s="345"/>
      <c r="DH3962" s="237"/>
      <c r="DI3962" s="237"/>
      <c r="DP3962" s="2505"/>
    </row>
    <row r="3963" spans="30:120">
      <c r="AD3963" s="1138"/>
      <c r="BH3963" s="1790"/>
      <c r="BN3963" s="237">
        <v>330.13</v>
      </c>
      <c r="BO3963" s="237" t="s">
        <v>362</v>
      </c>
      <c r="CD3963" s="345">
        <v>416.02</v>
      </c>
      <c r="CE3963" s="345" t="s">
        <v>310</v>
      </c>
      <c r="CL3963" s="1789"/>
      <c r="CR3963" s="345"/>
      <c r="CS3963" s="345"/>
      <c r="DH3963" s="237"/>
      <c r="DI3963" s="237"/>
      <c r="DP3963" s="2505"/>
    </row>
    <row r="3964" spans="30:120">
      <c r="AD3964" s="1138"/>
      <c r="BH3964" s="1790"/>
      <c r="BN3964" s="237">
        <v>330.14</v>
      </c>
      <c r="BO3964" s="237" t="s">
        <v>362</v>
      </c>
      <c r="CD3964" s="237">
        <v>416.02</v>
      </c>
      <c r="CE3964" s="237" t="s">
        <v>335</v>
      </c>
      <c r="CL3964" s="1789"/>
      <c r="CR3964" s="345"/>
      <c r="CS3964" s="345"/>
      <c r="DH3964" s="237"/>
      <c r="DI3964" s="237"/>
      <c r="DP3964" s="2505"/>
    </row>
    <row r="3965" spans="30:120">
      <c r="AD3965" s="1138"/>
      <c r="BH3965" s="1790"/>
      <c r="BN3965" s="237">
        <v>331.01</v>
      </c>
      <c r="BO3965" s="237" t="s">
        <v>362</v>
      </c>
      <c r="CD3965" s="345">
        <v>417</v>
      </c>
      <c r="CE3965" s="345" t="s">
        <v>310</v>
      </c>
      <c r="CL3965" s="1789"/>
      <c r="CR3965" s="345"/>
      <c r="CS3965" s="345"/>
      <c r="DH3965" s="237"/>
      <c r="DI3965" s="237"/>
      <c r="DP3965" s="2505"/>
    </row>
    <row r="3966" spans="30:120">
      <c r="AD3966" s="1138"/>
      <c r="BH3966" s="1790"/>
      <c r="BN3966" s="237">
        <v>331.02</v>
      </c>
      <c r="BO3966" s="237" t="s">
        <v>362</v>
      </c>
      <c r="CD3966" s="237">
        <v>417</v>
      </c>
      <c r="CE3966" s="237" t="s">
        <v>360</v>
      </c>
      <c r="CL3966" s="1789"/>
      <c r="CR3966" s="345"/>
      <c r="CS3966" s="345"/>
      <c r="DH3966" s="237"/>
      <c r="DI3966" s="237"/>
      <c r="DP3966" s="2505"/>
    </row>
    <row r="3967" spans="30:120">
      <c r="AD3967" s="1138"/>
      <c r="BH3967" s="1790"/>
      <c r="BN3967" s="237">
        <v>9900</v>
      </c>
      <c r="BO3967" s="237" t="s">
        <v>362</v>
      </c>
      <c r="CD3967" s="237">
        <v>418</v>
      </c>
      <c r="CE3967" s="237" t="s">
        <v>360</v>
      </c>
      <c r="CL3967" s="1789"/>
      <c r="CR3967" s="345"/>
      <c r="CS3967" s="345"/>
      <c r="DH3967" s="237"/>
      <c r="DI3967" s="237"/>
      <c r="DP3967" s="2505"/>
    </row>
    <row r="3968" spans="30:120">
      <c r="AD3968" s="1138"/>
      <c r="BH3968" s="1790"/>
      <c r="BN3968" s="237">
        <v>201.05</v>
      </c>
      <c r="BO3968" s="237" t="s">
        <v>363</v>
      </c>
      <c r="CD3968" s="345">
        <v>418.01</v>
      </c>
      <c r="CE3968" s="345" t="s">
        <v>310</v>
      </c>
      <c r="CL3968" s="1789"/>
      <c r="CR3968" s="345"/>
      <c r="CS3968" s="345"/>
      <c r="DH3968" s="237"/>
      <c r="DI3968" s="237"/>
      <c r="DP3968" s="2505"/>
    </row>
    <row r="3969" spans="30:120">
      <c r="AD3969" s="1138"/>
      <c r="BH3969" s="1790"/>
      <c r="BN3969" s="237">
        <v>201.06</v>
      </c>
      <c r="BO3969" s="237" t="s">
        <v>363</v>
      </c>
      <c r="CD3969" s="345">
        <v>418.02</v>
      </c>
      <c r="CE3969" s="345" t="s">
        <v>310</v>
      </c>
      <c r="CL3969" s="1789"/>
      <c r="CR3969" s="345"/>
      <c r="CS3969" s="345"/>
      <c r="DH3969" s="237"/>
      <c r="DI3969" s="237"/>
      <c r="DP3969" s="2505"/>
    </row>
    <row r="3970" spans="30:120">
      <c r="AD3970" s="1138"/>
      <c r="BH3970" s="1790"/>
      <c r="BN3970" s="237">
        <v>201.07</v>
      </c>
      <c r="BO3970" s="237" t="s">
        <v>363</v>
      </c>
      <c r="CD3970" s="345">
        <v>419</v>
      </c>
      <c r="CE3970" s="345" t="s">
        <v>310</v>
      </c>
      <c r="CL3970" s="1789"/>
      <c r="CR3970" s="345"/>
      <c r="CS3970" s="345"/>
      <c r="DH3970" s="237"/>
      <c r="DI3970" s="237"/>
      <c r="DP3970" s="2505"/>
    </row>
    <row r="3971" spans="30:120">
      <c r="AD3971" s="1138"/>
      <c r="BH3971" s="1790"/>
      <c r="BN3971" s="237">
        <v>201.08</v>
      </c>
      <c r="BO3971" s="237" t="s">
        <v>363</v>
      </c>
      <c r="CD3971" s="237">
        <v>419</v>
      </c>
      <c r="CE3971" s="237" t="s">
        <v>360</v>
      </c>
      <c r="CL3971" s="1789"/>
      <c r="CR3971" s="345"/>
      <c r="CS3971" s="345"/>
      <c r="DH3971" s="237"/>
      <c r="DI3971" s="237"/>
      <c r="DP3971" s="2505"/>
    </row>
    <row r="3972" spans="30:120">
      <c r="AD3972" s="1138"/>
      <c r="BH3972" s="1790"/>
      <c r="BN3972" s="237">
        <v>201.09</v>
      </c>
      <c r="BO3972" s="237" t="s">
        <v>363</v>
      </c>
      <c r="CD3972" s="345">
        <v>420</v>
      </c>
      <c r="CE3972" s="345" t="s">
        <v>310</v>
      </c>
      <c r="CL3972" s="1789"/>
      <c r="CR3972" s="345"/>
      <c r="CS3972" s="345"/>
      <c r="DH3972" s="237"/>
      <c r="DI3972" s="237"/>
      <c r="DP3972" s="2505"/>
    </row>
    <row r="3973" spans="30:120">
      <c r="AD3973" s="1138"/>
      <c r="BH3973" s="1790"/>
      <c r="BN3973" s="237">
        <v>201.1</v>
      </c>
      <c r="BO3973" s="237" t="s">
        <v>363</v>
      </c>
      <c r="CD3973" s="237">
        <v>420</v>
      </c>
      <c r="CE3973" s="237" t="s">
        <v>360</v>
      </c>
      <c r="CL3973" s="1789"/>
      <c r="CR3973" s="345"/>
      <c r="CS3973" s="345"/>
      <c r="DH3973" s="237"/>
      <c r="DI3973" s="237"/>
      <c r="DP3973" s="2505"/>
    </row>
    <row r="3974" spans="30:120">
      <c r="AD3974" s="1138"/>
      <c r="BH3974" s="1790"/>
      <c r="BN3974" s="237">
        <v>202.01</v>
      </c>
      <c r="BO3974" s="237" t="s">
        <v>363</v>
      </c>
      <c r="CD3974" s="345">
        <v>421</v>
      </c>
      <c r="CE3974" s="345" t="s">
        <v>310</v>
      </c>
      <c r="CL3974" s="1789"/>
      <c r="CR3974" s="345"/>
      <c r="CS3974" s="345"/>
      <c r="DH3974" s="237"/>
      <c r="DI3974" s="237"/>
      <c r="DP3974" s="2505"/>
    </row>
    <row r="3975" spans="30:120">
      <c r="AD3975" s="1138"/>
      <c r="BH3975" s="1790"/>
      <c r="BN3975" s="237">
        <v>202.02</v>
      </c>
      <c r="BO3975" s="237" t="s">
        <v>363</v>
      </c>
      <c r="CD3975" s="237">
        <v>421</v>
      </c>
      <c r="CE3975" s="237" t="s">
        <v>360</v>
      </c>
      <c r="CL3975" s="1789"/>
      <c r="CR3975" s="345"/>
      <c r="CS3975" s="345"/>
      <c r="DH3975" s="237"/>
      <c r="DI3975" s="237"/>
      <c r="DP3975" s="2505"/>
    </row>
    <row r="3976" spans="30:120">
      <c r="AD3976" s="1138"/>
      <c r="BH3976" s="1790"/>
      <c r="BN3976" s="237">
        <v>202.06</v>
      </c>
      <c r="BO3976" s="237" t="s">
        <v>363</v>
      </c>
      <c r="CD3976" s="345">
        <v>422</v>
      </c>
      <c r="CE3976" s="345" t="s">
        <v>310</v>
      </c>
      <c r="CL3976" s="1789"/>
      <c r="CR3976" s="345"/>
      <c r="CS3976" s="345"/>
      <c r="DH3976" s="237"/>
      <c r="DI3976" s="237"/>
      <c r="DP3976" s="2505"/>
    </row>
    <row r="3977" spans="30:120">
      <c r="AD3977" s="1138"/>
      <c r="BH3977" s="1790"/>
      <c r="BN3977" s="237">
        <v>202.07</v>
      </c>
      <c r="BO3977" s="237" t="s">
        <v>363</v>
      </c>
      <c r="CD3977" s="237">
        <v>422.01</v>
      </c>
      <c r="CE3977" s="237" t="s">
        <v>360</v>
      </c>
      <c r="CL3977" s="1789"/>
      <c r="CR3977" s="345"/>
      <c r="CS3977" s="345"/>
      <c r="DH3977" s="237"/>
      <c r="DI3977" s="237"/>
      <c r="DP3977" s="2505"/>
    </row>
    <row r="3978" spans="30:120">
      <c r="AD3978" s="1138"/>
      <c r="BH3978" s="1790"/>
      <c r="BN3978" s="237">
        <v>202.08</v>
      </c>
      <c r="BO3978" s="237" t="s">
        <v>363</v>
      </c>
      <c r="CD3978" s="237">
        <v>422.02</v>
      </c>
      <c r="CE3978" s="237" t="s">
        <v>360</v>
      </c>
      <c r="CL3978" s="1789"/>
      <c r="CR3978" s="345"/>
      <c r="CS3978" s="345"/>
      <c r="DH3978" s="237"/>
      <c r="DI3978" s="237"/>
      <c r="DP3978" s="2505"/>
    </row>
    <row r="3979" spans="30:120">
      <c r="AD3979" s="1138"/>
      <c r="BH3979" s="1790"/>
      <c r="BN3979" s="237">
        <v>202.09</v>
      </c>
      <c r="BO3979" s="237" t="s">
        <v>363</v>
      </c>
      <c r="CD3979" s="237">
        <v>423</v>
      </c>
      <c r="CE3979" s="237" t="s">
        <v>360</v>
      </c>
      <c r="CL3979" s="1789"/>
      <c r="CR3979" s="345"/>
      <c r="CS3979" s="345"/>
      <c r="DH3979" s="237"/>
      <c r="DI3979" s="237"/>
      <c r="DP3979" s="2505"/>
    </row>
    <row r="3980" spans="30:120">
      <c r="AD3980" s="1138"/>
      <c r="BH3980" s="1790"/>
      <c r="BN3980" s="237">
        <v>203.01</v>
      </c>
      <c r="BO3980" s="237" t="s">
        <v>363</v>
      </c>
      <c r="CD3980" s="345">
        <v>423.01</v>
      </c>
      <c r="CE3980" s="345" t="s">
        <v>310</v>
      </c>
      <c r="CL3980" s="1789"/>
      <c r="CR3980" s="345"/>
      <c r="CS3980" s="345"/>
      <c r="DH3980" s="237"/>
      <c r="DI3980" s="237"/>
      <c r="DP3980" s="2505"/>
    </row>
    <row r="3981" spans="30:120">
      <c r="AD3981" s="1138"/>
      <c r="BH3981" s="1790"/>
      <c r="BN3981" s="237">
        <v>203.02</v>
      </c>
      <c r="BO3981" s="237" t="s">
        <v>363</v>
      </c>
      <c r="CD3981" s="345">
        <v>423.02</v>
      </c>
      <c r="CE3981" s="345" t="s">
        <v>310</v>
      </c>
      <c r="CL3981" s="1789"/>
      <c r="CR3981" s="345"/>
      <c r="CS3981" s="345"/>
      <c r="DH3981" s="237"/>
      <c r="DI3981" s="237"/>
      <c r="DP3981" s="2505"/>
    </row>
    <row r="3982" spans="30:120">
      <c r="AD3982" s="1138"/>
      <c r="BH3982" s="1790"/>
      <c r="BN3982" s="237">
        <v>204</v>
      </c>
      <c r="BO3982" s="237" t="s">
        <v>363</v>
      </c>
      <c r="CD3982" s="345">
        <v>424</v>
      </c>
      <c r="CE3982" s="345" t="s">
        <v>310</v>
      </c>
      <c r="CL3982" s="1789"/>
      <c r="CR3982" s="345"/>
      <c r="CS3982" s="345"/>
      <c r="DH3982" s="237"/>
      <c r="DI3982" s="237"/>
      <c r="DP3982" s="2505"/>
    </row>
    <row r="3983" spans="30:120">
      <c r="AD3983" s="1138"/>
      <c r="BH3983" s="1790"/>
      <c r="BN3983" s="237">
        <v>205</v>
      </c>
      <c r="BO3983" s="237" t="s">
        <v>363</v>
      </c>
      <c r="CD3983" s="237">
        <v>424</v>
      </c>
      <c r="CE3983" s="237" t="s">
        <v>360</v>
      </c>
      <c r="CL3983" s="1789"/>
      <c r="CR3983" s="345"/>
      <c r="CS3983" s="345"/>
      <c r="DH3983" s="237"/>
      <c r="DI3983" s="237"/>
      <c r="DP3983" s="2505"/>
    </row>
    <row r="3984" spans="30:120">
      <c r="AD3984" s="1138"/>
      <c r="BH3984" s="1790"/>
      <c r="BN3984" s="237">
        <v>206</v>
      </c>
      <c r="BO3984" s="237" t="s">
        <v>363</v>
      </c>
      <c r="CD3984" s="237">
        <v>425</v>
      </c>
      <c r="CE3984" s="237" t="s">
        <v>360</v>
      </c>
      <c r="CL3984" s="1789"/>
      <c r="CR3984" s="345"/>
      <c r="CS3984" s="345"/>
      <c r="DH3984" s="237"/>
      <c r="DI3984" s="237"/>
      <c r="DP3984" s="2505"/>
    </row>
    <row r="3985" spans="30:120">
      <c r="AD3985" s="1138"/>
      <c r="BH3985" s="1790"/>
      <c r="BN3985" s="237">
        <v>207</v>
      </c>
      <c r="BO3985" s="237" t="s">
        <v>363</v>
      </c>
      <c r="CD3985" s="345">
        <v>425.01</v>
      </c>
      <c r="CE3985" s="345" t="s">
        <v>310</v>
      </c>
      <c r="CL3985" s="1789"/>
      <c r="CR3985" s="345"/>
      <c r="CS3985" s="345"/>
      <c r="DH3985" s="237"/>
      <c r="DI3985" s="237"/>
      <c r="DP3985" s="2505"/>
    </row>
    <row r="3986" spans="30:120">
      <c r="AD3986" s="1138"/>
      <c r="BH3986" s="1790"/>
      <c r="BN3986" s="237">
        <v>208</v>
      </c>
      <c r="BO3986" s="237" t="s">
        <v>363</v>
      </c>
      <c r="CD3986" s="345">
        <v>425.02</v>
      </c>
      <c r="CE3986" s="345" t="s">
        <v>310</v>
      </c>
      <c r="CL3986" s="1789"/>
      <c r="CR3986" s="345"/>
      <c r="CS3986" s="345"/>
      <c r="DH3986" s="237"/>
      <c r="DI3986" s="237"/>
      <c r="DP3986" s="2505"/>
    </row>
    <row r="3987" spans="30:120">
      <c r="AD3987" s="1138"/>
      <c r="BH3987" s="1790"/>
      <c r="BN3987" s="237">
        <v>212</v>
      </c>
      <c r="BO3987" s="237" t="s">
        <v>363</v>
      </c>
      <c r="CD3987" s="345">
        <v>426.01</v>
      </c>
      <c r="CE3987" s="345" t="s">
        <v>310</v>
      </c>
      <c r="CL3987" s="1789"/>
      <c r="CR3987" s="345"/>
      <c r="CS3987" s="345"/>
      <c r="DH3987" s="237"/>
      <c r="DI3987" s="237"/>
      <c r="DP3987" s="2505"/>
    </row>
    <row r="3988" spans="30:120">
      <c r="AD3988" s="1138"/>
      <c r="BH3988" s="1790"/>
      <c r="BN3988" s="237">
        <v>215.01</v>
      </c>
      <c r="BO3988" s="237" t="s">
        <v>363</v>
      </c>
      <c r="CD3988" s="237">
        <v>426.01</v>
      </c>
      <c r="CE3988" s="237" t="s">
        <v>360</v>
      </c>
      <c r="CL3988" s="1789"/>
      <c r="CR3988" s="345"/>
      <c r="CS3988" s="345"/>
      <c r="DH3988" s="237"/>
      <c r="DI3988" s="237"/>
      <c r="DP3988" s="2505"/>
    </row>
    <row r="3989" spans="30:120">
      <c r="AD3989" s="1138"/>
      <c r="BH3989" s="1790"/>
      <c r="BN3989" s="237">
        <v>215.02</v>
      </c>
      <c r="BO3989" s="237" t="s">
        <v>363</v>
      </c>
      <c r="CD3989" s="345">
        <v>426.02</v>
      </c>
      <c r="CE3989" s="345" t="s">
        <v>310</v>
      </c>
      <c r="CL3989" s="1789"/>
      <c r="CR3989" s="345"/>
      <c r="CS3989" s="345"/>
      <c r="DH3989" s="237"/>
      <c r="DI3989" s="237"/>
      <c r="DP3989" s="2505"/>
    </row>
    <row r="3990" spans="30:120">
      <c r="AD3990" s="1138"/>
      <c r="BH3990" s="1790"/>
      <c r="BN3990" s="237">
        <v>216</v>
      </c>
      <c r="BO3990" s="237" t="s">
        <v>363</v>
      </c>
      <c r="CD3990" s="237">
        <v>426.03</v>
      </c>
      <c r="CE3990" s="237" t="s">
        <v>360</v>
      </c>
      <c r="CL3990" s="1789"/>
      <c r="CR3990" s="345"/>
      <c r="CS3990" s="345"/>
      <c r="DH3990" s="237"/>
      <c r="DI3990" s="237"/>
      <c r="DP3990" s="2505"/>
    </row>
    <row r="3991" spans="30:120">
      <c r="AD3991" s="1138"/>
      <c r="BH3991" s="1790"/>
      <c r="BN3991" s="237">
        <v>218</v>
      </c>
      <c r="BO3991" s="237" t="s">
        <v>363</v>
      </c>
      <c r="CD3991" s="237">
        <v>426.04</v>
      </c>
      <c r="CE3991" s="237" t="s">
        <v>360</v>
      </c>
      <c r="CL3991" s="1789"/>
      <c r="CR3991" s="345"/>
      <c r="CS3991" s="345"/>
      <c r="DH3991" s="237"/>
      <c r="DI3991" s="237"/>
      <c r="DP3991" s="2505"/>
    </row>
    <row r="3992" spans="30:120">
      <c r="AD3992" s="1138"/>
      <c r="BH3992" s="1790"/>
      <c r="BN3992" s="237">
        <v>219</v>
      </c>
      <c r="BO3992" s="237" t="s">
        <v>363</v>
      </c>
      <c r="CD3992" s="345">
        <v>427</v>
      </c>
      <c r="CE3992" s="345" t="s">
        <v>310</v>
      </c>
      <c r="CL3992" s="1789"/>
      <c r="CR3992" s="345"/>
      <c r="CS3992" s="345"/>
      <c r="DH3992" s="237"/>
      <c r="DI3992" s="237"/>
      <c r="DP3992" s="2505"/>
    </row>
    <row r="3993" spans="30:120">
      <c r="AD3993" s="1138"/>
      <c r="BH3993" s="1790"/>
      <c r="BN3993" s="237">
        <v>220</v>
      </c>
      <c r="BO3993" s="237" t="s">
        <v>363</v>
      </c>
      <c r="CD3993" s="237">
        <v>427.01</v>
      </c>
      <c r="CE3993" s="237" t="s">
        <v>360</v>
      </c>
      <c r="CL3993" s="1789"/>
      <c r="CR3993" s="345"/>
      <c r="CS3993" s="345"/>
      <c r="DH3993" s="237"/>
      <c r="DI3993" s="237"/>
      <c r="DP3993" s="2505"/>
    </row>
    <row r="3994" spans="30:120">
      <c r="AD3994" s="1138"/>
      <c r="BH3994" s="1790"/>
      <c r="BN3994" s="237">
        <v>221.01</v>
      </c>
      <c r="BO3994" s="237" t="s">
        <v>363</v>
      </c>
      <c r="CD3994" s="237">
        <v>427.02</v>
      </c>
      <c r="CE3994" s="237" t="s">
        <v>360</v>
      </c>
      <c r="CL3994" s="1789"/>
      <c r="CR3994" s="345"/>
      <c r="CS3994" s="345"/>
      <c r="DH3994" s="237"/>
      <c r="DI3994" s="237"/>
      <c r="DP3994" s="2505"/>
    </row>
    <row r="3995" spans="30:120">
      <c r="AD3995" s="1138"/>
      <c r="BH3995" s="1790"/>
      <c r="BN3995" s="237">
        <v>221.02</v>
      </c>
      <c r="BO3995" s="237" t="s">
        <v>363</v>
      </c>
      <c r="CD3995" s="237">
        <v>428</v>
      </c>
      <c r="CE3995" s="237" t="s">
        <v>360</v>
      </c>
      <c r="CL3995" s="1789"/>
      <c r="CR3995" s="345"/>
      <c r="CS3995" s="345"/>
      <c r="DH3995" s="237"/>
      <c r="DI3995" s="237"/>
      <c r="DP3995" s="2505"/>
    </row>
    <row r="3996" spans="30:120">
      <c r="AD3996" s="1138"/>
      <c r="BH3996" s="1790"/>
      <c r="BN3996" s="237">
        <v>222</v>
      </c>
      <c r="BO3996" s="237" t="s">
        <v>363</v>
      </c>
      <c r="CD3996" s="345">
        <v>428.01</v>
      </c>
      <c r="CE3996" s="345" t="s">
        <v>310</v>
      </c>
      <c r="CL3996" s="1789"/>
      <c r="CR3996" s="345"/>
      <c r="CS3996" s="345"/>
      <c r="DH3996" s="237"/>
      <c r="DI3996" s="237"/>
      <c r="DP3996" s="2505"/>
    </row>
    <row r="3997" spans="30:120">
      <c r="AD3997" s="1138"/>
      <c r="BH3997" s="1790"/>
      <c r="BN3997" s="237">
        <v>223.01</v>
      </c>
      <c r="BO3997" s="237" t="s">
        <v>363</v>
      </c>
      <c r="CD3997" s="345">
        <v>428.02</v>
      </c>
      <c r="CE3997" s="345" t="s">
        <v>310</v>
      </c>
      <c r="CL3997" s="1789"/>
      <c r="CR3997" s="345"/>
      <c r="CS3997" s="345"/>
      <c r="DH3997" s="237"/>
      <c r="DI3997" s="237"/>
      <c r="DP3997" s="2505"/>
    </row>
    <row r="3998" spans="30:120">
      <c r="AD3998" s="1138"/>
      <c r="BH3998" s="1790"/>
      <c r="BN3998" s="237">
        <v>223.02</v>
      </c>
      <c r="BO3998" s="237" t="s">
        <v>363</v>
      </c>
      <c r="CD3998" s="345">
        <v>429</v>
      </c>
      <c r="CE3998" s="345" t="s">
        <v>310</v>
      </c>
      <c r="CL3998" s="1789"/>
      <c r="CR3998" s="345"/>
      <c r="CS3998" s="345"/>
      <c r="DH3998" s="237"/>
      <c r="DI3998" s="237"/>
      <c r="DP3998" s="2505"/>
    </row>
    <row r="3999" spans="30:120">
      <c r="AD3999" s="1138"/>
      <c r="BH3999" s="1790"/>
      <c r="BN3999" s="237">
        <v>224.01</v>
      </c>
      <c r="BO3999" s="237" t="s">
        <v>363</v>
      </c>
      <c r="CD3999" s="237">
        <v>429.01</v>
      </c>
      <c r="CE3999" s="237" t="s">
        <v>360</v>
      </c>
      <c r="CL3999" s="1789"/>
      <c r="CR3999" s="345"/>
      <c r="CS3999" s="345"/>
      <c r="DH3999" s="237"/>
      <c r="DI3999" s="237"/>
      <c r="DP3999" s="2505"/>
    </row>
    <row r="4000" spans="30:120">
      <c r="AD4000" s="1138"/>
      <c r="BH4000" s="1790"/>
      <c r="BN4000" s="237">
        <v>224.02</v>
      </c>
      <c r="BO4000" s="237" t="s">
        <v>363</v>
      </c>
      <c r="CD4000" s="237">
        <v>429.02</v>
      </c>
      <c r="CE4000" s="237" t="s">
        <v>360</v>
      </c>
      <c r="CL4000" s="1789"/>
      <c r="CR4000" s="345"/>
      <c r="CS4000" s="345"/>
      <c r="DH4000" s="237"/>
      <c r="DI4000" s="237"/>
      <c r="DP4000" s="2505"/>
    </row>
    <row r="4001" spans="30:120">
      <c r="AD4001" s="1138"/>
      <c r="BH4001" s="1790"/>
      <c r="BN4001" s="237">
        <v>225.01</v>
      </c>
      <c r="BO4001" s="237" t="s">
        <v>363</v>
      </c>
      <c r="CD4001" s="237">
        <v>429.03</v>
      </c>
      <c r="CE4001" s="237" t="s">
        <v>360</v>
      </c>
      <c r="CL4001" s="1789"/>
      <c r="CR4001" s="345"/>
      <c r="CS4001" s="345"/>
      <c r="DH4001" s="237"/>
      <c r="DI4001" s="237"/>
      <c r="DP4001" s="2505"/>
    </row>
    <row r="4002" spans="30:120">
      <c r="AD4002" s="1138"/>
      <c r="BH4002" s="1790"/>
      <c r="BN4002" s="237">
        <v>225.02</v>
      </c>
      <c r="BO4002" s="237" t="s">
        <v>363</v>
      </c>
      <c r="CD4002" s="237">
        <v>429.04</v>
      </c>
      <c r="CE4002" s="237" t="s">
        <v>360</v>
      </c>
      <c r="CL4002" s="1789"/>
      <c r="CR4002" s="345"/>
      <c r="CS4002" s="345"/>
      <c r="DH4002" s="237"/>
      <c r="DI4002" s="237"/>
      <c r="DP4002" s="2505"/>
    </row>
    <row r="4003" spans="30:120">
      <c r="AD4003" s="1138"/>
      <c r="BH4003" s="1790"/>
      <c r="BN4003" s="237">
        <v>225.03</v>
      </c>
      <c r="BO4003" s="237" t="s">
        <v>363</v>
      </c>
      <c r="CD4003" s="237">
        <v>429.05</v>
      </c>
      <c r="CE4003" s="237" t="s">
        <v>360</v>
      </c>
      <c r="CL4003" s="1789"/>
      <c r="CR4003" s="345"/>
      <c r="CS4003" s="345"/>
      <c r="DH4003" s="237"/>
      <c r="DI4003" s="237"/>
      <c r="DP4003" s="2505"/>
    </row>
    <row r="4004" spans="30:120">
      <c r="AD4004" s="1138"/>
      <c r="BH4004" s="1790"/>
      <c r="BN4004" s="237">
        <v>226.01</v>
      </c>
      <c r="BO4004" s="237" t="s">
        <v>363</v>
      </c>
      <c r="CD4004" s="345">
        <v>430.01</v>
      </c>
      <c r="CE4004" s="345" t="s">
        <v>310</v>
      </c>
      <c r="CL4004" s="1789"/>
      <c r="CR4004" s="345"/>
      <c r="CS4004" s="345"/>
      <c r="DH4004" s="237"/>
      <c r="DI4004" s="237"/>
      <c r="DP4004" s="2505"/>
    </row>
    <row r="4005" spans="30:120">
      <c r="AD4005" s="1138"/>
      <c r="BH4005" s="1790"/>
      <c r="BN4005" s="237">
        <v>226.02</v>
      </c>
      <c r="BO4005" s="237" t="s">
        <v>363</v>
      </c>
      <c r="CD4005" s="345">
        <v>430.02</v>
      </c>
      <c r="CE4005" s="345" t="s">
        <v>310</v>
      </c>
      <c r="CL4005" s="1789"/>
      <c r="CR4005" s="345"/>
      <c r="CS4005" s="345"/>
      <c r="DH4005" s="237"/>
      <c r="DI4005" s="237"/>
      <c r="DP4005" s="2505"/>
    </row>
    <row r="4006" spans="30:120">
      <c r="AD4006" s="1138"/>
      <c r="BH4006" s="1790"/>
      <c r="BN4006" s="237">
        <v>227</v>
      </c>
      <c r="BO4006" s="237" t="s">
        <v>363</v>
      </c>
      <c r="CD4006" s="345">
        <v>431</v>
      </c>
      <c r="CE4006" s="345" t="s">
        <v>310</v>
      </c>
      <c r="CL4006" s="1789"/>
      <c r="CR4006" s="345"/>
      <c r="CS4006" s="345"/>
      <c r="DH4006" s="237"/>
      <c r="DI4006" s="237"/>
      <c r="DP4006" s="2505"/>
    </row>
    <row r="4007" spans="30:120">
      <c r="AD4007" s="1138"/>
      <c r="BH4007" s="1790"/>
      <c r="BN4007" s="237">
        <v>228.01</v>
      </c>
      <c r="BO4007" s="237" t="s">
        <v>363</v>
      </c>
      <c r="CD4007" s="237">
        <v>431</v>
      </c>
      <c r="CE4007" s="237" t="s">
        <v>360</v>
      </c>
      <c r="CL4007" s="1789"/>
      <c r="CR4007" s="345"/>
      <c r="CS4007" s="345"/>
      <c r="DH4007" s="237"/>
      <c r="DI4007" s="237"/>
      <c r="DP4007" s="2505"/>
    </row>
    <row r="4008" spans="30:120">
      <c r="AD4008" s="1138"/>
      <c r="BH4008" s="1790"/>
      <c r="BN4008" s="237">
        <v>228.02</v>
      </c>
      <c r="BO4008" s="237" t="s">
        <v>363</v>
      </c>
      <c r="CD4008" s="237">
        <v>432.03</v>
      </c>
      <c r="CE4008" s="237" t="s">
        <v>360</v>
      </c>
      <c r="CL4008" s="1789"/>
      <c r="CR4008" s="345"/>
      <c r="CS4008" s="345"/>
      <c r="DH4008" s="237"/>
      <c r="DI4008" s="237"/>
      <c r="DP4008" s="2505"/>
    </row>
    <row r="4009" spans="30:120">
      <c r="AD4009" s="1138"/>
      <c r="BH4009" s="1790"/>
      <c r="BN4009" s="237">
        <v>229.01</v>
      </c>
      <c r="BO4009" s="237" t="s">
        <v>363</v>
      </c>
      <c r="CD4009" s="237">
        <v>432.05</v>
      </c>
      <c r="CE4009" s="237" t="s">
        <v>360</v>
      </c>
      <c r="CL4009" s="1789"/>
      <c r="CR4009" s="345"/>
      <c r="CS4009" s="345"/>
      <c r="DH4009" s="237"/>
      <c r="DI4009" s="237"/>
      <c r="DP4009" s="2505"/>
    </row>
    <row r="4010" spans="30:120">
      <c r="AD4010" s="1138"/>
      <c r="BH4010" s="1790"/>
      <c r="BN4010" s="237">
        <v>229.02</v>
      </c>
      <c r="BO4010" s="237" t="s">
        <v>363</v>
      </c>
      <c r="CD4010" s="237">
        <v>432.07</v>
      </c>
      <c r="CE4010" s="237" t="s">
        <v>360</v>
      </c>
      <c r="CL4010" s="1789"/>
      <c r="CR4010" s="345"/>
      <c r="CS4010" s="345"/>
      <c r="DH4010" s="237"/>
      <c r="DI4010" s="237"/>
      <c r="DP4010" s="2505"/>
    </row>
    <row r="4011" spans="30:120">
      <c r="AD4011" s="1138"/>
      <c r="BH4011" s="1790"/>
      <c r="BN4011" s="237">
        <v>230</v>
      </c>
      <c r="BO4011" s="237" t="s">
        <v>363</v>
      </c>
      <c r="CD4011" s="237">
        <v>432.08</v>
      </c>
      <c r="CE4011" s="237" t="s">
        <v>360</v>
      </c>
      <c r="CL4011" s="1789"/>
      <c r="CR4011" s="345"/>
      <c r="CS4011" s="345"/>
      <c r="DH4011" s="237"/>
      <c r="DI4011" s="237"/>
      <c r="DP4011" s="2505"/>
    </row>
    <row r="4012" spans="30:120">
      <c r="AD4012" s="1138"/>
      <c r="BH4012" s="1790"/>
      <c r="BN4012" s="237">
        <v>231</v>
      </c>
      <c r="BO4012" s="237" t="s">
        <v>363</v>
      </c>
      <c r="CD4012" s="237">
        <v>432.09</v>
      </c>
      <c r="CE4012" s="237" t="s">
        <v>360</v>
      </c>
      <c r="CL4012" s="1789"/>
      <c r="CR4012" s="345"/>
      <c r="CS4012" s="345"/>
      <c r="DH4012" s="237"/>
      <c r="DI4012" s="237"/>
      <c r="DP4012" s="2505"/>
    </row>
    <row r="4013" spans="30:120">
      <c r="AD4013" s="1138"/>
      <c r="BH4013" s="1790"/>
      <c r="BN4013" s="237">
        <v>232</v>
      </c>
      <c r="BO4013" s="237" t="s">
        <v>363</v>
      </c>
      <c r="CD4013" s="345">
        <v>433.01</v>
      </c>
      <c r="CE4013" s="345" t="s">
        <v>310</v>
      </c>
      <c r="CL4013" s="1789"/>
      <c r="CR4013" s="345"/>
      <c r="CS4013" s="345"/>
      <c r="DH4013" s="237"/>
      <c r="DI4013" s="237"/>
      <c r="DP4013" s="2505"/>
    </row>
    <row r="4014" spans="30:120">
      <c r="AD4014" s="1138"/>
      <c r="BH4014" s="1790"/>
      <c r="BN4014" s="237">
        <v>233</v>
      </c>
      <c r="BO4014" s="237" t="s">
        <v>363</v>
      </c>
      <c r="CD4014" s="237">
        <v>433.01</v>
      </c>
      <c r="CE4014" s="237" t="s">
        <v>360</v>
      </c>
      <c r="CL4014" s="1789"/>
      <c r="CR4014" s="345"/>
      <c r="CS4014" s="345"/>
      <c r="DH4014" s="237"/>
      <c r="DI4014" s="237"/>
      <c r="DP4014" s="2505"/>
    </row>
    <row r="4015" spans="30:120">
      <c r="AD4015" s="1138"/>
      <c r="BH4015" s="1790"/>
      <c r="BN4015" s="237">
        <v>234</v>
      </c>
      <c r="BO4015" s="237" t="s">
        <v>363</v>
      </c>
      <c r="CD4015" s="345">
        <v>433.02</v>
      </c>
      <c r="CE4015" s="345" t="s">
        <v>310</v>
      </c>
      <c r="CL4015" s="1789"/>
      <c r="CR4015" s="345"/>
      <c r="CS4015" s="345"/>
      <c r="DH4015" s="237"/>
      <c r="DI4015" s="237"/>
      <c r="DP4015" s="2505"/>
    </row>
    <row r="4016" spans="30:120">
      <c r="AD4016" s="1138"/>
      <c r="BH4016" s="1790"/>
      <c r="BN4016" s="237">
        <v>235.01</v>
      </c>
      <c r="BO4016" s="237" t="s">
        <v>363</v>
      </c>
      <c r="CD4016" s="237">
        <v>433.03</v>
      </c>
      <c r="CE4016" s="237" t="s">
        <v>360</v>
      </c>
      <c r="CL4016" s="1789"/>
      <c r="CR4016" s="345"/>
      <c r="CS4016" s="345"/>
      <c r="DH4016" s="237"/>
      <c r="DI4016" s="237"/>
      <c r="DP4016" s="2505"/>
    </row>
    <row r="4017" spans="30:120">
      <c r="AD4017" s="1138"/>
      <c r="BH4017" s="1790"/>
      <c r="BN4017" s="237">
        <v>235.02</v>
      </c>
      <c r="BO4017" s="237" t="s">
        <v>363</v>
      </c>
      <c r="CD4017" s="237">
        <v>433.04</v>
      </c>
      <c r="CE4017" s="237" t="s">
        <v>360</v>
      </c>
      <c r="CL4017" s="1789"/>
      <c r="CR4017" s="345"/>
      <c r="CS4017" s="345"/>
      <c r="DH4017" s="237"/>
      <c r="DI4017" s="237"/>
      <c r="DP4017" s="2505"/>
    </row>
    <row r="4018" spans="30:120">
      <c r="AD4018" s="1138"/>
      <c r="BH4018" s="1790"/>
      <c r="BN4018" s="237">
        <v>236.01</v>
      </c>
      <c r="BO4018" s="237" t="s">
        <v>363</v>
      </c>
      <c r="CD4018" s="237">
        <v>434</v>
      </c>
      <c r="CE4018" s="237" t="s">
        <v>360</v>
      </c>
      <c r="CL4018" s="1789"/>
      <c r="CR4018" s="345"/>
      <c r="CS4018" s="345"/>
      <c r="DH4018" s="237"/>
      <c r="DI4018" s="237"/>
      <c r="DP4018" s="2505"/>
    </row>
    <row r="4019" spans="30:120">
      <c r="AD4019" s="1138"/>
      <c r="BH4019" s="1790"/>
      <c r="BN4019" s="237">
        <v>236.02</v>
      </c>
      <c r="BO4019" s="237" t="s">
        <v>363</v>
      </c>
      <c r="CD4019" s="237">
        <v>435</v>
      </c>
      <c r="CE4019" s="237" t="s">
        <v>360</v>
      </c>
      <c r="CL4019" s="1789"/>
      <c r="CR4019" s="345"/>
      <c r="CS4019" s="345"/>
      <c r="DH4019" s="237"/>
      <c r="DI4019" s="237"/>
      <c r="DP4019" s="2505"/>
    </row>
    <row r="4020" spans="30:120">
      <c r="AD4020" s="1138"/>
      <c r="BH4020" s="1790"/>
      <c r="BN4020" s="237">
        <v>237</v>
      </c>
      <c r="BO4020" s="237" t="s">
        <v>363</v>
      </c>
      <c r="CD4020" s="237">
        <v>436</v>
      </c>
      <c r="CE4020" s="237" t="s">
        <v>360</v>
      </c>
      <c r="CL4020" s="1789"/>
      <c r="CR4020" s="345"/>
      <c r="CS4020" s="345"/>
      <c r="DH4020" s="237"/>
      <c r="DI4020" s="237"/>
      <c r="DP4020" s="2505"/>
    </row>
    <row r="4021" spans="30:120">
      <c r="AD4021" s="1138"/>
      <c r="BH4021" s="1790"/>
      <c r="BN4021" s="237">
        <v>238</v>
      </c>
      <c r="BO4021" s="237" t="s">
        <v>363</v>
      </c>
      <c r="CD4021" s="237">
        <v>437</v>
      </c>
      <c r="CE4021" s="237" t="s">
        <v>360</v>
      </c>
      <c r="CL4021" s="1789"/>
      <c r="CR4021" s="345"/>
      <c r="CS4021" s="345"/>
      <c r="DH4021" s="237"/>
      <c r="DI4021" s="237"/>
      <c r="DP4021" s="2505"/>
    </row>
    <row r="4022" spans="30:120">
      <c r="AD4022" s="1138"/>
      <c r="BH4022" s="1790"/>
      <c r="BN4022" s="237">
        <v>239</v>
      </c>
      <c r="BO4022" s="237" t="s">
        <v>363</v>
      </c>
      <c r="CD4022" s="237">
        <v>438.01</v>
      </c>
      <c r="CE4022" s="237" t="s">
        <v>360</v>
      </c>
      <c r="CL4022" s="1789"/>
      <c r="CR4022" s="345"/>
      <c r="CS4022" s="345"/>
      <c r="DH4022" s="237"/>
      <c r="DI4022" s="237"/>
      <c r="DP4022" s="2505"/>
    </row>
    <row r="4023" spans="30:120">
      <c r="AD4023" s="1138"/>
      <c r="BH4023" s="1790"/>
      <c r="BN4023" s="237">
        <v>240.01</v>
      </c>
      <c r="BO4023" s="237" t="s">
        <v>363</v>
      </c>
      <c r="CD4023" s="237">
        <v>438.02</v>
      </c>
      <c r="CE4023" s="237" t="s">
        <v>360</v>
      </c>
      <c r="CL4023" s="1789"/>
      <c r="CR4023" s="345"/>
      <c r="CS4023" s="345"/>
      <c r="DH4023" s="237"/>
      <c r="DI4023" s="237"/>
      <c r="DP4023" s="2505"/>
    </row>
    <row r="4024" spans="30:120">
      <c r="AD4024" s="1138"/>
      <c r="BH4024" s="1790"/>
      <c r="BN4024" s="237">
        <v>240.02</v>
      </c>
      <c r="BO4024" s="237" t="s">
        <v>363</v>
      </c>
      <c r="CD4024" s="345">
        <v>501</v>
      </c>
      <c r="CE4024" s="345" t="s">
        <v>310</v>
      </c>
      <c r="CL4024" s="1789"/>
      <c r="CR4024" s="345"/>
      <c r="CS4024" s="345"/>
      <c r="DH4024" s="237"/>
      <c r="DI4024" s="237"/>
      <c r="DP4024" s="2505"/>
    </row>
    <row r="4025" spans="30:120">
      <c r="AD4025" s="1138"/>
      <c r="BH4025" s="1790"/>
      <c r="BN4025" s="237">
        <v>240.04</v>
      </c>
      <c r="BO4025" s="237" t="s">
        <v>363</v>
      </c>
      <c r="CD4025" s="237">
        <v>501.01</v>
      </c>
      <c r="CE4025" s="237" t="s">
        <v>339</v>
      </c>
      <c r="CL4025" s="1789"/>
      <c r="CR4025" s="345"/>
      <c r="CS4025" s="345"/>
      <c r="DH4025" s="237"/>
      <c r="DI4025" s="237"/>
      <c r="DP4025" s="2505"/>
    </row>
    <row r="4026" spans="30:120">
      <c r="AD4026" s="1138"/>
      <c r="BH4026" s="1790"/>
      <c r="BN4026" s="237">
        <v>240.05</v>
      </c>
      <c r="BO4026" s="237" t="s">
        <v>363</v>
      </c>
      <c r="CD4026" s="237">
        <v>501.02</v>
      </c>
      <c r="CE4026" s="237" t="s">
        <v>339</v>
      </c>
      <c r="CL4026" s="1789"/>
      <c r="CR4026" s="345"/>
      <c r="CS4026" s="345"/>
      <c r="DH4026" s="237"/>
      <c r="DI4026" s="237"/>
      <c r="DP4026" s="2505"/>
    </row>
    <row r="4027" spans="30:120">
      <c r="AD4027" s="1138"/>
      <c r="BH4027" s="1790"/>
      <c r="BN4027" s="237">
        <v>241</v>
      </c>
      <c r="BO4027" s="237" t="s">
        <v>363</v>
      </c>
      <c r="CD4027" s="237">
        <v>501.02</v>
      </c>
      <c r="CE4027" s="237" t="s">
        <v>356</v>
      </c>
      <c r="CL4027" s="1789"/>
      <c r="CR4027" s="345"/>
      <c r="CS4027" s="345"/>
      <c r="DH4027" s="237"/>
      <c r="DI4027" s="237"/>
      <c r="DP4027" s="2505"/>
    </row>
    <row r="4028" spans="30:120">
      <c r="AD4028" s="1138"/>
      <c r="BH4028" s="1790"/>
      <c r="BN4028" s="237">
        <v>242.01</v>
      </c>
      <c r="BO4028" s="237" t="s">
        <v>363</v>
      </c>
      <c r="CD4028" s="237">
        <v>501.03</v>
      </c>
      <c r="CE4028" s="237" t="s">
        <v>344</v>
      </c>
      <c r="CL4028" s="1789"/>
      <c r="CR4028" s="345"/>
      <c r="CS4028" s="345"/>
      <c r="DH4028" s="237"/>
      <c r="DI4028" s="237"/>
      <c r="DP4028" s="2505"/>
    </row>
    <row r="4029" spans="30:120">
      <c r="AD4029" s="1138"/>
      <c r="BH4029" s="1790"/>
      <c r="BN4029" s="237">
        <v>242.02</v>
      </c>
      <c r="BO4029" s="237" t="s">
        <v>363</v>
      </c>
      <c r="CD4029" s="237">
        <v>501.03</v>
      </c>
      <c r="CE4029" s="237" t="s">
        <v>356</v>
      </c>
      <c r="CL4029" s="1789"/>
      <c r="CR4029" s="345"/>
      <c r="CS4029" s="345"/>
      <c r="DH4029" s="237"/>
      <c r="DI4029" s="237"/>
      <c r="DP4029" s="2505"/>
    </row>
    <row r="4030" spans="30:120">
      <c r="AD4030" s="1138"/>
      <c r="BH4030" s="1790"/>
      <c r="BN4030" s="237">
        <v>243.01</v>
      </c>
      <c r="BO4030" s="237" t="s">
        <v>363</v>
      </c>
      <c r="CD4030" s="237">
        <v>501.04</v>
      </c>
      <c r="CE4030" s="237" t="s">
        <v>344</v>
      </c>
      <c r="CL4030" s="1789"/>
      <c r="CR4030" s="345"/>
      <c r="CS4030" s="345"/>
      <c r="DH4030" s="237"/>
      <c r="DI4030" s="237"/>
      <c r="DP4030" s="2505"/>
    </row>
    <row r="4031" spans="30:120">
      <c r="AD4031" s="1138"/>
      <c r="BH4031" s="1790"/>
      <c r="BN4031" s="237">
        <v>243.02</v>
      </c>
      <c r="BO4031" s="237" t="s">
        <v>363</v>
      </c>
      <c r="CD4031" s="237">
        <v>501.04</v>
      </c>
      <c r="CE4031" s="237" t="s">
        <v>356</v>
      </c>
      <c r="CL4031" s="1789"/>
      <c r="CR4031" s="345"/>
      <c r="CS4031" s="345"/>
      <c r="DH4031" s="237"/>
      <c r="DI4031" s="237"/>
      <c r="DP4031" s="2505"/>
    </row>
    <row r="4032" spans="30:120">
      <c r="AD4032" s="1138"/>
      <c r="BH4032" s="1790"/>
      <c r="BN4032" s="237">
        <v>244.03</v>
      </c>
      <c r="BO4032" s="237" t="s">
        <v>363</v>
      </c>
      <c r="CD4032" s="237">
        <v>501.05</v>
      </c>
      <c r="CE4032" s="237" t="s">
        <v>344</v>
      </c>
      <c r="CL4032" s="1789"/>
      <c r="CR4032" s="345"/>
      <c r="CS4032" s="345"/>
      <c r="DH4032" s="237"/>
      <c r="DI4032" s="237"/>
      <c r="DP4032" s="2505"/>
    </row>
    <row r="4033" spans="30:120">
      <c r="AD4033" s="1138"/>
      <c r="BH4033" s="1790"/>
      <c r="BN4033" s="237">
        <v>244.06</v>
      </c>
      <c r="BO4033" s="237" t="s">
        <v>363</v>
      </c>
      <c r="CD4033" s="237">
        <v>501.06</v>
      </c>
      <c r="CE4033" s="237" t="s">
        <v>344</v>
      </c>
      <c r="CL4033" s="1789"/>
      <c r="CR4033" s="345"/>
      <c r="CS4033" s="345"/>
      <c r="DH4033" s="237"/>
      <c r="DI4033" s="237"/>
      <c r="DP4033" s="2505"/>
    </row>
    <row r="4034" spans="30:120">
      <c r="AD4034" s="1138"/>
      <c r="BH4034" s="1790"/>
      <c r="BN4034" s="237">
        <v>244.08</v>
      </c>
      <c r="BO4034" s="237" t="s">
        <v>363</v>
      </c>
      <c r="CD4034" s="237">
        <v>502.01</v>
      </c>
      <c r="CE4034" s="237" t="s">
        <v>339</v>
      </c>
      <c r="CL4034" s="1789"/>
      <c r="CR4034" s="345"/>
      <c r="CS4034" s="345"/>
      <c r="DH4034" s="237"/>
      <c r="DI4034" s="237"/>
      <c r="DP4034" s="2505"/>
    </row>
    <row r="4035" spans="30:120">
      <c r="AD4035" s="1138"/>
      <c r="BH4035" s="1790"/>
      <c r="BN4035" s="237">
        <v>244.09</v>
      </c>
      <c r="BO4035" s="237" t="s">
        <v>363</v>
      </c>
      <c r="CD4035" s="237">
        <v>502.01</v>
      </c>
      <c r="CE4035" s="237" t="s">
        <v>356</v>
      </c>
      <c r="CL4035" s="1789"/>
      <c r="CR4035" s="345"/>
      <c r="CS4035" s="345"/>
      <c r="DH4035" s="237"/>
      <c r="DI4035" s="237"/>
      <c r="DP4035" s="2505"/>
    </row>
    <row r="4036" spans="30:120">
      <c r="AD4036" s="1138"/>
      <c r="BH4036" s="1790"/>
      <c r="BN4036" s="237">
        <v>244.1</v>
      </c>
      <c r="BO4036" s="237" t="s">
        <v>363</v>
      </c>
      <c r="CD4036" s="237">
        <v>502.02</v>
      </c>
      <c r="CE4036" s="237" t="s">
        <v>339</v>
      </c>
      <c r="CL4036" s="1789"/>
      <c r="CR4036" s="345"/>
      <c r="CS4036" s="345"/>
      <c r="DH4036" s="237"/>
      <c r="DI4036" s="237"/>
      <c r="DP4036" s="2505"/>
    </row>
    <row r="4037" spans="30:120">
      <c r="AD4037" s="1138"/>
      <c r="BH4037" s="1790"/>
      <c r="BN4037" s="237">
        <v>244.11</v>
      </c>
      <c r="BO4037" s="237" t="s">
        <v>363</v>
      </c>
      <c r="CD4037" s="237">
        <v>502.03</v>
      </c>
      <c r="CE4037" s="237" t="s">
        <v>356</v>
      </c>
      <c r="CL4037" s="1789"/>
      <c r="CR4037" s="345"/>
      <c r="CS4037" s="345"/>
      <c r="DH4037" s="237"/>
      <c r="DI4037" s="237"/>
      <c r="DP4037" s="2505"/>
    </row>
    <row r="4038" spans="30:120">
      <c r="AD4038" s="1138"/>
      <c r="BH4038" s="1790"/>
      <c r="BN4038" s="237">
        <v>244.12</v>
      </c>
      <c r="BO4038" s="237" t="s">
        <v>363</v>
      </c>
      <c r="CD4038" s="345">
        <v>502.04</v>
      </c>
      <c r="CE4038" s="345" t="s">
        <v>310</v>
      </c>
      <c r="CL4038" s="1789"/>
      <c r="CR4038" s="345"/>
      <c r="CS4038" s="345"/>
      <c r="DH4038" s="237"/>
      <c r="DI4038" s="237"/>
      <c r="DP4038" s="2505"/>
    </row>
    <row r="4039" spans="30:120">
      <c r="AD4039" s="1138"/>
      <c r="BH4039" s="1790"/>
      <c r="BN4039" s="237">
        <v>244.13</v>
      </c>
      <c r="BO4039" s="237" t="s">
        <v>363</v>
      </c>
      <c r="CD4039" s="237">
        <v>502.04</v>
      </c>
      <c r="CE4039" s="237" t="s">
        <v>344</v>
      </c>
      <c r="CL4039" s="1789"/>
      <c r="CR4039" s="345"/>
      <c r="CS4039" s="345"/>
      <c r="DH4039" s="237"/>
      <c r="DI4039" s="237"/>
      <c r="DP4039" s="2505"/>
    </row>
    <row r="4040" spans="30:120">
      <c r="AD4040" s="1138"/>
      <c r="BH4040" s="1790"/>
      <c r="BN4040" s="237">
        <v>245.05</v>
      </c>
      <c r="BO4040" s="237" t="s">
        <v>363</v>
      </c>
      <c r="CD4040" s="237">
        <v>502.04</v>
      </c>
      <c r="CE4040" s="237" t="s">
        <v>356</v>
      </c>
      <c r="CL4040" s="1789"/>
      <c r="CR4040" s="345"/>
      <c r="CS4040" s="345"/>
      <c r="DH4040" s="237"/>
      <c r="DI4040" s="237"/>
      <c r="DP4040" s="2505"/>
    </row>
    <row r="4041" spans="30:120">
      <c r="AD4041" s="1138"/>
      <c r="BH4041" s="1790"/>
      <c r="BN4041" s="237">
        <v>245.07</v>
      </c>
      <c r="BO4041" s="237" t="s">
        <v>363</v>
      </c>
      <c r="CD4041" s="345">
        <v>502.05</v>
      </c>
      <c r="CE4041" s="345" t="s">
        <v>310</v>
      </c>
      <c r="CL4041" s="1789"/>
      <c r="CR4041" s="345"/>
      <c r="CS4041" s="345"/>
      <c r="DH4041" s="237"/>
      <c r="DI4041" s="237"/>
      <c r="DP4041" s="2505"/>
    </row>
    <row r="4042" spans="30:120">
      <c r="AD4042" s="1138"/>
      <c r="BH4042" s="1790"/>
      <c r="BN4042" s="237">
        <v>245.08</v>
      </c>
      <c r="BO4042" s="237" t="s">
        <v>363</v>
      </c>
      <c r="CD4042" s="237">
        <v>502.05</v>
      </c>
      <c r="CE4042" s="237" t="s">
        <v>344</v>
      </c>
      <c r="CL4042" s="1789"/>
      <c r="CR4042" s="345"/>
      <c r="CS4042" s="345"/>
      <c r="DH4042" s="237"/>
      <c r="DI4042" s="237"/>
      <c r="DP4042" s="2505"/>
    </row>
    <row r="4043" spans="30:120">
      <c r="AD4043" s="1138"/>
      <c r="BH4043" s="1790"/>
      <c r="BN4043" s="237">
        <v>245.09</v>
      </c>
      <c r="BO4043" s="237" t="s">
        <v>363</v>
      </c>
      <c r="CD4043" s="237">
        <v>502.05</v>
      </c>
      <c r="CE4043" s="237" t="s">
        <v>356</v>
      </c>
      <c r="CL4043" s="1789"/>
      <c r="CR4043" s="345"/>
      <c r="CS4043" s="345"/>
      <c r="DH4043" s="237"/>
      <c r="DI4043" s="237"/>
      <c r="DP4043" s="2505"/>
    </row>
    <row r="4044" spans="30:120">
      <c r="AD4044" s="1138"/>
      <c r="BH4044" s="1790"/>
      <c r="BN4044" s="237">
        <v>245.1</v>
      </c>
      <c r="BO4044" s="237" t="s">
        <v>363</v>
      </c>
      <c r="CD4044" s="345">
        <v>502.06</v>
      </c>
      <c r="CE4044" s="345" t="s">
        <v>310</v>
      </c>
      <c r="CL4044" s="1789"/>
      <c r="CR4044" s="345"/>
      <c r="CS4044" s="345"/>
      <c r="DH4044" s="237"/>
      <c r="DI4044" s="237"/>
      <c r="DP4044" s="2505"/>
    </row>
    <row r="4045" spans="30:120">
      <c r="AD4045" s="1138"/>
      <c r="BH4045" s="1790"/>
      <c r="BN4045" s="237">
        <v>245.12</v>
      </c>
      <c r="BO4045" s="237" t="s">
        <v>363</v>
      </c>
      <c r="CD4045" s="237">
        <v>502.06</v>
      </c>
      <c r="CE4045" s="237" t="s">
        <v>344</v>
      </c>
      <c r="CL4045" s="1789"/>
      <c r="CR4045" s="345"/>
      <c r="CS4045" s="345"/>
      <c r="DH4045" s="237"/>
      <c r="DI4045" s="237"/>
      <c r="DP4045" s="2505"/>
    </row>
    <row r="4046" spans="30:120">
      <c r="AD4046" s="1138"/>
      <c r="BH4046" s="1790"/>
      <c r="BN4046" s="237">
        <v>245.14</v>
      </c>
      <c r="BO4046" s="237" t="s">
        <v>363</v>
      </c>
      <c r="CD4046" s="345">
        <v>502.07</v>
      </c>
      <c r="CE4046" s="345" t="s">
        <v>310</v>
      </c>
      <c r="CL4046" s="1789"/>
      <c r="CR4046" s="345"/>
      <c r="CS4046" s="345"/>
      <c r="DH4046" s="237"/>
      <c r="DI4046" s="237"/>
      <c r="DP4046" s="2505"/>
    </row>
    <row r="4047" spans="30:120">
      <c r="AD4047" s="1138"/>
      <c r="BH4047" s="1790"/>
      <c r="BN4047" s="237">
        <v>245.15</v>
      </c>
      <c r="BO4047" s="237" t="s">
        <v>363</v>
      </c>
      <c r="CD4047" s="237">
        <v>502.07</v>
      </c>
      <c r="CE4047" s="237" t="s">
        <v>344</v>
      </c>
      <c r="CL4047" s="1789"/>
      <c r="CR4047" s="345"/>
      <c r="CS4047" s="345"/>
      <c r="DH4047" s="237"/>
      <c r="DI4047" s="237"/>
      <c r="DP4047" s="2505"/>
    </row>
    <row r="4048" spans="30:120">
      <c r="AD4048" s="1138"/>
      <c r="BH4048" s="1790"/>
      <c r="BN4048" s="237">
        <v>245.16</v>
      </c>
      <c r="BO4048" s="237" t="s">
        <v>363</v>
      </c>
      <c r="CD4048" s="345">
        <v>502.08</v>
      </c>
      <c r="CE4048" s="345" t="s">
        <v>310</v>
      </c>
      <c r="CL4048" s="1789"/>
      <c r="CR4048" s="345"/>
      <c r="CS4048" s="345"/>
      <c r="DH4048" s="237"/>
      <c r="DI4048" s="237"/>
      <c r="DP4048" s="2505"/>
    </row>
    <row r="4049" spans="30:120">
      <c r="AD4049" s="1138"/>
      <c r="BH4049" s="1790"/>
      <c r="BN4049" s="237">
        <v>245.17</v>
      </c>
      <c r="BO4049" s="237" t="s">
        <v>363</v>
      </c>
      <c r="CD4049" s="237">
        <v>502.08</v>
      </c>
      <c r="CE4049" s="237" t="s">
        <v>344</v>
      </c>
      <c r="CL4049" s="1789"/>
      <c r="CR4049" s="345"/>
      <c r="CS4049" s="345"/>
      <c r="DH4049" s="237"/>
      <c r="DI4049" s="237"/>
      <c r="DP4049" s="2505"/>
    </row>
    <row r="4050" spans="30:120">
      <c r="AD4050" s="1138"/>
      <c r="BH4050" s="1790"/>
      <c r="BN4050" s="237">
        <v>245.18</v>
      </c>
      <c r="BO4050" s="237" t="s">
        <v>363</v>
      </c>
      <c r="CD4050" s="237">
        <v>502.1</v>
      </c>
      <c r="CE4050" s="237" t="s">
        <v>344</v>
      </c>
      <c r="CL4050" s="1789"/>
      <c r="CR4050" s="345"/>
      <c r="CS4050" s="345"/>
      <c r="DH4050" s="237"/>
      <c r="DI4050" s="237"/>
      <c r="DP4050" s="2505"/>
    </row>
    <row r="4051" spans="30:120">
      <c r="AD4051" s="1138"/>
      <c r="BH4051" s="1790"/>
      <c r="BN4051" s="237">
        <v>245.19</v>
      </c>
      <c r="BO4051" s="237" t="s">
        <v>363</v>
      </c>
      <c r="CD4051" s="237">
        <v>502.11</v>
      </c>
      <c r="CE4051" s="237" t="s">
        <v>344</v>
      </c>
      <c r="CL4051" s="1789"/>
      <c r="CR4051" s="345"/>
      <c r="CS4051" s="345"/>
      <c r="DH4051" s="237"/>
      <c r="DI4051" s="237"/>
      <c r="DP4051" s="2505"/>
    </row>
    <row r="4052" spans="30:120">
      <c r="AD4052" s="1138"/>
      <c r="BH4052" s="1790"/>
      <c r="BN4052" s="237">
        <v>246.01</v>
      </c>
      <c r="BO4052" s="237" t="s">
        <v>363</v>
      </c>
      <c r="CD4052" s="237">
        <v>502.12</v>
      </c>
      <c r="CE4052" s="237" t="s">
        <v>344</v>
      </c>
      <c r="CL4052" s="1789"/>
      <c r="CR4052" s="345"/>
      <c r="CS4052" s="345"/>
      <c r="DH4052" s="237"/>
      <c r="DI4052" s="237"/>
      <c r="DP4052" s="2505"/>
    </row>
    <row r="4053" spans="30:120">
      <c r="AD4053" s="1138"/>
      <c r="BH4053" s="1790"/>
      <c r="BN4053" s="237">
        <v>246.03</v>
      </c>
      <c r="BO4053" s="237" t="s">
        <v>363</v>
      </c>
      <c r="CD4053" s="237">
        <v>502.13</v>
      </c>
      <c r="CE4053" s="237" t="s">
        <v>344</v>
      </c>
      <c r="CL4053" s="1789"/>
      <c r="CR4053" s="345"/>
      <c r="CS4053" s="345"/>
      <c r="DH4053" s="237"/>
      <c r="DI4053" s="237"/>
      <c r="DP4053" s="2505"/>
    </row>
    <row r="4054" spans="30:120">
      <c r="AD4054" s="1138"/>
      <c r="BH4054" s="1790"/>
      <c r="BN4054" s="237">
        <v>246.04</v>
      </c>
      <c r="BO4054" s="237" t="s">
        <v>363</v>
      </c>
      <c r="CD4054" s="345">
        <v>503.01</v>
      </c>
      <c r="CE4054" s="345" t="s">
        <v>310</v>
      </c>
      <c r="CL4054" s="1789"/>
      <c r="CR4054" s="345"/>
      <c r="CS4054" s="345"/>
      <c r="DH4054" s="237"/>
      <c r="DI4054" s="237"/>
      <c r="DP4054" s="2505"/>
    </row>
    <row r="4055" spans="30:120">
      <c r="AD4055" s="1138"/>
      <c r="BH4055" s="1790"/>
      <c r="BN4055" s="237">
        <v>247.01</v>
      </c>
      <c r="BO4055" s="237" t="s">
        <v>363</v>
      </c>
      <c r="CD4055" s="237">
        <v>503.03</v>
      </c>
      <c r="CE4055" s="237" t="s">
        <v>339</v>
      </c>
      <c r="CL4055" s="1789"/>
      <c r="CR4055" s="345"/>
      <c r="CS4055" s="345"/>
      <c r="DH4055" s="237"/>
      <c r="DI4055" s="237"/>
      <c r="DP4055" s="2505"/>
    </row>
    <row r="4056" spans="30:120">
      <c r="AD4056" s="1138"/>
      <c r="BH4056" s="1790"/>
      <c r="BN4056" s="237">
        <v>247.02</v>
      </c>
      <c r="BO4056" s="237" t="s">
        <v>363</v>
      </c>
      <c r="CD4056" s="237">
        <v>503.04</v>
      </c>
      <c r="CE4056" s="237" t="s">
        <v>339</v>
      </c>
      <c r="CL4056" s="1789"/>
      <c r="CR4056" s="345"/>
      <c r="CS4056" s="345"/>
      <c r="DH4056" s="237"/>
      <c r="DI4056" s="237"/>
      <c r="DP4056" s="2505"/>
    </row>
    <row r="4057" spans="30:120">
      <c r="AD4057" s="1138"/>
      <c r="BH4057" s="1790"/>
      <c r="BN4057" s="237">
        <v>247.03</v>
      </c>
      <c r="BO4057" s="237" t="s">
        <v>363</v>
      </c>
      <c r="CD4057" s="237">
        <v>503.04</v>
      </c>
      <c r="CE4057" s="237" t="s">
        <v>356</v>
      </c>
      <c r="CL4057" s="1789"/>
      <c r="CR4057" s="345"/>
      <c r="CS4057" s="345"/>
      <c r="DH4057" s="237"/>
      <c r="DI4057" s="237"/>
      <c r="DP4057" s="2505"/>
    </row>
    <row r="4058" spans="30:120">
      <c r="AD4058" s="1138"/>
      <c r="BH4058" s="1790"/>
      <c r="BN4058" s="237">
        <v>248.01</v>
      </c>
      <c r="BO4058" s="237" t="s">
        <v>363</v>
      </c>
      <c r="CD4058" s="237">
        <v>503.05</v>
      </c>
      <c r="CE4058" s="237" t="s">
        <v>339</v>
      </c>
      <c r="CL4058" s="1789"/>
      <c r="CR4058" s="345"/>
      <c r="CS4058" s="345"/>
      <c r="DH4058" s="237"/>
      <c r="DI4058" s="237"/>
      <c r="DP4058" s="2505"/>
    </row>
    <row r="4059" spans="30:120">
      <c r="AD4059" s="1138"/>
      <c r="BH4059" s="1790"/>
      <c r="BN4059" s="237">
        <v>248.03</v>
      </c>
      <c r="BO4059" s="237" t="s">
        <v>363</v>
      </c>
      <c r="CD4059" s="237">
        <v>503.05</v>
      </c>
      <c r="CE4059" s="237" t="s">
        <v>344</v>
      </c>
      <c r="CL4059" s="1789"/>
      <c r="CR4059" s="345"/>
      <c r="CS4059" s="345"/>
      <c r="DH4059" s="237"/>
      <c r="DI4059" s="237"/>
      <c r="DP4059" s="2505"/>
    </row>
    <row r="4060" spans="30:120">
      <c r="AD4060" s="1138"/>
      <c r="BH4060" s="1790"/>
      <c r="BN4060" s="237">
        <v>248.04</v>
      </c>
      <c r="BO4060" s="237" t="s">
        <v>363</v>
      </c>
      <c r="CD4060" s="237">
        <v>503.05</v>
      </c>
      <c r="CE4060" s="237" t="s">
        <v>356</v>
      </c>
      <c r="CL4060" s="1789"/>
      <c r="CR4060" s="345"/>
      <c r="CS4060" s="345"/>
      <c r="DH4060" s="237"/>
      <c r="DI4060" s="237"/>
      <c r="DP4060" s="2505"/>
    </row>
    <row r="4061" spans="30:120">
      <c r="AD4061" s="1138"/>
      <c r="BH4061" s="1790"/>
      <c r="BN4061" s="237">
        <v>248.05</v>
      </c>
      <c r="BO4061" s="237" t="s">
        <v>363</v>
      </c>
      <c r="CD4061" s="345">
        <v>503.06</v>
      </c>
      <c r="CE4061" s="345" t="s">
        <v>310</v>
      </c>
      <c r="CL4061" s="1789"/>
      <c r="CR4061" s="345"/>
      <c r="CS4061" s="345"/>
      <c r="DH4061" s="237"/>
      <c r="DI4061" s="237"/>
      <c r="DP4061" s="2505"/>
    </row>
    <row r="4062" spans="30:120">
      <c r="AD4062" s="1138"/>
      <c r="BH4062" s="1790"/>
      <c r="BN4062" s="237">
        <v>249.01</v>
      </c>
      <c r="BO4062" s="237" t="s">
        <v>363</v>
      </c>
      <c r="CD4062" s="237">
        <v>503.06</v>
      </c>
      <c r="CE4062" s="237" t="s">
        <v>339</v>
      </c>
      <c r="CL4062" s="1789"/>
      <c r="CR4062" s="345"/>
      <c r="CS4062" s="345"/>
      <c r="DH4062" s="237"/>
      <c r="DI4062" s="237"/>
      <c r="DP4062" s="2505"/>
    </row>
    <row r="4063" spans="30:120">
      <c r="AD4063" s="1138"/>
      <c r="BH4063" s="1790"/>
      <c r="BN4063" s="237">
        <v>249.04</v>
      </c>
      <c r="BO4063" s="237" t="s">
        <v>363</v>
      </c>
      <c r="CD4063" s="237">
        <v>503.06</v>
      </c>
      <c r="CE4063" s="237" t="s">
        <v>344</v>
      </c>
      <c r="CL4063" s="1789"/>
      <c r="CR4063" s="345"/>
      <c r="CS4063" s="345"/>
      <c r="DH4063" s="237"/>
      <c r="DI4063" s="237"/>
      <c r="DP4063" s="2505"/>
    </row>
    <row r="4064" spans="30:120">
      <c r="AD4064" s="1138"/>
      <c r="BH4064" s="1790"/>
      <c r="BN4064" s="237">
        <v>249.05</v>
      </c>
      <c r="BO4064" s="237" t="s">
        <v>363</v>
      </c>
      <c r="CD4064" s="237">
        <v>503.06</v>
      </c>
      <c r="CE4064" s="237" t="s">
        <v>356</v>
      </c>
      <c r="CL4064" s="1789"/>
      <c r="CR4064" s="345"/>
      <c r="CS4064" s="345"/>
      <c r="DH4064" s="237"/>
      <c r="DI4064" s="237"/>
      <c r="DP4064" s="2505"/>
    </row>
    <row r="4065" spans="30:120">
      <c r="AD4065" s="1138"/>
      <c r="BH4065" s="1790"/>
      <c r="BN4065" s="237">
        <v>249.06</v>
      </c>
      <c r="BO4065" s="237" t="s">
        <v>363</v>
      </c>
      <c r="CD4065" s="237">
        <v>503.07</v>
      </c>
      <c r="CE4065" s="237" t="s">
        <v>356</v>
      </c>
      <c r="CL4065" s="1789"/>
      <c r="CR4065" s="345"/>
      <c r="CS4065" s="345"/>
      <c r="DH4065" s="237"/>
      <c r="DI4065" s="237"/>
      <c r="DP4065" s="2505"/>
    </row>
    <row r="4066" spans="30:120">
      <c r="AD4066" s="1138"/>
      <c r="BH4066" s="1790"/>
      <c r="BN4066" s="237">
        <v>249.07</v>
      </c>
      <c r="BO4066" s="237" t="s">
        <v>363</v>
      </c>
      <c r="CD4066" s="345">
        <v>503.08</v>
      </c>
      <c r="CE4066" s="345" t="s">
        <v>310</v>
      </c>
      <c r="CL4066" s="1789"/>
      <c r="CR4066" s="345"/>
      <c r="CS4066" s="345"/>
      <c r="DH4066" s="237"/>
      <c r="DI4066" s="237"/>
      <c r="DP4066" s="2505"/>
    </row>
    <row r="4067" spans="30:120">
      <c r="AD4067" s="1138"/>
      <c r="BH4067" s="1790"/>
      <c r="BN4067" s="237">
        <v>249.08</v>
      </c>
      <c r="BO4067" s="237" t="s">
        <v>363</v>
      </c>
      <c r="CD4067" s="237">
        <v>503.08</v>
      </c>
      <c r="CE4067" s="237" t="s">
        <v>356</v>
      </c>
      <c r="CL4067" s="1789"/>
      <c r="CR4067" s="345"/>
      <c r="CS4067" s="345"/>
      <c r="DH4067" s="237"/>
      <c r="DI4067" s="237"/>
      <c r="DP4067" s="2505"/>
    </row>
    <row r="4068" spans="30:120">
      <c r="AD4068" s="1138"/>
      <c r="BH4068" s="1790"/>
      <c r="BN4068" s="237">
        <v>250.04</v>
      </c>
      <c r="BO4068" s="237" t="s">
        <v>363</v>
      </c>
      <c r="CD4068" s="345">
        <v>503.09</v>
      </c>
      <c r="CE4068" s="345" t="s">
        <v>310</v>
      </c>
      <c r="CL4068" s="1789"/>
      <c r="CR4068" s="345"/>
      <c r="CS4068" s="345"/>
      <c r="DH4068" s="237"/>
      <c r="DI4068" s="237"/>
      <c r="DP4068" s="2505"/>
    </row>
    <row r="4069" spans="30:120">
      <c r="AD4069" s="1138"/>
      <c r="BH4069" s="1790"/>
      <c r="BN4069" s="237">
        <v>250.07</v>
      </c>
      <c r="BO4069" s="237" t="s">
        <v>363</v>
      </c>
      <c r="CD4069" s="237">
        <v>503.09</v>
      </c>
      <c r="CE4069" s="237" t="s">
        <v>356</v>
      </c>
      <c r="CL4069" s="1789"/>
      <c r="CR4069" s="345"/>
      <c r="CS4069" s="345"/>
      <c r="DH4069" s="237"/>
      <c r="DI4069" s="237"/>
      <c r="DP4069" s="2505"/>
    </row>
    <row r="4070" spans="30:120">
      <c r="AD4070" s="1138"/>
      <c r="BH4070" s="1790"/>
      <c r="BN4070" s="237">
        <v>250.09</v>
      </c>
      <c r="BO4070" s="237" t="s">
        <v>363</v>
      </c>
      <c r="CD4070" s="237">
        <v>503.1</v>
      </c>
      <c r="CE4070" s="237" t="s">
        <v>356</v>
      </c>
      <c r="CL4070" s="1789"/>
      <c r="CR4070" s="345"/>
      <c r="CS4070" s="345"/>
      <c r="DH4070" s="237"/>
      <c r="DI4070" s="237"/>
      <c r="DP4070" s="2505"/>
    </row>
    <row r="4071" spans="30:120">
      <c r="AD4071" s="1138"/>
      <c r="BH4071" s="1790"/>
      <c r="BN4071" s="237">
        <v>250.11</v>
      </c>
      <c r="BO4071" s="237" t="s">
        <v>363</v>
      </c>
      <c r="CD4071" s="345">
        <v>503.11</v>
      </c>
      <c r="CE4071" s="345" t="s">
        <v>310</v>
      </c>
      <c r="CL4071" s="1789"/>
      <c r="CR4071" s="345"/>
      <c r="CS4071" s="345"/>
      <c r="DH4071" s="237"/>
      <c r="DI4071" s="237"/>
      <c r="DP4071" s="2505"/>
    </row>
    <row r="4072" spans="30:120">
      <c r="AD4072" s="1138"/>
      <c r="BH4072" s="1790"/>
      <c r="BN4072" s="237">
        <v>250.12</v>
      </c>
      <c r="BO4072" s="237" t="s">
        <v>363</v>
      </c>
      <c r="CD4072" s="237">
        <v>503.11</v>
      </c>
      <c r="CE4072" s="237" t="s">
        <v>344</v>
      </c>
      <c r="CL4072" s="1789"/>
      <c r="CR4072" s="345"/>
      <c r="CS4072" s="345"/>
      <c r="DH4072" s="237"/>
      <c r="DI4072" s="237"/>
      <c r="DP4072" s="2505"/>
    </row>
    <row r="4073" spans="30:120">
      <c r="AD4073" s="1138"/>
      <c r="BH4073" s="1790"/>
      <c r="BN4073" s="237">
        <v>250.13</v>
      </c>
      <c r="BO4073" s="237" t="s">
        <v>363</v>
      </c>
      <c r="CD4073" s="345">
        <v>503.12</v>
      </c>
      <c r="CE4073" s="345" t="s">
        <v>310</v>
      </c>
      <c r="CL4073" s="1789"/>
      <c r="CR4073" s="345"/>
      <c r="CS4073" s="345"/>
      <c r="DH4073" s="237"/>
      <c r="DI4073" s="237"/>
      <c r="DP4073" s="2505"/>
    </row>
    <row r="4074" spans="30:120">
      <c r="AD4074" s="1138"/>
      <c r="BH4074" s="1790"/>
      <c r="BN4074" s="237">
        <v>250.14</v>
      </c>
      <c r="BO4074" s="237" t="s">
        <v>363</v>
      </c>
      <c r="CD4074" s="237">
        <v>503.12</v>
      </c>
      <c r="CE4074" s="237" t="s">
        <v>344</v>
      </c>
      <c r="CL4074" s="1789"/>
      <c r="CR4074" s="345"/>
      <c r="CS4074" s="345"/>
      <c r="DH4074" s="237"/>
      <c r="DI4074" s="237"/>
      <c r="DP4074" s="2505"/>
    </row>
    <row r="4075" spans="30:120">
      <c r="AD4075" s="1138"/>
      <c r="BH4075" s="1790"/>
      <c r="BN4075" s="237">
        <v>250.15</v>
      </c>
      <c r="BO4075" s="237" t="s">
        <v>363</v>
      </c>
      <c r="CD4075" s="345">
        <v>503.13</v>
      </c>
      <c r="CE4075" s="345" t="s">
        <v>310</v>
      </c>
      <c r="CL4075" s="1789"/>
      <c r="CR4075" s="345"/>
      <c r="CS4075" s="345"/>
      <c r="DH4075" s="237"/>
      <c r="DI4075" s="237"/>
      <c r="DP4075" s="2505"/>
    </row>
    <row r="4076" spans="30:120">
      <c r="AD4076" s="1138"/>
      <c r="BH4076" s="1790"/>
      <c r="BN4076" s="237">
        <v>250.16</v>
      </c>
      <c r="BO4076" s="237" t="s">
        <v>363</v>
      </c>
      <c r="CD4076" s="345">
        <v>503.14</v>
      </c>
      <c r="CE4076" s="345" t="s">
        <v>310</v>
      </c>
      <c r="CL4076" s="1789"/>
      <c r="CR4076" s="345"/>
      <c r="CS4076" s="345"/>
      <c r="DH4076" s="237"/>
      <c r="DI4076" s="237"/>
      <c r="DP4076" s="2505"/>
    </row>
    <row r="4077" spans="30:120">
      <c r="AD4077" s="1138"/>
      <c r="BH4077" s="1790"/>
      <c r="BN4077" s="237">
        <v>250.17</v>
      </c>
      <c r="BO4077" s="237" t="s">
        <v>363</v>
      </c>
      <c r="CD4077" s="345">
        <v>503.15</v>
      </c>
      <c r="CE4077" s="345" t="s">
        <v>310</v>
      </c>
      <c r="CL4077" s="1789"/>
      <c r="CR4077" s="345"/>
      <c r="CS4077" s="345"/>
      <c r="DH4077" s="237"/>
      <c r="DI4077" s="237"/>
      <c r="DP4077" s="2505"/>
    </row>
    <row r="4078" spans="30:120">
      <c r="AD4078" s="1138"/>
      <c r="BH4078" s="1790"/>
      <c r="BN4078" s="237">
        <v>250.18</v>
      </c>
      <c r="BO4078" s="237" t="s">
        <v>363</v>
      </c>
      <c r="CD4078" s="237">
        <v>503.15</v>
      </c>
      <c r="CE4078" s="237" t="s">
        <v>344</v>
      </c>
      <c r="CL4078" s="1789"/>
      <c r="CR4078" s="345"/>
      <c r="CS4078" s="345"/>
      <c r="DH4078" s="237"/>
      <c r="DI4078" s="237"/>
      <c r="DP4078" s="2505"/>
    </row>
    <row r="4079" spans="30:120">
      <c r="AD4079" s="1138"/>
      <c r="BH4079" s="1790"/>
      <c r="BN4079" s="237">
        <v>250.19</v>
      </c>
      <c r="BO4079" s="237" t="s">
        <v>363</v>
      </c>
      <c r="CD4079" s="345">
        <v>503.16</v>
      </c>
      <c r="CE4079" s="345" t="s">
        <v>310</v>
      </c>
      <c r="CL4079" s="1789"/>
      <c r="CR4079" s="345"/>
      <c r="CS4079" s="345"/>
      <c r="DH4079" s="237"/>
      <c r="DI4079" s="237"/>
      <c r="DP4079" s="2505"/>
    </row>
    <row r="4080" spans="30:120">
      <c r="AD4080" s="1138"/>
      <c r="BH4080" s="1790"/>
      <c r="BN4080" s="237">
        <v>250.2</v>
      </c>
      <c r="BO4080" s="237" t="s">
        <v>363</v>
      </c>
      <c r="CD4080" s="237">
        <v>503.16</v>
      </c>
      <c r="CE4080" s="237" t="s">
        <v>344</v>
      </c>
      <c r="CL4080" s="1789"/>
      <c r="CR4080" s="345"/>
      <c r="CS4080" s="345"/>
      <c r="DH4080" s="237"/>
      <c r="DI4080" s="237"/>
      <c r="DP4080" s="2505"/>
    </row>
    <row r="4081" spans="30:120">
      <c r="AD4081" s="1138"/>
      <c r="BH4081" s="1790"/>
      <c r="BN4081" s="237">
        <v>250.21</v>
      </c>
      <c r="BO4081" s="237" t="s">
        <v>363</v>
      </c>
      <c r="CD4081" s="237">
        <v>503.17</v>
      </c>
      <c r="CE4081" s="237" t="s">
        <v>344</v>
      </c>
      <c r="CL4081" s="1789"/>
      <c r="CR4081" s="345"/>
      <c r="CS4081" s="345"/>
      <c r="DH4081" s="237"/>
      <c r="DI4081" s="237"/>
      <c r="DP4081" s="2505"/>
    </row>
    <row r="4082" spans="30:120">
      <c r="AD4082" s="1138"/>
      <c r="BH4082" s="1790"/>
      <c r="BN4082" s="237">
        <v>251.06</v>
      </c>
      <c r="BO4082" s="237" t="s">
        <v>363</v>
      </c>
      <c r="CD4082" s="237">
        <v>503.18</v>
      </c>
      <c r="CE4082" s="237" t="s">
        <v>344</v>
      </c>
      <c r="CL4082" s="1789"/>
      <c r="CR4082" s="345"/>
      <c r="CS4082" s="345"/>
      <c r="DH4082" s="237"/>
      <c r="DI4082" s="237"/>
      <c r="DP4082" s="2505"/>
    </row>
    <row r="4083" spans="30:120">
      <c r="AD4083" s="1138"/>
      <c r="BH4083" s="1790"/>
      <c r="BN4083" s="237">
        <v>251.07</v>
      </c>
      <c r="BO4083" s="237" t="s">
        <v>363</v>
      </c>
      <c r="CD4083" s="237">
        <v>503.19</v>
      </c>
      <c r="CE4083" s="237" t="s">
        <v>344</v>
      </c>
      <c r="CL4083" s="1789"/>
      <c r="CR4083" s="345"/>
      <c r="CS4083" s="345"/>
      <c r="DH4083" s="237"/>
      <c r="DI4083" s="237"/>
      <c r="DP4083" s="2505"/>
    </row>
    <row r="4084" spans="30:120">
      <c r="AD4084" s="1138"/>
      <c r="BH4084" s="1790"/>
      <c r="BN4084" s="237">
        <v>251.08</v>
      </c>
      <c r="BO4084" s="237" t="s">
        <v>363</v>
      </c>
      <c r="CD4084" s="237">
        <v>503.2</v>
      </c>
      <c r="CE4084" s="237" t="s">
        <v>344</v>
      </c>
      <c r="CL4084" s="1789"/>
      <c r="CR4084" s="345"/>
      <c r="CS4084" s="345"/>
      <c r="DH4084" s="237"/>
      <c r="DI4084" s="237"/>
      <c r="DP4084" s="2505"/>
    </row>
    <row r="4085" spans="30:120">
      <c r="AD4085" s="1138"/>
      <c r="BH4085" s="1790"/>
      <c r="BN4085" s="237">
        <v>251.09</v>
      </c>
      <c r="BO4085" s="237" t="s">
        <v>363</v>
      </c>
      <c r="CD4085" s="237">
        <v>503.21</v>
      </c>
      <c r="CE4085" s="237" t="s">
        <v>344</v>
      </c>
      <c r="CL4085" s="1789"/>
      <c r="CR4085" s="345"/>
      <c r="CS4085" s="345"/>
      <c r="DH4085" s="237"/>
      <c r="DI4085" s="237"/>
      <c r="DP4085" s="2505"/>
    </row>
    <row r="4086" spans="30:120">
      <c r="AD4086" s="1138"/>
      <c r="BH4086" s="1790"/>
      <c r="BN4086" s="237">
        <v>251.1</v>
      </c>
      <c r="BO4086" s="237" t="s">
        <v>363</v>
      </c>
      <c r="CD4086" s="237">
        <v>503.22</v>
      </c>
      <c r="CE4086" s="237" t="s">
        <v>344</v>
      </c>
      <c r="CL4086" s="1789"/>
      <c r="CR4086" s="345"/>
      <c r="CS4086" s="345"/>
      <c r="DH4086" s="237"/>
      <c r="DI4086" s="237"/>
      <c r="DP4086" s="2505"/>
    </row>
    <row r="4087" spans="30:120">
      <c r="AD4087" s="1138"/>
      <c r="BH4087" s="1790"/>
      <c r="BN4087" s="237">
        <v>251.11</v>
      </c>
      <c r="BO4087" s="237" t="s">
        <v>363</v>
      </c>
      <c r="CD4087" s="237">
        <v>503.23</v>
      </c>
      <c r="CE4087" s="237" t="s">
        <v>344</v>
      </c>
      <c r="CL4087" s="1789"/>
      <c r="CR4087" s="345"/>
      <c r="CS4087" s="345"/>
      <c r="DH4087" s="237"/>
      <c r="DI4087" s="237"/>
      <c r="DP4087" s="2505"/>
    </row>
    <row r="4088" spans="30:120">
      <c r="AD4088" s="1138"/>
      <c r="BH4088" s="1790"/>
      <c r="BN4088" s="237">
        <v>251.12</v>
      </c>
      <c r="BO4088" s="237" t="s">
        <v>363</v>
      </c>
      <c r="CD4088" s="237">
        <v>503.24</v>
      </c>
      <c r="CE4088" s="237" t="s">
        <v>344</v>
      </c>
      <c r="CL4088" s="1789"/>
      <c r="CR4088" s="345"/>
      <c r="CS4088" s="345"/>
      <c r="DH4088" s="237"/>
      <c r="DI4088" s="237"/>
      <c r="DP4088" s="2505"/>
    </row>
    <row r="4089" spans="30:120">
      <c r="AD4089" s="1138"/>
      <c r="BH4089" s="1790"/>
      <c r="BN4089" s="237">
        <v>251.13</v>
      </c>
      <c r="BO4089" s="237" t="s">
        <v>363</v>
      </c>
      <c r="CD4089" s="237">
        <v>503.25</v>
      </c>
      <c r="CE4089" s="237" t="s">
        <v>344</v>
      </c>
      <c r="CL4089" s="1789"/>
      <c r="CR4089" s="345"/>
      <c r="CS4089" s="345"/>
      <c r="DH4089" s="237"/>
      <c r="DI4089" s="237"/>
      <c r="DP4089" s="2505"/>
    </row>
    <row r="4090" spans="30:120">
      <c r="AD4090" s="1138"/>
      <c r="BH4090" s="1790"/>
      <c r="BN4090" s="237">
        <v>251.14</v>
      </c>
      <c r="BO4090" s="237" t="s">
        <v>363</v>
      </c>
      <c r="CD4090" s="345">
        <v>504.01</v>
      </c>
      <c r="CE4090" s="345" t="s">
        <v>310</v>
      </c>
      <c r="CL4090" s="1789"/>
      <c r="CR4090" s="345"/>
      <c r="CS4090" s="345"/>
      <c r="DH4090" s="237"/>
      <c r="DI4090" s="237"/>
      <c r="DP4090" s="2505"/>
    </row>
    <row r="4091" spans="30:120">
      <c r="AD4091" s="1138"/>
      <c r="BH4091" s="1790"/>
      <c r="BN4091" s="237">
        <v>251.15</v>
      </c>
      <c r="BO4091" s="237" t="s">
        <v>363</v>
      </c>
      <c r="CD4091" s="237">
        <v>504.01</v>
      </c>
      <c r="CE4091" s="237" t="s">
        <v>339</v>
      </c>
      <c r="CL4091" s="1789"/>
      <c r="CR4091" s="345"/>
      <c r="CS4091" s="345"/>
      <c r="DH4091" s="237"/>
      <c r="DI4091" s="237"/>
      <c r="DP4091" s="2505"/>
    </row>
    <row r="4092" spans="30:120">
      <c r="AD4092" s="1138"/>
      <c r="BH4092" s="1790"/>
      <c r="BN4092" s="237">
        <v>251.16</v>
      </c>
      <c r="BO4092" s="237" t="s">
        <v>363</v>
      </c>
      <c r="CD4092" s="237">
        <v>504.01</v>
      </c>
      <c r="CE4092" s="237" t="s">
        <v>344</v>
      </c>
      <c r="CL4092" s="1789"/>
      <c r="CR4092" s="345"/>
      <c r="CS4092" s="345"/>
      <c r="DH4092" s="237"/>
      <c r="DI4092" s="237"/>
      <c r="DP4092" s="2505"/>
    </row>
    <row r="4093" spans="30:120">
      <c r="AD4093" s="1138"/>
      <c r="BH4093" s="1790"/>
      <c r="BN4093" s="237">
        <v>251.19</v>
      </c>
      <c r="BO4093" s="237" t="s">
        <v>363</v>
      </c>
      <c r="CD4093" s="237">
        <v>504.01</v>
      </c>
      <c r="CE4093" s="237" t="s">
        <v>356</v>
      </c>
      <c r="CL4093" s="1789"/>
      <c r="CR4093" s="345"/>
      <c r="CS4093" s="345"/>
      <c r="DH4093" s="237"/>
      <c r="DI4093" s="237"/>
      <c r="DP4093" s="2505"/>
    </row>
    <row r="4094" spans="30:120">
      <c r="AD4094" s="1138"/>
      <c r="BH4094" s="1790"/>
      <c r="BN4094" s="237">
        <v>251.2</v>
      </c>
      <c r="BO4094" s="237" t="s">
        <v>363</v>
      </c>
      <c r="CD4094" s="345">
        <v>504.02</v>
      </c>
      <c r="CE4094" s="345" t="s">
        <v>310</v>
      </c>
      <c r="CL4094" s="1789"/>
      <c r="CR4094" s="345"/>
      <c r="CS4094" s="345"/>
      <c r="DH4094" s="237"/>
      <c r="DI4094" s="237"/>
      <c r="DP4094" s="2505"/>
    </row>
    <row r="4095" spans="30:120">
      <c r="AD4095" s="1138"/>
      <c r="BH4095" s="1790"/>
      <c r="BN4095" s="237">
        <v>251.21</v>
      </c>
      <c r="BO4095" s="237" t="s">
        <v>363</v>
      </c>
      <c r="CD4095" s="237">
        <v>504.02</v>
      </c>
      <c r="CE4095" s="237" t="s">
        <v>339</v>
      </c>
      <c r="CL4095" s="1789"/>
      <c r="CR4095" s="345"/>
      <c r="CS4095" s="345"/>
      <c r="DH4095" s="237"/>
      <c r="DI4095" s="237"/>
      <c r="DP4095" s="2505"/>
    </row>
    <row r="4096" spans="30:120">
      <c r="AD4096" s="1138"/>
      <c r="BH4096" s="1790"/>
      <c r="BN4096" s="237">
        <v>251.22</v>
      </c>
      <c r="BO4096" s="237" t="s">
        <v>363</v>
      </c>
      <c r="CD4096" s="237">
        <v>504.02</v>
      </c>
      <c r="CE4096" s="237" t="s">
        <v>344</v>
      </c>
      <c r="CL4096" s="1789"/>
      <c r="CR4096" s="345"/>
      <c r="CS4096" s="345"/>
      <c r="DH4096" s="237"/>
      <c r="DI4096" s="237"/>
      <c r="DP4096" s="2505"/>
    </row>
    <row r="4097" spans="30:120">
      <c r="AD4097" s="1138"/>
      <c r="BH4097" s="1790"/>
      <c r="BN4097" s="237">
        <v>251.23</v>
      </c>
      <c r="BO4097" s="237" t="s">
        <v>363</v>
      </c>
      <c r="CD4097" s="237">
        <v>504.02</v>
      </c>
      <c r="CE4097" s="237" t="s">
        <v>356</v>
      </c>
      <c r="CL4097" s="1789"/>
      <c r="CR4097" s="345"/>
      <c r="CS4097" s="345"/>
      <c r="DH4097" s="237"/>
      <c r="DI4097" s="237"/>
      <c r="DP4097" s="2505"/>
    </row>
    <row r="4098" spans="30:120">
      <c r="AD4098" s="1138"/>
      <c r="BH4098" s="1790"/>
      <c r="BN4098" s="237">
        <v>252.04</v>
      </c>
      <c r="BO4098" s="237" t="s">
        <v>363</v>
      </c>
      <c r="CD4098" s="237">
        <v>504.03</v>
      </c>
      <c r="CE4098" s="237" t="s">
        <v>356</v>
      </c>
      <c r="CL4098" s="1789"/>
      <c r="CR4098" s="345"/>
      <c r="CS4098" s="345"/>
      <c r="DH4098" s="237"/>
      <c r="DI4098" s="237"/>
      <c r="DP4098" s="2505"/>
    </row>
    <row r="4099" spans="30:120">
      <c r="AD4099" s="1138"/>
      <c r="BH4099" s="1790"/>
      <c r="BN4099" s="237">
        <v>252.05</v>
      </c>
      <c r="BO4099" s="237" t="s">
        <v>363</v>
      </c>
      <c r="CD4099" s="345">
        <v>505.01</v>
      </c>
      <c r="CE4099" s="345" t="s">
        <v>310</v>
      </c>
      <c r="CL4099" s="1789"/>
      <c r="CR4099" s="345"/>
      <c r="CS4099" s="345"/>
      <c r="DH4099" s="237"/>
      <c r="DI4099" s="237"/>
      <c r="DP4099" s="2505"/>
    </row>
    <row r="4100" spans="30:120">
      <c r="AD4100" s="1138"/>
      <c r="BH4100" s="1790"/>
      <c r="BN4100" s="237">
        <v>252.07</v>
      </c>
      <c r="BO4100" s="237" t="s">
        <v>363</v>
      </c>
      <c r="CD4100" s="237">
        <v>505.01</v>
      </c>
      <c r="CE4100" s="237" t="s">
        <v>344</v>
      </c>
      <c r="CL4100" s="1789"/>
      <c r="CR4100" s="345"/>
      <c r="CS4100" s="345"/>
      <c r="DH4100" s="237"/>
      <c r="DI4100" s="237"/>
      <c r="DP4100" s="2505"/>
    </row>
    <row r="4101" spans="30:120">
      <c r="AD4101" s="1138"/>
      <c r="BH4101" s="1790"/>
      <c r="BN4101" s="237">
        <v>252.08</v>
      </c>
      <c r="BO4101" s="237" t="s">
        <v>363</v>
      </c>
      <c r="CD4101" s="345">
        <v>505.02</v>
      </c>
      <c r="CE4101" s="345" t="s">
        <v>310</v>
      </c>
      <c r="CL4101" s="1789"/>
      <c r="CR4101" s="345"/>
      <c r="CS4101" s="345"/>
      <c r="DH4101" s="237"/>
      <c r="DI4101" s="237"/>
      <c r="DP4101" s="2505"/>
    </row>
    <row r="4102" spans="30:120">
      <c r="AD4102" s="1138"/>
      <c r="BH4102" s="1790"/>
      <c r="BN4102" s="237">
        <v>252.09</v>
      </c>
      <c r="BO4102" s="237" t="s">
        <v>363</v>
      </c>
      <c r="CD4102" s="237">
        <v>505.02</v>
      </c>
      <c r="CE4102" s="237" t="s">
        <v>344</v>
      </c>
      <c r="CL4102" s="1789"/>
      <c r="CR4102" s="345"/>
      <c r="CS4102" s="345"/>
      <c r="DH4102" s="237"/>
      <c r="DI4102" s="237"/>
      <c r="DP4102" s="2505"/>
    </row>
    <row r="4103" spans="30:120">
      <c r="AD4103" s="1138"/>
      <c r="BH4103" s="1790"/>
      <c r="BN4103" s="237">
        <v>252.1</v>
      </c>
      <c r="BO4103" s="237" t="s">
        <v>363</v>
      </c>
      <c r="CD4103" s="237">
        <v>505.04</v>
      </c>
      <c r="CE4103" s="237" t="s">
        <v>339</v>
      </c>
      <c r="CL4103" s="1789"/>
      <c r="CR4103" s="345"/>
      <c r="CS4103" s="345"/>
      <c r="DH4103" s="237"/>
      <c r="DI4103" s="237"/>
      <c r="DP4103" s="2505"/>
    </row>
    <row r="4104" spans="30:120">
      <c r="AD4104" s="1138"/>
      <c r="BH4104" s="1790"/>
      <c r="BN4104" s="237">
        <v>252.11</v>
      </c>
      <c r="BO4104" s="237" t="s">
        <v>363</v>
      </c>
      <c r="CD4104" s="237">
        <v>505.04</v>
      </c>
      <c r="CE4104" s="237" t="s">
        <v>356</v>
      </c>
      <c r="CL4104" s="1789"/>
      <c r="CR4104" s="345"/>
      <c r="CS4104" s="345"/>
      <c r="DH4104" s="237"/>
      <c r="DI4104" s="237"/>
      <c r="DP4104" s="2505"/>
    </row>
    <row r="4105" spans="30:120">
      <c r="AD4105" s="1138"/>
      <c r="BH4105" s="1790"/>
      <c r="BN4105" s="237">
        <v>253.03</v>
      </c>
      <c r="BO4105" s="237" t="s">
        <v>363</v>
      </c>
      <c r="CD4105" s="237">
        <v>505.05</v>
      </c>
      <c r="CE4105" s="237" t="s">
        <v>339</v>
      </c>
      <c r="CL4105" s="1789"/>
      <c r="CR4105" s="345"/>
      <c r="CS4105" s="345"/>
      <c r="DH4105" s="237"/>
      <c r="DI4105" s="237"/>
      <c r="DP4105" s="2505"/>
    </row>
    <row r="4106" spans="30:120">
      <c r="AD4106" s="1138"/>
      <c r="BH4106" s="1790"/>
      <c r="BN4106" s="237">
        <v>253.05</v>
      </c>
      <c r="BO4106" s="237" t="s">
        <v>363</v>
      </c>
      <c r="CD4106" s="237">
        <v>505.05</v>
      </c>
      <c r="CE4106" s="237" t="s">
        <v>356</v>
      </c>
      <c r="CL4106" s="1789"/>
      <c r="CR4106" s="345"/>
      <c r="CS4106" s="345"/>
      <c r="DH4106" s="237"/>
      <c r="DI4106" s="237"/>
      <c r="DP4106" s="2505"/>
    </row>
    <row r="4107" spans="30:120">
      <c r="AD4107" s="1138"/>
      <c r="BH4107" s="1790"/>
      <c r="BN4107" s="237">
        <v>253.07</v>
      </c>
      <c r="BO4107" s="237" t="s">
        <v>363</v>
      </c>
      <c r="CD4107" s="237">
        <v>505.06</v>
      </c>
      <c r="CE4107" s="237" t="s">
        <v>339</v>
      </c>
      <c r="CL4107" s="1789"/>
      <c r="CR4107" s="345"/>
      <c r="CS4107" s="345"/>
      <c r="DH4107" s="237"/>
      <c r="DI4107" s="237"/>
      <c r="DP4107" s="2505"/>
    </row>
    <row r="4108" spans="30:120">
      <c r="AD4108" s="1138"/>
      <c r="BH4108" s="1790"/>
      <c r="BN4108" s="237">
        <v>253.09</v>
      </c>
      <c r="BO4108" s="237" t="s">
        <v>363</v>
      </c>
      <c r="CD4108" s="237">
        <v>505.06</v>
      </c>
      <c r="CE4108" s="237" t="s">
        <v>356</v>
      </c>
      <c r="CL4108" s="1789"/>
      <c r="CR4108" s="345"/>
      <c r="CS4108" s="345"/>
      <c r="DH4108" s="237"/>
      <c r="DI4108" s="237"/>
      <c r="DP4108" s="2505"/>
    </row>
    <row r="4109" spans="30:120">
      <c r="AD4109" s="1138"/>
      <c r="BH4109" s="1790"/>
      <c r="BN4109" s="237">
        <v>253.1</v>
      </c>
      <c r="BO4109" s="237" t="s">
        <v>363</v>
      </c>
      <c r="CD4109" s="237">
        <v>505.07</v>
      </c>
      <c r="CE4109" s="237" t="s">
        <v>339</v>
      </c>
      <c r="CL4109" s="1789"/>
      <c r="CR4109" s="345"/>
      <c r="CS4109" s="345"/>
      <c r="DH4109" s="237"/>
      <c r="DI4109" s="237"/>
      <c r="DP4109" s="2505"/>
    </row>
    <row r="4110" spans="30:120">
      <c r="AD4110" s="1138"/>
      <c r="BH4110" s="1790"/>
      <c r="BN4110" s="237">
        <v>253.11</v>
      </c>
      <c r="BO4110" s="237" t="s">
        <v>363</v>
      </c>
      <c r="CD4110" s="237">
        <v>505.07</v>
      </c>
      <c r="CE4110" s="237" t="s">
        <v>356</v>
      </c>
      <c r="CL4110" s="1789"/>
      <c r="CR4110" s="345"/>
      <c r="CS4110" s="345"/>
      <c r="DH4110" s="237"/>
      <c r="DI4110" s="237"/>
      <c r="DP4110" s="2505"/>
    </row>
    <row r="4111" spans="30:120">
      <c r="AD4111" s="1138"/>
      <c r="BH4111" s="1790"/>
      <c r="BN4111" s="237">
        <v>254.01</v>
      </c>
      <c r="BO4111" s="237" t="s">
        <v>363</v>
      </c>
      <c r="CD4111" s="237">
        <v>505.08</v>
      </c>
      <c r="CE4111" s="237" t="s">
        <v>339</v>
      </c>
      <c r="CL4111" s="1789"/>
      <c r="CR4111" s="345"/>
      <c r="CS4111" s="345"/>
      <c r="DH4111" s="237"/>
      <c r="DI4111" s="237"/>
      <c r="DP4111" s="2505"/>
    </row>
    <row r="4112" spans="30:120">
      <c r="AD4112" s="1138"/>
      <c r="BH4112" s="1790"/>
      <c r="BN4112" s="237">
        <v>254.07</v>
      </c>
      <c r="BO4112" s="237" t="s">
        <v>363</v>
      </c>
      <c r="CD4112" s="237">
        <v>505.08</v>
      </c>
      <c r="CE4112" s="237" t="s">
        <v>356</v>
      </c>
      <c r="CL4112" s="1789"/>
      <c r="CR4112" s="345"/>
      <c r="CS4112" s="345"/>
      <c r="DH4112" s="237"/>
      <c r="DI4112" s="237"/>
      <c r="DP4112" s="2505"/>
    </row>
    <row r="4113" spans="30:120">
      <c r="AD4113" s="1138"/>
      <c r="BH4113" s="1790"/>
      <c r="BN4113" s="237">
        <v>254.11</v>
      </c>
      <c r="BO4113" s="237" t="s">
        <v>363</v>
      </c>
      <c r="CD4113" s="237">
        <v>505.09</v>
      </c>
      <c r="CE4113" s="237" t="s">
        <v>339</v>
      </c>
      <c r="CL4113" s="1789"/>
      <c r="CR4113" s="345"/>
      <c r="CS4113" s="345"/>
      <c r="DH4113" s="237"/>
      <c r="DI4113" s="237"/>
      <c r="DP4113" s="2505"/>
    </row>
    <row r="4114" spans="30:120">
      <c r="AD4114" s="1138"/>
      <c r="BH4114" s="1790"/>
      <c r="BN4114" s="237">
        <v>254.12</v>
      </c>
      <c r="BO4114" s="237" t="s">
        <v>363</v>
      </c>
      <c r="CD4114" s="237">
        <v>505.09</v>
      </c>
      <c r="CE4114" s="237" t="s">
        <v>356</v>
      </c>
      <c r="CL4114" s="1789"/>
      <c r="CR4114" s="345"/>
      <c r="CS4114" s="345"/>
      <c r="DH4114" s="237"/>
      <c r="DI4114" s="237"/>
      <c r="DP4114" s="2505"/>
    </row>
    <row r="4115" spans="30:120">
      <c r="AD4115" s="1138"/>
      <c r="BH4115" s="1790"/>
      <c r="BN4115" s="237">
        <v>254.13</v>
      </c>
      <c r="BO4115" s="237" t="s">
        <v>363</v>
      </c>
      <c r="CD4115" s="345">
        <v>506.01</v>
      </c>
      <c r="CE4115" s="345" t="s">
        <v>310</v>
      </c>
      <c r="CL4115" s="1789"/>
      <c r="CR4115" s="345"/>
      <c r="CS4115" s="345"/>
      <c r="DH4115" s="237"/>
      <c r="DI4115" s="237"/>
      <c r="DP4115" s="2505"/>
    </row>
    <row r="4116" spans="30:120">
      <c r="AD4116" s="1138"/>
      <c r="BH4116" s="1790"/>
      <c r="BN4116" s="237">
        <v>254.14</v>
      </c>
      <c r="BO4116" s="237" t="s">
        <v>363</v>
      </c>
      <c r="CD4116" s="237">
        <v>506.01</v>
      </c>
      <c r="CE4116" s="237" t="s">
        <v>339</v>
      </c>
      <c r="CL4116" s="1789"/>
      <c r="CR4116" s="345"/>
      <c r="CS4116" s="345"/>
      <c r="DH4116" s="237"/>
      <c r="DI4116" s="237"/>
      <c r="DP4116" s="2505"/>
    </row>
    <row r="4117" spans="30:120">
      <c r="AD4117" s="1138"/>
      <c r="BH4117" s="1790"/>
      <c r="BN4117" s="237">
        <v>254.15</v>
      </c>
      <c r="BO4117" s="237" t="s">
        <v>363</v>
      </c>
      <c r="CD4117" s="237">
        <v>506.01</v>
      </c>
      <c r="CE4117" s="237" t="s">
        <v>344</v>
      </c>
      <c r="CL4117" s="1789"/>
      <c r="CR4117" s="345"/>
      <c r="CS4117" s="345"/>
      <c r="DH4117" s="237"/>
      <c r="DI4117" s="237"/>
      <c r="DP4117" s="2505"/>
    </row>
    <row r="4118" spans="30:120">
      <c r="AD4118" s="1138"/>
      <c r="BH4118" s="1790"/>
      <c r="BN4118" s="237">
        <v>254.16</v>
      </c>
      <c r="BO4118" s="237" t="s">
        <v>363</v>
      </c>
      <c r="CD4118" s="345">
        <v>506.02</v>
      </c>
      <c r="CE4118" s="345" t="s">
        <v>310</v>
      </c>
      <c r="CL4118" s="1789"/>
      <c r="CR4118" s="345"/>
      <c r="CS4118" s="345"/>
      <c r="DH4118" s="237"/>
      <c r="DI4118" s="237"/>
      <c r="DP4118" s="2505"/>
    </row>
    <row r="4119" spans="30:120">
      <c r="AD4119" s="1138"/>
      <c r="BH4119" s="1790"/>
      <c r="BN4119" s="237">
        <v>254.17</v>
      </c>
      <c r="BO4119" s="237" t="s">
        <v>363</v>
      </c>
      <c r="CD4119" s="237">
        <v>506.02</v>
      </c>
      <c r="CE4119" s="237" t="s">
        <v>339</v>
      </c>
      <c r="CL4119" s="1789"/>
      <c r="CR4119" s="345"/>
      <c r="CS4119" s="345"/>
      <c r="DH4119" s="237"/>
      <c r="DI4119" s="237"/>
      <c r="DP4119" s="2505"/>
    </row>
    <row r="4120" spans="30:120">
      <c r="AD4120" s="1138"/>
      <c r="BH4120" s="1790"/>
      <c r="BN4120" s="237">
        <v>254.18</v>
      </c>
      <c r="BO4120" s="237" t="s">
        <v>363</v>
      </c>
      <c r="CD4120" s="237">
        <v>506.03</v>
      </c>
      <c r="CE4120" s="237" t="s">
        <v>339</v>
      </c>
      <c r="CL4120" s="1789"/>
      <c r="CR4120" s="345"/>
      <c r="CS4120" s="345"/>
      <c r="DH4120" s="237"/>
      <c r="DI4120" s="237"/>
      <c r="DP4120" s="2505"/>
    </row>
    <row r="4121" spans="30:120">
      <c r="AD4121" s="1138"/>
      <c r="BH4121" s="1790"/>
      <c r="BN4121" s="237">
        <v>254.19</v>
      </c>
      <c r="BO4121" s="237" t="s">
        <v>363</v>
      </c>
      <c r="CD4121" s="237">
        <v>506.03</v>
      </c>
      <c r="CE4121" s="237" t="s">
        <v>344</v>
      </c>
      <c r="CL4121" s="1789"/>
      <c r="CR4121" s="345"/>
      <c r="CS4121" s="345"/>
      <c r="DH4121" s="237"/>
      <c r="DI4121" s="237"/>
      <c r="DP4121" s="2505"/>
    </row>
    <row r="4122" spans="30:120">
      <c r="AD4122" s="1138"/>
      <c r="BH4122" s="1790"/>
      <c r="BN4122" s="237">
        <v>254.2</v>
      </c>
      <c r="BO4122" s="237" t="s">
        <v>363</v>
      </c>
      <c r="CD4122" s="237">
        <v>506.04</v>
      </c>
      <c r="CE4122" s="237" t="s">
        <v>339</v>
      </c>
      <c r="CL4122" s="1789"/>
      <c r="CR4122" s="345"/>
      <c r="CS4122" s="345"/>
      <c r="DH4122" s="237"/>
      <c r="DI4122" s="237"/>
      <c r="DP4122" s="2505"/>
    </row>
    <row r="4123" spans="30:120">
      <c r="AD4123" s="1138"/>
      <c r="BH4123" s="1790"/>
      <c r="BN4123" s="237">
        <v>254.21</v>
      </c>
      <c r="BO4123" s="237" t="s">
        <v>363</v>
      </c>
      <c r="CD4123" s="237">
        <v>506.04</v>
      </c>
      <c r="CE4123" s="237" t="s">
        <v>344</v>
      </c>
      <c r="CL4123" s="1789"/>
      <c r="CR4123" s="345"/>
      <c r="CS4123" s="345"/>
      <c r="DH4123" s="237"/>
      <c r="DI4123" s="237"/>
      <c r="DP4123" s="2505"/>
    </row>
    <row r="4124" spans="30:120">
      <c r="AD4124" s="1138"/>
      <c r="BH4124" s="1790"/>
      <c r="BN4124" s="237">
        <v>255.01</v>
      </c>
      <c r="BO4124" s="237" t="s">
        <v>363</v>
      </c>
      <c r="CD4124" s="237">
        <v>506.05</v>
      </c>
      <c r="CE4124" s="237" t="s">
        <v>339</v>
      </c>
      <c r="CL4124" s="1789"/>
      <c r="CR4124" s="345"/>
      <c r="CS4124" s="345"/>
      <c r="DH4124" s="237"/>
      <c r="DI4124" s="237"/>
      <c r="DP4124" s="2505"/>
    </row>
    <row r="4125" spans="30:120">
      <c r="AD4125" s="1138"/>
      <c r="BH4125" s="1790"/>
      <c r="BN4125" s="237">
        <v>255.05</v>
      </c>
      <c r="BO4125" s="237" t="s">
        <v>363</v>
      </c>
      <c r="CD4125" s="237">
        <v>506.07</v>
      </c>
      <c r="CE4125" s="237" t="s">
        <v>339</v>
      </c>
      <c r="CL4125" s="1789"/>
      <c r="CR4125" s="345"/>
      <c r="CS4125" s="345"/>
      <c r="DH4125" s="237"/>
      <c r="DI4125" s="237"/>
      <c r="DP4125" s="2505"/>
    </row>
    <row r="4126" spans="30:120">
      <c r="AD4126" s="1138"/>
      <c r="BH4126" s="1790"/>
      <c r="BN4126" s="237">
        <v>255.07</v>
      </c>
      <c r="BO4126" s="237" t="s">
        <v>363</v>
      </c>
      <c r="CD4126" s="237">
        <v>506.08</v>
      </c>
      <c r="CE4126" s="237" t="s">
        <v>339</v>
      </c>
      <c r="CL4126" s="1789"/>
      <c r="CR4126" s="345"/>
      <c r="CS4126" s="345"/>
      <c r="DH4126" s="237"/>
      <c r="DI4126" s="237"/>
      <c r="DP4126" s="2505"/>
    </row>
    <row r="4127" spans="30:120">
      <c r="AD4127" s="1138"/>
      <c r="BH4127" s="1790"/>
      <c r="BN4127" s="237">
        <v>255.08</v>
      </c>
      <c r="BO4127" s="237" t="s">
        <v>363</v>
      </c>
      <c r="CD4127" s="345">
        <v>507.01</v>
      </c>
      <c r="CE4127" s="345" t="s">
        <v>310</v>
      </c>
      <c r="CL4127" s="1789"/>
      <c r="CR4127" s="345"/>
      <c r="CS4127" s="345"/>
      <c r="DH4127" s="237"/>
      <c r="DI4127" s="237"/>
      <c r="DP4127" s="2505"/>
    </row>
    <row r="4128" spans="30:120">
      <c r="AD4128" s="1138"/>
      <c r="BH4128" s="1790"/>
      <c r="BN4128" s="237">
        <v>255.09</v>
      </c>
      <c r="BO4128" s="237" t="s">
        <v>363</v>
      </c>
      <c r="CD4128" s="345">
        <v>507.02</v>
      </c>
      <c r="CE4128" s="345" t="s">
        <v>310</v>
      </c>
      <c r="CL4128" s="1789"/>
      <c r="CR4128" s="345"/>
      <c r="CS4128" s="345"/>
      <c r="DH4128" s="237"/>
      <c r="DI4128" s="237"/>
      <c r="DP4128" s="2505"/>
    </row>
    <row r="4129" spans="30:120">
      <c r="AD4129" s="1138"/>
      <c r="BH4129" s="1790"/>
      <c r="BN4129" s="237">
        <v>255.1</v>
      </c>
      <c r="BO4129" s="237" t="s">
        <v>363</v>
      </c>
      <c r="CD4129" s="237">
        <v>507.02</v>
      </c>
      <c r="CE4129" s="237" t="s">
        <v>339</v>
      </c>
      <c r="CL4129" s="1789"/>
      <c r="CR4129" s="345"/>
      <c r="CS4129" s="345"/>
      <c r="DH4129" s="237"/>
      <c r="DI4129" s="237"/>
      <c r="DP4129" s="2505"/>
    </row>
    <row r="4130" spans="30:120">
      <c r="AD4130" s="1138"/>
      <c r="BH4130" s="1790"/>
      <c r="BN4130" s="237">
        <v>256.02</v>
      </c>
      <c r="BO4130" s="237" t="s">
        <v>363</v>
      </c>
      <c r="CD4130" s="237">
        <v>507.04</v>
      </c>
      <c r="CE4130" s="237" t="s">
        <v>339</v>
      </c>
      <c r="CL4130" s="1789"/>
      <c r="CR4130" s="345"/>
      <c r="CS4130" s="345"/>
      <c r="DH4130" s="237"/>
      <c r="DI4130" s="237"/>
      <c r="DP4130" s="2505"/>
    </row>
    <row r="4131" spans="30:120">
      <c r="AD4131" s="1138"/>
      <c r="BH4131" s="1790"/>
      <c r="BN4131" s="237">
        <v>256.02999999999997</v>
      </c>
      <c r="BO4131" s="237" t="s">
        <v>363</v>
      </c>
      <c r="CD4131" s="237">
        <v>507.06</v>
      </c>
      <c r="CE4131" s="237" t="s">
        <v>339</v>
      </c>
      <c r="CL4131" s="1789"/>
      <c r="CR4131" s="345"/>
      <c r="CS4131" s="345"/>
      <c r="DH4131" s="237"/>
      <c r="DI4131" s="237"/>
      <c r="DP4131" s="2505"/>
    </row>
    <row r="4132" spans="30:120">
      <c r="AD4132" s="1138"/>
      <c r="BH4132" s="1790"/>
      <c r="BN4132" s="237">
        <v>256.04000000000002</v>
      </c>
      <c r="BO4132" s="237" t="s">
        <v>363</v>
      </c>
      <c r="CD4132" s="237">
        <v>507.07</v>
      </c>
      <c r="CE4132" s="237" t="s">
        <v>339</v>
      </c>
      <c r="CL4132" s="1789"/>
      <c r="CR4132" s="345"/>
      <c r="CS4132" s="345"/>
      <c r="DH4132" s="237"/>
      <c r="DI4132" s="237"/>
      <c r="DP4132" s="2505"/>
    </row>
    <row r="4133" spans="30:120">
      <c r="AD4133" s="1138"/>
      <c r="BH4133" s="1790"/>
      <c r="BN4133" s="237">
        <v>257</v>
      </c>
      <c r="BO4133" s="237" t="s">
        <v>363</v>
      </c>
      <c r="CD4133" s="237">
        <v>507.08</v>
      </c>
      <c r="CE4133" s="237" t="s">
        <v>339</v>
      </c>
      <c r="CL4133" s="1789"/>
      <c r="CR4133" s="345"/>
      <c r="CS4133" s="345"/>
      <c r="DH4133" s="237"/>
      <c r="DI4133" s="237"/>
      <c r="DP4133" s="2505"/>
    </row>
    <row r="4134" spans="30:120">
      <c r="AD4134" s="1138"/>
      <c r="BH4134" s="1790"/>
      <c r="BN4134" s="237">
        <v>258</v>
      </c>
      <c r="BO4134" s="237" t="s">
        <v>363</v>
      </c>
      <c r="CD4134" s="237">
        <v>507.09</v>
      </c>
      <c r="CE4134" s="237" t="s">
        <v>339</v>
      </c>
      <c r="CL4134" s="1789"/>
      <c r="CR4134" s="345"/>
      <c r="CS4134" s="345"/>
      <c r="DH4134" s="237"/>
      <c r="DI4134" s="237"/>
      <c r="DP4134" s="2505"/>
    </row>
    <row r="4135" spans="30:120">
      <c r="AD4135" s="1138"/>
      <c r="BH4135" s="1790"/>
      <c r="BN4135" s="237">
        <v>259.01</v>
      </c>
      <c r="BO4135" s="237" t="s">
        <v>363</v>
      </c>
      <c r="CD4135" s="345">
        <v>508</v>
      </c>
      <c r="CE4135" s="345" t="s">
        <v>310</v>
      </c>
      <c r="CL4135" s="1789"/>
      <c r="CR4135" s="345"/>
      <c r="CS4135" s="345"/>
      <c r="DH4135" s="237"/>
      <c r="DI4135" s="237"/>
      <c r="DP4135" s="2505"/>
    </row>
    <row r="4136" spans="30:120">
      <c r="AD4136" s="1138"/>
      <c r="BH4136" s="1790"/>
      <c r="BN4136" s="237">
        <v>259.02</v>
      </c>
      <c r="BO4136" s="237" t="s">
        <v>363</v>
      </c>
      <c r="CD4136" s="237">
        <v>508.05</v>
      </c>
      <c r="CE4136" s="237" t="s">
        <v>339</v>
      </c>
      <c r="CL4136" s="1789"/>
      <c r="CR4136" s="345"/>
      <c r="CS4136" s="345"/>
      <c r="DH4136" s="237"/>
      <c r="DI4136" s="237"/>
      <c r="DP4136" s="2505"/>
    </row>
    <row r="4137" spans="30:120">
      <c r="AD4137" s="1138"/>
      <c r="BH4137" s="1790"/>
      <c r="BN4137" s="237">
        <v>260.01</v>
      </c>
      <c r="BO4137" s="237" t="s">
        <v>363</v>
      </c>
      <c r="CD4137" s="237">
        <v>508.06</v>
      </c>
      <c r="CE4137" s="237" t="s">
        <v>339</v>
      </c>
      <c r="CL4137" s="1789"/>
      <c r="CR4137" s="345"/>
      <c r="CS4137" s="345"/>
      <c r="DH4137" s="237"/>
      <c r="DI4137" s="237"/>
      <c r="DP4137" s="2505"/>
    </row>
    <row r="4138" spans="30:120">
      <c r="AD4138" s="1138"/>
      <c r="BH4138" s="1790"/>
      <c r="BN4138" s="237">
        <v>260.02999999999997</v>
      </c>
      <c r="BO4138" s="237" t="s">
        <v>363</v>
      </c>
      <c r="CD4138" s="237">
        <v>508.07</v>
      </c>
      <c r="CE4138" s="237" t="s">
        <v>339</v>
      </c>
      <c r="CL4138" s="1789"/>
      <c r="CR4138" s="345"/>
      <c r="CS4138" s="345"/>
      <c r="DH4138" s="237"/>
      <c r="DI4138" s="237"/>
      <c r="DP4138" s="2505"/>
    </row>
    <row r="4139" spans="30:120">
      <c r="AD4139" s="1138"/>
      <c r="BH4139" s="1790"/>
      <c r="BN4139" s="237">
        <v>260.04000000000002</v>
      </c>
      <c r="BO4139" s="237" t="s">
        <v>363</v>
      </c>
      <c r="CD4139" s="237">
        <v>508.08</v>
      </c>
      <c r="CE4139" s="237" t="s">
        <v>339</v>
      </c>
      <c r="CL4139" s="1789"/>
      <c r="CR4139" s="345"/>
      <c r="CS4139" s="345"/>
      <c r="DH4139" s="237"/>
      <c r="DI4139" s="237"/>
      <c r="DP4139" s="2505"/>
    </row>
    <row r="4140" spans="30:120">
      <c r="AD4140" s="1138"/>
      <c r="BH4140" s="1790"/>
      <c r="BN4140" s="237">
        <v>261.01</v>
      </c>
      <c r="BO4140" s="237" t="s">
        <v>363</v>
      </c>
      <c r="CD4140" s="237">
        <v>508.09</v>
      </c>
      <c r="CE4140" s="237" t="s">
        <v>339</v>
      </c>
      <c r="CL4140" s="1789"/>
      <c r="CR4140" s="345"/>
      <c r="CS4140" s="345"/>
      <c r="DH4140" s="237"/>
      <c r="DI4140" s="237"/>
      <c r="DP4140" s="2505"/>
    </row>
    <row r="4141" spans="30:120">
      <c r="AD4141" s="1138"/>
      <c r="BH4141" s="1790"/>
      <c r="BN4141" s="237">
        <v>261.02</v>
      </c>
      <c r="BO4141" s="237" t="s">
        <v>363</v>
      </c>
      <c r="CD4141" s="237">
        <v>508.1</v>
      </c>
      <c r="CE4141" s="237" t="s">
        <v>339</v>
      </c>
      <c r="CL4141" s="1789"/>
      <c r="CR4141" s="345"/>
      <c r="CS4141" s="345"/>
      <c r="DH4141" s="237"/>
      <c r="DI4141" s="237"/>
      <c r="DP4141" s="2505"/>
    </row>
    <row r="4142" spans="30:120">
      <c r="AD4142" s="1138"/>
      <c r="BH4142" s="1790"/>
      <c r="BN4142" s="237">
        <v>262</v>
      </c>
      <c r="BO4142" s="237" t="s">
        <v>363</v>
      </c>
      <c r="CD4142" s="237">
        <v>508.11</v>
      </c>
      <c r="CE4142" s="237" t="s">
        <v>339</v>
      </c>
      <c r="CL4142" s="1789"/>
      <c r="CR4142" s="345"/>
      <c r="CS4142" s="345"/>
      <c r="DH4142" s="237"/>
      <c r="DI4142" s="237"/>
      <c r="DP4142" s="2505"/>
    </row>
    <row r="4143" spans="30:120">
      <c r="AD4143" s="1138"/>
      <c r="BH4143" s="1790"/>
      <c r="BN4143" s="237">
        <v>263</v>
      </c>
      <c r="BO4143" s="237" t="s">
        <v>363</v>
      </c>
      <c r="CD4143" s="237">
        <v>508.12</v>
      </c>
      <c r="CE4143" s="237" t="s">
        <v>339</v>
      </c>
      <c r="CL4143" s="1789"/>
      <c r="CR4143" s="345"/>
      <c r="CS4143" s="345"/>
      <c r="DH4143" s="237"/>
      <c r="DI4143" s="237"/>
      <c r="DP4143" s="2505"/>
    </row>
    <row r="4144" spans="30:120">
      <c r="AD4144" s="1138"/>
      <c r="BH4144" s="1790"/>
      <c r="BN4144" s="237">
        <v>264.01</v>
      </c>
      <c r="BO4144" s="237" t="s">
        <v>363</v>
      </c>
      <c r="CD4144" s="345">
        <v>509</v>
      </c>
      <c r="CE4144" s="345" t="s">
        <v>310</v>
      </c>
      <c r="CL4144" s="1789"/>
      <c r="CR4144" s="345"/>
      <c r="CS4144" s="345"/>
      <c r="DH4144" s="237"/>
      <c r="DI4144" s="237"/>
      <c r="DP4144" s="2505"/>
    </row>
    <row r="4145" spans="30:120">
      <c r="AD4145" s="1138"/>
      <c r="BH4145" s="1790"/>
      <c r="BN4145" s="237">
        <v>264.02</v>
      </c>
      <c r="BO4145" s="237" t="s">
        <v>363</v>
      </c>
      <c r="CD4145" s="237">
        <v>509.03</v>
      </c>
      <c r="CE4145" s="237" t="s">
        <v>339</v>
      </c>
      <c r="CL4145" s="1789"/>
      <c r="CR4145" s="345"/>
      <c r="CS4145" s="345"/>
      <c r="DH4145" s="237"/>
      <c r="DI4145" s="237"/>
      <c r="DP4145" s="2505"/>
    </row>
    <row r="4146" spans="30:120">
      <c r="AD4146" s="1138"/>
      <c r="BH4146" s="1790"/>
      <c r="BN4146" s="237">
        <v>265.01</v>
      </c>
      <c r="BO4146" s="237" t="s">
        <v>363</v>
      </c>
      <c r="CD4146" s="237">
        <v>509.05</v>
      </c>
      <c r="CE4146" s="237" t="s">
        <v>339</v>
      </c>
      <c r="CL4146" s="1789"/>
      <c r="CR4146" s="345"/>
      <c r="CS4146" s="345"/>
      <c r="DH4146" s="237"/>
      <c r="DI4146" s="237"/>
      <c r="DP4146" s="2505"/>
    </row>
    <row r="4147" spans="30:120">
      <c r="AD4147" s="1138"/>
      <c r="BH4147" s="1790"/>
      <c r="BN4147" s="237">
        <v>265.02</v>
      </c>
      <c r="BO4147" s="237" t="s">
        <v>363</v>
      </c>
      <c r="CD4147" s="237">
        <v>509.06</v>
      </c>
      <c r="CE4147" s="237" t="s">
        <v>339</v>
      </c>
      <c r="CL4147" s="1789"/>
      <c r="CR4147" s="345"/>
      <c r="CS4147" s="345"/>
      <c r="DH4147" s="237"/>
      <c r="DI4147" s="237"/>
      <c r="DP4147" s="2505"/>
    </row>
    <row r="4148" spans="30:120">
      <c r="AD4148" s="1138"/>
      <c r="BH4148" s="1790"/>
      <c r="BN4148" s="237">
        <v>266.01</v>
      </c>
      <c r="BO4148" s="237" t="s">
        <v>363</v>
      </c>
      <c r="CD4148" s="237">
        <v>509.07</v>
      </c>
      <c r="CE4148" s="237" t="s">
        <v>339</v>
      </c>
      <c r="CL4148" s="1789"/>
      <c r="CR4148" s="345"/>
      <c r="CS4148" s="345"/>
      <c r="DH4148" s="237"/>
      <c r="DI4148" s="237"/>
      <c r="DP4148" s="2505"/>
    </row>
    <row r="4149" spans="30:120">
      <c r="AD4149" s="1138"/>
      <c r="BH4149" s="1790"/>
      <c r="BN4149" s="237">
        <v>266.02</v>
      </c>
      <c r="BO4149" s="237" t="s">
        <v>363</v>
      </c>
      <c r="CD4149" s="237">
        <v>509.08</v>
      </c>
      <c r="CE4149" s="237" t="s">
        <v>339</v>
      </c>
      <c r="CL4149" s="1789"/>
      <c r="CR4149" s="345"/>
      <c r="CS4149" s="345"/>
      <c r="DH4149" s="237"/>
      <c r="DI4149" s="237"/>
      <c r="DP4149" s="2505"/>
    </row>
    <row r="4150" spans="30:120">
      <c r="AD4150" s="1138"/>
      <c r="BH4150" s="1790"/>
      <c r="BN4150" s="237">
        <v>267.01</v>
      </c>
      <c r="BO4150" s="237" t="s">
        <v>363</v>
      </c>
      <c r="CD4150" s="237">
        <v>509.09</v>
      </c>
      <c r="CE4150" s="237" t="s">
        <v>339</v>
      </c>
      <c r="CL4150" s="1789"/>
      <c r="CR4150" s="345"/>
      <c r="CS4150" s="345"/>
      <c r="DH4150" s="237"/>
      <c r="DI4150" s="237"/>
      <c r="DP4150" s="2505"/>
    </row>
    <row r="4151" spans="30:120">
      <c r="AD4151" s="1138"/>
      <c r="BH4151" s="1790"/>
      <c r="BN4151" s="237">
        <v>267.02999999999997</v>
      </c>
      <c r="BO4151" s="237" t="s">
        <v>363</v>
      </c>
      <c r="CD4151" s="345">
        <v>510.01</v>
      </c>
      <c r="CE4151" s="345" t="s">
        <v>310</v>
      </c>
      <c r="CL4151" s="1789"/>
      <c r="CR4151" s="345"/>
      <c r="CS4151" s="345"/>
      <c r="DH4151" s="237"/>
      <c r="DI4151" s="237"/>
      <c r="DP4151" s="2505"/>
    </row>
    <row r="4152" spans="30:120">
      <c r="AD4152" s="1138"/>
      <c r="BH4152" s="1790"/>
      <c r="BN4152" s="237">
        <v>267.04000000000002</v>
      </c>
      <c r="BO4152" s="237" t="s">
        <v>363</v>
      </c>
      <c r="CD4152" s="345">
        <v>510.02</v>
      </c>
      <c r="CE4152" s="345" t="s">
        <v>310</v>
      </c>
      <c r="CL4152" s="1789"/>
      <c r="CR4152" s="345"/>
      <c r="CS4152" s="345"/>
      <c r="DH4152" s="237"/>
      <c r="DI4152" s="237"/>
      <c r="DP4152" s="2505"/>
    </row>
    <row r="4153" spans="30:120">
      <c r="AD4153" s="1138"/>
      <c r="BH4153" s="1790"/>
      <c r="BN4153" s="237">
        <v>267.05</v>
      </c>
      <c r="BO4153" s="237" t="s">
        <v>363</v>
      </c>
      <c r="CD4153" s="237">
        <v>601.01</v>
      </c>
      <c r="CE4153" s="237" t="s">
        <v>344</v>
      </c>
      <c r="CL4153" s="1789"/>
      <c r="CR4153" s="345"/>
      <c r="CS4153" s="345"/>
      <c r="DH4153" s="237"/>
      <c r="DI4153" s="237"/>
      <c r="DP4153" s="2505"/>
    </row>
    <row r="4154" spans="30:120">
      <c r="AD4154" s="1138"/>
      <c r="BH4154" s="1790"/>
      <c r="BN4154" s="237">
        <v>268.04000000000002</v>
      </c>
      <c r="BO4154" s="237" t="s">
        <v>363</v>
      </c>
      <c r="CD4154" s="237">
        <v>601.02</v>
      </c>
      <c r="CE4154" s="237" t="s">
        <v>344</v>
      </c>
      <c r="CL4154" s="1789"/>
      <c r="CR4154" s="345"/>
      <c r="CS4154" s="345"/>
      <c r="DH4154" s="237"/>
      <c r="DI4154" s="237"/>
      <c r="DP4154" s="2505"/>
    </row>
    <row r="4155" spans="30:120">
      <c r="AD4155" s="1138"/>
      <c r="BH4155" s="1790"/>
      <c r="BN4155" s="237">
        <v>268.08999999999997</v>
      </c>
      <c r="BO4155" s="237" t="s">
        <v>363</v>
      </c>
      <c r="CD4155" s="345">
        <v>601.03</v>
      </c>
      <c r="CE4155" s="345" t="s">
        <v>309</v>
      </c>
      <c r="CL4155" s="1789"/>
      <c r="CR4155" s="345"/>
      <c r="CS4155" s="345"/>
      <c r="DH4155" s="237"/>
      <c r="DI4155" s="237"/>
      <c r="DP4155" s="2505"/>
    </row>
    <row r="4156" spans="30:120">
      <c r="AD4156" s="1138"/>
      <c r="BH4156" s="1790"/>
      <c r="BN4156" s="237">
        <v>268.11</v>
      </c>
      <c r="BO4156" s="237" t="s">
        <v>363</v>
      </c>
      <c r="CD4156" s="237">
        <v>601.03</v>
      </c>
      <c r="CE4156" s="237" t="s">
        <v>326</v>
      </c>
      <c r="CL4156" s="1789"/>
      <c r="CR4156" s="345"/>
      <c r="CS4156" s="345"/>
      <c r="DH4156" s="237"/>
      <c r="DI4156" s="237"/>
      <c r="DP4156" s="2505"/>
    </row>
    <row r="4157" spans="30:120">
      <c r="AD4157" s="1138"/>
      <c r="BH4157" s="1790"/>
      <c r="BN4157" s="237">
        <v>268.12</v>
      </c>
      <c r="BO4157" s="237" t="s">
        <v>363</v>
      </c>
      <c r="CD4157" s="345">
        <v>601.04</v>
      </c>
      <c r="CE4157" s="345" t="s">
        <v>309</v>
      </c>
      <c r="CL4157" s="1789"/>
      <c r="CR4157" s="345"/>
      <c r="CS4157" s="345"/>
      <c r="DH4157" s="237"/>
      <c r="DI4157" s="237"/>
      <c r="DP4157" s="2505"/>
    </row>
    <row r="4158" spans="30:120">
      <c r="AD4158" s="1138"/>
      <c r="BH4158" s="1790"/>
      <c r="BN4158" s="237">
        <v>268.13</v>
      </c>
      <c r="BO4158" s="237" t="s">
        <v>363</v>
      </c>
      <c r="CD4158" s="237">
        <v>601.04</v>
      </c>
      <c r="CE4158" s="237" t="s">
        <v>326</v>
      </c>
      <c r="CL4158" s="1789"/>
      <c r="CR4158" s="345"/>
      <c r="CS4158" s="345"/>
      <c r="DH4158" s="237"/>
      <c r="DI4158" s="237"/>
      <c r="DP4158" s="2505"/>
    </row>
    <row r="4159" spans="30:120">
      <c r="AD4159" s="1138"/>
      <c r="BH4159" s="1790"/>
      <c r="BN4159" s="237">
        <v>268.14</v>
      </c>
      <c r="BO4159" s="237" t="s">
        <v>363</v>
      </c>
      <c r="CD4159" s="345">
        <v>601.04999999999995</v>
      </c>
      <c r="CE4159" s="345" t="s">
        <v>309</v>
      </c>
      <c r="CL4159" s="1789"/>
      <c r="CR4159" s="345"/>
      <c r="CS4159" s="345"/>
      <c r="DH4159" s="237"/>
      <c r="DI4159" s="237"/>
      <c r="DP4159" s="2505"/>
    </row>
    <row r="4160" spans="30:120">
      <c r="AD4160" s="1138"/>
      <c r="BH4160" s="1790"/>
      <c r="BN4160" s="237">
        <v>268.14999999999998</v>
      </c>
      <c r="BO4160" s="237" t="s">
        <v>363</v>
      </c>
      <c r="CD4160" s="345">
        <v>601.04999999999995</v>
      </c>
      <c r="CE4160" s="345" t="s">
        <v>310</v>
      </c>
      <c r="CL4160" s="1789"/>
      <c r="CR4160" s="345"/>
      <c r="CS4160" s="345"/>
      <c r="DH4160" s="237"/>
      <c r="DI4160" s="237"/>
      <c r="DP4160" s="2505"/>
    </row>
    <row r="4161" spans="30:120">
      <c r="AD4161" s="1138"/>
      <c r="BH4161" s="1790"/>
      <c r="BN4161" s="237">
        <v>268.16000000000003</v>
      </c>
      <c r="BO4161" s="237" t="s">
        <v>363</v>
      </c>
      <c r="CD4161" s="237">
        <v>601.04999999999995</v>
      </c>
      <c r="CE4161" s="237" t="s">
        <v>326</v>
      </c>
      <c r="CL4161" s="1789"/>
      <c r="CR4161" s="345"/>
      <c r="CS4161" s="345"/>
      <c r="DH4161" s="237"/>
      <c r="DI4161" s="237"/>
      <c r="DP4161" s="2505"/>
    </row>
    <row r="4162" spans="30:120">
      <c r="AD4162" s="1138"/>
      <c r="BH4162" s="1790"/>
      <c r="BN4162" s="237">
        <v>268.17</v>
      </c>
      <c r="BO4162" s="237" t="s">
        <v>363</v>
      </c>
      <c r="CD4162" s="345">
        <v>601.05999999999995</v>
      </c>
      <c r="CE4162" s="345" t="s">
        <v>309</v>
      </c>
      <c r="CL4162" s="1789"/>
      <c r="CR4162" s="345"/>
      <c r="CS4162" s="345"/>
      <c r="DH4162" s="237"/>
      <c r="DI4162" s="237"/>
      <c r="DP4162" s="2505"/>
    </row>
    <row r="4163" spans="30:120">
      <c r="AD4163" s="1138"/>
      <c r="BH4163" s="1790"/>
      <c r="BN4163" s="237">
        <v>268.18</v>
      </c>
      <c r="BO4163" s="237" t="s">
        <v>363</v>
      </c>
      <c r="CD4163" s="237">
        <v>601.05999999999995</v>
      </c>
      <c r="CE4163" s="237" t="s">
        <v>326</v>
      </c>
      <c r="CL4163" s="1789"/>
      <c r="CR4163" s="345"/>
      <c r="CS4163" s="345"/>
      <c r="DH4163" s="237"/>
      <c r="DI4163" s="237"/>
      <c r="DP4163" s="2505"/>
    </row>
    <row r="4164" spans="30:120">
      <c r="AD4164" s="1138"/>
      <c r="BH4164" s="1790"/>
      <c r="BN4164" s="237">
        <v>268.19</v>
      </c>
      <c r="BO4164" s="237" t="s">
        <v>363</v>
      </c>
      <c r="CD4164" s="345">
        <v>601.07000000000005</v>
      </c>
      <c r="CE4164" s="345" t="s">
        <v>310</v>
      </c>
      <c r="CL4164" s="1789"/>
      <c r="CR4164" s="345"/>
      <c r="CS4164" s="345"/>
      <c r="DH4164" s="237"/>
      <c r="DI4164" s="237"/>
      <c r="DP4164" s="2505"/>
    </row>
    <row r="4165" spans="30:120">
      <c r="AD4165" s="1138"/>
      <c r="BH4165" s="1790"/>
      <c r="BN4165" s="237">
        <v>268.2</v>
      </c>
      <c r="BO4165" s="237" t="s">
        <v>363</v>
      </c>
      <c r="CD4165" s="237">
        <v>601.07000000000005</v>
      </c>
      <c r="CE4165" s="237" t="s">
        <v>326</v>
      </c>
      <c r="CL4165" s="1789"/>
      <c r="CR4165" s="345"/>
      <c r="CS4165" s="345"/>
      <c r="DH4165" s="237"/>
      <c r="DI4165" s="237"/>
      <c r="DP4165" s="2505"/>
    </row>
    <row r="4166" spans="30:120">
      <c r="AD4166" s="1138"/>
      <c r="BH4166" s="1790"/>
      <c r="BN4166" s="237">
        <v>268.20999999999998</v>
      </c>
      <c r="BO4166" s="237" t="s">
        <v>363</v>
      </c>
      <c r="CD4166" s="345">
        <v>601.09</v>
      </c>
      <c r="CE4166" s="345" t="s">
        <v>310</v>
      </c>
      <c r="CL4166" s="1789"/>
      <c r="CR4166" s="345"/>
      <c r="CS4166" s="345"/>
      <c r="DH4166" s="237"/>
      <c r="DI4166" s="237"/>
      <c r="DP4166" s="2505"/>
    </row>
    <row r="4167" spans="30:120">
      <c r="AD4167" s="1138"/>
      <c r="BH4167" s="1790"/>
      <c r="BN4167" s="237">
        <v>269.04000000000002</v>
      </c>
      <c r="BO4167" s="237" t="s">
        <v>363</v>
      </c>
      <c r="CD4167" s="345">
        <v>601.11</v>
      </c>
      <c r="CE4167" s="345" t="s">
        <v>310</v>
      </c>
      <c r="CL4167" s="1789"/>
      <c r="CR4167" s="345"/>
      <c r="CS4167" s="345"/>
      <c r="DH4167" s="237"/>
      <c r="DI4167" s="237"/>
      <c r="DP4167" s="2505"/>
    </row>
    <row r="4168" spans="30:120">
      <c r="AD4168" s="1138"/>
      <c r="BH4168" s="1790"/>
      <c r="BN4168" s="237">
        <v>269.08</v>
      </c>
      <c r="BO4168" s="237" t="s">
        <v>363</v>
      </c>
      <c r="CD4168" s="345">
        <v>601.13</v>
      </c>
      <c r="CE4168" s="345" t="s">
        <v>310</v>
      </c>
      <c r="CL4168" s="1789"/>
      <c r="CR4168" s="345"/>
      <c r="CS4168" s="345"/>
      <c r="DH4168" s="237"/>
      <c r="DI4168" s="237"/>
      <c r="DP4168" s="2505"/>
    </row>
    <row r="4169" spans="30:120">
      <c r="AD4169" s="1138"/>
      <c r="BH4169" s="1790"/>
      <c r="BN4169" s="237">
        <v>269.08999999999997</v>
      </c>
      <c r="BO4169" s="237" t="s">
        <v>363</v>
      </c>
      <c r="CD4169" s="345">
        <v>601.14</v>
      </c>
      <c r="CE4169" s="345" t="s">
        <v>310</v>
      </c>
      <c r="CL4169" s="1789"/>
      <c r="CR4169" s="345"/>
      <c r="CS4169" s="345"/>
      <c r="DH4169" s="237"/>
      <c r="DI4169" s="237"/>
      <c r="DP4169" s="2505"/>
    </row>
    <row r="4170" spans="30:120">
      <c r="AD4170" s="1138"/>
      <c r="BH4170" s="1790"/>
      <c r="BN4170" s="237">
        <v>269.11</v>
      </c>
      <c r="BO4170" s="237" t="s">
        <v>363</v>
      </c>
      <c r="CD4170" s="345">
        <v>601.15</v>
      </c>
      <c r="CE4170" s="345" t="s">
        <v>310</v>
      </c>
      <c r="CL4170" s="1789"/>
      <c r="CR4170" s="345"/>
      <c r="CS4170" s="345"/>
      <c r="DH4170" s="237"/>
      <c r="DI4170" s="237"/>
      <c r="DP4170" s="2505"/>
    </row>
    <row r="4171" spans="30:120">
      <c r="AD4171" s="1138"/>
      <c r="BH4171" s="1790"/>
      <c r="BN4171" s="237">
        <v>269.12</v>
      </c>
      <c r="BO4171" s="237" t="s">
        <v>363</v>
      </c>
      <c r="CD4171" s="345">
        <v>601.16</v>
      </c>
      <c r="CE4171" s="345" t="s">
        <v>310</v>
      </c>
      <c r="CL4171" s="1789"/>
      <c r="CR4171" s="345"/>
      <c r="CS4171" s="345"/>
      <c r="DH4171" s="237"/>
      <c r="DI4171" s="237"/>
      <c r="DP4171" s="2505"/>
    </row>
    <row r="4172" spans="30:120">
      <c r="AD4172" s="1138"/>
      <c r="BH4172" s="1790"/>
      <c r="BN4172" s="237">
        <v>269.13</v>
      </c>
      <c r="BO4172" s="237" t="s">
        <v>363</v>
      </c>
      <c r="CD4172" s="345">
        <v>601.16999999999996</v>
      </c>
      <c r="CE4172" s="345" t="s">
        <v>310</v>
      </c>
      <c r="CL4172" s="1789"/>
      <c r="CR4172" s="345"/>
      <c r="CS4172" s="345"/>
      <c r="DH4172" s="237"/>
      <c r="DI4172" s="237"/>
      <c r="DP4172" s="2505"/>
    </row>
    <row r="4173" spans="30:120">
      <c r="AD4173" s="1138"/>
      <c r="BH4173" s="1790"/>
      <c r="BN4173" s="237">
        <v>269.14</v>
      </c>
      <c r="BO4173" s="237" t="s">
        <v>363</v>
      </c>
      <c r="CD4173" s="345">
        <v>601.17999999999995</v>
      </c>
      <c r="CE4173" s="345" t="s">
        <v>310</v>
      </c>
      <c r="CL4173" s="1789"/>
      <c r="CR4173" s="345"/>
      <c r="CS4173" s="345"/>
      <c r="DH4173" s="237"/>
      <c r="DI4173" s="237"/>
      <c r="DP4173" s="2505"/>
    </row>
    <row r="4174" spans="30:120">
      <c r="AD4174" s="1138"/>
      <c r="BH4174" s="1790"/>
      <c r="BN4174" s="237">
        <v>269.14999999999998</v>
      </c>
      <c r="BO4174" s="237" t="s">
        <v>363</v>
      </c>
      <c r="CD4174" s="345">
        <v>601.19000000000005</v>
      </c>
      <c r="CE4174" s="345" t="s">
        <v>310</v>
      </c>
      <c r="CL4174" s="1789"/>
      <c r="CR4174" s="345"/>
      <c r="CS4174" s="345"/>
      <c r="DH4174" s="237"/>
      <c r="DI4174" s="237"/>
      <c r="DP4174" s="2505"/>
    </row>
    <row r="4175" spans="30:120">
      <c r="AD4175" s="1138"/>
      <c r="BH4175" s="1790"/>
      <c r="BN4175" s="237">
        <v>269.16000000000003</v>
      </c>
      <c r="BO4175" s="237" t="s">
        <v>363</v>
      </c>
      <c r="CD4175" s="345">
        <v>601.20000000000005</v>
      </c>
      <c r="CE4175" s="345" t="s">
        <v>310</v>
      </c>
      <c r="CL4175" s="1789"/>
      <c r="CR4175" s="345"/>
      <c r="CS4175" s="345"/>
      <c r="DH4175" s="237"/>
      <c r="DI4175" s="237"/>
      <c r="DP4175" s="2505"/>
    </row>
    <row r="4176" spans="30:120">
      <c r="AD4176" s="1138"/>
      <c r="BH4176" s="1790"/>
      <c r="BN4176" s="237">
        <v>269.17</v>
      </c>
      <c r="BO4176" s="237" t="s">
        <v>363</v>
      </c>
      <c r="CD4176" s="345">
        <v>601.21</v>
      </c>
      <c r="CE4176" s="345" t="s">
        <v>310</v>
      </c>
      <c r="CL4176" s="1789"/>
      <c r="CR4176" s="345"/>
      <c r="CS4176" s="345"/>
      <c r="DH4176" s="237"/>
      <c r="DI4176" s="237"/>
      <c r="DP4176" s="2505"/>
    </row>
    <row r="4177" spans="30:120">
      <c r="AD4177" s="1138"/>
      <c r="BH4177" s="1790"/>
      <c r="BN4177" s="237">
        <v>270</v>
      </c>
      <c r="BO4177" s="237" t="s">
        <v>363</v>
      </c>
      <c r="CD4177" s="345">
        <v>601.22</v>
      </c>
      <c r="CE4177" s="345" t="s">
        <v>310</v>
      </c>
      <c r="CL4177" s="1789"/>
      <c r="CR4177" s="345"/>
      <c r="CS4177" s="345"/>
      <c r="DH4177" s="237"/>
      <c r="DI4177" s="237"/>
      <c r="DP4177" s="2505"/>
    </row>
    <row r="4178" spans="30:120">
      <c r="AD4178" s="1138"/>
      <c r="BH4178" s="1790"/>
      <c r="BN4178" s="237">
        <v>271.05</v>
      </c>
      <c r="BO4178" s="237" t="s">
        <v>363</v>
      </c>
      <c r="CD4178" s="345">
        <v>601.23</v>
      </c>
      <c r="CE4178" s="345" t="s">
        <v>310</v>
      </c>
      <c r="CL4178" s="1789"/>
      <c r="CR4178" s="345"/>
      <c r="CS4178" s="345"/>
      <c r="DH4178" s="237"/>
      <c r="DI4178" s="237"/>
      <c r="DP4178" s="2505"/>
    </row>
    <row r="4179" spans="30:120">
      <c r="AD4179" s="1138"/>
      <c r="BH4179" s="1790"/>
      <c r="BN4179" s="237">
        <v>271.06</v>
      </c>
      <c r="BO4179" s="237" t="s">
        <v>363</v>
      </c>
      <c r="CD4179" s="345">
        <v>601.24</v>
      </c>
      <c r="CE4179" s="345" t="s">
        <v>310</v>
      </c>
      <c r="CL4179" s="1789"/>
      <c r="CR4179" s="345"/>
      <c r="CS4179" s="345"/>
      <c r="DH4179" s="237"/>
      <c r="DI4179" s="237"/>
      <c r="DP4179" s="2505"/>
    </row>
    <row r="4180" spans="30:120">
      <c r="AD4180" s="1138"/>
      <c r="BH4180" s="1790"/>
      <c r="BN4180" s="237">
        <v>271.07</v>
      </c>
      <c r="BO4180" s="237" t="s">
        <v>363</v>
      </c>
      <c r="CD4180" s="345">
        <v>601.25</v>
      </c>
      <c r="CE4180" s="345" t="s">
        <v>310</v>
      </c>
      <c r="CL4180" s="1789"/>
      <c r="CR4180" s="345"/>
      <c r="CS4180" s="345"/>
      <c r="DH4180" s="237"/>
      <c r="DI4180" s="237"/>
      <c r="DP4180" s="2505"/>
    </row>
    <row r="4181" spans="30:120">
      <c r="AD4181" s="1138"/>
      <c r="BH4181" s="1790"/>
      <c r="BN4181" s="237">
        <v>271.08</v>
      </c>
      <c r="BO4181" s="237" t="s">
        <v>363</v>
      </c>
      <c r="CD4181" s="345">
        <v>601.26</v>
      </c>
      <c r="CE4181" s="345" t="s">
        <v>310</v>
      </c>
      <c r="CL4181" s="1789"/>
      <c r="CR4181" s="345"/>
      <c r="CS4181" s="345"/>
      <c r="DH4181" s="237"/>
      <c r="DI4181" s="237"/>
      <c r="DP4181" s="2505"/>
    </row>
    <row r="4182" spans="30:120">
      <c r="AD4182" s="1138"/>
      <c r="BH4182" s="1790"/>
      <c r="BN4182" s="237">
        <v>272.02</v>
      </c>
      <c r="BO4182" s="237" t="s">
        <v>363</v>
      </c>
      <c r="CD4182" s="345">
        <v>601.27</v>
      </c>
      <c r="CE4182" s="345" t="s">
        <v>310</v>
      </c>
      <c r="CL4182" s="1789"/>
      <c r="CR4182" s="345"/>
      <c r="CS4182" s="345"/>
      <c r="DH4182" s="237"/>
      <c r="DI4182" s="237"/>
      <c r="DP4182" s="2505"/>
    </row>
    <row r="4183" spans="30:120">
      <c r="AD4183" s="1138"/>
      <c r="BH4183" s="1790"/>
      <c r="BN4183" s="237">
        <v>272.04000000000002</v>
      </c>
      <c r="BO4183" s="237" t="s">
        <v>363</v>
      </c>
      <c r="CD4183" s="345">
        <v>601.28</v>
      </c>
      <c r="CE4183" s="345" t="s">
        <v>310</v>
      </c>
      <c r="CL4183" s="1789"/>
      <c r="CR4183" s="345"/>
      <c r="CS4183" s="345"/>
      <c r="DH4183" s="237"/>
      <c r="DI4183" s="237"/>
      <c r="DP4183" s="2505"/>
    </row>
    <row r="4184" spans="30:120">
      <c r="AD4184" s="1138"/>
      <c r="BH4184" s="1790"/>
      <c r="BN4184" s="237">
        <v>272.06</v>
      </c>
      <c r="BO4184" s="237" t="s">
        <v>363</v>
      </c>
      <c r="CD4184" s="345">
        <v>601.29</v>
      </c>
      <c r="CE4184" s="345" t="s">
        <v>310</v>
      </c>
      <c r="CL4184" s="1789"/>
      <c r="CR4184" s="345"/>
      <c r="CS4184" s="345"/>
      <c r="DH4184" s="237"/>
      <c r="DI4184" s="237"/>
      <c r="DP4184" s="2505"/>
    </row>
    <row r="4185" spans="30:120">
      <c r="AD4185" s="1138"/>
      <c r="BH4185" s="1790"/>
      <c r="BN4185" s="237">
        <v>272.07</v>
      </c>
      <c r="BO4185" s="237" t="s">
        <v>363</v>
      </c>
      <c r="CD4185" s="345">
        <v>601.29999999999995</v>
      </c>
      <c r="CE4185" s="345" t="s">
        <v>310</v>
      </c>
      <c r="CL4185" s="1789"/>
      <c r="CR4185" s="345"/>
      <c r="CS4185" s="345"/>
      <c r="DH4185" s="237"/>
      <c r="DI4185" s="237"/>
      <c r="DP4185" s="2505"/>
    </row>
    <row r="4186" spans="30:120">
      <c r="AD4186" s="1138"/>
      <c r="BH4186" s="1790"/>
      <c r="BN4186" s="237">
        <v>272.08</v>
      </c>
      <c r="BO4186" s="237" t="s">
        <v>363</v>
      </c>
      <c r="CD4186" s="345">
        <v>602.01</v>
      </c>
      <c r="CE4186" s="345" t="s">
        <v>309</v>
      </c>
      <c r="CL4186" s="1789"/>
      <c r="CR4186" s="345"/>
      <c r="CS4186" s="345"/>
      <c r="DH4186" s="237"/>
      <c r="DI4186" s="237"/>
      <c r="DP4186" s="2505"/>
    </row>
    <row r="4187" spans="30:120">
      <c r="AD4187" s="1138"/>
      <c r="BH4187" s="1790"/>
      <c r="BN4187" s="237">
        <v>272.08999999999997</v>
      </c>
      <c r="BO4187" s="237" t="s">
        <v>363</v>
      </c>
      <c r="CD4187" s="237">
        <v>602.01</v>
      </c>
      <c r="CE4187" s="237" t="s">
        <v>344</v>
      </c>
      <c r="CL4187" s="1789"/>
      <c r="CR4187" s="345"/>
      <c r="CS4187" s="345"/>
      <c r="DH4187" s="237"/>
      <c r="DI4187" s="237"/>
      <c r="DP4187" s="2505"/>
    </row>
    <row r="4188" spans="30:120">
      <c r="AD4188" s="1138"/>
      <c r="BH4188" s="1790"/>
      <c r="BN4188" s="237">
        <v>272.10000000000002</v>
      </c>
      <c r="BO4188" s="237" t="s">
        <v>363</v>
      </c>
      <c r="CD4188" s="345">
        <v>602.02</v>
      </c>
      <c r="CE4188" s="345" t="s">
        <v>309</v>
      </c>
      <c r="CL4188" s="1789"/>
      <c r="CR4188" s="345"/>
      <c r="CS4188" s="345"/>
      <c r="DH4188" s="237"/>
      <c r="DI4188" s="237"/>
      <c r="DP4188" s="2505"/>
    </row>
    <row r="4189" spans="30:120">
      <c r="AD4189" s="1138"/>
      <c r="BH4189" s="1790"/>
      <c r="BN4189" s="237">
        <v>272.11</v>
      </c>
      <c r="BO4189" s="237" t="s">
        <v>363</v>
      </c>
      <c r="CD4189" s="237">
        <v>602.02</v>
      </c>
      <c r="CE4189" s="237" t="s">
        <v>344</v>
      </c>
      <c r="CL4189" s="1789"/>
      <c r="CR4189" s="345"/>
      <c r="CS4189" s="345"/>
      <c r="DH4189" s="237"/>
      <c r="DI4189" s="237"/>
      <c r="DP4189" s="2505"/>
    </row>
    <row r="4190" spans="30:120">
      <c r="AD4190" s="1138"/>
      <c r="BH4190" s="1790"/>
      <c r="BN4190" s="237">
        <v>272.12</v>
      </c>
      <c r="BO4190" s="237" t="s">
        <v>363</v>
      </c>
      <c r="CD4190" s="345">
        <v>602.03</v>
      </c>
      <c r="CE4190" s="345" t="s">
        <v>310</v>
      </c>
      <c r="CL4190" s="1789"/>
      <c r="CR4190" s="345"/>
      <c r="CS4190" s="345"/>
      <c r="DH4190" s="237"/>
      <c r="DI4190" s="237"/>
      <c r="DP4190" s="2505"/>
    </row>
    <row r="4191" spans="30:120">
      <c r="AD4191" s="1138"/>
      <c r="BH4191" s="1790"/>
      <c r="BN4191" s="237">
        <v>273.08</v>
      </c>
      <c r="BO4191" s="237" t="s">
        <v>363</v>
      </c>
      <c r="CD4191" s="237">
        <v>602.03</v>
      </c>
      <c r="CE4191" s="237" t="s">
        <v>344</v>
      </c>
      <c r="CL4191" s="1789"/>
      <c r="CR4191" s="345"/>
      <c r="CS4191" s="345"/>
      <c r="DH4191" s="237"/>
      <c r="DI4191" s="237"/>
      <c r="DP4191" s="2505"/>
    </row>
    <row r="4192" spans="30:120">
      <c r="AD4192" s="1138"/>
      <c r="BH4192" s="1790"/>
      <c r="BN4192" s="237">
        <v>273.08999999999997</v>
      </c>
      <c r="BO4192" s="237" t="s">
        <v>363</v>
      </c>
      <c r="CD4192" s="345">
        <v>602.05999999999995</v>
      </c>
      <c r="CE4192" s="345" t="s">
        <v>310</v>
      </c>
      <c r="CL4192" s="1789"/>
      <c r="CR4192" s="345"/>
      <c r="CS4192" s="345"/>
      <c r="DH4192" s="237"/>
      <c r="DI4192" s="237"/>
      <c r="DP4192" s="2505"/>
    </row>
    <row r="4193" spans="30:120">
      <c r="AD4193" s="1138"/>
      <c r="BH4193" s="1790"/>
      <c r="BN4193" s="237">
        <v>273.14</v>
      </c>
      <c r="BO4193" s="237" t="s">
        <v>363</v>
      </c>
      <c r="CD4193" s="237">
        <v>602.05999999999995</v>
      </c>
      <c r="CE4193" s="237" t="s">
        <v>326</v>
      </c>
      <c r="CL4193" s="1789"/>
      <c r="CR4193" s="345"/>
      <c r="CS4193" s="345"/>
      <c r="DH4193" s="237"/>
      <c r="DI4193" s="237"/>
      <c r="DP4193" s="2505"/>
    </row>
    <row r="4194" spans="30:120">
      <c r="AD4194" s="1138"/>
      <c r="BH4194" s="1790"/>
      <c r="BN4194" s="237">
        <v>273.16000000000003</v>
      </c>
      <c r="BO4194" s="237" t="s">
        <v>363</v>
      </c>
      <c r="CD4194" s="345">
        <v>602.07000000000005</v>
      </c>
      <c r="CE4194" s="345" t="s">
        <v>310</v>
      </c>
      <c r="CL4194" s="1789"/>
      <c r="CR4194" s="345"/>
      <c r="CS4194" s="345"/>
      <c r="DH4194" s="237"/>
      <c r="DI4194" s="237"/>
      <c r="DP4194" s="2505"/>
    </row>
    <row r="4195" spans="30:120">
      <c r="AD4195" s="1138"/>
      <c r="BH4195" s="1790"/>
      <c r="BN4195" s="237">
        <v>273.17</v>
      </c>
      <c r="BO4195" s="237" t="s">
        <v>363</v>
      </c>
      <c r="CD4195" s="237">
        <v>602.07000000000005</v>
      </c>
      <c r="CE4195" s="237" t="s">
        <v>326</v>
      </c>
      <c r="CL4195" s="1789"/>
      <c r="CR4195" s="345"/>
      <c r="CS4195" s="345"/>
      <c r="DH4195" s="237"/>
      <c r="DI4195" s="237"/>
      <c r="DP4195" s="2505"/>
    </row>
    <row r="4196" spans="30:120">
      <c r="AD4196" s="1138"/>
      <c r="BH4196" s="1790"/>
      <c r="BN4196" s="237">
        <v>273.18</v>
      </c>
      <c r="BO4196" s="237" t="s">
        <v>363</v>
      </c>
      <c r="CD4196" s="345">
        <v>602.08000000000004</v>
      </c>
      <c r="CE4196" s="345" t="s">
        <v>310</v>
      </c>
      <c r="CL4196" s="1789"/>
      <c r="CR4196" s="345"/>
      <c r="CS4196" s="345"/>
      <c r="DH4196" s="237"/>
      <c r="DI4196" s="237"/>
      <c r="DP4196" s="2505"/>
    </row>
    <row r="4197" spans="30:120">
      <c r="AD4197" s="1138"/>
      <c r="BH4197" s="1790"/>
      <c r="BN4197" s="237">
        <v>273.19</v>
      </c>
      <c r="BO4197" s="237" t="s">
        <v>363</v>
      </c>
      <c r="CD4197" s="237">
        <v>602.08000000000004</v>
      </c>
      <c r="CE4197" s="237" t="s">
        <v>326</v>
      </c>
      <c r="CL4197" s="1789"/>
      <c r="CR4197" s="345"/>
      <c r="CS4197" s="345"/>
      <c r="DH4197" s="237"/>
      <c r="DI4197" s="237"/>
      <c r="DP4197" s="2505"/>
    </row>
    <row r="4198" spans="30:120">
      <c r="AD4198" s="1138"/>
      <c r="BH4198" s="1790"/>
      <c r="BN4198" s="237">
        <v>273.2</v>
      </c>
      <c r="BO4198" s="237" t="s">
        <v>363</v>
      </c>
      <c r="CD4198" s="345">
        <v>602.09</v>
      </c>
      <c r="CE4198" s="345" t="s">
        <v>310</v>
      </c>
      <c r="CL4198" s="1789"/>
      <c r="CR4198" s="345"/>
      <c r="CS4198" s="345"/>
      <c r="DH4198" s="237"/>
      <c r="DI4198" s="237"/>
      <c r="DP4198" s="2505"/>
    </row>
    <row r="4199" spans="30:120">
      <c r="AD4199" s="1138"/>
      <c r="BH4199" s="1790"/>
      <c r="BN4199" s="237">
        <v>273.20999999999998</v>
      </c>
      <c r="BO4199" s="237" t="s">
        <v>363</v>
      </c>
      <c r="CD4199" s="345">
        <v>602.1</v>
      </c>
      <c r="CE4199" s="345" t="s">
        <v>310</v>
      </c>
      <c r="CL4199" s="1789"/>
      <c r="CR4199" s="345"/>
      <c r="CS4199" s="345"/>
      <c r="DH4199" s="237"/>
      <c r="DI4199" s="237"/>
      <c r="DP4199" s="2505"/>
    </row>
    <row r="4200" spans="30:120">
      <c r="AD4200" s="1138"/>
      <c r="BH4200" s="1790"/>
      <c r="BN4200" s="237">
        <v>273.23</v>
      </c>
      <c r="BO4200" s="237" t="s">
        <v>363</v>
      </c>
      <c r="CD4200" s="237">
        <v>602.1</v>
      </c>
      <c r="CE4200" s="237" t="s">
        <v>326</v>
      </c>
      <c r="CL4200" s="1789"/>
      <c r="CR4200" s="345"/>
      <c r="CS4200" s="345"/>
      <c r="DH4200" s="237"/>
      <c r="DI4200" s="237"/>
      <c r="DP4200" s="2505"/>
    </row>
    <row r="4201" spans="30:120">
      <c r="AD4201" s="1138"/>
      <c r="BH4201" s="1790"/>
      <c r="BN4201" s="237">
        <v>273.24</v>
      </c>
      <c r="BO4201" s="237" t="s">
        <v>363</v>
      </c>
      <c r="CD4201" s="345">
        <v>602.11</v>
      </c>
      <c r="CE4201" s="345" t="s">
        <v>310</v>
      </c>
      <c r="CL4201" s="1789"/>
      <c r="CR4201" s="345"/>
      <c r="CS4201" s="345"/>
      <c r="DH4201" s="237"/>
      <c r="DI4201" s="237"/>
      <c r="DP4201" s="2505"/>
    </row>
    <row r="4202" spans="30:120">
      <c r="AD4202" s="1138"/>
      <c r="BH4202" s="1790"/>
      <c r="BN4202" s="237">
        <v>273.25</v>
      </c>
      <c r="BO4202" s="237" t="s">
        <v>363</v>
      </c>
      <c r="CD4202" s="237">
        <v>602.11</v>
      </c>
      <c r="CE4202" s="237" t="s">
        <v>326</v>
      </c>
      <c r="CL4202" s="1789"/>
      <c r="CR4202" s="345"/>
      <c r="CS4202" s="345"/>
      <c r="DH4202" s="237"/>
      <c r="DI4202" s="237"/>
      <c r="DP4202" s="2505"/>
    </row>
    <row r="4203" spans="30:120">
      <c r="AD4203" s="1138"/>
      <c r="BH4203" s="1790"/>
      <c r="BN4203" s="237">
        <v>273.26</v>
      </c>
      <c r="BO4203" s="237" t="s">
        <v>363</v>
      </c>
      <c r="CD4203" s="345">
        <v>602.12</v>
      </c>
      <c r="CE4203" s="345" t="s">
        <v>310</v>
      </c>
      <c r="CL4203" s="1789"/>
      <c r="CR4203" s="345"/>
      <c r="CS4203" s="345"/>
      <c r="DH4203" s="237"/>
      <c r="DI4203" s="237"/>
      <c r="DP4203" s="2505"/>
    </row>
    <row r="4204" spans="30:120">
      <c r="AD4204" s="1138"/>
      <c r="BH4204" s="1790"/>
      <c r="BN4204" s="237">
        <v>273.27</v>
      </c>
      <c r="BO4204" s="237" t="s">
        <v>363</v>
      </c>
      <c r="CD4204" s="237">
        <v>602.12</v>
      </c>
      <c r="CE4204" s="237" t="s">
        <v>326</v>
      </c>
      <c r="CL4204" s="1789"/>
      <c r="CR4204" s="345"/>
      <c r="CS4204" s="345"/>
      <c r="DH4204" s="237"/>
      <c r="DI4204" s="237"/>
      <c r="DP4204" s="2505"/>
    </row>
    <row r="4205" spans="30:120">
      <c r="AD4205" s="1138"/>
      <c r="BH4205" s="1790"/>
      <c r="BN4205" s="237">
        <v>273.27999999999997</v>
      </c>
      <c r="BO4205" s="237" t="s">
        <v>363</v>
      </c>
      <c r="CD4205" s="237">
        <v>602.13</v>
      </c>
      <c r="CE4205" s="237" t="s">
        <v>326</v>
      </c>
      <c r="CL4205" s="1789"/>
      <c r="CR4205" s="345"/>
      <c r="CS4205" s="345"/>
      <c r="DH4205" s="237"/>
      <c r="DI4205" s="237"/>
      <c r="DP4205" s="2505"/>
    </row>
    <row r="4206" spans="30:120">
      <c r="AD4206" s="1138"/>
      <c r="BH4206" s="1790"/>
      <c r="BN4206" s="237">
        <v>273.29000000000002</v>
      </c>
      <c r="BO4206" s="237" t="s">
        <v>363</v>
      </c>
      <c r="CD4206" s="345">
        <v>602.14</v>
      </c>
      <c r="CE4206" s="345" t="s">
        <v>310</v>
      </c>
      <c r="CL4206" s="1789"/>
      <c r="CR4206" s="345"/>
      <c r="CS4206" s="345"/>
      <c r="DH4206" s="237"/>
      <c r="DI4206" s="237"/>
      <c r="DP4206" s="2505"/>
    </row>
    <row r="4207" spans="30:120">
      <c r="AD4207" s="1138"/>
      <c r="BH4207" s="1790"/>
      <c r="BN4207" s="237">
        <v>273.3</v>
      </c>
      <c r="BO4207" s="237" t="s">
        <v>363</v>
      </c>
      <c r="CD4207" s="237">
        <v>602.14</v>
      </c>
      <c r="CE4207" s="237" t="s">
        <v>326</v>
      </c>
      <c r="CL4207" s="1789"/>
      <c r="CR4207" s="345"/>
      <c r="CS4207" s="345"/>
      <c r="DH4207" s="237"/>
      <c r="DI4207" s="237"/>
      <c r="DP4207" s="2505"/>
    </row>
    <row r="4208" spans="30:120">
      <c r="AD4208" s="1138"/>
      <c r="BH4208" s="1790"/>
      <c r="BN4208" s="237">
        <v>273.31</v>
      </c>
      <c r="BO4208" s="237" t="s">
        <v>363</v>
      </c>
      <c r="CD4208" s="345">
        <v>602.15</v>
      </c>
      <c r="CE4208" s="345" t="s">
        <v>310</v>
      </c>
      <c r="CL4208" s="1789"/>
      <c r="CR4208" s="345"/>
      <c r="CS4208" s="345"/>
      <c r="DH4208" s="237"/>
      <c r="DI4208" s="237"/>
      <c r="DP4208" s="2505"/>
    </row>
    <row r="4209" spans="30:120">
      <c r="AD4209" s="1138"/>
      <c r="BH4209" s="1790"/>
      <c r="BN4209" s="237">
        <v>273.32</v>
      </c>
      <c r="BO4209" s="237" t="s">
        <v>363</v>
      </c>
      <c r="CD4209" s="237">
        <v>602.15</v>
      </c>
      <c r="CE4209" s="237" t="s">
        <v>326</v>
      </c>
      <c r="CL4209" s="1789"/>
      <c r="CR4209" s="345"/>
      <c r="CS4209" s="345"/>
      <c r="DH4209" s="237"/>
      <c r="DI4209" s="237"/>
      <c r="DP4209" s="2505"/>
    </row>
    <row r="4210" spans="30:120">
      <c r="AD4210" s="1138"/>
      <c r="BH4210" s="1790"/>
      <c r="BN4210" s="237">
        <v>273.33</v>
      </c>
      <c r="BO4210" s="237" t="s">
        <v>363</v>
      </c>
      <c r="CD4210" s="237">
        <v>602.16</v>
      </c>
      <c r="CE4210" s="237" t="s">
        <v>326</v>
      </c>
      <c r="CL4210" s="1789"/>
      <c r="CR4210" s="345"/>
      <c r="CS4210" s="345"/>
      <c r="DH4210" s="237"/>
      <c r="DI4210" s="237"/>
      <c r="DP4210" s="2505"/>
    </row>
    <row r="4211" spans="30:120">
      <c r="AD4211" s="1138"/>
      <c r="BH4211" s="1790"/>
      <c r="BN4211" s="237">
        <v>274.01</v>
      </c>
      <c r="BO4211" s="237" t="s">
        <v>363</v>
      </c>
      <c r="CD4211" s="237">
        <v>602.16999999999996</v>
      </c>
      <c r="CE4211" s="237" t="s">
        <v>326</v>
      </c>
      <c r="CL4211" s="1789"/>
      <c r="CR4211" s="345"/>
      <c r="CS4211" s="345"/>
      <c r="DH4211" s="237"/>
      <c r="DI4211" s="237"/>
      <c r="DP4211" s="2505"/>
    </row>
    <row r="4212" spans="30:120">
      <c r="AD4212" s="1138"/>
      <c r="BH4212" s="1790"/>
      <c r="BN4212" s="237">
        <v>274.04000000000002</v>
      </c>
      <c r="BO4212" s="237" t="s">
        <v>363</v>
      </c>
      <c r="CD4212" s="237">
        <v>602.17999999999995</v>
      </c>
      <c r="CE4212" s="237" t="s">
        <v>326</v>
      </c>
      <c r="CL4212" s="1789"/>
      <c r="CR4212" s="345"/>
      <c r="CS4212" s="345"/>
      <c r="DH4212" s="237"/>
      <c r="DI4212" s="237"/>
      <c r="DP4212" s="2505"/>
    </row>
    <row r="4213" spans="30:120">
      <c r="AD4213" s="1138"/>
      <c r="BH4213" s="1790"/>
      <c r="BN4213" s="237">
        <v>275.01</v>
      </c>
      <c r="BO4213" s="237" t="s">
        <v>363</v>
      </c>
      <c r="CD4213" s="237">
        <v>602.19000000000005</v>
      </c>
      <c r="CE4213" s="237" t="s">
        <v>326</v>
      </c>
      <c r="CL4213" s="1789"/>
      <c r="CR4213" s="345"/>
      <c r="CS4213" s="345"/>
      <c r="DH4213" s="237"/>
      <c r="DI4213" s="237"/>
      <c r="DP4213" s="2505"/>
    </row>
    <row r="4214" spans="30:120">
      <c r="AD4214" s="1138"/>
      <c r="BH4214" s="1790"/>
      <c r="BN4214" s="237">
        <v>275.02999999999997</v>
      </c>
      <c r="BO4214" s="237" t="s">
        <v>363</v>
      </c>
      <c r="CD4214" s="237">
        <v>602.20000000000005</v>
      </c>
      <c r="CE4214" s="237" t="s">
        <v>326</v>
      </c>
      <c r="CL4214" s="1789"/>
      <c r="CR4214" s="345"/>
      <c r="CS4214" s="345"/>
      <c r="DH4214" s="237"/>
      <c r="DI4214" s="237"/>
      <c r="DP4214" s="2505"/>
    </row>
    <row r="4215" spans="30:120">
      <c r="AD4215" s="1138"/>
      <c r="BH4215" s="1790"/>
      <c r="BN4215" s="237">
        <v>275.04000000000002</v>
      </c>
      <c r="BO4215" s="237" t="s">
        <v>363</v>
      </c>
      <c r="CD4215" s="237">
        <v>603</v>
      </c>
      <c r="CE4215" s="237" t="s">
        <v>344</v>
      </c>
      <c r="CL4215" s="1789"/>
      <c r="CR4215" s="345"/>
      <c r="CS4215" s="345"/>
      <c r="DH4215" s="237"/>
      <c r="DI4215" s="237"/>
      <c r="DP4215" s="2505"/>
    </row>
    <row r="4216" spans="30:120">
      <c r="AD4216" s="1138"/>
      <c r="BH4216" s="1790"/>
      <c r="BN4216" s="237">
        <v>276.02999999999997</v>
      </c>
      <c r="BO4216" s="237" t="s">
        <v>363</v>
      </c>
      <c r="CD4216" s="345">
        <v>603.01</v>
      </c>
      <c r="CE4216" s="345" t="s">
        <v>309</v>
      </c>
      <c r="CL4216" s="1789"/>
      <c r="CR4216" s="345"/>
      <c r="CS4216" s="345"/>
      <c r="DH4216" s="237"/>
      <c r="DI4216" s="237"/>
      <c r="DP4216" s="2505"/>
    </row>
    <row r="4217" spans="30:120">
      <c r="AD4217" s="1138"/>
      <c r="BH4217" s="1790"/>
      <c r="BN4217" s="237">
        <v>276.04000000000002</v>
      </c>
      <c r="BO4217" s="237" t="s">
        <v>363</v>
      </c>
      <c r="CD4217" s="237">
        <v>603.01</v>
      </c>
      <c r="CE4217" s="237" t="s">
        <v>326</v>
      </c>
      <c r="CL4217" s="1789"/>
      <c r="CR4217" s="345"/>
      <c r="CS4217" s="345"/>
      <c r="DH4217" s="237"/>
      <c r="DI4217" s="237"/>
      <c r="DP4217" s="2505"/>
    </row>
    <row r="4218" spans="30:120">
      <c r="AD4218" s="1138"/>
      <c r="BH4218" s="1790"/>
      <c r="BN4218" s="237">
        <v>276.05</v>
      </c>
      <c r="BO4218" s="237" t="s">
        <v>363</v>
      </c>
      <c r="CD4218" s="345">
        <v>603.02</v>
      </c>
      <c r="CE4218" s="345" t="s">
        <v>309</v>
      </c>
      <c r="CL4218" s="1789"/>
      <c r="CR4218" s="345"/>
      <c r="CS4218" s="345"/>
      <c r="DH4218" s="237"/>
      <c r="DI4218" s="237"/>
      <c r="DP4218" s="2505"/>
    </row>
    <row r="4219" spans="30:120">
      <c r="AD4219" s="1138"/>
      <c r="BH4219" s="1790"/>
      <c r="BN4219" s="237">
        <v>276.06</v>
      </c>
      <c r="BO4219" s="237" t="s">
        <v>363</v>
      </c>
      <c r="CD4219" s="345">
        <v>603.02</v>
      </c>
      <c r="CE4219" s="345" t="s">
        <v>310</v>
      </c>
      <c r="CL4219" s="1789"/>
      <c r="CR4219" s="345"/>
      <c r="CS4219" s="345"/>
      <c r="DH4219" s="237"/>
      <c r="DI4219" s="237"/>
      <c r="DP4219" s="2505"/>
    </row>
    <row r="4220" spans="30:120">
      <c r="AD4220" s="1138"/>
      <c r="BH4220" s="1790"/>
      <c r="BN4220" s="237">
        <v>277.01</v>
      </c>
      <c r="BO4220" s="237" t="s">
        <v>363</v>
      </c>
      <c r="CD4220" s="237">
        <v>603.02</v>
      </c>
      <c r="CE4220" s="237" t="s">
        <v>326</v>
      </c>
      <c r="CL4220" s="1789"/>
      <c r="CR4220" s="345"/>
      <c r="CS4220" s="345"/>
      <c r="DH4220" s="237"/>
      <c r="DI4220" s="237"/>
      <c r="DP4220" s="2505"/>
    </row>
    <row r="4221" spans="30:120">
      <c r="AD4221" s="1138"/>
      <c r="BH4221" s="1790"/>
      <c r="BN4221" s="237">
        <v>277.02999999999997</v>
      </c>
      <c r="BO4221" s="237" t="s">
        <v>363</v>
      </c>
      <c r="CD4221" s="345">
        <v>603.03</v>
      </c>
      <c r="CE4221" s="345" t="s">
        <v>310</v>
      </c>
      <c r="CL4221" s="1789"/>
      <c r="CR4221" s="345"/>
      <c r="CS4221" s="345"/>
      <c r="DH4221" s="237"/>
      <c r="DI4221" s="237"/>
      <c r="DP4221" s="2505"/>
    </row>
    <row r="4222" spans="30:120">
      <c r="AD4222" s="1138"/>
      <c r="BH4222" s="1790"/>
      <c r="BN4222" s="237">
        <v>277.04000000000002</v>
      </c>
      <c r="BO4222" s="237" t="s">
        <v>363</v>
      </c>
      <c r="CD4222" s="237">
        <v>603.03</v>
      </c>
      <c r="CE4222" s="237" t="s">
        <v>326</v>
      </c>
      <c r="CL4222" s="1789"/>
      <c r="CR4222" s="345"/>
      <c r="CS4222" s="345"/>
      <c r="DH4222" s="237"/>
      <c r="DI4222" s="237"/>
      <c r="DP4222" s="2505"/>
    </row>
    <row r="4223" spans="30:120">
      <c r="AD4223" s="1138"/>
      <c r="BH4223" s="1790"/>
      <c r="BN4223" s="237">
        <v>278.01</v>
      </c>
      <c r="BO4223" s="237" t="s">
        <v>363</v>
      </c>
      <c r="CD4223" s="345">
        <v>603.04</v>
      </c>
      <c r="CE4223" s="345" t="s">
        <v>310</v>
      </c>
      <c r="CL4223" s="1789"/>
      <c r="CR4223" s="345"/>
      <c r="CS4223" s="345"/>
      <c r="DH4223" s="237"/>
      <c r="DI4223" s="237"/>
      <c r="DP4223" s="2505"/>
    </row>
    <row r="4224" spans="30:120">
      <c r="AD4224" s="1138"/>
      <c r="BH4224" s="1790"/>
      <c r="BN4224" s="237">
        <v>278.02</v>
      </c>
      <c r="BO4224" s="237" t="s">
        <v>363</v>
      </c>
      <c r="CD4224" s="237">
        <v>603.04</v>
      </c>
      <c r="CE4224" s="237" t="s">
        <v>326</v>
      </c>
      <c r="CL4224" s="1789"/>
      <c r="CR4224" s="345"/>
      <c r="CS4224" s="345"/>
      <c r="DH4224" s="237"/>
      <c r="DI4224" s="237"/>
      <c r="DP4224" s="2505"/>
    </row>
    <row r="4225" spans="30:120">
      <c r="AD4225" s="1138"/>
      <c r="BH4225" s="1790"/>
      <c r="BN4225" s="237">
        <v>279.01</v>
      </c>
      <c r="BO4225" s="237" t="s">
        <v>363</v>
      </c>
      <c r="CD4225" s="345">
        <v>603.04999999999995</v>
      </c>
      <c r="CE4225" s="345" t="s">
        <v>310</v>
      </c>
      <c r="CL4225" s="1789"/>
      <c r="CR4225" s="345"/>
      <c r="CS4225" s="345"/>
      <c r="DH4225" s="237"/>
      <c r="DI4225" s="237"/>
      <c r="DP4225" s="2505"/>
    </row>
    <row r="4226" spans="30:120">
      <c r="AD4226" s="1138"/>
      <c r="BH4226" s="1790"/>
      <c r="BN4226" s="237">
        <v>279.05</v>
      </c>
      <c r="BO4226" s="237" t="s">
        <v>363</v>
      </c>
      <c r="CD4226" s="345">
        <v>603.05999999999995</v>
      </c>
      <c r="CE4226" s="345" t="s">
        <v>310</v>
      </c>
      <c r="CL4226" s="1789"/>
      <c r="CR4226" s="345"/>
      <c r="CS4226" s="345"/>
      <c r="DH4226" s="237"/>
      <c r="DI4226" s="237"/>
      <c r="DP4226" s="2505"/>
    </row>
    <row r="4227" spans="30:120">
      <c r="AD4227" s="1138"/>
      <c r="BH4227" s="1790"/>
      <c r="BN4227" s="237">
        <v>280.02</v>
      </c>
      <c r="BO4227" s="237" t="s">
        <v>363</v>
      </c>
      <c r="CD4227" s="345">
        <v>604</v>
      </c>
      <c r="CE4227" s="345" t="s">
        <v>309</v>
      </c>
      <c r="CL4227" s="1789"/>
      <c r="CR4227" s="345"/>
      <c r="CS4227" s="345"/>
      <c r="DH4227" s="237"/>
      <c r="DI4227" s="237"/>
      <c r="DP4227" s="2505"/>
    </row>
    <row r="4228" spans="30:120">
      <c r="AD4228" s="1138"/>
      <c r="BH4228" s="1790"/>
      <c r="BN4228" s="237">
        <v>280.04000000000002</v>
      </c>
      <c r="BO4228" s="237" t="s">
        <v>363</v>
      </c>
      <c r="CD4228" s="345">
        <v>604.01</v>
      </c>
      <c r="CE4228" s="345" t="s">
        <v>310</v>
      </c>
      <c r="CL4228" s="1789"/>
      <c r="CR4228" s="345"/>
      <c r="CS4228" s="345"/>
      <c r="DH4228" s="237"/>
      <c r="DI4228" s="237"/>
      <c r="DP4228" s="2505"/>
    </row>
    <row r="4229" spans="30:120">
      <c r="AD4229" s="1138"/>
      <c r="BH4229" s="1790"/>
      <c r="BN4229" s="237">
        <v>280.05</v>
      </c>
      <c r="BO4229" s="237" t="s">
        <v>363</v>
      </c>
      <c r="CD4229" s="345">
        <v>604.02</v>
      </c>
      <c r="CE4229" s="345" t="s">
        <v>310</v>
      </c>
      <c r="CL4229" s="1789"/>
      <c r="CR4229" s="345"/>
      <c r="CS4229" s="345"/>
      <c r="DH4229" s="237"/>
      <c r="DI4229" s="237"/>
      <c r="DP4229" s="2505"/>
    </row>
    <row r="4230" spans="30:120">
      <c r="AD4230" s="1138"/>
      <c r="BH4230" s="1790"/>
      <c r="BN4230" s="237">
        <v>280.06</v>
      </c>
      <c r="BO4230" s="237" t="s">
        <v>363</v>
      </c>
      <c r="CD4230" s="345">
        <v>604.04</v>
      </c>
      <c r="CE4230" s="345" t="s">
        <v>310</v>
      </c>
      <c r="CL4230" s="1789"/>
      <c r="CR4230" s="345"/>
      <c r="CS4230" s="345"/>
      <c r="DH4230" s="237"/>
      <c r="DI4230" s="237"/>
      <c r="DP4230" s="2505"/>
    </row>
    <row r="4231" spans="30:120">
      <c r="AD4231" s="1138"/>
      <c r="BH4231" s="1790"/>
      <c r="BN4231" s="237">
        <v>281.02</v>
      </c>
      <c r="BO4231" s="237" t="s">
        <v>363</v>
      </c>
      <c r="CD4231" s="345">
        <v>604.04999999999995</v>
      </c>
      <c r="CE4231" s="345" t="s">
        <v>310</v>
      </c>
      <c r="CL4231" s="1789"/>
      <c r="CR4231" s="345"/>
      <c r="CS4231" s="345"/>
      <c r="DH4231" s="237"/>
      <c r="DI4231" s="237"/>
      <c r="DP4231" s="2505"/>
    </row>
    <row r="4232" spans="30:120">
      <c r="AD4232" s="1138"/>
      <c r="BH4232" s="1790"/>
      <c r="BN4232" s="237">
        <v>281.02999999999997</v>
      </c>
      <c r="BO4232" s="237" t="s">
        <v>363</v>
      </c>
      <c r="CD4232" s="345">
        <v>605</v>
      </c>
      <c r="CE4232" s="345" t="s">
        <v>309</v>
      </c>
      <c r="CL4232" s="1789"/>
      <c r="CR4232" s="345"/>
      <c r="CS4232" s="345"/>
      <c r="DH4232" s="237"/>
      <c r="DI4232" s="237"/>
      <c r="DP4232" s="2505"/>
    </row>
    <row r="4233" spans="30:120">
      <c r="AD4233" s="1138"/>
      <c r="BH4233" s="1790"/>
      <c r="BN4233" s="237">
        <v>281.04000000000002</v>
      </c>
      <c r="BO4233" s="237" t="s">
        <v>363</v>
      </c>
      <c r="CD4233" s="345">
        <v>605.01</v>
      </c>
      <c r="CE4233" s="345" t="s">
        <v>310</v>
      </c>
      <c r="CL4233" s="1789"/>
      <c r="CR4233" s="345"/>
      <c r="CS4233" s="345"/>
      <c r="DH4233" s="237"/>
      <c r="DI4233" s="237"/>
      <c r="DP4233" s="2505"/>
    </row>
    <row r="4234" spans="30:120">
      <c r="AD4234" s="1138"/>
      <c r="BH4234" s="1790"/>
      <c r="BN4234" s="237">
        <v>282</v>
      </c>
      <c r="BO4234" s="237" t="s">
        <v>363</v>
      </c>
      <c r="CD4234" s="345">
        <v>605.03</v>
      </c>
      <c r="CE4234" s="345" t="s">
        <v>310</v>
      </c>
      <c r="CL4234" s="1789"/>
      <c r="CR4234" s="345"/>
      <c r="CS4234" s="345"/>
      <c r="DH4234" s="237"/>
      <c r="DI4234" s="237"/>
      <c r="DP4234" s="2505"/>
    </row>
    <row r="4235" spans="30:120">
      <c r="AD4235" s="1138"/>
      <c r="BH4235" s="1790"/>
      <c r="BN4235" s="237">
        <v>283</v>
      </c>
      <c r="BO4235" s="237" t="s">
        <v>363</v>
      </c>
      <c r="CD4235" s="345">
        <v>605.04</v>
      </c>
      <c r="CE4235" s="345" t="s">
        <v>310</v>
      </c>
      <c r="CL4235" s="1789"/>
      <c r="CR4235" s="345"/>
      <c r="CS4235" s="345"/>
      <c r="DH4235" s="237"/>
      <c r="DI4235" s="237"/>
      <c r="DP4235" s="2505"/>
    </row>
    <row r="4236" spans="30:120">
      <c r="AD4236" s="1138"/>
      <c r="BH4236" s="1790"/>
      <c r="BN4236" s="237">
        <v>284.02999999999997</v>
      </c>
      <c r="BO4236" s="237" t="s">
        <v>363</v>
      </c>
      <c r="CD4236" s="345">
        <v>605.04999999999995</v>
      </c>
      <c r="CE4236" s="345" t="s">
        <v>310</v>
      </c>
      <c r="CL4236" s="1789"/>
      <c r="CR4236" s="345"/>
      <c r="CS4236" s="345"/>
      <c r="DH4236" s="237"/>
      <c r="DI4236" s="237"/>
      <c r="DP4236" s="2505"/>
    </row>
    <row r="4237" spans="30:120">
      <c r="AD4237" s="1138"/>
      <c r="BH4237" s="1790"/>
      <c r="BN4237" s="237">
        <v>285</v>
      </c>
      <c r="BO4237" s="237" t="s">
        <v>363</v>
      </c>
      <c r="CD4237" s="345">
        <v>606</v>
      </c>
      <c r="CE4237" s="345" t="s">
        <v>309</v>
      </c>
      <c r="CL4237" s="1789"/>
      <c r="CR4237" s="345"/>
      <c r="CS4237" s="345"/>
      <c r="DH4237" s="237"/>
      <c r="DI4237" s="237"/>
      <c r="DP4237" s="2505"/>
    </row>
    <row r="4238" spans="30:120">
      <c r="AD4238" s="1138"/>
      <c r="BH4238" s="1790"/>
      <c r="BN4238" s="237">
        <v>286.01</v>
      </c>
      <c r="BO4238" s="237" t="s">
        <v>363</v>
      </c>
      <c r="CD4238" s="345">
        <v>606.03</v>
      </c>
      <c r="CE4238" s="345" t="s">
        <v>310</v>
      </c>
      <c r="CL4238" s="1789"/>
      <c r="CR4238" s="345"/>
      <c r="CS4238" s="345"/>
      <c r="DH4238" s="237"/>
      <c r="DI4238" s="237"/>
      <c r="DP4238" s="2505"/>
    </row>
    <row r="4239" spans="30:120">
      <c r="AD4239" s="1138"/>
      <c r="BH4239" s="1790"/>
      <c r="BN4239" s="237">
        <v>286.02</v>
      </c>
      <c r="BO4239" s="237" t="s">
        <v>363</v>
      </c>
      <c r="CD4239" s="345">
        <v>606.04999999999995</v>
      </c>
      <c r="CE4239" s="345" t="s">
        <v>310</v>
      </c>
      <c r="CL4239" s="1789"/>
      <c r="CR4239" s="345"/>
      <c r="CS4239" s="345"/>
      <c r="DH4239" s="237"/>
      <c r="DI4239" s="237"/>
      <c r="DP4239" s="2505"/>
    </row>
    <row r="4240" spans="30:120">
      <c r="AD4240" s="1138"/>
      <c r="BH4240" s="1790"/>
      <c r="BN4240" s="237">
        <v>287</v>
      </c>
      <c r="BO4240" s="237" t="s">
        <v>363</v>
      </c>
      <c r="CD4240" s="345">
        <v>606.05999999999995</v>
      </c>
      <c r="CE4240" s="345" t="s">
        <v>310</v>
      </c>
      <c r="CL4240" s="1789"/>
      <c r="CR4240" s="345"/>
      <c r="CS4240" s="345"/>
      <c r="DH4240" s="237"/>
      <c r="DI4240" s="237"/>
      <c r="DP4240" s="2505"/>
    </row>
    <row r="4241" spans="30:120">
      <c r="AD4241" s="1138"/>
      <c r="BH4241" s="1790"/>
      <c r="BN4241" s="237">
        <v>9900</v>
      </c>
      <c r="BO4241" s="237" t="s">
        <v>363</v>
      </c>
      <c r="CD4241" s="345">
        <v>606.07000000000005</v>
      </c>
      <c r="CE4241" s="345" t="s">
        <v>310</v>
      </c>
      <c r="CL4241" s="1789"/>
      <c r="CR4241" s="345"/>
      <c r="CS4241" s="345"/>
      <c r="DH4241" s="237"/>
      <c r="DI4241" s="237"/>
      <c r="DP4241" s="2505"/>
    </row>
    <row r="4242" spans="30:120">
      <c r="AD4242" s="1138"/>
      <c r="BH4242" s="1790"/>
      <c r="BN4242" s="237">
        <v>9901</v>
      </c>
      <c r="BO4242" s="237" t="s">
        <v>363</v>
      </c>
      <c r="CD4242" s="345">
        <v>606.08000000000004</v>
      </c>
      <c r="CE4242" s="345" t="s">
        <v>310</v>
      </c>
      <c r="CL4242" s="1789"/>
      <c r="CR4242" s="345"/>
      <c r="CS4242" s="345"/>
      <c r="DH4242" s="237"/>
      <c r="DI4242" s="237"/>
      <c r="DP4242" s="2505"/>
    </row>
    <row r="4243" spans="30:120">
      <c r="AD4243" s="1138"/>
      <c r="BH4243" s="1790"/>
      <c r="BN4243" s="237">
        <v>103</v>
      </c>
      <c r="BO4243" s="237" t="s">
        <v>365</v>
      </c>
      <c r="CD4243" s="345">
        <v>606.09</v>
      </c>
      <c r="CE4243" s="345" t="s">
        <v>310</v>
      </c>
      <c r="CL4243" s="1789"/>
      <c r="CR4243" s="345"/>
      <c r="CS4243" s="345"/>
      <c r="DH4243" s="237"/>
      <c r="DI4243" s="237"/>
      <c r="DP4243" s="2505"/>
    </row>
    <row r="4244" spans="30:120">
      <c r="AD4244" s="1138"/>
      <c r="BH4244" s="1790"/>
      <c r="BN4244" s="237">
        <v>104.01</v>
      </c>
      <c r="BO4244" s="237" t="s">
        <v>365</v>
      </c>
      <c r="CD4244" s="345">
        <v>607</v>
      </c>
      <c r="CE4244" s="345" t="s">
        <v>309</v>
      </c>
      <c r="CL4244" s="1789"/>
      <c r="CR4244" s="345"/>
      <c r="CS4244" s="345"/>
      <c r="DH4244" s="237"/>
      <c r="DI4244" s="237"/>
      <c r="DP4244" s="2505"/>
    </row>
    <row r="4245" spans="30:120">
      <c r="AD4245" s="1138"/>
      <c r="BH4245" s="1790"/>
      <c r="BN4245" s="237">
        <v>104.02</v>
      </c>
      <c r="BO4245" s="237" t="s">
        <v>365</v>
      </c>
      <c r="CD4245" s="345">
        <v>607</v>
      </c>
      <c r="CE4245" s="345" t="s">
        <v>310</v>
      </c>
      <c r="CL4245" s="1789"/>
      <c r="CR4245" s="345"/>
      <c r="CS4245" s="345"/>
      <c r="DH4245" s="237"/>
      <c r="DI4245" s="237"/>
      <c r="DP4245" s="2505"/>
    </row>
    <row r="4246" spans="30:120">
      <c r="AD4246" s="1138"/>
      <c r="BH4246" s="1790"/>
      <c r="BN4246" s="237">
        <v>105.01</v>
      </c>
      <c r="BO4246" s="237" t="s">
        <v>365</v>
      </c>
      <c r="CD4246" s="345">
        <v>608.01</v>
      </c>
      <c r="CE4246" s="345" t="s">
        <v>310</v>
      </c>
      <c r="CL4246" s="1789"/>
      <c r="CR4246" s="345"/>
      <c r="CS4246" s="345"/>
      <c r="DH4246" s="237"/>
      <c r="DI4246" s="237"/>
      <c r="DP4246" s="2505"/>
    </row>
    <row r="4247" spans="30:120">
      <c r="AD4247" s="1138"/>
      <c r="BH4247" s="1790"/>
      <c r="BN4247" s="237">
        <v>105.02</v>
      </c>
      <c r="BO4247" s="237" t="s">
        <v>365</v>
      </c>
      <c r="CD4247" s="345">
        <v>608.02</v>
      </c>
      <c r="CE4247" s="345" t="s">
        <v>310</v>
      </c>
      <c r="CL4247" s="1789"/>
      <c r="CR4247" s="345"/>
      <c r="CS4247" s="345"/>
      <c r="DH4247" s="237"/>
      <c r="DI4247" s="237"/>
      <c r="DP4247" s="2505"/>
    </row>
    <row r="4248" spans="30:120">
      <c r="AD4248" s="1138"/>
      <c r="BH4248" s="1790"/>
      <c r="BN4248" s="237">
        <v>106.01</v>
      </c>
      <c r="BO4248" s="237" t="s">
        <v>365</v>
      </c>
      <c r="CD4248" s="345">
        <v>609</v>
      </c>
      <c r="CE4248" s="345" t="s">
        <v>310</v>
      </c>
      <c r="CL4248" s="1789"/>
      <c r="CR4248" s="345"/>
      <c r="CS4248" s="345"/>
      <c r="DH4248" s="237"/>
      <c r="DI4248" s="237"/>
      <c r="DP4248" s="2505"/>
    </row>
    <row r="4249" spans="30:120">
      <c r="AD4249" s="1138"/>
      <c r="BH4249" s="1790"/>
      <c r="BN4249" s="237">
        <v>106.03</v>
      </c>
      <c r="BO4249" s="237" t="s">
        <v>365</v>
      </c>
      <c r="CD4249" s="345">
        <v>610.01</v>
      </c>
      <c r="CE4249" s="345" t="s">
        <v>309</v>
      </c>
      <c r="CL4249" s="1789"/>
      <c r="CR4249" s="345"/>
      <c r="CS4249" s="345"/>
      <c r="DH4249" s="237"/>
      <c r="DI4249" s="237"/>
      <c r="DP4249" s="2505"/>
    </row>
    <row r="4250" spans="30:120">
      <c r="AD4250" s="1138"/>
      <c r="BH4250" s="1790"/>
      <c r="BN4250" s="237">
        <v>106.04</v>
      </c>
      <c r="BO4250" s="237" t="s">
        <v>365</v>
      </c>
      <c r="CD4250" s="345">
        <v>610.01</v>
      </c>
      <c r="CE4250" s="345" t="s">
        <v>310</v>
      </c>
      <c r="CL4250" s="1789"/>
      <c r="CR4250" s="345"/>
      <c r="CS4250" s="345"/>
      <c r="DH4250" s="237"/>
      <c r="DI4250" s="237"/>
      <c r="DP4250" s="2505"/>
    </row>
    <row r="4251" spans="30:120">
      <c r="AD4251" s="1138"/>
      <c r="BH4251" s="1790"/>
      <c r="BN4251" s="237">
        <v>107.01</v>
      </c>
      <c r="BO4251" s="237" t="s">
        <v>365</v>
      </c>
      <c r="CD4251" s="345">
        <v>610.02</v>
      </c>
      <c r="CE4251" s="345" t="s">
        <v>309</v>
      </c>
      <c r="CL4251" s="1789"/>
      <c r="CR4251" s="345"/>
      <c r="CS4251" s="345"/>
      <c r="DH4251" s="237"/>
      <c r="DI4251" s="237"/>
      <c r="DP4251" s="2505"/>
    </row>
    <row r="4252" spans="30:120">
      <c r="AD4252" s="1138"/>
      <c r="BH4252" s="1790"/>
      <c r="BN4252" s="237">
        <v>107.02</v>
      </c>
      <c r="BO4252" s="237" t="s">
        <v>365</v>
      </c>
      <c r="CD4252" s="345">
        <v>610.03</v>
      </c>
      <c r="CE4252" s="345" t="s">
        <v>310</v>
      </c>
      <c r="CL4252" s="1789"/>
      <c r="CR4252" s="345"/>
      <c r="CS4252" s="345"/>
      <c r="DH4252" s="237"/>
      <c r="DI4252" s="237"/>
      <c r="DP4252" s="2505"/>
    </row>
    <row r="4253" spans="30:120">
      <c r="AD4253" s="1138"/>
      <c r="BH4253" s="1790"/>
      <c r="BN4253" s="237">
        <v>108</v>
      </c>
      <c r="BO4253" s="237" t="s">
        <v>365</v>
      </c>
      <c r="CD4253" s="345">
        <v>610.04</v>
      </c>
      <c r="CE4253" s="345" t="s">
        <v>310</v>
      </c>
      <c r="CL4253" s="1789"/>
      <c r="CR4253" s="345"/>
      <c r="CS4253" s="345"/>
      <c r="DH4253" s="237"/>
      <c r="DI4253" s="237"/>
      <c r="DP4253" s="2505"/>
    </row>
    <row r="4254" spans="30:120">
      <c r="AD4254" s="1138"/>
      <c r="BH4254" s="1790"/>
      <c r="BN4254" s="237">
        <v>109</v>
      </c>
      <c r="BO4254" s="237" t="s">
        <v>365</v>
      </c>
      <c r="CD4254" s="345">
        <v>611</v>
      </c>
      <c r="CE4254" s="345" t="s">
        <v>309</v>
      </c>
      <c r="CL4254" s="1789"/>
      <c r="CR4254" s="345"/>
      <c r="CS4254" s="345"/>
      <c r="DH4254" s="237"/>
      <c r="DI4254" s="237"/>
      <c r="DP4254" s="2505"/>
    </row>
    <row r="4255" spans="30:120">
      <c r="AD4255" s="1138"/>
      <c r="BH4255" s="1790"/>
      <c r="BN4255" s="237">
        <v>110</v>
      </c>
      <c r="BO4255" s="237" t="s">
        <v>365</v>
      </c>
      <c r="CD4255" s="345">
        <v>611</v>
      </c>
      <c r="CE4255" s="345" t="s">
        <v>310</v>
      </c>
      <c r="CL4255" s="1789"/>
      <c r="CR4255" s="345"/>
      <c r="CS4255" s="345"/>
      <c r="DH4255" s="237"/>
      <c r="DI4255" s="237"/>
      <c r="DP4255" s="2505"/>
    </row>
    <row r="4256" spans="30:120">
      <c r="AD4256" s="1138"/>
      <c r="BH4256" s="1790"/>
      <c r="BN4256" s="237">
        <v>111</v>
      </c>
      <c r="BO4256" s="237" t="s">
        <v>365</v>
      </c>
      <c r="CD4256" s="345">
        <v>612.01</v>
      </c>
      <c r="CE4256" s="345" t="s">
        <v>309</v>
      </c>
      <c r="CL4256" s="1789"/>
      <c r="CR4256" s="345"/>
      <c r="CS4256" s="345"/>
      <c r="DH4256" s="237"/>
      <c r="DI4256" s="237"/>
      <c r="DP4256" s="2505"/>
    </row>
    <row r="4257" spans="30:120">
      <c r="AD4257" s="1138"/>
      <c r="BH4257" s="1790"/>
      <c r="BN4257" s="237">
        <v>112.02</v>
      </c>
      <c r="BO4257" s="237" t="s">
        <v>365</v>
      </c>
      <c r="CD4257" s="345">
        <v>612.02</v>
      </c>
      <c r="CE4257" s="345" t="s">
        <v>309</v>
      </c>
      <c r="CL4257" s="1789"/>
      <c r="CR4257" s="345"/>
      <c r="CS4257" s="345"/>
      <c r="DH4257" s="237"/>
      <c r="DI4257" s="237"/>
      <c r="DP4257" s="2505"/>
    </row>
    <row r="4258" spans="30:120">
      <c r="AD4258" s="1138"/>
      <c r="BH4258" s="1790"/>
      <c r="BN4258" s="237">
        <v>112.03</v>
      </c>
      <c r="BO4258" s="237" t="s">
        <v>365</v>
      </c>
      <c r="CD4258" s="345">
        <v>621.05999999999995</v>
      </c>
      <c r="CE4258" s="345" t="s">
        <v>309</v>
      </c>
      <c r="CL4258" s="1789"/>
      <c r="CR4258" s="345"/>
      <c r="CS4258" s="345"/>
      <c r="DH4258" s="237"/>
      <c r="DI4258" s="237"/>
      <c r="DP4258" s="2505"/>
    </row>
    <row r="4259" spans="30:120">
      <c r="AD4259" s="1138"/>
      <c r="BH4259" s="1790"/>
      <c r="BN4259" s="237">
        <v>112.04</v>
      </c>
      <c r="BO4259" s="237" t="s">
        <v>365</v>
      </c>
      <c r="CD4259" s="345">
        <v>621.08000000000004</v>
      </c>
      <c r="CE4259" s="345" t="s">
        <v>309</v>
      </c>
      <c r="CL4259" s="1789"/>
      <c r="CR4259" s="345"/>
      <c r="CS4259" s="345"/>
      <c r="DH4259" s="237"/>
      <c r="DI4259" s="237"/>
      <c r="DP4259" s="2505"/>
    </row>
    <row r="4260" spans="30:120">
      <c r="AD4260" s="1138"/>
      <c r="BH4260" s="1790"/>
      <c r="BN4260" s="237">
        <v>113</v>
      </c>
      <c r="BO4260" s="237" t="s">
        <v>365</v>
      </c>
      <c r="CD4260" s="345">
        <v>621.09</v>
      </c>
      <c r="CE4260" s="345" t="s">
        <v>309</v>
      </c>
      <c r="CL4260" s="1789"/>
      <c r="CR4260" s="345"/>
      <c r="CS4260" s="345"/>
      <c r="DH4260" s="237"/>
      <c r="DI4260" s="237"/>
      <c r="DP4260" s="2505"/>
    </row>
    <row r="4261" spans="30:120">
      <c r="AD4261" s="1138"/>
      <c r="BH4261" s="1790"/>
      <c r="BN4261" s="237">
        <v>114</v>
      </c>
      <c r="BO4261" s="237" t="s">
        <v>365</v>
      </c>
      <c r="CD4261" s="345">
        <v>621.1</v>
      </c>
      <c r="CE4261" s="345" t="s">
        <v>309</v>
      </c>
      <c r="CL4261" s="1789"/>
      <c r="CR4261" s="345"/>
      <c r="CS4261" s="345"/>
      <c r="DH4261" s="237"/>
      <c r="DI4261" s="237"/>
      <c r="DP4261" s="2505"/>
    </row>
    <row r="4262" spans="30:120">
      <c r="AD4262" s="1138"/>
      <c r="BH4262" s="1790"/>
      <c r="BN4262" s="237">
        <v>115.01</v>
      </c>
      <c r="BO4262" s="237" t="s">
        <v>365</v>
      </c>
      <c r="CD4262" s="345">
        <v>621.11</v>
      </c>
      <c r="CE4262" s="345" t="s">
        <v>309</v>
      </c>
      <c r="CL4262" s="1789"/>
      <c r="CR4262" s="345"/>
      <c r="CS4262" s="345"/>
      <c r="DH4262" s="237"/>
      <c r="DI4262" s="237"/>
      <c r="DP4262" s="2505"/>
    </row>
    <row r="4263" spans="30:120">
      <c r="AD4263" s="1138"/>
      <c r="BH4263" s="1790"/>
      <c r="BN4263" s="237">
        <v>115.02</v>
      </c>
      <c r="BO4263" s="237" t="s">
        <v>365</v>
      </c>
      <c r="CD4263" s="345">
        <v>621.12</v>
      </c>
      <c r="CE4263" s="345" t="s">
        <v>309</v>
      </c>
      <c r="CL4263" s="1789"/>
      <c r="CR4263" s="345"/>
      <c r="CS4263" s="345"/>
      <c r="DH4263" s="237"/>
      <c r="DI4263" s="237"/>
      <c r="DP4263" s="2505"/>
    </row>
    <row r="4264" spans="30:120">
      <c r="AD4264" s="1138"/>
      <c r="BH4264" s="1790"/>
      <c r="BN4264" s="237">
        <v>116.03</v>
      </c>
      <c r="BO4264" s="237" t="s">
        <v>365</v>
      </c>
      <c r="CD4264" s="345">
        <v>621.13</v>
      </c>
      <c r="CE4264" s="345" t="s">
        <v>309</v>
      </c>
      <c r="CL4264" s="1789"/>
      <c r="CR4264" s="345"/>
      <c r="CS4264" s="345"/>
      <c r="DH4264" s="237"/>
      <c r="DI4264" s="237"/>
      <c r="DP4264" s="2505"/>
    </row>
    <row r="4265" spans="30:120">
      <c r="AD4265" s="1138"/>
      <c r="BH4265" s="1790"/>
      <c r="BN4265" s="237">
        <v>116.04</v>
      </c>
      <c r="BO4265" s="237" t="s">
        <v>365</v>
      </c>
      <c r="CD4265" s="345">
        <v>621.14</v>
      </c>
      <c r="CE4265" s="345" t="s">
        <v>309</v>
      </c>
      <c r="CL4265" s="1789"/>
      <c r="CR4265" s="345"/>
      <c r="CS4265" s="345"/>
      <c r="DH4265" s="237"/>
      <c r="DI4265" s="237"/>
      <c r="DP4265" s="2505"/>
    </row>
    <row r="4266" spans="30:120">
      <c r="AD4266" s="1138"/>
      <c r="BH4266" s="1790"/>
      <c r="BN4266" s="237">
        <v>116.05</v>
      </c>
      <c r="BO4266" s="237" t="s">
        <v>365</v>
      </c>
      <c r="CD4266" s="345">
        <v>621.15</v>
      </c>
      <c r="CE4266" s="345" t="s">
        <v>309</v>
      </c>
      <c r="CL4266" s="1789"/>
      <c r="CR4266" s="345"/>
      <c r="CS4266" s="345"/>
      <c r="DH4266" s="237"/>
      <c r="DI4266" s="237"/>
      <c r="DP4266" s="2505"/>
    </row>
    <row r="4267" spans="30:120">
      <c r="AD4267" s="1138"/>
      <c r="BH4267" s="1790"/>
      <c r="BN4267" s="237">
        <v>116.06</v>
      </c>
      <c r="BO4267" s="237" t="s">
        <v>365</v>
      </c>
      <c r="CD4267" s="345">
        <v>623.01</v>
      </c>
      <c r="CE4267" s="345" t="s">
        <v>309</v>
      </c>
      <c r="CL4267" s="1789"/>
      <c r="CR4267" s="345"/>
      <c r="CS4267" s="345"/>
      <c r="DH4267" s="237"/>
      <c r="DI4267" s="237"/>
      <c r="DP4267" s="2505"/>
    </row>
    <row r="4268" spans="30:120">
      <c r="AD4268" s="1138"/>
      <c r="BH4268" s="1790"/>
      <c r="BN4268" s="237">
        <v>117.04</v>
      </c>
      <c r="BO4268" s="237" t="s">
        <v>365</v>
      </c>
      <c r="CD4268" s="345">
        <v>623.02</v>
      </c>
      <c r="CE4268" s="345" t="s">
        <v>309</v>
      </c>
      <c r="CL4268" s="1789"/>
      <c r="CR4268" s="345"/>
      <c r="CS4268" s="345"/>
      <c r="DH4268" s="237"/>
      <c r="DI4268" s="237"/>
      <c r="DP4268" s="2505"/>
    </row>
    <row r="4269" spans="30:120">
      <c r="AD4269" s="1138"/>
      <c r="BH4269" s="1790"/>
      <c r="BN4269" s="237">
        <v>117.21</v>
      </c>
      <c r="BO4269" s="237" t="s">
        <v>365</v>
      </c>
      <c r="CD4269" s="345">
        <v>624.01</v>
      </c>
      <c r="CE4269" s="345" t="s">
        <v>309</v>
      </c>
      <c r="CL4269" s="1789"/>
      <c r="CR4269" s="345"/>
      <c r="CS4269" s="345"/>
      <c r="DH4269" s="237"/>
      <c r="DI4269" s="237"/>
      <c r="DP4269" s="2505"/>
    </row>
    <row r="4270" spans="30:120">
      <c r="AD4270" s="1138"/>
      <c r="BH4270" s="1790"/>
      <c r="BN4270" s="237">
        <v>117.22</v>
      </c>
      <c r="BO4270" s="237" t="s">
        <v>365</v>
      </c>
      <c r="CD4270" s="345">
        <v>624.02</v>
      </c>
      <c r="CE4270" s="345" t="s">
        <v>309</v>
      </c>
      <c r="CL4270" s="1789"/>
      <c r="CR4270" s="345"/>
      <c r="CS4270" s="345"/>
      <c r="DH4270" s="237"/>
      <c r="DI4270" s="237"/>
      <c r="DP4270" s="2505"/>
    </row>
    <row r="4271" spans="30:120">
      <c r="AD4271" s="1138"/>
      <c r="BH4271" s="1790"/>
      <c r="BN4271" s="237">
        <v>117.31</v>
      </c>
      <c r="BO4271" s="237" t="s">
        <v>365</v>
      </c>
      <c r="CD4271" s="345">
        <v>625</v>
      </c>
      <c r="CE4271" s="345" t="s">
        <v>309</v>
      </c>
      <c r="CL4271" s="1789"/>
      <c r="CR4271" s="345"/>
      <c r="CS4271" s="345"/>
      <c r="DH4271" s="237"/>
      <c r="DI4271" s="237"/>
      <c r="DP4271" s="2505"/>
    </row>
    <row r="4272" spans="30:120">
      <c r="AD4272" s="1138"/>
      <c r="BH4272" s="1790"/>
      <c r="BN4272" s="237">
        <v>117.32</v>
      </c>
      <c r="BO4272" s="237" t="s">
        <v>365</v>
      </c>
      <c r="CD4272" s="345">
        <v>626</v>
      </c>
      <c r="CE4272" s="345" t="s">
        <v>309</v>
      </c>
      <c r="CL4272" s="1789"/>
      <c r="CR4272" s="345"/>
      <c r="CS4272" s="345"/>
      <c r="DH4272" s="237"/>
      <c r="DI4272" s="237"/>
      <c r="DP4272" s="2505"/>
    </row>
    <row r="4273" spans="30:120">
      <c r="AD4273" s="1138"/>
      <c r="BH4273" s="1790"/>
      <c r="BN4273" s="237">
        <v>118.21</v>
      </c>
      <c r="BO4273" s="237" t="s">
        <v>365</v>
      </c>
      <c r="CD4273" s="345">
        <v>628</v>
      </c>
      <c r="CE4273" s="345" t="s">
        <v>309</v>
      </c>
      <c r="CL4273" s="1789"/>
      <c r="CR4273" s="345"/>
      <c r="CS4273" s="345"/>
      <c r="DH4273" s="237"/>
      <c r="DI4273" s="237"/>
      <c r="DP4273" s="2505"/>
    </row>
    <row r="4274" spans="30:120">
      <c r="AD4274" s="1138"/>
      <c r="BH4274" s="1790"/>
      <c r="BN4274" s="237">
        <v>118.22</v>
      </c>
      <c r="BO4274" s="237" t="s">
        <v>365</v>
      </c>
      <c r="CD4274" s="345">
        <v>629</v>
      </c>
      <c r="CE4274" s="345" t="s">
        <v>309</v>
      </c>
      <c r="CL4274" s="1789"/>
      <c r="CR4274" s="345"/>
      <c r="CS4274" s="345"/>
      <c r="DH4274" s="237"/>
      <c r="DI4274" s="237"/>
      <c r="DP4274" s="2505"/>
    </row>
    <row r="4275" spans="30:120">
      <c r="AD4275" s="1138"/>
      <c r="BH4275" s="1790"/>
      <c r="BN4275" s="237">
        <v>118.32</v>
      </c>
      <c r="BO4275" s="237" t="s">
        <v>365</v>
      </c>
      <c r="CD4275" s="345">
        <v>630</v>
      </c>
      <c r="CE4275" s="345" t="s">
        <v>309</v>
      </c>
      <c r="CL4275" s="1789"/>
      <c r="CR4275" s="345"/>
      <c r="CS4275" s="345"/>
      <c r="DH4275" s="237"/>
      <c r="DI4275" s="237"/>
      <c r="DP4275" s="2505"/>
    </row>
    <row r="4276" spans="30:120">
      <c r="AD4276" s="1138"/>
      <c r="BH4276" s="1790"/>
      <c r="BN4276" s="237">
        <v>118.34</v>
      </c>
      <c r="BO4276" s="237" t="s">
        <v>365</v>
      </c>
      <c r="CD4276" s="345">
        <v>631.02</v>
      </c>
      <c r="CE4276" s="345" t="s">
        <v>309</v>
      </c>
      <c r="CL4276" s="1789"/>
      <c r="CR4276" s="345"/>
      <c r="CS4276" s="345"/>
      <c r="DH4276" s="237"/>
      <c r="DI4276" s="237"/>
      <c r="DP4276" s="2505"/>
    </row>
    <row r="4277" spans="30:120">
      <c r="AD4277" s="1138"/>
      <c r="BH4277" s="1790"/>
      <c r="BN4277" s="237">
        <v>118.35</v>
      </c>
      <c r="BO4277" s="237" t="s">
        <v>365</v>
      </c>
      <c r="CD4277" s="345">
        <v>631.04</v>
      </c>
      <c r="CE4277" s="345" t="s">
        <v>309</v>
      </c>
      <c r="CL4277" s="1789"/>
      <c r="CR4277" s="345"/>
      <c r="CS4277" s="345"/>
      <c r="DH4277" s="237"/>
      <c r="DI4277" s="237"/>
      <c r="DP4277" s="2505"/>
    </row>
    <row r="4278" spans="30:120">
      <c r="AD4278" s="1138"/>
      <c r="BH4278" s="1790"/>
      <c r="BN4278" s="237">
        <v>118.36</v>
      </c>
      <c r="BO4278" s="237" t="s">
        <v>365</v>
      </c>
      <c r="CD4278" s="345">
        <v>631.04999999999995</v>
      </c>
      <c r="CE4278" s="345" t="s">
        <v>309</v>
      </c>
      <c r="CL4278" s="1789"/>
      <c r="CR4278" s="345"/>
      <c r="CS4278" s="345"/>
      <c r="DH4278" s="237"/>
      <c r="DI4278" s="237"/>
      <c r="DP4278" s="2505"/>
    </row>
    <row r="4279" spans="30:120">
      <c r="AD4279" s="1138"/>
      <c r="BH4279" s="1790"/>
      <c r="BN4279" s="237">
        <v>118.37</v>
      </c>
      <c r="BO4279" s="237" t="s">
        <v>365</v>
      </c>
      <c r="CD4279" s="345">
        <v>631.05999999999995</v>
      </c>
      <c r="CE4279" s="345" t="s">
        <v>309</v>
      </c>
      <c r="CL4279" s="1789"/>
      <c r="CR4279" s="345"/>
      <c r="CS4279" s="345"/>
      <c r="DH4279" s="237"/>
      <c r="DI4279" s="237"/>
      <c r="DP4279" s="2505"/>
    </row>
    <row r="4280" spans="30:120">
      <c r="AD4280" s="1138"/>
      <c r="BH4280" s="1790"/>
      <c r="BN4280" s="237">
        <v>118.38</v>
      </c>
      <c r="BO4280" s="237" t="s">
        <v>365</v>
      </c>
      <c r="CD4280" s="345">
        <v>631.08000000000004</v>
      </c>
      <c r="CE4280" s="345" t="s">
        <v>309</v>
      </c>
      <c r="CL4280" s="1789"/>
      <c r="CR4280" s="345"/>
      <c r="CS4280" s="345"/>
      <c r="DH4280" s="237"/>
      <c r="DI4280" s="237"/>
      <c r="DP4280" s="2505"/>
    </row>
    <row r="4281" spans="30:120">
      <c r="AD4281" s="1138"/>
      <c r="BH4281" s="1790"/>
      <c r="BN4281" s="237">
        <v>119.01</v>
      </c>
      <c r="BO4281" s="237" t="s">
        <v>365</v>
      </c>
      <c r="CD4281" s="345">
        <v>631.09</v>
      </c>
      <c r="CE4281" s="345" t="s">
        <v>309</v>
      </c>
      <c r="CL4281" s="1789"/>
      <c r="CR4281" s="345"/>
      <c r="CS4281" s="345"/>
      <c r="DH4281" s="237"/>
      <c r="DI4281" s="237"/>
      <c r="DP4281" s="2505"/>
    </row>
    <row r="4282" spans="30:120">
      <c r="AD4282" s="1138"/>
      <c r="BH4282" s="1790"/>
      <c r="BN4282" s="237">
        <v>119.02</v>
      </c>
      <c r="BO4282" s="237" t="s">
        <v>365</v>
      </c>
      <c r="CD4282" s="345">
        <v>641.02</v>
      </c>
      <c r="CE4282" s="345" t="s">
        <v>309</v>
      </c>
      <c r="CL4282" s="1789"/>
      <c r="CR4282" s="345"/>
      <c r="CS4282" s="345"/>
      <c r="DH4282" s="237"/>
      <c r="DI4282" s="237"/>
      <c r="DP4282" s="2505"/>
    </row>
    <row r="4283" spans="30:120">
      <c r="AD4283" s="1138"/>
      <c r="BH4283" s="1790"/>
      <c r="BN4283" s="237">
        <v>119.08</v>
      </c>
      <c r="BO4283" s="237" t="s">
        <v>365</v>
      </c>
      <c r="CD4283" s="345">
        <v>641.23</v>
      </c>
      <c r="CE4283" s="345" t="s">
        <v>309</v>
      </c>
      <c r="CL4283" s="1789"/>
      <c r="CR4283" s="345"/>
      <c r="CS4283" s="345"/>
      <c r="DH4283" s="237"/>
      <c r="DI4283" s="237"/>
      <c r="DP4283" s="2505"/>
    </row>
    <row r="4284" spans="30:120">
      <c r="AD4284" s="1138"/>
      <c r="BH4284" s="1790"/>
      <c r="BN4284" s="237">
        <v>119.09</v>
      </c>
      <c r="BO4284" s="237" t="s">
        <v>365</v>
      </c>
      <c r="CD4284" s="345">
        <v>641.24</v>
      </c>
      <c r="CE4284" s="345" t="s">
        <v>309</v>
      </c>
      <c r="CL4284" s="1789"/>
      <c r="CR4284" s="345"/>
      <c r="CS4284" s="345"/>
      <c r="DH4284" s="237"/>
      <c r="DI4284" s="237"/>
      <c r="DP4284" s="2505"/>
    </row>
    <row r="4285" spans="30:120">
      <c r="AD4285" s="1138"/>
      <c r="BH4285" s="1790"/>
      <c r="BN4285" s="237">
        <v>119.1</v>
      </c>
      <c r="BO4285" s="237" t="s">
        <v>365</v>
      </c>
      <c r="CD4285" s="345">
        <v>641.26</v>
      </c>
      <c r="CE4285" s="345" t="s">
        <v>309</v>
      </c>
      <c r="CL4285" s="1789"/>
      <c r="CR4285" s="345"/>
      <c r="CS4285" s="345"/>
      <c r="DH4285" s="237"/>
      <c r="DI4285" s="237"/>
      <c r="DP4285" s="2505"/>
    </row>
    <row r="4286" spans="30:120">
      <c r="AD4286" s="1138"/>
      <c r="BH4286" s="1790"/>
      <c r="BN4286" s="237">
        <v>119.11</v>
      </c>
      <c r="BO4286" s="237" t="s">
        <v>365</v>
      </c>
      <c r="CD4286" s="345">
        <v>641.27</v>
      </c>
      <c r="CE4286" s="345" t="s">
        <v>309</v>
      </c>
      <c r="CL4286" s="1789"/>
      <c r="CR4286" s="345"/>
      <c r="CS4286" s="345"/>
      <c r="DH4286" s="237"/>
      <c r="DI4286" s="237"/>
      <c r="DP4286" s="2505"/>
    </row>
    <row r="4287" spans="30:120">
      <c r="AD4287" s="1138"/>
      <c r="BH4287" s="1790"/>
      <c r="BN4287" s="237">
        <v>119.12</v>
      </c>
      <c r="BO4287" s="237" t="s">
        <v>365</v>
      </c>
      <c r="CD4287" s="345">
        <v>641.28</v>
      </c>
      <c r="CE4287" s="345" t="s">
        <v>309</v>
      </c>
      <c r="CL4287" s="1789"/>
      <c r="CR4287" s="345"/>
      <c r="CS4287" s="345"/>
      <c r="DH4287" s="237"/>
      <c r="DI4287" s="237"/>
      <c r="DP4287" s="2505"/>
    </row>
    <row r="4288" spans="30:120">
      <c r="AD4288" s="1138"/>
      <c r="BH4288" s="1790"/>
      <c r="BN4288" s="237">
        <v>119.13</v>
      </c>
      <c r="BO4288" s="237" t="s">
        <v>365</v>
      </c>
      <c r="CD4288" s="345">
        <v>641.29</v>
      </c>
      <c r="CE4288" s="345" t="s">
        <v>309</v>
      </c>
      <c r="CL4288" s="1789"/>
      <c r="CR4288" s="345"/>
      <c r="CS4288" s="345"/>
      <c r="DH4288" s="237"/>
      <c r="DI4288" s="237"/>
      <c r="DP4288" s="2505"/>
    </row>
    <row r="4289" spans="30:120">
      <c r="AD4289" s="1138"/>
      <c r="BH4289" s="1790"/>
      <c r="BN4289" s="237">
        <v>120.01</v>
      </c>
      <c r="BO4289" s="237" t="s">
        <v>365</v>
      </c>
      <c r="CD4289" s="345">
        <v>641.29999999999995</v>
      </c>
      <c r="CE4289" s="345" t="s">
        <v>309</v>
      </c>
      <c r="CL4289" s="1789"/>
      <c r="CR4289" s="345"/>
      <c r="CS4289" s="345"/>
      <c r="DH4289" s="237"/>
      <c r="DI4289" s="237"/>
      <c r="DP4289" s="2505"/>
    </row>
    <row r="4290" spans="30:120">
      <c r="AD4290" s="1138"/>
      <c r="BH4290" s="1790"/>
      <c r="BN4290" s="237">
        <v>120.02</v>
      </c>
      <c r="BO4290" s="237" t="s">
        <v>365</v>
      </c>
      <c r="CD4290" s="345">
        <v>642.01</v>
      </c>
      <c r="CE4290" s="345" t="s">
        <v>309</v>
      </c>
      <c r="CL4290" s="1789"/>
      <c r="CR4290" s="345"/>
      <c r="CS4290" s="345"/>
      <c r="DH4290" s="237"/>
      <c r="DI4290" s="237"/>
      <c r="DP4290" s="2505"/>
    </row>
    <row r="4291" spans="30:120">
      <c r="AD4291" s="1138"/>
      <c r="BH4291" s="1790"/>
      <c r="BN4291" s="237">
        <v>120.03</v>
      </c>
      <c r="BO4291" s="237" t="s">
        <v>365</v>
      </c>
      <c r="CD4291" s="345">
        <v>642.02</v>
      </c>
      <c r="CE4291" s="345" t="s">
        <v>309</v>
      </c>
      <c r="CL4291" s="1789"/>
      <c r="CR4291" s="345"/>
      <c r="CS4291" s="345"/>
      <c r="DH4291" s="237"/>
      <c r="DI4291" s="237"/>
      <c r="DP4291" s="2505"/>
    </row>
    <row r="4292" spans="30:120">
      <c r="AD4292" s="1138"/>
      <c r="BH4292" s="1790"/>
      <c r="BN4292" s="237">
        <v>120.04</v>
      </c>
      <c r="BO4292" s="237" t="s">
        <v>365</v>
      </c>
      <c r="CD4292" s="345">
        <v>643.01</v>
      </c>
      <c r="CE4292" s="345" t="s">
        <v>309</v>
      </c>
      <c r="CL4292" s="1789"/>
      <c r="CR4292" s="345"/>
      <c r="CS4292" s="345"/>
      <c r="DH4292" s="237"/>
      <c r="DI4292" s="237"/>
      <c r="DP4292" s="2505"/>
    </row>
    <row r="4293" spans="30:120">
      <c r="AD4293" s="1138"/>
      <c r="BH4293" s="1790"/>
      <c r="BN4293" s="237">
        <v>121.13</v>
      </c>
      <c r="BO4293" s="237" t="s">
        <v>365</v>
      </c>
      <c r="CD4293" s="345">
        <v>643.02</v>
      </c>
      <c r="CE4293" s="345" t="s">
        <v>309</v>
      </c>
      <c r="CL4293" s="1789"/>
      <c r="CR4293" s="345"/>
      <c r="CS4293" s="345"/>
      <c r="DH4293" s="237"/>
      <c r="DI4293" s="237"/>
      <c r="DP4293" s="2505"/>
    </row>
    <row r="4294" spans="30:120">
      <c r="AD4294" s="1138"/>
      <c r="BH4294" s="1790"/>
      <c r="BN4294" s="237">
        <v>121.24</v>
      </c>
      <c r="BO4294" s="237" t="s">
        <v>365</v>
      </c>
      <c r="CD4294" s="345">
        <v>644</v>
      </c>
      <c r="CE4294" s="345" t="s">
        <v>309</v>
      </c>
      <c r="CL4294" s="1789"/>
      <c r="CR4294" s="345"/>
      <c r="CS4294" s="345"/>
      <c r="DH4294" s="237"/>
      <c r="DI4294" s="237"/>
      <c r="DP4294" s="2505"/>
    </row>
    <row r="4295" spans="30:120">
      <c r="AD4295" s="1138"/>
      <c r="BH4295" s="1790"/>
      <c r="BN4295" s="237">
        <v>121.25</v>
      </c>
      <c r="BO4295" s="237" t="s">
        <v>365</v>
      </c>
      <c r="CD4295" s="345">
        <v>645</v>
      </c>
      <c r="CE4295" s="345" t="s">
        <v>309</v>
      </c>
      <c r="CL4295" s="1789"/>
      <c r="CR4295" s="345"/>
      <c r="CS4295" s="345"/>
      <c r="DH4295" s="237"/>
      <c r="DI4295" s="237"/>
      <c r="DP4295" s="2505"/>
    </row>
    <row r="4296" spans="30:120">
      <c r="AD4296" s="1138"/>
      <c r="BH4296" s="1790"/>
      <c r="BN4296" s="237">
        <v>121.26</v>
      </c>
      <c r="BO4296" s="237" t="s">
        <v>365</v>
      </c>
      <c r="CD4296" s="345">
        <v>646.01</v>
      </c>
      <c r="CE4296" s="345" t="s">
        <v>309</v>
      </c>
      <c r="CL4296" s="1789"/>
      <c r="CR4296" s="345"/>
      <c r="CS4296" s="345"/>
      <c r="DH4296" s="237"/>
      <c r="DI4296" s="237"/>
      <c r="DP4296" s="2505"/>
    </row>
    <row r="4297" spans="30:120">
      <c r="AD4297" s="1138"/>
      <c r="BH4297" s="1790"/>
      <c r="BN4297" s="237">
        <v>121.27</v>
      </c>
      <c r="BO4297" s="237" t="s">
        <v>365</v>
      </c>
      <c r="CD4297" s="345">
        <v>646.02</v>
      </c>
      <c r="CE4297" s="345" t="s">
        <v>309</v>
      </c>
      <c r="CL4297" s="1789"/>
      <c r="CR4297" s="345"/>
      <c r="CS4297" s="345"/>
      <c r="DH4297" s="237"/>
      <c r="DI4297" s="237"/>
      <c r="DP4297" s="2505"/>
    </row>
    <row r="4298" spans="30:120">
      <c r="AD4298" s="1138"/>
      <c r="BH4298" s="1790"/>
      <c r="BN4298" s="237">
        <v>121.28</v>
      </c>
      <c r="BO4298" s="237" t="s">
        <v>365</v>
      </c>
      <c r="CD4298" s="345">
        <v>647.01</v>
      </c>
      <c r="CE4298" s="345" t="s">
        <v>309</v>
      </c>
      <c r="CL4298" s="1789"/>
      <c r="CR4298" s="345"/>
      <c r="CS4298" s="345"/>
      <c r="DH4298" s="237"/>
      <c r="DI4298" s="237"/>
      <c r="DP4298" s="2505"/>
    </row>
    <row r="4299" spans="30:120">
      <c r="AD4299" s="1138"/>
      <c r="BH4299" s="1790"/>
      <c r="BN4299" s="237">
        <v>121.3</v>
      </c>
      <c r="BO4299" s="237" t="s">
        <v>365</v>
      </c>
      <c r="CD4299" s="345">
        <v>647.02</v>
      </c>
      <c r="CE4299" s="345" t="s">
        <v>309</v>
      </c>
      <c r="CL4299" s="1789"/>
      <c r="CR4299" s="345"/>
      <c r="CS4299" s="345"/>
      <c r="DH4299" s="237"/>
      <c r="DI4299" s="237"/>
      <c r="DP4299" s="2505"/>
    </row>
    <row r="4300" spans="30:120">
      <c r="AD4300" s="1138"/>
      <c r="BH4300" s="1790"/>
      <c r="BN4300" s="237">
        <v>121.31</v>
      </c>
      <c r="BO4300" s="237" t="s">
        <v>365</v>
      </c>
      <c r="CD4300" s="345">
        <v>648</v>
      </c>
      <c r="CE4300" s="345" t="s">
        <v>309</v>
      </c>
      <c r="CL4300" s="1789"/>
      <c r="CR4300" s="345"/>
      <c r="CS4300" s="345"/>
      <c r="DH4300" s="237"/>
      <c r="DI4300" s="237"/>
      <c r="DP4300" s="2505"/>
    </row>
    <row r="4301" spans="30:120">
      <c r="AD4301" s="1138"/>
      <c r="BH4301" s="1790"/>
      <c r="BN4301" s="237">
        <v>121.32</v>
      </c>
      <c r="BO4301" s="237" t="s">
        <v>365</v>
      </c>
      <c r="CD4301" s="345">
        <v>649.01</v>
      </c>
      <c r="CE4301" s="345" t="s">
        <v>309</v>
      </c>
      <c r="CL4301" s="1789"/>
      <c r="CR4301" s="345"/>
      <c r="CS4301" s="345"/>
      <c r="DH4301" s="237"/>
      <c r="DI4301" s="237"/>
      <c r="DP4301" s="2505"/>
    </row>
    <row r="4302" spans="30:120">
      <c r="AD4302" s="1138"/>
      <c r="BH4302" s="1790"/>
      <c r="BN4302" s="237">
        <v>121.33</v>
      </c>
      <c r="BO4302" s="237" t="s">
        <v>365</v>
      </c>
      <c r="CD4302" s="345">
        <v>649.02</v>
      </c>
      <c r="CE4302" s="345" t="s">
        <v>309</v>
      </c>
      <c r="CL4302" s="1789"/>
      <c r="CR4302" s="345"/>
      <c r="CS4302" s="345"/>
      <c r="DH4302" s="237"/>
      <c r="DI4302" s="237"/>
      <c r="DP4302" s="2505"/>
    </row>
    <row r="4303" spans="30:120">
      <c r="AD4303" s="1138"/>
      <c r="BH4303" s="1790"/>
      <c r="BN4303" s="237">
        <v>122.03</v>
      </c>
      <c r="BO4303" s="237" t="s">
        <v>365</v>
      </c>
      <c r="CD4303" s="345">
        <v>650.01</v>
      </c>
      <c r="CE4303" s="345" t="s">
        <v>309</v>
      </c>
      <c r="CL4303" s="1789"/>
      <c r="CR4303" s="345"/>
      <c r="CS4303" s="345"/>
      <c r="DH4303" s="237"/>
      <c r="DI4303" s="237"/>
      <c r="DP4303" s="2505"/>
    </row>
    <row r="4304" spans="30:120">
      <c r="AD4304" s="1138"/>
      <c r="BH4304" s="1790"/>
      <c r="BN4304" s="237">
        <v>122.07</v>
      </c>
      <c r="BO4304" s="237" t="s">
        <v>365</v>
      </c>
      <c r="CD4304" s="345">
        <v>650.22</v>
      </c>
      <c r="CE4304" s="345" t="s">
        <v>309</v>
      </c>
      <c r="CL4304" s="1789"/>
      <c r="CR4304" s="345"/>
      <c r="CS4304" s="345"/>
      <c r="DH4304" s="237"/>
      <c r="DI4304" s="237"/>
      <c r="DP4304" s="2505"/>
    </row>
    <row r="4305" spans="30:120">
      <c r="AD4305" s="1138"/>
      <c r="BH4305" s="1790"/>
      <c r="BN4305" s="237">
        <v>122.08</v>
      </c>
      <c r="BO4305" s="237" t="s">
        <v>365</v>
      </c>
      <c r="CD4305" s="345">
        <v>650.23</v>
      </c>
      <c r="CE4305" s="345" t="s">
        <v>309</v>
      </c>
      <c r="CL4305" s="1789"/>
      <c r="CR4305" s="345"/>
      <c r="CS4305" s="345"/>
      <c r="DH4305" s="237"/>
      <c r="DI4305" s="237"/>
      <c r="DP4305" s="2505"/>
    </row>
    <row r="4306" spans="30:120">
      <c r="AD4306" s="1138"/>
      <c r="BH4306" s="1790"/>
      <c r="BN4306" s="237">
        <v>122.09</v>
      </c>
      <c r="BO4306" s="237" t="s">
        <v>365</v>
      </c>
      <c r="CD4306" s="345">
        <v>650.24</v>
      </c>
      <c r="CE4306" s="345" t="s">
        <v>309</v>
      </c>
      <c r="CL4306" s="1789"/>
      <c r="CR4306" s="345"/>
      <c r="CS4306" s="345"/>
      <c r="DH4306" s="237"/>
      <c r="DI4306" s="237"/>
      <c r="DP4306" s="2505"/>
    </row>
    <row r="4307" spans="30:120">
      <c r="AD4307" s="1138"/>
      <c r="BH4307" s="1790"/>
      <c r="BN4307" s="237">
        <v>123.03</v>
      </c>
      <c r="BO4307" s="237" t="s">
        <v>365</v>
      </c>
      <c r="CD4307" s="345">
        <v>650.25</v>
      </c>
      <c r="CE4307" s="345" t="s">
        <v>309</v>
      </c>
      <c r="CL4307" s="1789"/>
      <c r="CR4307" s="345"/>
      <c r="CS4307" s="345"/>
      <c r="DH4307" s="237"/>
      <c r="DI4307" s="237"/>
      <c r="DP4307" s="2505"/>
    </row>
    <row r="4308" spans="30:120">
      <c r="AD4308" s="1138"/>
      <c r="BH4308" s="1790"/>
      <c r="BN4308" s="237">
        <v>123.04</v>
      </c>
      <c r="BO4308" s="237" t="s">
        <v>365</v>
      </c>
      <c r="CD4308" s="345">
        <v>651.23</v>
      </c>
      <c r="CE4308" s="345" t="s">
        <v>309</v>
      </c>
      <c r="CL4308" s="1789"/>
      <c r="CR4308" s="345"/>
      <c r="CS4308" s="345"/>
      <c r="DH4308" s="237"/>
      <c r="DI4308" s="237"/>
      <c r="DP4308" s="2505"/>
    </row>
    <row r="4309" spans="30:120">
      <c r="AD4309" s="1138"/>
      <c r="BH4309" s="1790"/>
      <c r="BN4309" s="237">
        <v>123.05</v>
      </c>
      <c r="BO4309" s="237" t="s">
        <v>365</v>
      </c>
      <c r="CD4309" s="345">
        <v>651.24</v>
      </c>
      <c r="CE4309" s="345" t="s">
        <v>309</v>
      </c>
      <c r="CL4309" s="1789"/>
      <c r="CR4309" s="345"/>
      <c r="CS4309" s="345"/>
      <c r="DH4309" s="237"/>
      <c r="DI4309" s="237"/>
      <c r="DP4309" s="2505"/>
    </row>
    <row r="4310" spans="30:120">
      <c r="AD4310" s="1138"/>
      <c r="BH4310" s="1790"/>
      <c r="BN4310" s="237">
        <v>123.06</v>
      </c>
      <c r="BO4310" s="237" t="s">
        <v>365</v>
      </c>
      <c r="CD4310" s="345">
        <v>651.26</v>
      </c>
      <c r="CE4310" s="345" t="s">
        <v>309</v>
      </c>
      <c r="CL4310" s="1789"/>
      <c r="CR4310" s="345"/>
      <c r="CS4310" s="345"/>
      <c r="DH4310" s="237"/>
      <c r="DI4310" s="237"/>
      <c r="DP4310" s="2505"/>
    </row>
    <row r="4311" spans="30:120">
      <c r="AD4311" s="1138"/>
      <c r="BH4311" s="1790"/>
      <c r="BN4311" s="237">
        <v>123.07</v>
      </c>
      <c r="BO4311" s="237" t="s">
        <v>365</v>
      </c>
      <c r="CD4311" s="345">
        <v>651.27</v>
      </c>
      <c r="CE4311" s="345" t="s">
        <v>309</v>
      </c>
      <c r="CL4311" s="1789"/>
      <c r="CR4311" s="345"/>
      <c r="CS4311" s="345"/>
      <c r="DH4311" s="237"/>
      <c r="DI4311" s="237"/>
      <c r="DP4311" s="2505"/>
    </row>
    <row r="4312" spans="30:120">
      <c r="AD4312" s="1138"/>
      <c r="BH4312" s="1790"/>
      <c r="BN4312" s="237">
        <v>123.09</v>
      </c>
      <c r="BO4312" s="237" t="s">
        <v>365</v>
      </c>
      <c r="CD4312" s="345">
        <v>651.28</v>
      </c>
      <c r="CE4312" s="345" t="s">
        <v>309</v>
      </c>
      <c r="CL4312" s="1789"/>
      <c r="CR4312" s="345"/>
      <c r="CS4312" s="345"/>
      <c r="DH4312" s="237"/>
      <c r="DI4312" s="237"/>
      <c r="DP4312" s="2505"/>
    </row>
    <row r="4313" spans="30:120">
      <c r="AD4313" s="1138"/>
      <c r="BH4313" s="1790"/>
      <c r="BN4313" s="237">
        <v>124.04</v>
      </c>
      <c r="BO4313" s="237" t="s">
        <v>365</v>
      </c>
      <c r="CD4313" s="345">
        <v>651.29</v>
      </c>
      <c r="CE4313" s="345" t="s">
        <v>309</v>
      </c>
      <c r="CL4313" s="1789"/>
      <c r="CR4313" s="345"/>
      <c r="CS4313" s="345"/>
      <c r="DH4313" s="237"/>
      <c r="DI4313" s="237"/>
      <c r="DP4313" s="2505"/>
    </row>
    <row r="4314" spans="30:120">
      <c r="AD4314" s="1138"/>
      <c r="BH4314" s="1790"/>
      <c r="BN4314" s="237">
        <v>124.05</v>
      </c>
      <c r="BO4314" s="237" t="s">
        <v>365</v>
      </c>
      <c r="CD4314" s="345">
        <v>651.29999999999995</v>
      </c>
      <c r="CE4314" s="345" t="s">
        <v>309</v>
      </c>
      <c r="CL4314" s="1789"/>
      <c r="CR4314" s="345"/>
      <c r="CS4314" s="345"/>
      <c r="DH4314" s="237"/>
      <c r="DI4314" s="237"/>
      <c r="DP4314" s="2505"/>
    </row>
    <row r="4315" spans="30:120">
      <c r="AD4315" s="1138"/>
      <c r="BH4315" s="1790"/>
      <c r="BN4315" s="237">
        <v>124.07</v>
      </c>
      <c r="BO4315" s="237" t="s">
        <v>365</v>
      </c>
      <c r="CD4315" s="345">
        <v>651.30999999999995</v>
      </c>
      <c r="CE4315" s="345" t="s">
        <v>309</v>
      </c>
      <c r="CL4315" s="1789"/>
      <c r="CR4315" s="345"/>
      <c r="CS4315" s="345"/>
      <c r="DH4315" s="237"/>
      <c r="DI4315" s="237"/>
      <c r="DP4315" s="2505"/>
    </row>
    <row r="4316" spans="30:120">
      <c r="AD4316" s="1138"/>
      <c r="BH4316" s="1790"/>
      <c r="BN4316" s="237">
        <v>124.08</v>
      </c>
      <c r="BO4316" s="237" t="s">
        <v>365</v>
      </c>
      <c r="CD4316" s="345">
        <v>652.01</v>
      </c>
      <c r="CE4316" s="345" t="s">
        <v>309</v>
      </c>
      <c r="CL4316" s="1789"/>
      <c r="CR4316" s="345"/>
      <c r="CS4316" s="345"/>
      <c r="DH4316" s="237"/>
      <c r="DI4316" s="237"/>
      <c r="DP4316" s="2505"/>
    </row>
    <row r="4317" spans="30:120">
      <c r="AD4317" s="1138"/>
      <c r="BH4317" s="1790"/>
      <c r="BN4317" s="237">
        <v>124.09</v>
      </c>
      <c r="BO4317" s="237" t="s">
        <v>365</v>
      </c>
      <c r="CD4317" s="345">
        <v>652.02</v>
      </c>
      <c r="CE4317" s="345" t="s">
        <v>309</v>
      </c>
      <c r="CL4317" s="1789"/>
      <c r="CR4317" s="345"/>
      <c r="CS4317" s="345"/>
      <c r="DH4317" s="237"/>
      <c r="DI4317" s="237"/>
      <c r="DP4317" s="2505"/>
    </row>
    <row r="4318" spans="30:120">
      <c r="AD4318" s="1138"/>
      <c r="BH4318" s="1790"/>
      <c r="BN4318" s="237">
        <v>124.1</v>
      </c>
      <c r="BO4318" s="237" t="s">
        <v>365</v>
      </c>
      <c r="CD4318" s="345">
        <v>652.30999999999995</v>
      </c>
      <c r="CE4318" s="345" t="s">
        <v>309</v>
      </c>
      <c r="CL4318" s="1789"/>
      <c r="CR4318" s="345"/>
      <c r="CS4318" s="345"/>
      <c r="DH4318" s="237"/>
      <c r="DI4318" s="237"/>
      <c r="DP4318" s="2505"/>
    </row>
    <row r="4319" spans="30:120">
      <c r="AD4319" s="1138"/>
      <c r="BH4319" s="1790"/>
      <c r="BN4319" s="237">
        <v>124.11</v>
      </c>
      <c r="BO4319" s="237" t="s">
        <v>365</v>
      </c>
      <c r="CD4319" s="345">
        <v>652.36</v>
      </c>
      <c r="CE4319" s="345" t="s">
        <v>309</v>
      </c>
      <c r="CL4319" s="1789"/>
      <c r="CR4319" s="345"/>
      <c r="CS4319" s="345"/>
      <c r="DH4319" s="237"/>
      <c r="DI4319" s="237"/>
      <c r="DP4319" s="2505"/>
    </row>
    <row r="4320" spans="30:120">
      <c r="AD4320" s="1138"/>
      <c r="BH4320" s="1790"/>
      <c r="BN4320" s="237">
        <v>124.12</v>
      </c>
      <c r="BO4320" s="237" t="s">
        <v>365</v>
      </c>
      <c r="CD4320" s="345">
        <v>652.37</v>
      </c>
      <c r="CE4320" s="345" t="s">
        <v>309</v>
      </c>
      <c r="CL4320" s="1789"/>
      <c r="CR4320" s="345"/>
      <c r="CS4320" s="345"/>
      <c r="DH4320" s="237"/>
      <c r="DI4320" s="237"/>
      <c r="DP4320" s="2505"/>
    </row>
    <row r="4321" spans="30:120">
      <c r="AD4321" s="1138"/>
      <c r="BH4321" s="1790"/>
      <c r="BN4321" s="237">
        <v>124.13</v>
      </c>
      <c r="BO4321" s="237" t="s">
        <v>365</v>
      </c>
      <c r="CD4321" s="345">
        <v>652.38</v>
      </c>
      <c r="CE4321" s="345" t="s">
        <v>309</v>
      </c>
      <c r="CL4321" s="1789"/>
      <c r="CR4321" s="345"/>
      <c r="CS4321" s="345"/>
      <c r="DH4321" s="237"/>
      <c r="DI4321" s="237"/>
      <c r="DP4321" s="2505"/>
    </row>
    <row r="4322" spans="30:120">
      <c r="AD4322" s="1138"/>
      <c r="BH4322" s="1790"/>
      <c r="BN4322" s="237">
        <v>124.14</v>
      </c>
      <c r="BO4322" s="237" t="s">
        <v>365</v>
      </c>
      <c r="CD4322" s="345">
        <v>652.39</v>
      </c>
      <c r="CE4322" s="345" t="s">
        <v>309</v>
      </c>
      <c r="CL4322" s="1789"/>
      <c r="CR4322" s="345"/>
      <c r="CS4322" s="345"/>
      <c r="DH4322" s="237"/>
      <c r="DI4322" s="237"/>
      <c r="DP4322" s="2505"/>
    </row>
    <row r="4323" spans="30:120">
      <c r="AD4323" s="1138"/>
      <c r="BH4323" s="1790"/>
      <c r="BN4323" s="237">
        <v>124.15</v>
      </c>
      <c r="BO4323" s="237" t="s">
        <v>365</v>
      </c>
      <c r="CD4323" s="345">
        <v>652.4</v>
      </c>
      <c r="CE4323" s="345" t="s">
        <v>309</v>
      </c>
      <c r="CL4323" s="1789"/>
      <c r="CR4323" s="345"/>
      <c r="CS4323" s="345"/>
      <c r="DH4323" s="237"/>
      <c r="DI4323" s="237"/>
      <c r="DP4323" s="2505"/>
    </row>
    <row r="4324" spans="30:120">
      <c r="AD4324" s="1138"/>
      <c r="BH4324" s="1790"/>
      <c r="BN4324" s="237">
        <v>125.02</v>
      </c>
      <c r="BO4324" s="237" t="s">
        <v>365</v>
      </c>
      <c r="CD4324" s="345">
        <v>661.01</v>
      </c>
      <c r="CE4324" s="345" t="s">
        <v>309</v>
      </c>
      <c r="CL4324" s="1789"/>
      <c r="CR4324" s="345"/>
      <c r="CS4324" s="345"/>
      <c r="DH4324" s="237"/>
      <c r="DI4324" s="237"/>
      <c r="DP4324" s="2505"/>
    </row>
    <row r="4325" spans="30:120">
      <c r="AD4325" s="1138"/>
      <c r="BH4325" s="1790"/>
      <c r="BN4325" s="237">
        <v>125.06</v>
      </c>
      <c r="BO4325" s="237" t="s">
        <v>365</v>
      </c>
      <c r="CD4325" s="345">
        <v>661.03</v>
      </c>
      <c r="CE4325" s="345" t="s">
        <v>309</v>
      </c>
      <c r="CL4325" s="1789"/>
      <c r="CR4325" s="345"/>
      <c r="CS4325" s="345"/>
      <c r="DH4325" s="237"/>
      <c r="DI4325" s="237"/>
      <c r="DP4325" s="2505"/>
    </row>
    <row r="4326" spans="30:120">
      <c r="AD4326" s="1138"/>
      <c r="BH4326" s="1790"/>
      <c r="BN4326" s="237">
        <v>125.08</v>
      </c>
      <c r="BO4326" s="237" t="s">
        <v>365</v>
      </c>
      <c r="CD4326" s="345">
        <v>661.04</v>
      </c>
      <c r="CE4326" s="345" t="s">
        <v>309</v>
      </c>
      <c r="CL4326" s="1789"/>
      <c r="CR4326" s="345"/>
      <c r="CS4326" s="345"/>
      <c r="DH4326" s="237"/>
      <c r="DI4326" s="237"/>
      <c r="DP4326" s="2505"/>
    </row>
    <row r="4327" spans="30:120">
      <c r="AD4327" s="1138"/>
      <c r="BH4327" s="1790"/>
      <c r="BN4327" s="237">
        <v>125.09</v>
      </c>
      <c r="BO4327" s="237" t="s">
        <v>365</v>
      </c>
      <c r="CD4327" s="345">
        <v>662</v>
      </c>
      <c r="CE4327" s="345" t="s">
        <v>309</v>
      </c>
      <c r="CL4327" s="1789"/>
      <c r="CR4327" s="345"/>
      <c r="CS4327" s="345"/>
      <c r="DH4327" s="237"/>
      <c r="DI4327" s="237"/>
      <c r="DP4327" s="2505"/>
    </row>
    <row r="4328" spans="30:120">
      <c r="AD4328" s="1138"/>
      <c r="BH4328" s="1790"/>
      <c r="BN4328" s="237">
        <v>125.1</v>
      </c>
      <c r="BO4328" s="237" t="s">
        <v>365</v>
      </c>
      <c r="CD4328" s="345">
        <v>663.01</v>
      </c>
      <c r="CE4328" s="345" t="s">
        <v>309</v>
      </c>
      <c r="CL4328" s="1789"/>
      <c r="CR4328" s="345"/>
      <c r="CS4328" s="345"/>
      <c r="DH4328" s="237"/>
      <c r="DI4328" s="237"/>
      <c r="DP4328" s="2505"/>
    </row>
    <row r="4329" spans="30:120">
      <c r="AD4329" s="1138"/>
      <c r="BH4329" s="1790"/>
      <c r="BN4329" s="237">
        <v>125.11</v>
      </c>
      <c r="BO4329" s="237" t="s">
        <v>365</v>
      </c>
      <c r="CD4329" s="345">
        <v>663.02</v>
      </c>
      <c r="CE4329" s="345" t="s">
        <v>309</v>
      </c>
      <c r="CL4329" s="1789"/>
      <c r="CR4329" s="345"/>
      <c r="CS4329" s="345"/>
      <c r="DH4329" s="237"/>
      <c r="DI4329" s="237"/>
      <c r="DP4329" s="2505"/>
    </row>
    <row r="4330" spans="30:120">
      <c r="AD4330" s="1138"/>
      <c r="BH4330" s="1790"/>
      <c r="BN4330" s="237">
        <v>125.12</v>
      </c>
      <c r="BO4330" s="237" t="s">
        <v>365</v>
      </c>
      <c r="CD4330" s="345">
        <v>664</v>
      </c>
      <c r="CE4330" s="345" t="s">
        <v>309</v>
      </c>
      <c r="CL4330" s="1789"/>
      <c r="CR4330" s="345"/>
      <c r="CS4330" s="345"/>
      <c r="DH4330" s="237"/>
      <c r="DI4330" s="237"/>
      <c r="DP4330" s="2505"/>
    </row>
    <row r="4331" spans="30:120">
      <c r="AD4331" s="1138"/>
      <c r="BH4331" s="1790"/>
      <c r="BN4331" s="237">
        <v>125.13</v>
      </c>
      <c r="BO4331" s="237" t="s">
        <v>365</v>
      </c>
      <c r="CD4331" s="345">
        <v>665</v>
      </c>
      <c r="CE4331" s="345" t="s">
        <v>309</v>
      </c>
      <c r="CL4331" s="1789"/>
      <c r="CR4331" s="345"/>
      <c r="CS4331" s="345"/>
      <c r="DH4331" s="237"/>
      <c r="DI4331" s="237"/>
      <c r="DP4331" s="2505"/>
    </row>
    <row r="4332" spans="30:120">
      <c r="AD4332" s="1138"/>
      <c r="BH4332" s="1790"/>
      <c r="BN4332" s="237">
        <v>125.14</v>
      </c>
      <c r="BO4332" s="237" t="s">
        <v>365</v>
      </c>
      <c r="CD4332" s="345">
        <v>666</v>
      </c>
      <c r="CE4332" s="345" t="s">
        <v>309</v>
      </c>
      <c r="CL4332" s="1789"/>
      <c r="CR4332" s="345"/>
      <c r="CS4332" s="345"/>
      <c r="DH4332" s="237"/>
      <c r="DI4332" s="237"/>
      <c r="DP4332" s="2505"/>
    </row>
    <row r="4333" spans="30:120">
      <c r="AD4333" s="1138"/>
      <c r="BH4333" s="1790"/>
      <c r="BN4333" s="237">
        <v>125.15</v>
      </c>
      <c r="BO4333" s="237" t="s">
        <v>365</v>
      </c>
      <c r="CD4333" s="345">
        <v>667</v>
      </c>
      <c r="CE4333" s="345" t="s">
        <v>309</v>
      </c>
      <c r="CL4333" s="1789"/>
      <c r="CR4333" s="345"/>
      <c r="CS4333" s="345"/>
      <c r="DH4333" s="237"/>
      <c r="DI4333" s="237"/>
      <c r="DP4333" s="2505"/>
    </row>
    <row r="4334" spans="30:120">
      <c r="AD4334" s="1138"/>
      <c r="BH4334" s="1790"/>
      <c r="BN4334" s="237">
        <v>126.01</v>
      </c>
      <c r="BO4334" s="237" t="s">
        <v>365</v>
      </c>
      <c r="CD4334" s="345">
        <v>668</v>
      </c>
      <c r="CE4334" s="345" t="s">
        <v>309</v>
      </c>
      <c r="CL4334" s="1789"/>
      <c r="CR4334" s="345"/>
      <c r="CS4334" s="345"/>
      <c r="DH4334" s="237"/>
      <c r="DI4334" s="237"/>
      <c r="DP4334" s="2505"/>
    </row>
    <row r="4335" spans="30:120">
      <c r="AD4335" s="1138"/>
      <c r="BH4335" s="1790"/>
      <c r="BN4335" s="237">
        <v>126.02</v>
      </c>
      <c r="BO4335" s="237" t="s">
        <v>365</v>
      </c>
      <c r="CD4335" s="345">
        <v>669</v>
      </c>
      <c r="CE4335" s="345" t="s">
        <v>309</v>
      </c>
      <c r="CL4335" s="1789"/>
      <c r="CR4335" s="345"/>
      <c r="CS4335" s="345"/>
      <c r="DH4335" s="237"/>
      <c r="DI4335" s="237"/>
      <c r="DP4335" s="2505"/>
    </row>
    <row r="4336" spans="30:120">
      <c r="AD4336" s="1138"/>
      <c r="BH4336" s="1790"/>
      <c r="BN4336" s="237">
        <v>127.01</v>
      </c>
      <c r="BO4336" s="237" t="s">
        <v>365</v>
      </c>
      <c r="CD4336" s="345">
        <v>671</v>
      </c>
      <c r="CE4336" s="345" t="s">
        <v>309</v>
      </c>
      <c r="CL4336" s="1789"/>
      <c r="CR4336" s="345"/>
      <c r="CS4336" s="345"/>
      <c r="DH4336" s="237"/>
      <c r="DI4336" s="237"/>
      <c r="DP4336" s="2505"/>
    </row>
    <row r="4337" spans="30:120">
      <c r="AD4337" s="1138"/>
      <c r="BH4337" s="1790"/>
      <c r="BN4337" s="237">
        <v>127.02</v>
      </c>
      <c r="BO4337" s="237" t="s">
        <v>365</v>
      </c>
      <c r="CD4337" s="345">
        <v>681.01</v>
      </c>
      <c r="CE4337" s="345" t="s">
        <v>309</v>
      </c>
      <c r="CL4337" s="1789"/>
      <c r="CR4337" s="345"/>
      <c r="CS4337" s="345"/>
      <c r="DH4337" s="237"/>
      <c r="DI4337" s="237"/>
      <c r="DP4337" s="2505"/>
    </row>
    <row r="4338" spans="30:120">
      <c r="AD4338" s="1138"/>
      <c r="BH4338" s="1790"/>
      <c r="BN4338" s="237">
        <v>128.02000000000001</v>
      </c>
      <c r="BO4338" s="237" t="s">
        <v>365</v>
      </c>
      <c r="CD4338" s="345">
        <v>681.02</v>
      </c>
      <c r="CE4338" s="345" t="s">
        <v>309</v>
      </c>
      <c r="CL4338" s="1789"/>
      <c r="CR4338" s="345"/>
      <c r="CS4338" s="345"/>
      <c r="DH4338" s="237"/>
      <c r="DI4338" s="237"/>
      <c r="DP4338" s="2505"/>
    </row>
    <row r="4339" spans="30:120">
      <c r="AD4339" s="1138"/>
      <c r="BH4339" s="1790"/>
      <c r="BN4339" s="237">
        <v>128.03</v>
      </c>
      <c r="BO4339" s="237" t="s">
        <v>365</v>
      </c>
      <c r="CD4339" s="345">
        <v>684</v>
      </c>
      <c r="CE4339" s="345" t="s">
        <v>309</v>
      </c>
      <c r="CL4339" s="1789"/>
      <c r="CR4339" s="345"/>
      <c r="CS4339" s="345"/>
      <c r="DH4339" s="237"/>
      <c r="DI4339" s="237"/>
      <c r="DP4339" s="2505"/>
    </row>
    <row r="4340" spans="30:120">
      <c r="AD4340" s="1138"/>
      <c r="BH4340" s="1790"/>
      <c r="BN4340" s="237">
        <v>128.04</v>
      </c>
      <c r="BO4340" s="237" t="s">
        <v>365</v>
      </c>
      <c r="CD4340" s="345">
        <v>685.01</v>
      </c>
      <c r="CE4340" s="345" t="s">
        <v>309</v>
      </c>
      <c r="CL4340" s="1789"/>
      <c r="CR4340" s="345"/>
      <c r="CS4340" s="345"/>
      <c r="DH4340" s="237"/>
      <c r="DI4340" s="237"/>
      <c r="DP4340" s="2505"/>
    </row>
    <row r="4341" spans="30:120">
      <c r="AD4341" s="1138"/>
      <c r="BH4341" s="1790"/>
      <c r="BN4341" s="237">
        <v>129</v>
      </c>
      <c r="BO4341" s="237" t="s">
        <v>365</v>
      </c>
      <c r="CD4341" s="345">
        <v>685.02</v>
      </c>
      <c r="CE4341" s="345" t="s">
        <v>309</v>
      </c>
      <c r="CL4341" s="1789"/>
      <c r="CR4341" s="345"/>
      <c r="CS4341" s="345"/>
      <c r="DH4341" s="237"/>
      <c r="DI4341" s="237"/>
      <c r="DP4341" s="2505"/>
    </row>
    <row r="4342" spans="30:120">
      <c r="AD4342" s="1138"/>
      <c r="BH4342" s="1790"/>
      <c r="BN4342" s="237">
        <v>130.01</v>
      </c>
      <c r="BO4342" s="237" t="s">
        <v>365</v>
      </c>
      <c r="CD4342" s="345">
        <v>686.01</v>
      </c>
      <c r="CE4342" s="345" t="s">
        <v>309</v>
      </c>
      <c r="CL4342" s="1789"/>
      <c r="CR4342" s="345"/>
      <c r="CS4342" s="345"/>
      <c r="DH4342" s="237"/>
      <c r="DI4342" s="237"/>
      <c r="DP4342" s="2505"/>
    </row>
    <row r="4343" spans="30:120">
      <c r="AD4343" s="1138"/>
      <c r="BH4343" s="1790"/>
      <c r="BN4343" s="237">
        <v>130.02000000000001</v>
      </c>
      <c r="BO4343" s="237" t="s">
        <v>365</v>
      </c>
      <c r="CD4343" s="345">
        <v>686.03</v>
      </c>
      <c r="CE4343" s="345" t="s">
        <v>309</v>
      </c>
      <c r="CL4343" s="1789"/>
      <c r="CR4343" s="345"/>
      <c r="CS4343" s="345"/>
      <c r="DH4343" s="237"/>
      <c r="DI4343" s="237"/>
      <c r="DP4343" s="2505"/>
    </row>
    <row r="4344" spans="30:120">
      <c r="AD4344" s="1138"/>
      <c r="BH4344" s="1790"/>
      <c r="BN4344" s="237">
        <v>131.01</v>
      </c>
      <c r="BO4344" s="237" t="s">
        <v>365</v>
      </c>
      <c r="CD4344" s="345">
        <v>686.04</v>
      </c>
      <c r="CE4344" s="345" t="s">
        <v>309</v>
      </c>
      <c r="CL4344" s="1789"/>
      <c r="CR4344" s="345"/>
      <c r="CS4344" s="345"/>
      <c r="DH4344" s="237"/>
      <c r="DI4344" s="237"/>
      <c r="DP4344" s="2505"/>
    </row>
    <row r="4345" spans="30:120">
      <c r="AD4345" s="1138"/>
      <c r="BH4345" s="1790"/>
      <c r="BN4345" s="237">
        <v>131.02000000000001</v>
      </c>
      <c r="BO4345" s="237" t="s">
        <v>365</v>
      </c>
      <c r="CD4345" s="345">
        <v>691</v>
      </c>
      <c r="CE4345" s="345" t="s">
        <v>309</v>
      </c>
      <c r="CL4345" s="1789"/>
      <c r="CR4345" s="345"/>
      <c r="CS4345" s="345"/>
      <c r="DH4345" s="237"/>
      <c r="DI4345" s="237"/>
      <c r="DP4345" s="2505"/>
    </row>
    <row r="4346" spans="30:120">
      <c r="AD4346" s="1138"/>
      <c r="BH4346" s="1790"/>
      <c r="BN4346" s="237">
        <v>131.03</v>
      </c>
      <c r="BO4346" s="237" t="s">
        <v>365</v>
      </c>
      <c r="CD4346" s="345">
        <v>692</v>
      </c>
      <c r="CE4346" s="345" t="s">
        <v>309</v>
      </c>
      <c r="CL4346" s="1789"/>
      <c r="CR4346" s="345"/>
      <c r="CS4346" s="345"/>
      <c r="DH4346" s="237"/>
      <c r="DI4346" s="237"/>
      <c r="DP4346" s="2505"/>
    </row>
    <row r="4347" spans="30:120">
      <c r="AD4347" s="1138"/>
      <c r="BH4347" s="1790"/>
      <c r="BN4347" s="237">
        <v>132</v>
      </c>
      <c r="BO4347" s="237" t="s">
        <v>365</v>
      </c>
      <c r="CD4347" s="345">
        <v>693</v>
      </c>
      <c r="CE4347" s="345" t="s">
        <v>309</v>
      </c>
      <c r="CL4347" s="1789"/>
      <c r="CR4347" s="345"/>
      <c r="CS4347" s="345"/>
      <c r="DH4347" s="237"/>
      <c r="DI4347" s="237"/>
      <c r="DP4347" s="2505"/>
    </row>
    <row r="4348" spans="30:120">
      <c r="AD4348" s="1138"/>
      <c r="BH4348" s="1790"/>
      <c r="BN4348" s="237">
        <v>133</v>
      </c>
      <c r="BO4348" s="237" t="s">
        <v>365</v>
      </c>
      <c r="CD4348" s="345">
        <v>694</v>
      </c>
      <c r="CE4348" s="345" t="s">
        <v>309</v>
      </c>
      <c r="CL4348" s="1789"/>
      <c r="CR4348" s="345"/>
      <c r="CS4348" s="345"/>
      <c r="DH4348" s="237"/>
      <c r="DI4348" s="237"/>
      <c r="DP4348" s="2505"/>
    </row>
    <row r="4349" spans="30:120">
      <c r="AD4349" s="1138"/>
      <c r="BH4349" s="1790"/>
      <c r="BN4349" s="237">
        <v>134</v>
      </c>
      <c r="BO4349" s="237" t="s">
        <v>365</v>
      </c>
      <c r="CD4349" s="345">
        <v>697</v>
      </c>
      <c r="CE4349" s="345" t="s">
        <v>309</v>
      </c>
      <c r="CL4349" s="1789"/>
      <c r="CR4349" s="345"/>
      <c r="CS4349" s="345"/>
      <c r="DH4349" s="237"/>
      <c r="DI4349" s="237"/>
      <c r="DP4349" s="2505"/>
    </row>
    <row r="4350" spans="30:120">
      <c r="AD4350" s="1138"/>
      <c r="BH4350" s="1790"/>
      <c r="BN4350" s="237">
        <v>135</v>
      </c>
      <c r="BO4350" s="237" t="s">
        <v>365</v>
      </c>
      <c r="CD4350" s="345">
        <v>698.01</v>
      </c>
      <c r="CE4350" s="345" t="s">
        <v>309</v>
      </c>
      <c r="CL4350" s="1789"/>
      <c r="CR4350" s="345"/>
      <c r="CS4350" s="345"/>
      <c r="DH4350" s="237"/>
      <c r="DI4350" s="237"/>
      <c r="DP4350" s="2505"/>
    </row>
    <row r="4351" spans="30:120">
      <c r="AD4351" s="1138"/>
      <c r="BH4351" s="1790"/>
      <c r="BN4351" s="237">
        <v>136.01</v>
      </c>
      <c r="BO4351" s="237" t="s">
        <v>365</v>
      </c>
      <c r="CD4351" s="345">
        <v>698.02</v>
      </c>
      <c r="CE4351" s="345" t="s">
        <v>309</v>
      </c>
      <c r="CL4351" s="1789"/>
      <c r="CR4351" s="345"/>
      <c r="CS4351" s="345"/>
      <c r="DH4351" s="237"/>
      <c r="DI4351" s="237"/>
      <c r="DP4351" s="2505"/>
    </row>
    <row r="4352" spans="30:120">
      <c r="AD4352" s="1138"/>
      <c r="BH4352" s="1790"/>
      <c r="BN4352" s="237">
        <v>136.02000000000001</v>
      </c>
      <c r="BO4352" s="237" t="s">
        <v>365</v>
      </c>
      <c r="CD4352" s="345">
        <v>699.03</v>
      </c>
      <c r="CE4352" s="345" t="s">
        <v>309</v>
      </c>
      <c r="CL4352" s="1789"/>
      <c r="CR4352" s="345"/>
      <c r="CS4352" s="345"/>
      <c r="DH4352" s="237"/>
      <c r="DI4352" s="237"/>
      <c r="DP4352" s="2505"/>
    </row>
    <row r="4353" spans="30:120">
      <c r="AD4353" s="1138"/>
      <c r="BH4353" s="1790"/>
      <c r="BN4353" s="237">
        <v>137.01</v>
      </c>
      <c r="BO4353" s="237" t="s">
        <v>365</v>
      </c>
      <c r="CD4353" s="345">
        <v>699.04</v>
      </c>
      <c r="CE4353" s="345" t="s">
        <v>309</v>
      </c>
      <c r="CL4353" s="1789"/>
      <c r="CR4353" s="345"/>
      <c r="CS4353" s="345"/>
      <c r="DH4353" s="237"/>
      <c r="DI4353" s="237"/>
      <c r="DP4353" s="2505"/>
    </row>
    <row r="4354" spans="30:120">
      <c r="AD4354" s="1138"/>
      <c r="BH4354" s="1790"/>
      <c r="BN4354" s="237">
        <v>137.02000000000001</v>
      </c>
      <c r="BO4354" s="237" t="s">
        <v>365</v>
      </c>
      <c r="CD4354" s="345">
        <v>699.05</v>
      </c>
      <c r="CE4354" s="345" t="s">
        <v>309</v>
      </c>
      <c r="CL4354" s="1789"/>
      <c r="CR4354" s="345"/>
      <c r="CS4354" s="345"/>
      <c r="DH4354" s="237"/>
      <c r="DI4354" s="237"/>
      <c r="DP4354" s="2505"/>
    </row>
    <row r="4355" spans="30:120">
      <c r="AD4355" s="1138"/>
      <c r="BH4355" s="1790"/>
      <c r="BN4355" s="237">
        <v>138.01</v>
      </c>
      <c r="BO4355" s="237" t="s">
        <v>365</v>
      </c>
      <c r="CD4355" s="345">
        <v>699.06</v>
      </c>
      <c r="CE4355" s="345" t="s">
        <v>309</v>
      </c>
      <c r="CL4355" s="1789"/>
      <c r="CR4355" s="345"/>
      <c r="CS4355" s="345"/>
      <c r="DH4355" s="237"/>
      <c r="DI4355" s="237"/>
      <c r="DP4355" s="2505"/>
    </row>
    <row r="4356" spans="30:120">
      <c r="AD4356" s="1138"/>
      <c r="BH4356" s="1790"/>
      <c r="BN4356" s="237">
        <v>138.02000000000001</v>
      </c>
      <c r="BO4356" s="237" t="s">
        <v>365</v>
      </c>
      <c r="CD4356" s="345">
        <v>699.07</v>
      </c>
      <c r="CE4356" s="345" t="s">
        <v>309</v>
      </c>
      <c r="CL4356" s="1789"/>
      <c r="CR4356" s="345"/>
      <c r="CS4356" s="345"/>
      <c r="DH4356" s="237"/>
      <c r="DI4356" s="237"/>
      <c r="DP4356" s="2505"/>
    </row>
    <row r="4357" spans="30:120">
      <c r="AD4357" s="1138"/>
      <c r="BH4357" s="1790"/>
      <c r="BN4357" s="237">
        <v>139.01</v>
      </c>
      <c r="BO4357" s="237" t="s">
        <v>365</v>
      </c>
      <c r="CD4357" s="237">
        <v>701.01</v>
      </c>
      <c r="CE4357" s="237" t="s">
        <v>344</v>
      </c>
      <c r="CL4357" s="1789"/>
      <c r="CR4357" s="345"/>
      <c r="CS4357" s="345"/>
      <c r="DH4357" s="237"/>
      <c r="DI4357" s="237"/>
      <c r="DP4357" s="2505"/>
    </row>
    <row r="4358" spans="30:120">
      <c r="AD4358" s="1138"/>
      <c r="BH4358" s="1790"/>
      <c r="BN4358" s="237">
        <v>139.02000000000001</v>
      </c>
      <c r="BO4358" s="237" t="s">
        <v>365</v>
      </c>
      <c r="CD4358" s="345">
        <v>701.02</v>
      </c>
      <c r="CE4358" s="345" t="s">
        <v>310</v>
      </c>
      <c r="CL4358" s="1789"/>
      <c r="CR4358" s="345"/>
      <c r="CS4358" s="345"/>
      <c r="DH4358" s="237"/>
      <c r="DI4358" s="237"/>
      <c r="DP4358" s="2505"/>
    </row>
    <row r="4359" spans="30:120">
      <c r="AD4359" s="1138"/>
      <c r="BH4359" s="1790"/>
      <c r="BN4359" s="237">
        <v>140.01</v>
      </c>
      <c r="BO4359" s="237" t="s">
        <v>365</v>
      </c>
      <c r="CD4359" s="237">
        <v>701.02</v>
      </c>
      <c r="CE4359" s="237" t="s">
        <v>344</v>
      </c>
      <c r="CL4359" s="1789"/>
      <c r="CR4359" s="345"/>
      <c r="CS4359" s="345"/>
      <c r="DH4359" s="237"/>
      <c r="DI4359" s="237"/>
      <c r="DP4359" s="2505"/>
    </row>
    <row r="4360" spans="30:120">
      <c r="AD4360" s="1138"/>
      <c r="BH4360" s="1790"/>
      <c r="BN4360" s="237">
        <v>140.03</v>
      </c>
      <c r="BO4360" s="237" t="s">
        <v>365</v>
      </c>
      <c r="CD4360" s="345">
        <v>701.03</v>
      </c>
      <c r="CE4360" s="345" t="s">
        <v>310</v>
      </c>
      <c r="CL4360" s="1789"/>
      <c r="CR4360" s="345"/>
      <c r="CS4360" s="345"/>
      <c r="DH4360" s="237"/>
      <c r="DI4360" s="237"/>
      <c r="DP4360" s="2505"/>
    </row>
    <row r="4361" spans="30:120">
      <c r="AD4361" s="1138"/>
      <c r="BH4361" s="1790"/>
      <c r="BN4361" s="237">
        <v>140.05000000000001</v>
      </c>
      <c r="BO4361" s="237" t="s">
        <v>365</v>
      </c>
      <c r="CD4361" s="345">
        <v>701.04</v>
      </c>
      <c r="CE4361" s="345" t="s">
        <v>310</v>
      </c>
      <c r="CL4361" s="1789"/>
      <c r="CR4361" s="345"/>
      <c r="CS4361" s="345"/>
      <c r="DH4361" s="237"/>
      <c r="DI4361" s="237"/>
      <c r="DP4361" s="2505"/>
    </row>
    <row r="4362" spans="30:120">
      <c r="AD4362" s="1138"/>
      <c r="BH4362" s="1790"/>
      <c r="BN4362" s="237">
        <v>140.06</v>
      </c>
      <c r="BO4362" s="237" t="s">
        <v>365</v>
      </c>
      <c r="CD4362" s="237">
        <v>702.01</v>
      </c>
      <c r="CE4362" s="237" t="s">
        <v>344</v>
      </c>
      <c r="CL4362" s="1789"/>
      <c r="CR4362" s="345"/>
      <c r="CS4362" s="345"/>
      <c r="DH4362" s="237"/>
      <c r="DI4362" s="237"/>
      <c r="DP4362" s="2505"/>
    </row>
    <row r="4363" spans="30:120">
      <c r="AD4363" s="1138"/>
      <c r="BH4363" s="1790"/>
      <c r="BN4363" s="237">
        <v>141.04</v>
      </c>
      <c r="BO4363" s="237" t="s">
        <v>365</v>
      </c>
      <c r="CD4363" s="237">
        <v>702.02</v>
      </c>
      <c r="CE4363" s="237" t="s">
        <v>344</v>
      </c>
      <c r="CL4363" s="1789"/>
      <c r="CR4363" s="345"/>
      <c r="CS4363" s="345"/>
      <c r="DH4363" s="237"/>
      <c r="DI4363" s="237"/>
      <c r="DP4363" s="2505"/>
    </row>
    <row r="4364" spans="30:120">
      <c r="AD4364" s="1138"/>
      <c r="BH4364" s="1790"/>
      <c r="BN4364" s="237">
        <v>141.21</v>
      </c>
      <c r="BO4364" s="237" t="s">
        <v>365</v>
      </c>
      <c r="CD4364" s="345">
        <v>702.04</v>
      </c>
      <c r="CE4364" s="345" t="s">
        <v>310</v>
      </c>
      <c r="CL4364" s="1789"/>
      <c r="CR4364" s="345"/>
      <c r="CS4364" s="345"/>
      <c r="DH4364" s="237"/>
      <c r="DI4364" s="237"/>
      <c r="DP4364" s="2505"/>
    </row>
    <row r="4365" spans="30:120">
      <c r="AD4365" s="1138"/>
      <c r="BH4365" s="1790"/>
      <c r="BN4365" s="237">
        <v>141.22999999999999</v>
      </c>
      <c r="BO4365" s="237" t="s">
        <v>365</v>
      </c>
      <c r="CD4365" s="345">
        <v>702.05</v>
      </c>
      <c r="CE4365" s="345" t="s">
        <v>310</v>
      </c>
      <c r="CL4365" s="1789"/>
      <c r="CR4365" s="345"/>
      <c r="CS4365" s="345"/>
      <c r="DH4365" s="237"/>
      <c r="DI4365" s="237"/>
      <c r="DP4365" s="2505"/>
    </row>
    <row r="4366" spans="30:120">
      <c r="AD4366" s="1138"/>
      <c r="BH4366" s="1790"/>
      <c r="BN4366" s="237">
        <v>141.24</v>
      </c>
      <c r="BO4366" s="237" t="s">
        <v>365</v>
      </c>
      <c r="CD4366" s="345">
        <v>702.08</v>
      </c>
      <c r="CE4366" s="345" t="s">
        <v>310</v>
      </c>
      <c r="CL4366" s="1789"/>
      <c r="CR4366" s="345"/>
      <c r="CS4366" s="345"/>
      <c r="DH4366" s="237"/>
      <c r="DI4366" s="237"/>
      <c r="DP4366" s="2505"/>
    </row>
    <row r="4367" spans="30:120">
      <c r="AD4367" s="1138"/>
      <c r="BH4367" s="1790"/>
      <c r="BN4367" s="237">
        <v>141.26</v>
      </c>
      <c r="BO4367" s="237" t="s">
        <v>365</v>
      </c>
      <c r="CD4367" s="345">
        <v>702.09</v>
      </c>
      <c r="CE4367" s="345" t="s">
        <v>310</v>
      </c>
      <c r="CL4367" s="1789"/>
      <c r="CR4367" s="345"/>
      <c r="CS4367" s="345"/>
      <c r="DH4367" s="237"/>
      <c r="DI4367" s="237"/>
      <c r="DP4367" s="2505"/>
    </row>
    <row r="4368" spans="30:120">
      <c r="AD4368" s="1138"/>
      <c r="BH4368" s="1790"/>
      <c r="BN4368" s="237">
        <v>141.27000000000001</v>
      </c>
      <c r="BO4368" s="237" t="s">
        <v>365</v>
      </c>
      <c r="CD4368" s="345">
        <v>702.1</v>
      </c>
      <c r="CE4368" s="345" t="s">
        <v>310</v>
      </c>
      <c r="CL4368" s="1789"/>
      <c r="CR4368" s="345"/>
      <c r="CS4368" s="345"/>
      <c r="DH4368" s="237"/>
      <c r="DI4368" s="237"/>
      <c r="DP4368" s="2505"/>
    </row>
    <row r="4369" spans="30:120">
      <c r="AD4369" s="1138"/>
      <c r="BH4369" s="1790"/>
      <c r="BN4369" s="237">
        <v>141.28</v>
      </c>
      <c r="BO4369" s="237" t="s">
        <v>365</v>
      </c>
      <c r="CD4369" s="345">
        <v>702.11</v>
      </c>
      <c r="CE4369" s="345" t="s">
        <v>310</v>
      </c>
      <c r="CL4369" s="1789"/>
      <c r="CR4369" s="345"/>
      <c r="CS4369" s="345"/>
      <c r="DH4369" s="237"/>
      <c r="DI4369" s="237"/>
      <c r="DP4369" s="2505"/>
    </row>
    <row r="4370" spans="30:120">
      <c r="AD4370" s="1138"/>
      <c r="BH4370" s="1790"/>
      <c r="BN4370" s="237">
        <v>141.29</v>
      </c>
      <c r="BO4370" s="237" t="s">
        <v>365</v>
      </c>
      <c r="CD4370" s="345">
        <v>702.12</v>
      </c>
      <c r="CE4370" s="345" t="s">
        <v>310</v>
      </c>
      <c r="CL4370" s="1789"/>
      <c r="CR4370" s="345"/>
      <c r="CS4370" s="345"/>
      <c r="DH4370" s="237"/>
      <c r="DI4370" s="237"/>
      <c r="DP4370" s="2505"/>
    </row>
    <row r="4371" spans="30:120">
      <c r="AD4371" s="1138"/>
      <c r="BH4371" s="1790"/>
      <c r="BN4371" s="237">
        <v>141.30000000000001</v>
      </c>
      <c r="BO4371" s="237" t="s">
        <v>365</v>
      </c>
      <c r="CD4371" s="345">
        <v>702.13</v>
      </c>
      <c r="CE4371" s="345" t="s">
        <v>310</v>
      </c>
      <c r="CL4371" s="1789"/>
      <c r="CR4371" s="345"/>
      <c r="CS4371" s="345"/>
      <c r="DH4371" s="237"/>
      <c r="DI4371" s="237"/>
      <c r="DP4371" s="2505"/>
    </row>
    <row r="4372" spans="30:120">
      <c r="AD4372" s="1138"/>
      <c r="BH4372" s="1790"/>
      <c r="BN4372" s="237">
        <v>141.31</v>
      </c>
      <c r="BO4372" s="237" t="s">
        <v>365</v>
      </c>
      <c r="CD4372" s="345">
        <v>703.04</v>
      </c>
      <c r="CE4372" s="345" t="s">
        <v>310</v>
      </c>
      <c r="CL4372" s="1789"/>
      <c r="CR4372" s="345"/>
      <c r="CS4372" s="345"/>
      <c r="DH4372" s="237"/>
      <c r="DI4372" s="237"/>
      <c r="DP4372" s="2505"/>
    </row>
    <row r="4373" spans="30:120">
      <c r="AD4373" s="1138"/>
      <c r="BH4373" s="1790"/>
      <c r="BN4373" s="237">
        <v>142.01</v>
      </c>
      <c r="BO4373" s="237" t="s">
        <v>365</v>
      </c>
      <c r="CD4373" s="345">
        <v>703.06</v>
      </c>
      <c r="CE4373" s="345" t="s">
        <v>310</v>
      </c>
      <c r="CL4373" s="1789"/>
      <c r="CR4373" s="345"/>
      <c r="CS4373" s="345"/>
      <c r="DH4373" s="237"/>
      <c r="DI4373" s="237"/>
      <c r="DP4373" s="2505"/>
    </row>
    <row r="4374" spans="30:120">
      <c r="AD4374" s="1138"/>
      <c r="BH4374" s="1790"/>
      <c r="BN4374" s="237">
        <v>142.02000000000001</v>
      </c>
      <c r="BO4374" s="237" t="s">
        <v>365</v>
      </c>
      <c r="CD4374" s="345">
        <v>703.1</v>
      </c>
      <c r="CE4374" s="345" t="s">
        <v>310</v>
      </c>
      <c r="CL4374" s="1789"/>
      <c r="CR4374" s="345"/>
      <c r="CS4374" s="345"/>
      <c r="DH4374" s="237"/>
      <c r="DI4374" s="237"/>
      <c r="DP4374" s="2505"/>
    </row>
    <row r="4375" spans="30:120">
      <c r="AD4375" s="1138"/>
      <c r="BH4375" s="1790"/>
      <c r="BN4375" s="237">
        <v>142.03</v>
      </c>
      <c r="BO4375" s="237" t="s">
        <v>365</v>
      </c>
      <c r="CD4375" s="345">
        <v>703.11</v>
      </c>
      <c r="CE4375" s="345" t="s">
        <v>310</v>
      </c>
      <c r="CL4375" s="1789"/>
      <c r="CR4375" s="345"/>
      <c r="CS4375" s="345"/>
      <c r="DH4375" s="237"/>
      <c r="DI4375" s="237"/>
      <c r="DP4375" s="2505"/>
    </row>
    <row r="4376" spans="30:120">
      <c r="AD4376" s="1138"/>
      <c r="BH4376" s="1790"/>
      <c r="BN4376" s="237">
        <v>143.01</v>
      </c>
      <c r="BO4376" s="237" t="s">
        <v>365</v>
      </c>
      <c r="CD4376" s="345">
        <v>703.12</v>
      </c>
      <c r="CE4376" s="345" t="s">
        <v>310</v>
      </c>
      <c r="CL4376" s="1789"/>
      <c r="CR4376" s="345"/>
      <c r="CS4376" s="345"/>
      <c r="DH4376" s="237"/>
      <c r="DI4376" s="237"/>
      <c r="DP4376" s="2505"/>
    </row>
    <row r="4377" spans="30:120">
      <c r="AD4377" s="1138"/>
      <c r="BH4377" s="1790"/>
      <c r="BN4377" s="237">
        <v>143.03</v>
      </c>
      <c r="BO4377" s="237" t="s">
        <v>365</v>
      </c>
      <c r="CD4377" s="345">
        <v>703.14</v>
      </c>
      <c r="CE4377" s="345" t="s">
        <v>310</v>
      </c>
      <c r="CL4377" s="1789"/>
      <c r="CR4377" s="345"/>
      <c r="CS4377" s="345"/>
      <c r="DH4377" s="237"/>
      <c r="DI4377" s="237"/>
      <c r="DP4377" s="2505"/>
    </row>
    <row r="4378" spans="30:120">
      <c r="AD4378" s="1138"/>
      <c r="BH4378" s="1790"/>
      <c r="BN4378" s="237">
        <v>143.04</v>
      </c>
      <c r="BO4378" s="237" t="s">
        <v>365</v>
      </c>
      <c r="CD4378" s="345">
        <v>703.15</v>
      </c>
      <c r="CE4378" s="345" t="s">
        <v>310</v>
      </c>
      <c r="CL4378" s="1789"/>
      <c r="CR4378" s="345"/>
      <c r="CS4378" s="345"/>
      <c r="DH4378" s="237"/>
      <c r="DI4378" s="237"/>
      <c r="DP4378" s="2505"/>
    </row>
    <row r="4379" spans="30:120">
      <c r="AD4379" s="1138"/>
      <c r="BH4379" s="1790"/>
      <c r="BN4379" s="237">
        <v>144.01</v>
      </c>
      <c r="BO4379" s="237" t="s">
        <v>365</v>
      </c>
      <c r="CD4379" s="345">
        <v>703.16</v>
      </c>
      <c r="CE4379" s="345" t="s">
        <v>310</v>
      </c>
      <c r="CL4379" s="1789"/>
      <c r="CR4379" s="345"/>
      <c r="CS4379" s="345"/>
      <c r="DH4379" s="237"/>
      <c r="DI4379" s="237"/>
      <c r="DP4379" s="2505"/>
    </row>
    <row r="4380" spans="30:120">
      <c r="AD4380" s="1138"/>
      <c r="BH4380" s="1790"/>
      <c r="BN4380" s="237">
        <v>144.02000000000001</v>
      </c>
      <c r="BO4380" s="237" t="s">
        <v>365</v>
      </c>
      <c r="CD4380" s="345">
        <v>703.18</v>
      </c>
      <c r="CE4380" s="345" t="s">
        <v>310</v>
      </c>
      <c r="CL4380" s="1789"/>
      <c r="CR4380" s="345"/>
      <c r="CS4380" s="345"/>
      <c r="DH4380" s="237"/>
      <c r="DI4380" s="237"/>
      <c r="DP4380" s="2505"/>
    </row>
    <row r="4381" spans="30:120">
      <c r="AD4381" s="1138"/>
      <c r="BH4381" s="1790"/>
      <c r="BN4381" s="237">
        <v>145.01</v>
      </c>
      <c r="BO4381" s="237" t="s">
        <v>365</v>
      </c>
      <c r="CD4381" s="345">
        <v>703.19</v>
      </c>
      <c r="CE4381" s="345" t="s">
        <v>310</v>
      </c>
      <c r="CL4381" s="1789"/>
      <c r="CR4381" s="345"/>
      <c r="CS4381" s="345"/>
      <c r="DH4381" s="237"/>
      <c r="DI4381" s="237"/>
      <c r="DP4381" s="2505"/>
    </row>
    <row r="4382" spans="30:120">
      <c r="AD4382" s="1138"/>
      <c r="BH4382" s="1790"/>
      <c r="BN4382" s="237">
        <v>145.02000000000001</v>
      </c>
      <c r="BO4382" s="237" t="s">
        <v>365</v>
      </c>
      <c r="CD4382" s="345">
        <v>703.2</v>
      </c>
      <c r="CE4382" s="345" t="s">
        <v>310</v>
      </c>
      <c r="CL4382" s="1789"/>
      <c r="CR4382" s="345"/>
      <c r="CS4382" s="345"/>
      <c r="DH4382" s="237"/>
      <c r="DI4382" s="237"/>
      <c r="DP4382" s="2505"/>
    </row>
    <row r="4383" spans="30:120">
      <c r="AD4383" s="1138"/>
      <c r="BH4383" s="1790"/>
      <c r="BN4383" s="237">
        <v>146</v>
      </c>
      <c r="BO4383" s="237" t="s">
        <v>365</v>
      </c>
      <c r="CD4383" s="345">
        <v>703.21</v>
      </c>
      <c r="CE4383" s="345" t="s">
        <v>310</v>
      </c>
      <c r="CL4383" s="1789"/>
      <c r="CR4383" s="345"/>
      <c r="CS4383" s="345"/>
      <c r="DH4383" s="237"/>
      <c r="DI4383" s="237"/>
      <c r="DP4383" s="2505"/>
    </row>
    <row r="4384" spans="30:120">
      <c r="AD4384" s="1138"/>
      <c r="BH4384" s="1790"/>
      <c r="BN4384" s="237">
        <v>147.01</v>
      </c>
      <c r="BO4384" s="237" t="s">
        <v>365</v>
      </c>
      <c r="CD4384" s="345">
        <v>703.23</v>
      </c>
      <c r="CE4384" s="345" t="s">
        <v>310</v>
      </c>
      <c r="CL4384" s="1789"/>
      <c r="CR4384" s="345"/>
      <c r="CS4384" s="345"/>
      <c r="DH4384" s="237"/>
      <c r="DI4384" s="237"/>
      <c r="DP4384" s="2505"/>
    </row>
    <row r="4385" spans="30:120">
      <c r="AD4385" s="1138"/>
      <c r="BH4385" s="1790"/>
      <c r="BN4385" s="237">
        <v>147.03</v>
      </c>
      <c r="BO4385" s="237" t="s">
        <v>365</v>
      </c>
      <c r="CD4385" s="345">
        <v>703.24</v>
      </c>
      <c r="CE4385" s="345" t="s">
        <v>310</v>
      </c>
      <c r="CL4385" s="1789"/>
      <c r="CR4385" s="345"/>
      <c r="CS4385" s="345"/>
      <c r="DH4385" s="237"/>
      <c r="DI4385" s="237"/>
      <c r="DP4385" s="2505"/>
    </row>
    <row r="4386" spans="30:120">
      <c r="AD4386" s="1138"/>
      <c r="BH4386" s="1790"/>
      <c r="BN4386" s="237">
        <v>147.04</v>
      </c>
      <c r="BO4386" s="237" t="s">
        <v>365</v>
      </c>
      <c r="CD4386" s="345">
        <v>703.25</v>
      </c>
      <c r="CE4386" s="345" t="s">
        <v>310</v>
      </c>
      <c r="CL4386" s="1789"/>
      <c r="CR4386" s="345"/>
      <c r="CS4386" s="345"/>
      <c r="DH4386" s="237"/>
      <c r="DI4386" s="237"/>
      <c r="DP4386" s="2505"/>
    </row>
    <row r="4387" spans="30:120">
      <c r="AD4387" s="1138"/>
      <c r="BH4387" s="1790"/>
      <c r="BN4387" s="237">
        <v>148.02000000000001</v>
      </c>
      <c r="BO4387" s="237" t="s">
        <v>365</v>
      </c>
      <c r="CD4387" s="345">
        <v>703.26</v>
      </c>
      <c r="CE4387" s="345" t="s">
        <v>310</v>
      </c>
      <c r="CL4387" s="1789"/>
      <c r="CR4387" s="345"/>
      <c r="CS4387" s="345"/>
      <c r="DH4387" s="237"/>
      <c r="DI4387" s="237"/>
      <c r="DP4387" s="2505"/>
    </row>
    <row r="4388" spans="30:120">
      <c r="AD4388" s="1138"/>
      <c r="BH4388" s="1790"/>
      <c r="BN4388" s="237">
        <v>148.03</v>
      </c>
      <c r="BO4388" s="237" t="s">
        <v>365</v>
      </c>
      <c r="CD4388" s="345">
        <v>703.27</v>
      </c>
      <c r="CE4388" s="345" t="s">
        <v>310</v>
      </c>
      <c r="CL4388" s="1789"/>
      <c r="CR4388" s="345"/>
      <c r="CS4388" s="345"/>
      <c r="DH4388" s="237"/>
      <c r="DI4388" s="237"/>
      <c r="DP4388" s="2505"/>
    </row>
    <row r="4389" spans="30:120">
      <c r="AD4389" s="1138"/>
      <c r="BH4389" s="1790"/>
      <c r="BN4389" s="237">
        <v>148.04</v>
      </c>
      <c r="BO4389" s="237" t="s">
        <v>365</v>
      </c>
      <c r="CD4389" s="345">
        <v>703.28</v>
      </c>
      <c r="CE4389" s="345" t="s">
        <v>310</v>
      </c>
      <c r="CL4389" s="1789"/>
      <c r="CR4389" s="345"/>
      <c r="CS4389" s="345"/>
      <c r="DH4389" s="237"/>
      <c r="DI4389" s="237"/>
      <c r="DP4389" s="2505"/>
    </row>
    <row r="4390" spans="30:120">
      <c r="AD4390" s="1138"/>
      <c r="BH4390" s="1790"/>
      <c r="BN4390" s="237">
        <v>149.03</v>
      </c>
      <c r="BO4390" s="237" t="s">
        <v>365</v>
      </c>
      <c r="CD4390" s="345">
        <v>703.29</v>
      </c>
      <c r="CE4390" s="345" t="s">
        <v>310</v>
      </c>
      <c r="CL4390" s="1789"/>
      <c r="CR4390" s="345"/>
      <c r="CS4390" s="345"/>
      <c r="DH4390" s="237"/>
      <c r="DI4390" s="237"/>
      <c r="DP4390" s="2505"/>
    </row>
    <row r="4391" spans="30:120">
      <c r="AD4391" s="1138"/>
      <c r="BH4391" s="1790"/>
      <c r="BN4391" s="237">
        <v>149.04</v>
      </c>
      <c r="BO4391" s="237" t="s">
        <v>365</v>
      </c>
      <c r="CD4391" s="345">
        <v>703.3</v>
      </c>
      <c r="CE4391" s="345" t="s">
        <v>310</v>
      </c>
      <c r="CL4391" s="1789"/>
      <c r="CR4391" s="345"/>
      <c r="CS4391" s="345"/>
      <c r="DH4391" s="237"/>
      <c r="DI4391" s="237"/>
      <c r="DP4391" s="2505"/>
    </row>
    <row r="4392" spans="30:120">
      <c r="AD4392" s="1138"/>
      <c r="BH4392" s="1790"/>
      <c r="BN4392" s="237">
        <v>149.05000000000001</v>
      </c>
      <c r="BO4392" s="237" t="s">
        <v>365</v>
      </c>
      <c r="CD4392" s="345">
        <v>703.31</v>
      </c>
      <c r="CE4392" s="345" t="s">
        <v>310</v>
      </c>
      <c r="CL4392" s="1789"/>
      <c r="CR4392" s="345"/>
      <c r="CS4392" s="345"/>
      <c r="DH4392" s="237"/>
      <c r="DI4392" s="237"/>
      <c r="DP4392" s="2505"/>
    </row>
    <row r="4393" spans="30:120">
      <c r="AD4393" s="1138"/>
      <c r="BH4393" s="1790"/>
      <c r="BN4393" s="237">
        <v>149.06</v>
      </c>
      <c r="BO4393" s="237" t="s">
        <v>365</v>
      </c>
      <c r="CD4393" s="345">
        <v>704.01</v>
      </c>
      <c r="CE4393" s="345" t="s">
        <v>310</v>
      </c>
      <c r="CL4393" s="1789"/>
      <c r="CR4393" s="345"/>
      <c r="CS4393" s="345"/>
      <c r="DH4393" s="237"/>
      <c r="DI4393" s="237"/>
      <c r="DP4393" s="2505"/>
    </row>
    <row r="4394" spans="30:120">
      <c r="AD4394" s="1138"/>
      <c r="BH4394" s="1790"/>
      <c r="BN4394" s="237">
        <v>150</v>
      </c>
      <c r="BO4394" s="237" t="s">
        <v>365</v>
      </c>
      <c r="CD4394" s="345">
        <v>704.02</v>
      </c>
      <c r="CE4394" s="345" t="s">
        <v>310</v>
      </c>
      <c r="CL4394" s="1789"/>
      <c r="CR4394" s="345"/>
      <c r="CS4394" s="345"/>
      <c r="DH4394" s="237"/>
      <c r="DI4394" s="237"/>
      <c r="DP4394" s="2505"/>
    </row>
    <row r="4395" spans="30:120">
      <c r="AD4395" s="1138"/>
      <c r="BH4395" s="1790"/>
      <c r="BN4395" s="237">
        <v>151.01</v>
      </c>
      <c r="BO4395" s="237" t="s">
        <v>365</v>
      </c>
      <c r="CD4395" s="345">
        <v>704.03</v>
      </c>
      <c r="CE4395" s="345" t="s">
        <v>310</v>
      </c>
      <c r="CL4395" s="1789"/>
      <c r="CR4395" s="345"/>
      <c r="CS4395" s="345"/>
      <c r="DH4395" s="237"/>
      <c r="DI4395" s="237"/>
      <c r="DP4395" s="2505"/>
    </row>
    <row r="4396" spans="30:120">
      <c r="AD4396" s="1138"/>
      <c r="BH4396" s="1790"/>
      <c r="BN4396" s="237">
        <v>151.02000000000001</v>
      </c>
      <c r="BO4396" s="237" t="s">
        <v>365</v>
      </c>
      <c r="CD4396" s="345">
        <v>704.04</v>
      </c>
      <c r="CE4396" s="345" t="s">
        <v>310</v>
      </c>
      <c r="CL4396" s="1789"/>
      <c r="CR4396" s="345"/>
      <c r="CS4396" s="345"/>
      <c r="DH4396" s="237"/>
      <c r="DI4396" s="237"/>
      <c r="DP4396" s="2505"/>
    </row>
    <row r="4397" spans="30:120">
      <c r="AD4397" s="1138"/>
      <c r="BH4397" s="1790"/>
      <c r="BN4397" s="237">
        <v>152</v>
      </c>
      <c r="BO4397" s="237" t="s">
        <v>365</v>
      </c>
      <c r="CD4397" s="345">
        <v>704.05</v>
      </c>
      <c r="CE4397" s="345" t="s">
        <v>310</v>
      </c>
      <c r="CL4397" s="1789"/>
      <c r="CR4397" s="345"/>
      <c r="CS4397" s="345"/>
      <c r="DH4397" s="237"/>
      <c r="DI4397" s="237"/>
      <c r="DP4397" s="2505"/>
    </row>
    <row r="4398" spans="30:120">
      <c r="AD4398" s="1138"/>
      <c r="BH4398" s="1790"/>
      <c r="BN4398" s="237">
        <v>153.01</v>
      </c>
      <c r="BO4398" s="237" t="s">
        <v>365</v>
      </c>
      <c r="CD4398" s="345">
        <v>705.01</v>
      </c>
      <c r="CE4398" s="345" t="s">
        <v>310</v>
      </c>
      <c r="CL4398" s="1789"/>
      <c r="CR4398" s="345"/>
      <c r="CS4398" s="345"/>
      <c r="DH4398" s="237"/>
      <c r="DI4398" s="237"/>
      <c r="DP4398" s="2505"/>
    </row>
    <row r="4399" spans="30:120">
      <c r="AD4399" s="1138"/>
      <c r="BH4399" s="1790"/>
      <c r="BN4399" s="237">
        <v>153.02000000000001</v>
      </c>
      <c r="BO4399" s="237" t="s">
        <v>365</v>
      </c>
      <c r="CD4399" s="345">
        <v>705.03</v>
      </c>
      <c r="CE4399" s="345" t="s">
        <v>310</v>
      </c>
      <c r="CL4399" s="1789"/>
      <c r="CR4399" s="345"/>
      <c r="CS4399" s="345"/>
      <c r="DH4399" s="237"/>
      <c r="DI4399" s="237"/>
      <c r="DP4399" s="2505"/>
    </row>
    <row r="4400" spans="30:120">
      <c r="AD4400" s="1138"/>
      <c r="BH4400" s="1790"/>
      <c r="BN4400" s="237">
        <v>154.01</v>
      </c>
      <c r="BO4400" s="237" t="s">
        <v>365</v>
      </c>
      <c r="CD4400" s="345">
        <v>705.04</v>
      </c>
      <c r="CE4400" s="345" t="s">
        <v>310</v>
      </c>
      <c r="CL4400" s="1789"/>
      <c r="CR4400" s="345"/>
      <c r="CS4400" s="345"/>
      <c r="DH4400" s="237"/>
      <c r="DI4400" s="237"/>
      <c r="DP4400" s="2505"/>
    </row>
    <row r="4401" spans="30:120">
      <c r="AD4401" s="1138"/>
      <c r="BH4401" s="1790"/>
      <c r="BN4401" s="237">
        <v>154.02000000000001</v>
      </c>
      <c r="BO4401" s="237" t="s">
        <v>365</v>
      </c>
      <c r="CD4401" s="345">
        <v>706.01</v>
      </c>
      <c r="CE4401" s="345" t="s">
        <v>310</v>
      </c>
      <c r="CL4401" s="1789"/>
      <c r="CR4401" s="345"/>
      <c r="CS4401" s="345"/>
      <c r="DH4401" s="237"/>
      <c r="DI4401" s="237"/>
      <c r="DP4401" s="2505"/>
    </row>
    <row r="4402" spans="30:120">
      <c r="AD4402" s="1138"/>
      <c r="BH4402" s="1790"/>
      <c r="BN4402" s="237">
        <v>154.04</v>
      </c>
      <c r="BO4402" s="237" t="s">
        <v>365</v>
      </c>
      <c r="CD4402" s="345">
        <v>706.02</v>
      </c>
      <c r="CE4402" s="345" t="s">
        <v>310</v>
      </c>
      <c r="CL4402" s="1789"/>
      <c r="CR4402" s="345"/>
      <c r="CS4402" s="345"/>
      <c r="DH4402" s="237"/>
      <c r="DI4402" s="237"/>
      <c r="DP4402" s="2505"/>
    </row>
    <row r="4403" spans="30:120">
      <c r="AD4403" s="1138"/>
      <c r="BH4403" s="1790"/>
      <c r="BN4403" s="237">
        <v>154.05000000000001</v>
      </c>
      <c r="BO4403" s="237" t="s">
        <v>365</v>
      </c>
      <c r="CD4403" s="345">
        <v>711</v>
      </c>
      <c r="CE4403" s="345" t="s">
        <v>309</v>
      </c>
      <c r="CL4403" s="1789"/>
      <c r="CR4403" s="345"/>
      <c r="CS4403" s="345"/>
      <c r="DH4403" s="237"/>
      <c r="DI4403" s="237"/>
      <c r="DP4403" s="2505"/>
    </row>
    <row r="4404" spans="30:120">
      <c r="AD4404" s="1138"/>
      <c r="BH4404" s="1790"/>
      <c r="BN4404" s="237">
        <v>155</v>
      </c>
      <c r="BO4404" s="237" t="s">
        <v>365</v>
      </c>
      <c r="CD4404" s="345">
        <v>712.01</v>
      </c>
      <c r="CE4404" s="345" t="s">
        <v>309</v>
      </c>
      <c r="CL4404" s="1789"/>
      <c r="CR4404" s="345"/>
      <c r="CS4404" s="345"/>
      <c r="DH4404" s="237"/>
      <c r="DI4404" s="237"/>
      <c r="DP4404" s="2505"/>
    </row>
    <row r="4405" spans="30:120">
      <c r="AD4405" s="1138"/>
      <c r="BH4405" s="1790"/>
      <c r="BN4405" s="237">
        <v>156</v>
      </c>
      <c r="BO4405" s="237" t="s">
        <v>365</v>
      </c>
      <c r="CD4405" s="345">
        <v>712.02</v>
      </c>
      <c r="CE4405" s="345" t="s">
        <v>309</v>
      </c>
      <c r="CL4405" s="1789"/>
      <c r="CR4405" s="345"/>
      <c r="CS4405" s="345"/>
      <c r="DH4405" s="237"/>
      <c r="DI4405" s="237"/>
      <c r="DP4405" s="2505"/>
    </row>
    <row r="4406" spans="30:120">
      <c r="AD4406" s="1138"/>
      <c r="BH4406" s="1790"/>
      <c r="BN4406" s="237">
        <v>157.01</v>
      </c>
      <c r="BO4406" s="237" t="s">
        <v>365</v>
      </c>
      <c r="CD4406" s="345">
        <v>712.03</v>
      </c>
      <c r="CE4406" s="345" t="s">
        <v>309</v>
      </c>
      <c r="CL4406" s="1789"/>
      <c r="CR4406" s="345"/>
      <c r="CS4406" s="345"/>
      <c r="DH4406" s="237"/>
      <c r="DI4406" s="237"/>
      <c r="DP4406" s="2505"/>
    </row>
    <row r="4407" spans="30:120">
      <c r="AD4407" s="1138"/>
      <c r="BH4407" s="1790"/>
      <c r="BN4407" s="237">
        <v>157.02000000000001</v>
      </c>
      <c r="BO4407" s="237" t="s">
        <v>365</v>
      </c>
      <c r="CD4407" s="345">
        <v>712.04</v>
      </c>
      <c r="CE4407" s="345" t="s">
        <v>309</v>
      </c>
      <c r="CL4407" s="1789"/>
      <c r="CR4407" s="345"/>
      <c r="CS4407" s="345"/>
      <c r="DH4407" s="237"/>
      <c r="DI4407" s="237"/>
      <c r="DP4407" s="2505"/>
    </row>
    <row r="4408" spans="30:120">
      <c r="AD4408" s="1138"/>
      <c r="BH4408" s="1790"/>
      <c r="BN4408" s="237">
        <v>158.01</v>
      </c>
      <c r="BO4408" s="237" t="s">
        <v>365</v>
      </c>
      <c r="CD4408" s="345">
        <v>712.05</v>
      </c>
      <c r="CE4408" s="345" t="s">
        <v>309</v>
      </c>
      <c r="CL4408" s="1789"/>
      <c r="CR4408" s="345"/>
      <c r="CS4408" s="345"/>
      <c r="DH4408" s="237"/>
      <c r="DI4408" s="237"/>
      <c r="DP4408" s="2505"/>
    </row>
    <row r="4409" spans="30:120">
      <c r="AD4409" s="1138"/>
      <c r="BH4409" s="1790"/>
      <c r="BN4409" s="237">
        <v>158.02000000000001</v>
      </c>
      <c r="BO4409" s="237" t="s">
        <v>365</v>
      </c>
      <c r="CD4409" s="345">
        <v>713.35</v>
      </c>
      <c r="CE4409" s="345" t="s">
        <v>309</v>
      </c>
      <c r="CL4409" s="1789"/>
      <c r="CR4409" s="345"/>
      <c r="CS4409" s="345"/>
      <c r="DH4409" s="237"/>
      <c r="DI4409" s="237"/>
      <c r="DP4409" s="2505"/>
    </row>
    <row r="4410" spans="30:120">
      <c r="AD4410" s="1138"/>
      <c r="BH4410" s="1790"/>
      <c r="BN4410" s="237">
        <v>159</v>
      </c>
      <c r="BO4410" s="237" t="s">
        <v>365</v>
      </c>
      <c r="CD4410" s="345">
        <v>713.37</v>
      </c>
      <c r="CE4410" s="345" t="s">
        <v>309</v>
      </c>
      <c r="CL4410" s="1789"/>
      <c r="CR4410" s="345"/>
      <c r="CS4410" s="345"/>
      <c r="DH4410" s="237"/>
      <c r="DI4410" s="237"/>
      <c r="DP4410" s="2505"/>
    </row>
    <row r="4411" spans="30:120">
      <c r="AD4411" s="1138"/>
      <c r="BH4411" s="1790"/>
      <c r="BN4411" s="237">
        <v>160.01</v>
      </c>
      <c r="BO4411" s="237" t="s">
        <v>365</v>
      </c>
      <c r="CD4411" s="345">
        <v>713.39</v>
      </c>
      <c r="CE4411" s="345" t="s">
        <v>309</v>
      </c>
      <c r="CL4411" s="1789"/>
      <c r="CR4411" s="345"/>
      <c r="CS4411" s="345"/>
      <c r="DH4411" s="237"/>
      <c r="DI4411" s="237"/>
      <c r="DP4411" s="2505"/>
    </row>
    <row r="4412" spans="30:120">
      <c r="AD4412" s="1138"/>
      <c r="BH4412" s="1790"/>
      <c r="BN4412" s="237">
        <v>160.02000000000001</v>
      </c>
      <c r="BO4412" s="237" t="s">
        <v>365</v>
      </c>
      <c r="CD4412" s="345">
        <v>713.41</v>
      </c>
      <c r="CE4412" s="345" t="s">
        <v>309</v>
      </c>
      <c r="CL4412" s="1789"/>
      <c r="CR4412" s="345"/>
      <c r="CS4412" s="345"/>
      <c r="DH4412" s="237"/>
      <c r="DI4412" s="237"/>
      <c r="DP4412" s="2505"/>
    </row>
    <row r="4413" spans="30:120">
      <c r="AD4413" s="1138"/>
      <c r="BH4413" s="1790"/>
      <c r="BN4413" s="237">
        <v>160.03</v>
      </c>
      <c r="BO4413" s="237" t="s">
        <v>365</v>
      </c>
      <c r="CD4413" s="345">
        <v>713.42</v>
      </c>
      <c r="CE4413" s="345" t="s">
        <v>309</v>
      </c>
      <c r="CL4413" s="1789"/>
      <c r="CR4413" s="345"/>
      <c r="CS4413" s="345"/>
      <c r="DH4413" s="237"/>
      <c r="DI4413" s="237"/>
      <c r="DP4413" s="2505"/>
    </row>
    <row r="4414" spans="30:120">
      <c r="AD4414" s="1138"/>
      <c r="BH4414" s="1790"/>
      <c r="BN4414" s="237">
        <v>161</v>
      </c>
      <c r="BO4414" s="237" t="s">
        <v>365</v>
      </c>
      <c r="CD4414" s="345">
        <v>713.43</v>
      </c>
      <c r="CE4414" s="345" t="s">
        <v>309</v>
      </c>
      <c r="CL4414" s="1789"/>
      <c r="CR4414" s="345"/>
      <c r="CS4414" s="345"/>
      <c r="DH4414" s="237"/>
      <c r="DI4414" s="237"/>
      <c r="DP4414" s="2505"/>
    </row>
    <row r="4415" spans="30:120">
      <c r="AD4415" s="1138"/>
      <c r="BH4415" s="1790"/>
      <c r="BN4415" s="237">
        <v>164</v>
      </c>
      <c r="BO4415" s="237" t="s">
        <v>365</v>
      </c>
      <c r="CD4415" s="345">
        <v>713.44</v>
      </c>
      <c r="CE4415" s="345" t="s">
        <v>309</v>
      </c>
      <c r="CL4415" s="1789"/>
      <c r="CR4415" s="345"/>
      <c r="CS4415" s="345"/>
      <c r="DH4415" s="237"/>
      <c r="DI4415" s="237"/>
      <c r="DP4415" s="2505"/>
    </row>
    <row r="4416" spans="30:120">
      <c r="AD4416" s="1138"/>
      <c r="BH4416" s="1790"/>
      <c r="BN4416" s="237">
        <v>9800</v>
      </c>
      <c r="BO4416" s="237" t="s">
        <v>365</v>
      </c>
      <c r="CD4416" s="345">
        <v>713.45</v>
      </c>
      <c r="CE4416" s="345" t="s">
        <v>309</v>
      </c>
      <c r="CL4416" s="1789"/>
      <c r="CR4416" s="345"/>
      <c r="CS4416" s="345"/>
      <c r="DH4416" s="237"/>
      <c r="DI4416" s="237"/>
      <c r="DP4416" s="2505"/>
    </row>
    <row r="4417" spans="30:120">
      <c r="AD4417" s="1138"/>
      <c r="BH4417" s="1790"/>
      <c r="BN4417" s="237">
        <v>202</v>
      </c>
      <c r="BO4417" s="237" t="s">
        <v>370</v>
      </c>
      <c r="CD4417" s="345">
        <v>713.46</v>
      </c>
      <c r="CE4417" s="345" t="s">
        <v>309</v>
      </c>
      <c r="CL4417" s="1789"/>
      <c r="CR4417" s="345"/>
      <c r="CS4417" s="345"/>
      <c r="DH4417" s="237"/>
      <c r="DI4417" s="237"/>
      <c r="DP4417" s="2505"/>
    </row>
    <row r="4418" spans="30:120">
      <c r="AD4418" s="1138"/>
      <c r="BH4418" s="1790"/>
      <c r="BN4418" s="237">
        <v>203</v>
      </c>
      <c r="BO4418" s="237" t="s">
        <v>370</v>
      </c>
      <c r="CD4418" s="345">
        <v>713.47</v>
      </c>
      <c r="CE4418" s="345" t="s">
        <v>309</v>
      </c>
      <c r="CL4418" s="1789"/>
      <c r="CR4418" s="345"/>
      <c r="CS4418" s="345"/>
      <c r="DH4418" s="237"/>
      <c r="DI4418" s="237"/>
      <c r="DP4418" s="2505"/>
    </row>
    <row r="4419" spans="30:120">
      <c r="AD4419" s="1138"/>
      <c r="BH4419" s="1790"/>
      <c r="BN4419" s="237">
        <v>204</v>
      </c>
      <c r="BO4419" s="237" t="s">
        <v>370</v>
      </c>
      <c r="CD4419" s="345">
        <v>713.48</v>
      </c>
      <c r="CE4419" s="345" t="s">
        <v>309</v>
      </c>
      <c r="CL4419" s="1789"/>
      <c r="CR4419" s="345"/>
      <c r="CS4419" s="345"/>
      <c r="DH4419" s="237"/>
      <c r="DI4419" s="237"/>
      <c r="DP4419" s="2505"/>
    </row>
    <row r="4420" spans="30:120">
      <c r="AD4420" s="1138"/>
      <c r="BH4420" s="1790"/>
      <c r="BN4420" s="237">
        <v>205</v>
      </c>
      <c r="BO4420" s="237" t="s">
        <v>370</v>
      </c>
      <c r="CD4420" s="345">
        <v>713.49</v>
      </c>
      <c r="CE4420" s="345" t="s">
        <v>309</v>
      </c>
      <c r="CL4420" s="1789"/>
      <c r="CR4420" s="345"/>
      <c r="CS4420" s="345"/>
      <c r="DH4420" s="237"/>
      <c r="DI4420" s="237"/>
      <c r="DP4420" s="2505"/>
    </row>
    <row r="4421" spans="30:120">
      <c r="AD4421" s="1138"/>
      <c r="BH4421" s="1790"/>
      <c r="BN4421" s="237">
        <v>206.03</v>
      </c>
      <c r="BO4421" s="237" t="s">
        <v>370</v>
      </c>
      <c r="CD4421" s="345">
        <v>713.5</v>
      </c>
      <c r="CE4421" s="345" t="s">
        <v>309</v>
      </c>
      <c r="CL4421" s="1789"/>
      <c r="CR4421" s="345"/>
      <c r="CS4421" s="345"/>
      <c r="DH4421" s="237"/>
      <c r="DI4421" s="237"/>
      <c r="DP4421" s="2505"/>
    </row>
    <row r="4422" spans="30:120">
      <c r="AD4422" s="1138"/>
      <c r="BH4422" s="1790"/>
      <c r="BN4422" s="237">
        <v>206.04</v>
      </c>
      <c r="BO4422" s="237" t="s">
        <v>370</v>
      </c>
      <c r="CD4422" s="345">
        <v>713.51</v>
      </c>
      <c r="CE4422" s="345" t="s">
        <v>309</v>
      </c>
      <c r="CL4422" s="1789"/>
      <c r="CR4422" s="345"/>
      <c r="CS4422" s="345"/>
      <c r="DH4422" s="237"/>
      <c r="DI4422" s="237"/>
      <c r="DP4422" s="2505"/>
    </row>
    <row r="4423" spans="30:120">
      <c r="AD4423" s="1138"/>
      <c r="BH4423" s="1790"/>
      <c r="BN4423" s="237">
        <v>206.05</v>
      </c>
      <c r="BO4423" s="237" t="s">
        <v>370</v>
      </c>
      <c r="CD4423" s="345">
        <v>713.52</v>
      </c>
      <c r="CE4423" s="345" t="s">
        <v>309</v>
      </c>
      <c r="CL4423" s="1789"/>
      <c r="CR4423" s="345"/>
      <c r="CS4423" s="345"/>
      <c r="DH4423" s="237"/>
      <c r="DI4423" s="237"/>
      <c r="DP4423" s="2505"/>
    </row>
    <row r="4424" spans="30:120">
      <c r="AD4424" s="1138"/>
      <c r="BH4424" s="1790"/>
      <c r="BN4424" s="237">
        <v>206.06</v>
      </c>
      <c r="BO4424" s="237" t="s">
        <v>370</v>
      </c>
      <c r="CD4424" s="345">
        <v>713.53</v>
      </c>
      <c r="CE4424" s="345" t="s">
        <v>309</v>
      </c>
      <c r="CL4424" s="1789"/>
      <c r="CR4424" s="345"/>
      <c r="CS4424" s="345"/>
      <c r="DH4424" s="237"/>
      <c r="DI4424" s="237"/>
      <c r="DP4424" s="2505"/>
    </row>
    <row r="4425" spans="30:120">
      <c r="AD4425" s="1138"/>
      <c r="BH4425" s="1790"/>
      <c r="BN4425" s="237">
        <v>207.04</v>
      </c>
      <c r="BO4425" s="237" t="s">
        <v>370</v>
      </c>
      <c r="CD4425" s="345">
        <v>713.54</v>
      </c>
      <c r="CE4425" s="345" t="s">
        <v>309</v>
      </c>
      <c r="CL4425" s="1789"/>
      <c r="CR4425" s="345"/>
      <c r="CS4425" s="345"/>
      <c r="DH4425" s="237"/>
      <c r="DI4425" s="237"/>
      <c r="DP4425" s="2505"/>
    </row>
    <row r="4426" spans="30:120">
      <c r="AD4426" s="1138"/>
      <c r="BH4426" s="1790"/>
      <c r="BN4426" s="237">
        <v>207.05</v>
      </c>
      <c r="BO4426" s="237" t="s">
        <v>370</v>
      </c>
      <c r="CD4426" s="345">
        <v>714.01</v>
      </c>
      <c r="CE4426" s="345" t="s">
        <v>309</v>
      </c>
      <c r="CL4426" s="1789"/>
      <c r="CR4426" s="345"/>
      <c r="CS4426" s="345"/>
      <c r="DH4426" s="237"/>
      <c r="DI4426" s="237"/>
      <c r="DP4426" s="2505"/>
    </row>
    <row r="4427" spans="30:120">
      <c r="AD4427" s="1138"/>
      <c r="BH4427" s="1790"/>
      <c r="BN4427" s="237">
        <v>207.06</v>
      </c>
      <c r="BO4427" s="237" t="s">
        <v>370</v>
      </c>
      <c r="CD4427" s="345">
        <v>714.02</v>
      </c>
      <c r="CE4427" s="345" t="s">
        <v>309</v>
      </c>
      <c r="CL4427" s="1789"/>
      <c r="CR4427" s="345"/>
      <c r="CS4427" s="345"/>
      <c r="DH4427" s="237"/>
      <c r="DI4427" s="237"/>
      <c r="DP4427" s="2505"/>
    </row>
    <row r="4428" spans="30:120">
      <c r="AD4428" s="1138"/>
      <c r="BH4428" s="1790"/>
      <c r="BN4428" s="237">
        <v>207.07</v>
      </c>
      <c r="BO4428" s="237" t="s">
        <v>370</v>
      </c>
      <c r="CD4428" s="345">
        <v>715</v>
      </c>
      <c r="CE4428" s="345" t="s">
        <v>309</v>
      </c>
      <c r="CL4428" s="1789"/>
      <c r="CR4428" s="345"/>
      <c r="CS4428" s="345"/>
      <c r="DH4428" s="237"/>
      <c r="DI4428" s="237"/>
      <c r="DP4428" s="2505"/>
    </row>
    <row r="4429" spans="30:120">
      <c r="AD4429" s="1138"/>
      <c r="BH4429" s="1790"/>
      <c r="BN4429" s="237">
        <v>207.08</v>
      </c>
      <c r="BO4429" s="237" t="s">
        <v>370</v>
      </c>
      <c r="CD4429" s="345">
        <v>716.01</v>
      </c>
      <c r="CE4429" s="345" t="s">
        <v>309</v>
      </c>
      <c r="CL4429" s="1789"/>
      <c r="CR4429" s="345"/>
      <c r="CS4429" s="345"/>
      <c r="DH4429" s="237"/>
      <c r="DI4429" s="237"/>
      <c r="DP4429" s="2505"/>
    </row>
    <row r="4430" spans="30:120">
      <c r="AD4430" s="1138"/>
      <c r="BH4430" s="1790"/>
      <c r="BN4430" s="237">
        <v>207.1</v>
      </c>
      <c r="BO4430" s="237" t="s">
        <v>370</v>
      </c>
      <c r="CD4430" s="345">
        <v>716.02</v>
      </c>
      <c r="CE4430" s="345" t="s">
        <v>309</v>
      </c>
      <c r="CL4430" s="1789"/>
      <c r="CR4430" s="345"/>
      <c r="CS4430" s="345"/>
      <c r="DH4430" s="237"/>
      <c r="DI4430" s="237"/>
      <c r="DP4430" s="2505"/>
    </row>
    <row r="4431" spans="30:120">
      <c r="AD4431" s="1138"/>
      <c r="BH4431" s="1790"/>
      <c r="BN4431" s="237">
        <v>207.12</v>
      </c>
      <c r="BO4431" s="237" t="s">
        <v>370</v>
      </c>
      <c r="CD4431" s="345">
        <v>717</v>
      </c>
      <c r="CE4431" s="345" t="s">
        <v>309</v>
      </c>
      <c r="CL4431" s="1789"/>
      <c r="CR4431" s="345"/>
      <c r="CS4431" s="345"/>
      <c r="DH4431" s="237"/>
      <c r="DI4431" s="237"/>
      <c r="DP4431" s="2505"/>
    </row>
    <row r="4432" spans="30:120">
      <c r="AD4432" s="1138"/>
      <c r="BH4432" s="1790"/>
      <c r="BN4432" s="237">
        <v>207.13</v>
      </c>
      <c r="BO4432" s="237" t="s">
        <v>370</v>
      </c>
      <c r="CD4432" s="237">
        <v>801</v>
      </c>
      <c r="CE4432" s="237" t="s">
        <v>344</v>
      </c>
      <c r="CL4432" s="1789"/>
      <c r="CR4432" s="345"/>
      <c r="CS4432" s="345"/>
      <c r="DH4432" s="237"/>
      <c r="DI4432" s="237"/>
      <c r="DP4432" s="2505"/>
    </row>
    <row r="4433" spans="30:120">
      <c r="AD4433" s="1138"/>
      <c r="BH4433" s="1790"/>
      <c r="BN4433" s="237">
        <v>208.01</v>
      </c>
      <c r="BO4433" s="237" t="s">
        <v>370</v>
      </c>
      <c r="CD4433" s="237">
        <v>801.01</v>
      </c>
      <c r="CE4433" s="237" t="s">
        <v>376</v>
      </c>
      <c r="CL4433" s="1789"/>
      <c r="CR4433" s="345"/>
      <c r="CS4433" s="345"/>
      <c r="DH4433" s="237"/>
      <c r="DI4433" s="237"/>
      <c r="DP4433" s="2505"/>
    </row>
    <row r="4434" spans="30:120">
      <c r="AD4434" s="1138"/>
      <c r="BH4434" s="1790"/>
      <c r="BN4434" s="237">
        <v>208.02</v>
      </c>
      <c r="BO4434" s="237" t="s">
        <v>370</v>
      </c>
      <c r="CD4434" s="345">
        <v>801.02</v>
      </c>
      <c r="CE4434" s="345" t="s">
        <v>310</v>
      </c>
      <c r="CL4434" s="1789"/>
      <c r="CR4434" s="345"/>
      <c r="CS4434" s="345"/>
      <c r="DH4434" s="237"/>
      <c r="DI4434" s="237"/>
      <c r="DP4434" s="2505"/>
    </row>
    <row r="4435" spans="30:120">
      <c r="AD4435" s="1138"/>
      <c r="BH4435" s="1790"/>
      <c r="BN4435" s="237">
        <v>208.03</v>
      </c>
      <c r="BO4435" s="237" t="s">
        <v>370</v>
      </c>
      <c r="CD4435" s="237">
        <v>801.02</v>
      </c>
      <c r="CE4435" s="237" t="s">
        <v>376</v>
      </c>
      <c r="CL4435" s="1789"/>
      <c r="CR4435" s="345"/>
      <c r="CS4435" s="345"/>
      <c r="DH4435" s="237"/>
      <c r="DI4435" s="237"/>
      <c r="DP4435" s="2505"/>
    </row>
    <row r="4436" spans="30:120">
      <c r="AD4436" s="1138"/>
      <c r="BH4436" s="1790"/>
      <c r="BN4436" s="237">
        <v>208.04</v>
      </c>
      <c r="BO4436" s="237" t="s">
        <v>370</v>
      </c>
      <c r="CD4436" s="345">
        <v>801.03</v>
      </c>
      <c r="CE4436" s="345" t="s">
        <v>310</v>
      </c>
      <c r="CL4436" s="1789"/>
      <c r="CR4436" s="345"/>
      <c r="CS4436" s="345"/>
      <c r="DH4436" s="237"/>
      <c r="DI4436" s="237"/>
      <c r="DP4436" s="2505"/>
    </row>
    <row r="4437" spans="30:120">
      <c r="AD4437" s="1138"/>
      <c r="BH4437" s="1790"/>
      <c r="BN4437" s="237">
        <v>208.07</v>
      </c>
      <c r="BO4437" s="237" t="s">
        <v>370</v>
      </c>
      <c r="CD4437" s="345">
        <v>801.04</v>
      </c>
      <c r="CE4437" s="345" t="s">
        <v>310</v>
      </c>
      <c r="CL4437" s="1789"/>
      <c r="CR4437" s="345"/>
      <c r="CS4437" s="345"/>
      <c r="DH4437" s="237"/>
      <c r="DI4437" s="237"/>
      <c r="DP4437" s="2505"/>
    </row>
    <row r="4438" spans="30:120">
      <c r="AD4438" s="1138"/>
      <c r="BH4438" s="1790"/>
      <c r="BN4438" s="237">
        <v>208.08</v>
      </c>
      <c r="BO4438" s="237" t="s">
        <v>370</v>
      </c>
      <c r="CD4438" s="345">
        <v>801.05</v>
      </c>
      <c r="CE4438" s="345" t="s">
        <v>310</v>
      </c>
      <c r="CL4438" s="1789"/>
      <c r="CR4438" s="345"/>
      <c r="CS4438" s="345"/>
      <c r="DH4438" s="237"/>
      <c r="DI4438" s="237"/>
      <c r="DP4438" s="2505"/>
    </row>
    <row r="4439" spans="30:120">
      <c r="AD4439" s="1138"/>
      <c r="BH4439" s="1790"/>
      <c r="BN4439" s="237">
        <v>208.09</v>
      </c>
      <c r="BO4439" s="237" t="s">
        <v>370</v>
      </c>
      <c r="CD4439" s="345">
        <v>802</v>
      </c>
      <c r="CE4439" s="345" t="s">
        <v>310</v>
      </c>
      <c r="CL4439" s="1789"/>
      <c r="CR4439" s="345"/>
      <c r="CS4439" s="345"/>
      <c r="DH4439" s="237"/>
      <c r="DI4439" s="237"/>
      <c r="DP4439" s="2505"/>
    </row>
    <row r="4440" spans="30:120">
      <c r="AD4440" s="1138"/>
      <c r="BH4440" s="1790"/>
      <c r="BN4440" s="237">
        <v>208.1</v>
      </c>
      <c r="BO4440" s="237" t="s">
        <v>370</v>
      </c>
      <c r="CD4440" s="237">
        <v>802.01</v>
      </c>
      <c r="CE4440" s="237" t="s">
        <v>376</v>
      </c>
      <c r="CL4440" s="1789"/>
      <c r="CR4440" s="345"/>
      <c r="CS4440" s="345"/>
      <c r="DH4440" s="237"/>
      <c r="DI4440" s="237"/>
      <c r="DP4440" s="2505"/>
    </row>
    <row r="4441" spans="30:120">
      <c r="AD4441" s="1138"/>
      <c r="BH4441" s="1790"/>
      <c r="BN4441" s="237">
        <v>208.11</v>
      </c>
      <c r="BO4441" s="237" t="s">
        <v>370</v>
      </c>
      <c r="CD4441" s="237">
        <v>802.02</v>
      </c>
      <c r="CE4441" s="237" t="s">
        <v>344</v>
      </c>
      <c r="CL4441" s="1789"/>
      <c r="CR4441" s="345"/>
      <c r="CS4441" s="345"/>
      <c r="DH4441" s="237"/>
      <c r="DI4441" s="237"/>
      <c r="DP4441" s="2505"/>
    </row>
    <row r="4442" spans="30:120">
      <c r="AD4442" s="1138"/>
      <c r="BH4442" s="1790"/>
      <c r="BN4442" s="237">
        <v>209.03</v>
      </c>
      <c r="BO4442" s="237" t="s">
        <v>370</v>
      </c>
      <c r="CD4442" s="237">
        <v>802.02</v>
      </c>
      <c r="CE4442" s="237" t="s">
        <v>376</v>
      </c>
      <c r="CL4442" s="1789"/>
      <c r="CR4442" s="345"/>
      <c r="CS4442" s="345"/>
      <c r="DH4442" s="237"/>
      <c r="DI4442" s="237"/>
      <c r="DP4442" s="2505"/>
    </row>
    <row r="4443" spans="30:120">
      <c r="AD4443" s="1138"/>
      <c r="BH4443" s="1790"/>
      <c r="BN4443" s="237">
        <v>209.04</v>
      </c>
      <c r="BO4443" s="237" t="s">
        <v>370</v>
      </c>
      <c r="CD4443" s="237">
        <v>802.03</v>
      </c>
      <c r="CE4443" s="237" t="s">
        <v>344</v>
      </c>
      <c r="CL4443" s="1789"/>
      <c r="CR4443" s="345"/>
      <c r="CS4443" s="345"/>
      <c r="DH4443" s="237"/>
      <c r="DI4443" s="237"/>
      <c r="DP4443" s="2505"/>
    </row>
    <row r="4444" spans="30:120">
      <c r="AD4444" s="1138"/>
      <c r="BH4444" s="1790"/>
      <c r="BN4444" s="237">
        <v>209.05</v>
      </c>
      <c r="BO4444" s="237" t="s">
        <v>370</v>
      </c>
      <c r="CD4444" s="237">
        <v>802.04</v>
      </c>
      <c r="CE4444" s="237" t="s">
        <v>344</v>
      </c>
      <c r="CL4444" s="1789"/>
      <c r="CR4444" s="345"/>
      <c r="CS4444" s="345"/>
      <c r="DH4444" s="237"/>
      <c r="DI4444" s="237"/>
      <c r="DP4444" s="2505"/>
    </row>
    <row r="4445" spans="30:120">
      <c r="AD4445" s="1138"/>
      <c r="BH4445" s="1790"/>
      <c r="BN4445" s="237">
        <v>209.06</v>
      </c>
      <c r="BO4445" s="237" t="s">
        <v>370</v>
      </c>
      <c r="CD4445" s="237">
        <v>803</v>
      </c>
      <c r="CE4445" s="237" t="s">
        <v>344</v>
      </c>
      <c r="CL4445" s="1789"/>
      <c r="CR4445" s="345"/>
      <c r="CS4445" s="345"/>
      <c r="DH4445" s="237"/>
      <c r="DI4445" s="237"/>
      <c r="DP4445" s="2505"/>
    </row>
    <row r="4446" spans="30:120">
      <c r="AD4446" s="1138"/>
      <c r="BH4446" s="1790"/>
      <c r="BN4446" s="237">
        <v>209.07</v>
      </c>
      <c r="BO4446" s="237" t="s">
        <v>370</v>
      </c>
      <c r="CD4446" s="237">
        <v>803</v>
      </c>
      <c r="CE4446" s="237" t="s">
        <v>376</v>
      </c>
      <c r="CL4446" s="1789"/>
      <c r="CR4446" s="345"/>
      <c r="CS4446" s="345"/>
      <c r="DH4446" s="237"/>
      <c r="DI4446" s="237"/>
      <c r="DP4446" s="2505"/>
    </row>
    <row r="4447" spans="30:120">
      <c r="AD4447" s="1138"/>
      <c r="BH4447" s="1790"/>
      <c r="BN4447" s="237">
        <v>209.08</v>
      </c>
      <c r="BO4447" s="237" t="s">
        <v>370</v>
      </c>
      <c r="CD4447" s="237">
        <v>804</v>
      </c>
      <c r="CE4447" s="237" t="s">
        <v>376</v>
      </c>
      <c r="CL4447" s="1789"/>
      <c r="CR4447" s="345"/>
      <c r="CS4447" s="345"/>
      <c r="DH4447" s="237"/>
      <c r="DI4447" s="237"/>
      <c r="DP4447" s="2505"/>
    </row>
    <row r="4448" spans="30:120">
      <c r="AD4448" s="1138"/>
      <c r="BH4448" s="1790"/>
      <c r="BN4448" s="237">
        <v>210.02</v>
      </c>
      <c r="BO4448" s="237" t="s">
        <v>370</v>
      </c>
      <c r="CD4448" s="345">
        <v>804.02</v>
      </c>
      <c r="CE4448" s="345" t="s">
        <v>310</v>
      </c>
      <c r="CL4448" s="1789"/>
      <c r="CR4448" s="345"/>
      <c r="CS4448" s="345"/>
      <c r="DH4448" s="237"/>
      <c r="DI4448" s="237"/>
      <c r="DP4448" s="2505"/>
    </row>
    <row r="4449" spans="30:120">
      <c r="AD4449" s="1138"/>
      <c r="BH4449" s="1790"/>
      <c r="BN4449" s="237">
        <v>210.03</v>
      </c>
      <c r="BO4449" s="237" t="s">
        <v>370</v>
      </c>
      <c r="CD4449" s="345">
        <v>804.03</v>
      </c>
      <c r="CE4449" s="345" t="s">
        <v>310</v>
      </c>
      <c r="CL4449" s="1789"/>
      <c r="CR4449" s="345"/>
      <c r="CS4449" s="345"/>
      <c r="DH4449" s="237"/>
      <c r="DI4449" s="237"/>
      <c r="DP4449" s="2505"/>
    </row>
    <row r="4450" spans="30:120">
      <c r="AD4450" s="1138"/>
      <c r="BH4450" s="1790"/>
      <c r="BN4450" s="237">
        <v>210.04</v>
      </c>
      <c r="BO4450" s="237" t="s">
        <v>370</v>
      </c>
      <c r="CD4450" s="345">
        <v>804.05</v>
      </c>
      <c r="CE4450" s="345" t="s">
        <v>310</v>
      </c>
      <c r="CL4450" s="1789"/>
      <c r="CR4450" s="345"/>
      <c r="CS4450" s="345"/>
      <c r="DH4450" s="237"/>
      <c r="DI4450" s="237"/>
      <c r="DP4450" s="2505"/>
    </row>
    <row r="4451" spans="30:120">
      <c r="AD4451" s="1138"/>
      <c r="BH4451" s="1790"/>
      <c r="BN4451" s="237">
        <v>211.01</v>
      </c>
      <c r="BO4451" s="237" t="s">
        <v>370</v>
      </c>
      <c r="CD4451" s="345">
        <v>804.06</v>
      </c>
      <c r="CE4451" s="345" t="s">
        <v>310</v>
      </c>
      <c r="CL4451" s="1789"/>
      <c r="CR4451" s="345"/>
      <c r="CS4451" s="345"/>
      <c r="DH4451" s="237"/>
      <c r="DI4451" s="237"/>
      <c r="DP4451" s="2505"/>
    </row>
    <row r="4452" spans="30:120">
      <c r="AD4452" s="1138"/>
      <c r="BH4452" s="1790"/>
      <c r="BN4452" s="237">
        <v>211.02</v>
      </c>
      <c r="BO4452" s="237" t="s">
        <v>370</v>
      </c>
      <c r="CD4452" s="345">
        <v>805</v>
      </c>
      <c r="CE4452" s="345" t="s">
        <v>310</v>
      </c>
      <c r="CL4452" s="1789"/>
      <c r="CR4452" s="345"/>
      <c r="CS4452" s="345"/>
      <c r="DH4452" s="237"/>
      <c r="DI4452" s="237"/>
      <c r="DP4452" s="2505"/>
    </row>
    <row r="4453" spans="30:120">
      <c r="AD4453" s="1138"/>
      <c r="BH4453" s="1790"/>
      <c r="BN4453" s="237">
        <v>211.03</v>
      </c>
      <c r="BO4453" s="237" t="s">
        <v>370</v>
      </c>
      <c r="CD4453" s="237">
        <v>805</v>
      </c>
      <c r="CE4453" s="237" t="s">
        <v>376</v>
      </c>
      <c r="CL4453" s="1789"/>
      <c r="CR4453" s="345"/>
      <c r="CS4453" s="345"/>
      <c r="DH4453" s="237"/>
      <c r="DI4453" s="237"/>
      <c r="DP4453" s="2505"/>
    </row>
    <row r="4454" spans="30:120">
      <c r="AD4454" s="1138"/>
      <c r="BH4454" s="1790"/>
      <c r="BN4454" s="237">
        <v>212.07</v>
      </c>
      <c r="BO4454" s="237" t="s">
        <v>370</v>
      </c>
      <c r="CD4454" s="237">
        <v>806</v>
      </c>
      <c r="CE4454" s="237" t="s">
        <v>376</v>
      </c>
      <c r="CL4454" s="1789"/>
      <c r="CR4454" s="345"/>
      <c r="CS4454" s="345"/>
      <c r="DH4454" s="237"/>
      <c r="DI4454" s="237"/>
      <c r="DP4454" s="2505"/>
    </row>
    <row r="4455" spans="30:120">
      <c r="AD4455" s="1138"/>
      <c r="BH4455" s="1790"/>
      <c r="BN4455" s="237">
        <v>212.08</v>
      </c>
      <c r="BO4455" s="237" t="s">
        <v>370</v>
      </c>
      <c r="CD4455" s="237">
        <v>807</v>
      </c>
      <c r="CE4455" s="237" t="s">
        <v>376</v>
      </c>
      <c r="CL4455" s="1789"/>
      <c r="CR4455" s="345"/>
      <c r="CS4455" s="345"/>
      <c r="DH4455" s="237"/>
      <c r="DI4455" s="237"/>
      <c r="DP4455" s="2505"/>
    </row>
    <row r="4456" spans="30:120">
      <c r="AD4456" s="1138"/>
      <c r="BH4456" s="1790"/>
      <c r="BN4456" s="237">
        <v>212.09</v>
      </c>
      <c r="BO4456" s="237" t="s">
        <v>370</v>
      </c>
      <c r="CD4456" s="237">
        <v>808.03</v>
      </c>
      <c r="CE4456" s="237" t="s">
        <v>376</v>
      </c>
      <c r="CL4456" s="1789"/>
      <c r="CR4456" s="345"/>
      <c r="CS4456" s="345"/>
      <c r="DH4456" s="237"/>
      <c r="DI4456" s="237"/>
      <c r="DP4456" s="2505"/>
    </row>
    <row r="4457" spans="30:120">
      <c r="AD4457" s="1138"/>
      <c r="BH4457" s="1790"/>
      <c r="BN4457" s="237">
        <v>212.1</v>
      </c>
      <c r="BO4457" s="237" t="s">
        <v>370</v>
      </c>
      <c r="CD4457" s="237">
        <v>808.05</v>
      </c>
      <c r="CE4457" s="237" t="s">
        <v>376</v>
      </c>
      <c r="CL4457" s="1789"/>
      <c r="CR4457" s="345"/>
      <c r="CS4457" s="345"/>
      <c r="DH4457" s="237"/>
      <c r="DI4457" s="237"/>
      <c r="DP4457" s="2505"/>
    </row>
    <row r="4458" spans="30:120">
      <c r="AD4458" s="1138"/>
      <c r="BH4458" s="1790"/>
      <c r="BN4458" s="237">
        <v>212.11</v>
      </c>
      <c r="BO4458" s="237" t="s">
        <v>370</v>
      </c>
      <c r="CD4458" s="237">
        <v>808.06</v>
      </c>
      <c r="CE4458" s="237" t="s">
        <v>376</v>
      </c>
      <c r="CL4458" s="1789"/>
      <c r="CR4458" s="345"/>
      <c r="CS4458" s="345"/>
      <c r="DH4458" s="237"/>
      <c r="DI4458" s="237"/>
      <c r="DP4458" s="2505"/>
    </row>
    <row r="4459" spans="30:120">
      <c r="AD4459" s="1138"/>
      <c r="BH4459" s="1790"/>
      <c r="BN4459" s="237">
        <v>213.01</v>
      </c>
      <c r="BO4459" s="237" t="s">
        <v>370</v>
      </c>
      <c r="CD4459" s="237">
        <v>808.07</v>
      </c>
      <c r="CE4459" s="237" t="s">
        <v>376</v>
      </c>
      <c r="CL4459" s="1789"/>
      <c r="CR4459" s="345"/>
      <c r="CS4459" s="345"/>
      <c r="DH4459" s="237"/>
      <c r="DI4459" s="237"/>
      <c r="DP4459" s="2505"/>
    </row>
    <row r="4460" spans="30:120">
      <c r="AD4460" s="1138"/>
      <c r="BH4460" s="1790"/>
      <c r="BN4460" s="237">
        <v>213.02</v>
      </c>
      <c r="BO4460" s="237" t="s">
        <v>370</v>
      </c>
      <c r="CD4460" s="237">
        <v>808.08</v>
      </c>
      <c r="CE4460" s="237" t="s">
        <v>376</v>
      </c>
      <c r="CL4460" s="1789"/>
      <c r="CR4460" s="345"/>
      <c r="CS4460" s="345"/>
      <c r="DH4460" s="237"/>
      <c r="DI4460" s="237"/>
      <c r="DP4460" s="2505"/>
    </row>
    <row r="4461" spans="30:120">
      <c r="AD4461" s="1138"/>
      <c r="BH4461" s="1790"/>
      <c r="BN4461" s="237">
        <v>214.03</v>
      </c>
      <c r="BO4461" s="237" t="s">
        <v>370</v>
      </c>
      <c r="CD4461" s="237">
        <v>808.09</v>
      </c>
      <c r="CE4461" s="237" t="s">
        <v>376</v>
      </c>
      <c r="CL4461" s="1789"/>
      <c r="CR4461" s="345"/>
      <c r="CS4461" s="345"/>
      <c r="DH4461" s="237"/>
      <c r="DI4461" s="237"/>
      <c r="DP4461" s="2505"/>
    </row>
    <row r="4462" spans="30:120">
      <c r="AD4462" s="1138"/>
      <c r="BH4462" s="1790"/>
      <c r="BN4462" s="237">
        <v>214.04</v>
      </c>
      <c r="BO4462" s="237" t="s">
        <v>370</v>
      </c>
      <c r="CD4462" s="237">
        <v>809.01</v>
      </c>
      <c r="CE4462" s="237" t="s">
        <v>376</v>
      </c>
      <c r="CL4462" s="1789"/>
      <c r="CR4462" s="345"/>
      <c r="CS4462" s="345"/>
      <c r="DH4462" s="237"/>
      <c r="DI4462" s="237"/>
      <c r="DP4462" s="2505"/>
    </row>
    <row r="4463" spans="30:120">
      <c r="AD4463" s="1138"/>
      <c r="BH4463" s="1790"/>
      <c r="BN4463" s="237">
        <v>214.08</v>
      </c>
      <c r="BO4463" s="237" t="s">
        <v>370</v>
      </c>
      <c r="CD4463" s="237">
        <v>809.02</v>
      </c>
      <c r="CE4463" s="237" t="s">
        <v>376</v>
      </c>
      <c r="CL4463" s="1789"/>
      <c r="CR4463" s="345"/>
      <c r="CS4463" s="345"/>
      <c r="DH4463" s="237"/>
      <c r="DI4463" s="237"/>
      <c r="DP4463" s="2505"/>
    </row>
    <row r="4464" spans="30:120">
      <c r="AD4464" s="1138"/>
      <c r="BH4464" s="1790"/>
      <c r="BN4464" s="237">
        <v>214.09</v>
      </c>
      <c r="BO4464" s="237" t="s">
        <v>370</v>
      </c>
      <c r="CD4464" s="237">
        <v>810.01</v>
      </c>
      <c r="CE4464" s="237" t="s">
        <v>376</v>
      </c>
      <c r="CL4464" s="1789"/>
      <c r="CR4464" s="345"/>
      <c r="CS4464" s="345"/>
      <c r="DH4464" s="237"/>
      <c r="DI4464" s="237"/>
      <c r="DP4464" s="2505"/>
    </row>
    <row r="4465" spans="30:120">
      <c r="AD4465" s="1138"/>
      <c r="BH4465" s="1790"/>
      <c r="BN4465" s="237">
        <v>214.1</v>
      </c>
      <c r="BO4465" s="237" t="s">
        <v>370</v>
      </c>
      <c r="CD4465" s="237">
        <v>810.02</v>
      </c>
      <c r="CE4465" s="237" t="s">
        <v>376</v>
      </c>
      <c r="CL4465" s="1789"/>
      <c r="CR4465" s="345"/>
      <c r="CS4465" s="345"/>
      <c r="DH4465" s="237"/>
      <c r="DI4465" s="237"/>
      <c r="DP4465" s="2505"/>
    </row>
    <row r="4466" spans="30:120">
      <c r="AD4466" s="1138"/>
      <c r="BH4466" s="1790"/>
      <c r="BN4466" s="237">
        <v>9901</v>
      </c>
      <c r="BO4466" s="237" t="s">
        <v>370</v>
      </c>
      <c r="CD4466" s="237">
        <v>811.01</v>
      </c>
      <c r="CE4466" s="237" t="s">
        <v>376</v>
      </c>
      <c r="CL4466" s="1789"/>
      <c r="CR4466" s="345"/>
      <c r="CS4466" s="345"/>
      <c r="DH4466" s="237"/>
      <c r="DI4466" s="237"/>
      <c r="DP4466" s="2505"/>
    </row>
    <row r="4467" spans="30:120">
      <c r="AD4467" s="1138"/>
      <c r="BH4467" s="1790"/>
      <c r="BN4467" s="237">
        <v>9902</v>
      </c>
      <c r="BO4467" s="237" t="s">
        <v>370</v>
      </c>
      <c r="CD4467" s="237">
        <v>811.02</v>
      </c>
      <c r="CE4467" s="237" t="s">
        <v>376</v>
      </c>
      <c r="CL4467" s="1789"/>
      <c r="CR4467" s="345"/>
      <c r="CS4467" s="345"/>
      <c r="DH4467" s="237"/>
      <c r="DI4467" s="237"/>
      <c r="DP4467" s="2505"/>
    </row>
    <row r="4468" spans="30:120">
      <c r="AD4468" s="1138"/>
      <c r="BH4468" s="1790"/>
      <c r="BN4468" s="237">
        <v>3801</v>
      </c>
      <c r="BO4468" s="237" t="s">
        <v>371</v>
      </c>
      <c r="CD4468" s="237">
        <v>812.01</v>
      </c>
      <c r="CE4468" s="237" t="s">
        <v>376</v>
      </c>
      <c r="CL4468" s="1789"/>
      <c r="CR4468" s="345"/>
      <c r="CS4468" s="345"/>
      <c r="DH4468" s="237"/>
      <c r="DI4468" s="237"/>
      <c r="DP4468" s="2505"/>
    </row>
    <row r="4469" spans="30:120">
      <c r="AD4469" s="1138"/>
      <c r="BH4469" s="1790"/>
      <c r="BN4469" s="237">
        <v>3802</v>
      </c>
      <c r="BO4469" s="237" t="s">
        <v>371</v>
      </c>
      <c r="CD4469" s="237">
        <v>812.02</v>
      </c>
      <c r="CE4469" s="237" t="s">
        <v>376</v>
      </c>
      <c r="CL4469" s="1789"/>
      <c r="CR4469" s="345"/>
      <c r="CS4469" s="345"/>
      <c r="DH4469" s="237"/>
      <c r="DI4469" s="237"/>
      <c r="DP4469" s="2505"/>
    </row>
    <row r="4470" spans="30:120">
      <c r="AD4470" s="1138"/>
      <c r="BH4470" s="1790"/>
      <c r="BN4470" s="237">
        <v>3803</v>
      </c>
      <c r="BO4470" s="237" t="s">
        <v>371</v>
      </c>
      <c r="CD4470" s="237">
        <v>813</v>
      </c>
      <c r="CE4470" s="237" t="s">
        <v>376</v>
      </c>
      <c r="CL4470" s="1789"/>
      <c r="CR4470" s="345"/>
      <c r="CS4470" s="345"/>
      <c r="DH4470" s="237"/>
      <c r="DI4470" s="237"/>
      <c r="DP4470" s="2505"/>
    </row>
    <row r="4471" spans="30:120">
      <c r="AD4471" s="1138"/>
      <c r="BH4471" s="1790"/>
      <c r="BN4471" s="237">
        <v>3804</v>
      </c>
      <c r="BO4471" s="237" t="s">
        <v>371</v>
      </c>
      <c r="CD4471" s="237">
        <v>815</v>
      </c>
      <c r="CE4471" s="237" t="s">
        <v>376</v>
      </c>
      <c r="CL4471" s="1789"/>
      <c r="CR4471" s="345"/>
      <c r="CS4471" s="345"/>
      <c r="DH4471" s="237"/>
      <c r="DI4471" s="237"/>
      <c r="DP4471" s="2505"/>
    </row>
    <row r="4472" spans="30:120">
      <c r="AD4472" s="1138"/>
      <c r="BH4472" s="1790"/>
      <c r="BN4472" s="237">
        <v>3805</v>
      </c>
      <c r="BO4472" s="237" t="s">
        <v>371</v>
      </c>
      <c r="CD4472" s="237">
        <v>816</v>
      </c>
      <c r="CE4472" s="237" t="s">
        <v>376</v>
      </c>
      <c r="CL4472" s="1789"/>
      <c r="CR4472" s="345"/>
      <c r="CS4472" s="345"/>
      <c r="DH4472" s="237"/>
      <c r="DI4472" s="237"/>
      <c r="DP4472" s="2505"/>
    </row>
    <row r="4473" spans="30:120">
      <c r="AD4473" s="1138"/>
      <c r="BH4473" s="1790"/>
      <c r="BN4473" s="237">
        <v>3806</v>
      </c>
      <c r="BO4473" s="237" t="s">
        <v>371</v>
      </c>
      <c r="CD4473" s="237">
        <v>817.01</v>
      </c>
      <c r="CE4473" s="237" t="s">
        <v>376</v>
      </c>
      <c r="CL4473" s="1789"/>
      <c r="CR4473" s="345"/>
      <c r="CS4473" s="345"/>
      <c r="DH4473" s="237"/>
      <c r="DI4473" s="237"/>
      <c r="DP4473" s="2505"/>
    </row>
    <row r="4474" spans="30:120">
      <c r="AD4474" s="1138"/>
      <c r="BH4474" s="1790"/>
      <c r="BN4474" s="237">
        <v>3807</v>
      </c>
      <c r="BO4474" s="237" t="s">
        <v>371</v>
      </c>
      <c r="CD4474" s="237">
        <v>817.02</v>
      </c>
      <c r="CE4474" s="237" t="s">
        <v>376</v>
      </c>
      <c r="CL4474" s="1789"/>
      <c r="CR4474" s="345"/>
      <c r="CS4474" s="345"/>
      <c r="DH4474" s="237"/>
      <c r="DI4474" s="237"/>
      <c r="DP4474" s="2505"/>
    </row>
    <row r="4475" spans="30:120">
      <c r="AD4475" s="1138"/>
      <c r="BH4475" s="1790"/>
      <c r="BN4475" s="237">
        <v>3808</v>
      </c>
      <c r="BO4475" s="237" t="s">
        <v>371</v>
      </c>
      <c r="CD4475" s="237">
        <v>818</v>
      </c>
      <c r="CE4475" s="237" t="s">
        <v>376</v>
      </c>
      <c r="CL4475" s="1789"/>
      <c r="CR4475" s="345"/>
      <c r="CS4475" s="345"/>
      <c r="DH4475" s="237"/>
      <c r="DI4475" s="237"/>
      <c r="DP4475" s="2505"/>
    </row>
    <row r="4476" spans="30:120">
      <c r="AD4476" s="1138"/>
      <c r="BH4476" s="1790"/>
      <c r="BN4476" s="237">
        <v>3809.01</v>
      </c>
      <c r="BO4476" s="237" t="s">
        <v>371</v>
      </c>
      <c r="CD4476" s="237">
        <v>819</v>
      </c>
      <c r="CE4476" s="237" t="s">
        <v>376</v>
      </c>
      <c r="CL4476" s="1789"/>
      <c r="CR4476" s="345"/>
      <c r="CS4476" s="345"/>
      <c r="DH4476" s="237"/>
      <c r="DI4476" s="237"/>
      <c r="DP4476" s="2505"/>
    </row>
    <row r="4477" spans="30:120">
      <c r="AD4477" s="1138"/>
      <c r="BH4477" s="1790"/>
      <c r="BN4477" s="237">
        <v>3809.02</v>
      </c>
      <c r="BO4477" s="237" t="s">
        <v>371</v>
      </c>
      <c r="CD4477" s="237">
        <v>820</v>
      </c>
      <c r="CE4477" s="237" t="s">
        <v>376</v>
      </c>
      <c r="CL4477" s="1789"/>
      <c r="CR4477" s="345"/>
      <c r="CS4477" s="345"/>
      <c r="DH4477" s="237"/>
      <c r="DI4477" s="237"/>
      <c r="DP4477" s="2505"/>
    </row>
    <row r="4478" spans="30:120">
      <c r="AD4478" s="1138"/>
      <c r="BH4478" s="1790"/>
      <c r="BN4478" s="237">
        <v>3810</v>
      </c>
      <c r="BO4478" s="237" t="s">
        <v>371</v>
      </c>
      <c r="CD4478" s="237">
        <v>821</v>
      </c>
      <c r="CE4478" s="237" t="s">
        <v>376</v>
      </c>
      <c r="CL4478" s="1789"/>
      <c r="CR4478" s="345"/>
      <c r="CS4478" s="345"/>
      <c r="DH4478" s="237"/>
      <c r="DI4478" s="237"/>
      <c r="DP4478" s="2505"/>
    </row>
    <row r="4479" spans="30:120">
      <c r="AD4479" s="1138"/>
      <c r="BH4479" s="1790"/>
      <c r="BN4479" s="237">
        <v>3811.03</v>
      </c>
      <c r="BO4479" s="237" t="s">
        <v>371</v>
      </c>
      <c r="CD4479" s="237">
        <v>822.01</v>
      </c>
      <c r="CE4479" s="237" t="s">
        <v>376</v>
      </c>
      <c r="CL4479" s="1789"/>
      <c r="CR4479" s="345"/>
      <c r="CS4479" s="345"/>
      <c r="DH4479" s="237"/>
      <c r="DI4479" s="237"/>
      <c r="DP4479" s="2505"/>
    </row>
    <row r="4480" spans="30:120">
      <c r="AD4480" s="1138"/>
      <c r="BH4480" s="1790"/>
      <c r="BN4480" s="237">
        <v>3811.04</v>
      </c>
      <c r="BO4480" s="237" t="s">
        <v>371</v>
      </c>
      <c r="CD4480" s="237">
        <v>822.02</v>
      </c>
      <c r="CE4480" s="237" t="s">
        <v>376</v>
      </c>
      <c r="CL4480" s="1789"/>
      <c r="CR4480" s="345"/>
      <c r="CS4480" s="345"/>
      <c r="DH4480" s="237"/>
      <c r="DI4480" s="237"/>
      <c r="DP4480" s="2505"/>
    </row>
    <row r="4481" spans="30:120">
      <c r="AD4481" s="1138"/>
      <c r="BH4481" s="1790"/>
      <c r="BN4481" s="237">
        <v>3811.05</v>
      </c>
      <c r="BO4481" s="237" t="s">
        <v>371</v>
      </c>
      <c r="CD4481" s="237">
        <v>823.02</v>
      </c>
      <c r="CE4481" s="237" t="s">
        <v>376</v>
      </c>
      <c r="CL4481" s="1789"/>
      <c r="CR4481" s="345"/>
      <c r="CS4481" s="345"/>
      <c r="DH4481" s="237"/>
      <c r="DI4481" s="237"/>
      <c r="DP4481" s="2505"/>
    </row>
    <row r="4482" spans="30:120">
      <c r="AD4482" s="1138"/>
      <c r="BH4482" s="1790"/>
      <c r="BN4482" s="237">
        <v>3811.06</v>
      </c>
      <c r="BO4482" s="237" t="s">
        <v>371</v>
      </c>
      <c r="CD4482" s="237">
        <v>823.03</v>
      </c>
      <c r="CE4482" s="237" t="s">
        <v>376</v>
      </c>
      <c r="CL4482" s="1789"/>
      <c r="CR4482" s="345"/>
      <c r="CS4482" s="345"/>
      <c r="DH4482" s="237"/>
      <c r="DI4482" s="237"/>
      <c r="DP4482" s="2505"/>
    </row>
    <row r="4483" spans="30:120">
      <c r="AD4483" s="1138"/>
      <c r="BH4483" s="1790"/>
      <c r="BN4483" s="237">
        <v>3811.07</v>
      </c>
      <c r="BO4483" s="237" t="s">
        <v>371</v>
      </c>
      <c r="CD4483" s="237">
        <v>824.01</v>
      </c>
      <c r="CE4483" s="237" t="s">
        <v>376</v>
      </c>
      <c r="CL4483" s="1789"/>
      <c r="CR4483" s="345"/>
      <c r="CS4483" s="345"/>
      <c r="DH4483" s="237"/>
      <c r="DI4483" s="237"/>
      <c r="DP4483" s="2505"/>
    </row>
    <row r="4484" spans="30:120">
      <c r="AD4484" s="1138"/>
      <c r="BH4484" s="1790"/>
      <c r="BN4484" s="237">
        <v>3812.04</v>
      </c>
      <c r="BO4484" s="237" t="s">
        <v>371</v>
      </c>
      <c r="CD4484" s="237">
        <v>824.04</v>
      </c>
      <c r="CE4484" s="237" t="s">
        <v>376</v>
      </c>
      <c r="CL4484" s="1789"/>
      <c r="CR4484" s="345"/>
      <c r="CS4484" s="345"/>
      <c r="DH4484" s="237"/>
      <c r="DI4484" s="237"/>
      <c r="DP4484" s="2505"/>
    </row>
    <row r="4485" spans="30:120">
      <c r="AD4485" s="1138"/>
      <c r="BH4485" s="1790"/>
      <c r="BN4485" s="237">
        <v>3813</v>
      </c>
      <c r="BO4485" s="237" t="s">
        <v>371</v>
      </c>
      <c r="CD4485" s="237">
        <v>824.05</v>
      </c>
      <c r="CE4485" s="237" t="s">
        <v>376</v>
      </c>
      <c r="CL4485" s="1789"/>
      <c r="CR4485" s="345"/>
      <c r="CS4485" s="345"/>
      <c r="DH4485" s="237"/>
      <c r="DI4485" s="237"/>
      <c r="DP4485" s="2505"/>
    </row>
    <row r="4486" spans="30:120">
      <c r="AD4486" s="1138"/>
      <c r="BH4486" s="1790"/>
      <c r="BN4486" s="237">
        <v>3814.01</v>
      </c>
      <c r="BO4486" s="237" t="s">
        <v>371</v>
      </c>
      <c r="CD4486" s="237">
        <v>824.06</v>
      </c>
      <c r="CE4486" s="237" t="s">
        <v>376</v>
      </c>
      <c r="CL4486" s="1789"/>
      <c r="CR4486" s="345"/>
      <c r="CS4486" s="345"/>
      <c r="DH4486" s="237"/>
      <c r="DI4486" s="237"/>
      <c r="DP4486" s="2505"/>
    </row>
    <row r="4487" spans="30:120">
      <c r="AD4487" s="1138"/>
      <c r="BH4487" s="1790"/>
      <c r="BN4487" s="237">
        <v>3814.02</v>
      </c>
      <c r="BO4487" s="237" t="s">
        <v>371</v>
      </c>
      <c r="CD4487" s="237">
        <v>824.1</v>
      </c>
      <c r="CE4487" s="237" t="s">
        <v>376</v>
      </c>
      <c r="CL4487" s="1789"/>
      <c r="CR4487" s="345"/>
      <c r="CS4487" s="345"/>
      <c r="DH4487" s="237"/>
      <c r="DI4487" s="237"/>
      <c r="DP4487" s="2505"/>
    </row>
    <row r="4488" spans="30:120">
      <c r="AD4488" s="1138"/>
      <c r="BH4488" s="1790"/>
      <c r="BN4488" s="237">
        <v>3815.04</v>
      </c>
      <c r="BO4488" s="237" t="s">
        <v>371</v>
      </c>
      <c r="CD4488" s="237">
        <v>824.11</v>
      </c>
      <c r="CE4488" s="237" t="s">
        <v>376</v>
      </c>
      <c r="CL4488" s="1789"/>
      <c r="CR4488" s="345"/>
      <c r="CS4488" s="345"/>
      <c r="DH4488" s="237"/>
      <c r="DI4488" s="237"/>
      <c r="DP4488" s="2505"/>
    </row>
    <row r="4489" spans="30:120">
      <c r="AD4489" s="1138"/>
      <c r="BH4489" s="1790"/>
      <c r="BN4489" s="237">
        <v>3815.05</v>
      </c>
      <c r="BO4489" s="237" t="s">
        <v>371</v>
      </c>
      <c r="CD4489" s="237">
        <v>824.12</v>
      </c>
      <c r="CE4489" s="237" t="s">
        <v>376</v>
      </c>
      <c r="CL4489" s="1789"/>
      <c r="CR4489" s="345"/>
      <c r="CS4489" s="345"/>
      <c r="DH4489" s="237"/>
      <c r="DI4489" s="237"/>
      <c r="DP4489" s="2505"/>
    </row>
    <row r="4490" spans="30:120">
      <c r="AD4490" s="1138"/>
      <c r="BH4490" s="1790"/>
      <c r="BN4490" s="237">
        <v>3815.06</v>
      </c>
      <c r="BO4490" s="237" t="s">
        <v>371</v>
      </c>
      <c r="CD4490" s="237">
        <v>824.13</v>
      </c>
      <c r="CE4490" s="237" t="s">
        <v>376</v>
      </c>
      <c r="CL4490" s="1789"/>
      <c r="CR4490" s="345"/>
      <c r="CS4490" s="345"/>
      <c r="DH4490" s="237"/>
      <c r="DI4490" s="237"/>
      <c r="DP4490" s="2505"/>
    </row>
    <row r="4491" spans="30:120">
      <c r="AD4491" s="1138"/>
      <c r="BH4491" s="1790"/>
      <c r="BN4491" s="237">
        <v>3815.07</v>
      </c>
      <c r="BO4491" s="237" t="s">
        <v>371</v>
      </c>
      <c r="CD4491" s="237">
        <v>824.14</v>
      </c>
      <c r="CE4491" s="237" t="s">
        <v>376</v>
      </c>
      <c r="CL4491" s="1789"/>
      <c r="CR4491" s="345"/>
      <c r="CS4491" s="345"/>
      <c r="DH4491" s="237"/>
      <c r="DI4491" s="237"/>
      <c r="DP4491" s="2505"/>
    </row>
    <row r="4492" spans="30:120">
      <c r="AD4492" s="1138"/>
      <c r="BH4492" s="1790"/>
      <c r="BN4492" s="237">
        <v>3815.08</v>
      </c>
      <c r="BO4492" s="237" t="s">
        <v>371</v>
      </c>
      <c r="CD4492" s="237">
        <v>824.15</v>
      </c>
      <c r="CE4492" s="237" t="s">
        <v>376</v>
      </c>
      <c r="CL4492" s="1789"/>
      <c r="CR4492" s="345"/>
      <c r="CS4492" s="345"/>
      <c r="DH4492" s="237"/>
      <c r="DI4492" s="237"/>
      <c r="DP4492" s="2505"/>
    </row>
    <row r="4493" spans="30:120">
      <c r="AD4493" s="1138"/>
      <c r="BH4493" s="1790"/>
      <c r="BN4493" s="237">
        <v>3816.02</v>
      </c>
      <c r="BO4493" s="237" t="s">
        <v>371</v>
      </c>
      <c r="CD4493" s="237">
        <v>825.03</v>
      </c>
      <c r="CE4493" s="237" t="s">
        <v>376</v>
      </c>
      <c r="CL4493" s="1789"/>
      <c r="CR4493" s="345"/>
      <c r="CS4493" s="345"/>
      <c r="DH4493" s="237"/>
      <c r="DI4493" s="237"/>
      <c r="DP4493" s="2505"/>
    </row>
    <row r="4494" spans="30:120">
      <c r="AD4494" s="1138"/>
      <c r="BH4494" s="1790"/>
      <c r="BN4494" s="237">
        <v>3816.03</v>
      </c>
      <c r="BO4494" s="237" t="s">
        <v>371</v>
      </c>
      <c r="CD4494" s="237">
        <v>825.06</v>
      </c>
      <c r="CE4494" s="237" t="s">
        <v>376</v>
      </c>
      <c r="CL4494" s="1789"/>
      <c r="CR4494" s="345"/>
      <c r="CS4494" s="345"/>
      <c r="DH4494" s="237"/>
      <c r="DI4494" s="237"/>
      <c r="DP4494" s="2505"/>
    </row>
    <row r="4495" spans="30:120">
      <c r="AD4495" s="1138"/>
      <c r="BH4495" s="1790"/>
      <c r="BN4495" s="237">
        <v>3816.04</v>
      </c>
      <c r="BO4495" s="237" t="s">
        <v>371</v>
      </c>
      <c r="CD4495" s="237">
        <v>825.08</v>
      </c>
      <c r="CE4495" s="237" t="s">
        <v>376</v>
      </c>
      <c r="CL4495" s="1789"/>
      <c r="CR4495" s="345"/>
      <c r="CS4495" s="345"/>
      <c r="DH4495" s="237"/>
      <c r="DI4495" s="237"/>
      <c r="DP4495" s="2505"/>
    </row>
    <row r="4496" spans="30:120">
      <c r="AD4496" s="1138"/>
      <c r="BH4496" s="1790"/>
      <c r="BN4496" s="237">
        <v>3816.05</v>
      </c>
      <c r="BO4496" s="237" t="s">
        <v>371</v>
      </c>
      <c r="CD4496" s="237">
        <v>825.09</v>
      </c>
      <c r="CE4496" s="237" t="s">
        <v>376</v>
      </c>
      <c r="CL4496" s="1789"/>
      <c r="CR4496" s="345"/>
      <c r="CS4496" s="345"/>
      <c r="DH4496" s="237"/>
      <c r="DI4496" s="237"/>
      <c r="DP4496" s="2505"/>
    </row>
    <row r="4497" spans="30:120">
      <c r="AD4497" s="1138"/>
      <c r="BH4497" s="1790"/>
      <c r="BN4497" s="237">
        <v>3817.01</v>
      </c>
      <c r="BO4497" s="237" t="s">
        <v>371</v>
      </c>
      <c r="CD4497" s="237">
        <v>825.1</v>
      </c>
      <c r="CE4497" s="237" t="s">
        <v>376</v>
      </c>
      <c r="CL4497" s="1789"/>
      <c r="CR4497" s="345"/>
      <c r="CS4497" s="345"/>
      <c r="DH4497" s="237"/>
      <c r="DI4497" s="237"/>
      <c r="DP4497" s="2505"/>
    </row>
    <row r="4498" spans="30:120">
      <c r="AD4498" s="1138"/>
      <c r="BH4498" s="1790"/>
      <c r="BN4498" s="237">
        <v>3817.02</v>
      </c>
      <c r="BO4498" s="237" t="s">
        <v>371</v>
      </c>
      <c r="CD4498" s="237">
        <v>825.11</v>
      </c>
      <c r="CE4498" s="237" t="s">
        <v>376</v>
      </c>
      <c r="CL4498" s="1789"/>
      <c r="CR4498" s="345"/>
      <c r="CS4498" s="345"/>
      <c r="DH4498" s="237"/>
      <c r="DI4498" s="237"/>
      <c r="DP4498" s="2505"/>
    </row>
    <row r="4499" spans="30:120">
      <c r="AD4499" s="1138"/>
      <c r="BH4499" s="1790"/>
      <c r="BN4499" s="237">
        <v>3818.02</v>
      </c>
      <c r="BO4499" s="237" t="s">
        <v>371</v>
      </c>
      <c r="CD4499" s="237">
        <v>825.12</v>
      </c>
      <c r="CE4499" s="237" t="s">
        <v>376</v>
      </c>
      <c r="CL4499" s="1789"/>
      <c r="CR4499" s="345"/>
      <c r="CS4499" s="345"/>
      <c r="DH4499" s="237"/>
      <c r="DI4499" s="237"/>
      <c r="DP4499" s="2505"/>
    </row>
    <row r="4500" spans="30:120">
      <c r="AD4500" s="1138"/>
      <c r="BH4500" s="1790"/>
      <c r="BN4500" s="237">
        <v>3818.03</v>
      </c>
      <c r="BO4500" s="237" t="s">
        <v>371</v>
      </c>
      <c r="CD4500" s="237">
        <v>825.13</v>
      </c>
      <c r="CE4500" s="237" t="s">
        <v>376</v>
      </c>
      <c r="CL4500" s="1789"/>
      <c r="CR4500" s="345"/>
      <c r="CS4500" s="345"/>
      <c r="DH4500" s="237"/>
      <c r="DI4500" s="237"/>
      <c r="DP4500" s="2505"/>
    </row>
    <row r="4501" spans="30:120">
      <c r="AD4501" s="1138"/>
      <c r="BH4501" s="1790"/>
      <c r="BN4501" s="237">
        <v>3818.04</v>
      </c>
      <c r="BO4501" s="237" t="s">
        <v>371</v>
      </c>
      <c r="CD4501" s="237">
        <v>826.04</v>
      </c>
      <c r="CE4501" s="237" t="s">
        <v>376</v>
      </c>
      <c r="CL4501" s="1789"/>
      <c r="CR4501" s="345"/>
      <c r="CS4501" s="345"/>
      <c r="DH4501" s="237"/>
      <c r="DI4501" s="237"/>
      <c r="DP4501" s="2505"/>
    </row>
    <row r="4502" spans="30:120">
      <c r="AD4502" s="1138"/>
      <c r="BH4502" s="1790"/>
      <c r="BN4502" s="237">
        <v>3819</v>
      </c>
      <c r="BO4502" s="237" t="s">
        <v>371</v>
      </c>
      <c r="CD4502" s="237">
        <v>826.05</v>
      </c>
      <c r="CE4502" s="237" t="s">
        <v>376</v>
      </c>
      <c r="CL4502" s="1789"/>
      <c r="CR4502" s="345"/>
      <c r="CS4502" s="345"/>
      <c r="DH4502" s="237"/>
      <c r="DI4502" s="237"/>
      <c r="DP4502" s="2505"/>
    </row>
    <row r="4503" spans="30:120">
      <c r="AD4503" s="1138"/>
      <c r="BH4503" s="1790"/>
      <c r="BN4503" s="237">
        <v>3820.07</v>
      </c>
      <c r="BO4503" s="237" t="s">
        <v>371</v>
      </c>
      <c r="CD4503" s="237">
        <v>826.06</v>
      </c>
      <c r="CE4503" s="237" t="s">
        <v>376</v>
      </c>
      <c r="CL4503" s="1789"/>
      <c r="CR4503" s="345"/>
      <c r="CS4503" s="345"/>
      <c r="DH4503" s="237"/>
      <c r="DI4503" s="237"/>
      <c r="DP4503" s="2505"/>
    </row>
    <row r="4504" spans="30:120">
      <c r="AD4504" s="1138"/>
      <c r="BH4504" s="1790"/>
      <c r="BN4504" s="237">
        <v>3820.08</v>
      </c>
      <c r="BO4504" s="237" t="s">
        <v>371</v>
      </c>
      <c r="CD4504" s="237">
        <v>826.07</v>
      </c>
      <c r="CE4504" s="237" t="s">
        <v>376</v>
      </c>
      <c r="CL4504" s="1789"/>
      <c r="CR4504" s="345"/>
      <c r="CS4504" s="345"/>
      <c r="DH4504" s="237"/>
      <c r="DI4504" s="237"/>
      <c r="DP4504" s="2505"/>
    </row>
    <row r="4505" spans="30:120">
      <c r="AD4505" s="1138"/>
      <c r="BH4505" s="1790"/>
      <c r="BN4505" s="237">
        <v>3820.09</v>
      </c>
      <c r="BO4505" s="237" t="s">
        <v>371</v>
      </c>
      <c r="CD4505" s="237">
        <v>827.01</v>
      </c>
      <c r="CE4505" s="237" t="s">
        <v>376</v>
      </c>
      <c r="CL4505" s="1789"/>
      <c r="CR4505" s="345"/>
      <c r="CS4505" s="345"/>
      <c r="DH4505" s="237"/>
      <c r="DI4505" s="237"/>
      <c r="DP4505" s="2505"/>
    </row>
    <row r="4506" spans="30:120">
      <c r="AD4506" s="1138"/>
      <c r="BH4506" s="1790"/>
      <c r="BN4506" s="237">
        <v>3820.1</v>
      </c>
      <c r="BO4506" s="237" t="s">
        <v>371</v>
      </c>
      <c r="CD4506" s="237">
        <v>827.03</v>
      </c>
      <c r="CE4506" s="237" t="s">
        <v>376</v>
      </c>
      <c r="CL4506" s="1789"/>
      <c r="CR4506" s="345"/>
      <c r="CS4506" s="345"/>
      <c r="DH4506" s="237"/>
      <c r="DI4506" s="237"/>
      <c r="DP4506" s="2505"/>
    </row>
    <row r="4507" spans="30:120">
      <c r="AD4507" s="1138"/>
      <c r="BH4507" s="1790"/>
      <c r="BN4507" s="237">
        <v>3820.11</v>
      </c>
      <c r="BO4507" s="237" t="s">
        <v>371</v>
      </c>
      <c r="CD4507" s="237">
        <v>827.04</v>
      </c>
      <c r="CE4507" s="237" t="s">
        <v>376</v>
      </c>
      <c r="CL4507" s="1789"/>
      <c r="CR4507" s="345"/>
      <c r="CS4507" s="345"/>
      <c r="DH4507" s="237"/>
      <c r="DI4507" s="237"/>
      <c r="DP4507" s="2505"/>
    </row>
    <row r="4508" spans="30:120">
      <c r="AD4508" s="1138"/>
      <c r="BH4508" s="1790"/>
      <c r="BN4508" s="237">
        <v>3820.12</v>
      </c>
      <c r="BO4508" s="237" t="s">
        <v>371</v>
      </c>
      <c r="CD4508" s="237">
        <v>827.05</v>
      </c>
      <c r="CE4508" s="237" t="s">
        <v>376</v>
      </c>
      <c r="CL4508" s="1789"/>
      <c r="CR4508" s="345"/>
      <c r="CS4508" s="345"/>
      <c r="DH4508" s="237"/>
      <c r="DI4508" s="237"/>
      <c r="DP4508" s="2505"/>
    </row>
    <row r="4509" spans="30:120">
      <c r="AD4509" s="1138"/>
      <c r="BH4509" s="1790"/>
      <c r="BN4509" s="237">
        <v>3820.13</v>
      </c>
      <c r="BO4509" s="237" t="s">
        <v>371</v>
      </c>
      <c r="CD4509" s="237">
        <v>828.01</v>
      </c>
      <c r="CE4509" s="237" t="s">
        <v>376</v>
      </c>
      <c r="CL4509" s="1789"/>
      <c r="CR4509" s="345"/>
      <c r="CS4509" s="345"/>
      <c r="DH4509" s="237"/>
      <c r="DI4509" s="237"/>
      <c r="DP4509" s="2505"/>
    </row>
    <row r="4510" spans="30:120">
      <c r="AD4510" s="1138"/>
      <c r="BH4510" s="1790"/>
      <c r="BN4510" s="237">
        <v>3820.14</v>
      </c>
      <c r="BO4510" s="237" t="s">
        <v>371</v>
      </c>
      <c r="CD4510" s="237">
        <v>828.02</v>
      </c>
      <c r="CE4510" s="237" t="s">
        <v>376</v>
      </c>
      <c r="CL4510" s="1789"/>
      <c r="CR4510" s="345"/>
      <c r="CS4510" s="345"/>
      <c r="DH4510" s="237"/>
      <c r="DI4510" s="237"/>
      <c r="DP4510" s="2505"/>
    </row>
    <row r="4511" spans="30:120">
      <c r="AD4511" s="1138"/>
      <c r="BH4511" s="1790"/>
      <c r="BN4511" s="237">
        <v>3820.15</v>
      </c>
      <c r="BO4511" s="237" t="s">
        <v>371</v>
      </c>
      <c r="CD4511" s="237">
        <v>829.02</v>
      </c>
      <c r="CE4511" s="237" t="s">
        <v>376</v>
      </c>
      <c r="CL4511" s="1789"/>
      <c r="CR4511" s="345"/>
      <c r="CS4511" s="345"/>
      <c r="DH4511" s="237"/>
      <c r="DI4511" s="237"/>
      <c r="DP4511" s="2505"/>
    </row>
    <row r="4512" spans="30:120">
      <c r="AD4512" s="1138"/>
      <c r="BH4512" s="1790"/>
      <c r="BN4512" s="237">
        <v>3820.16</v>
      </c>
      <c r="BO4512" s="237" t="s">
        <v>371</v>
      </c>
      <c r="CD4512" s="237">
        <v>829.03</v>
      </c>
      <c r="CE4512" s="237" t="s">
        <v>376</v>
      </c>
      <c r="CL4512" s="1789"/>
      <c r="CR4512" s="345"/>
      <c r="CS4512" s="345"/>
      <c r="DH4512" s="237"/>
      <c r="DI4512" s="237"/>
      <c r="DP4512" s="2505"/>
    </row>
    <row r="4513" spans="30:120">
      <c r="AD4513" s="1138"/>
      <c r="BH4513" s="1790"/>
      <c r="BN4513" s="237">
        <v>3821.1</v>
      </c>
      <c r="BO4513" s="237" t="s">
        <v>371</v>
      </c>
      <c r="CD4513" s="237">
        <v>829.04</v>
      </c>
      <c r="CE4513" s="237" t="s">
        <v>376</v>
      </c>
      <c r="CL4513" s="1789"/>
      <c r="CR4513" s="345"/>
      <c r="CS4513" s="345"/>
      <c r="DH4513" s="237"/>
      <c r="DI4513" s="237"/>
      <c r="DP4513" s="2505"/>
    </row>
    <row r="4514" spans="30:120">
      <c r="AD4514" s="1138"/>
      <c r="BH4514" s="1790"/>
      <c r="BN4514" s="237">
        <v>3821.12</v>
      </c>
      <c r="BO4514" s="237" t="s">
        <v>371</v>
      </c>
      <c r="CD4514" s="237">
        <v>830.03</v>
      </c>
      <c r="CE4514" s="237" t="s">
        <v>376</v>
      </c>
      <c r="CL4514" s="1789"/>
      <c r="CR4514" s="345"/>
      <c r="CS4514" s="345"/>
      <c r="DH4514" s="237"/>
      <c r="DI4514" s="237"/>
      <c r="DP4514" s="2505"/>
    </row>
    <row r="4515" spans="30:120">
      <c r="AD4515" s="1138"/>
      <c r="BH4515" s="1790"/>
      <c r="BN4515" s="237">
        <v>3821.14</v>
      </c>
      <c r="BO4515" s="237" t="s">
        <v>371</v>
      </c>
      <c r="CD4515" s="237">
        <v>830.05</v>
      </c>
      <c r="CE4515" s="237" t="s">
        <v>376</v>
      </c>
      <c r="CL4515" s="1789"/>
      <c r="CR4515" s="345"/>
      <c r="CS4515" s="345"/>
      <c r="DH4515" s="237"/>
      <c r="DI4515" s="237"/>
      <c r="DP4515" s="2505"/>
    </row>
    <row r="4516" spans="30:120">
      <c r="AD4516" s="1138"/>
      <c r="BH4516" s="1790"/>
      <c r="BN4516" s="237">
        <v>3821.15</v>
      </c>
      <c r="BO4516" s="237" t="s">
        <v>371</v>
      </c>
      <c r="CD4516" s="237">
        <v>830.06</v>
      </c>
      <c r="CE4516" s="237" t="s">
        <v>376</v>
      </c>
      <c r="CL4516" s="1789"/>
      <c r="CR4516" s="345"/>
      <c r="CS4516" s="345"/>
      <c r="DH4516" s="237"/>
      <c r="DI4516" s="237"/>
      <c r="DP4516" s="2505"/>
    </row>
    <row r="4517" spans="30:120">
      <c r="AD4517" s="1138"/>
      <c r="BH4517" s="1790"/>
      <c r="BN4517" s="237">
        <v>3821.16</v>
      </c>
      <c r="BO4517" s="237" t="s">
        <v>371</v>
      </c>
      <c r="CD4517" s="237">
        <v>830.07</v>
      </c>
      <c r="CE4517" s="237" t="s">
        <v>376</v>
      </c>
      <c r="CL4517" s="1789"/>
      <c r="CR4517" s="345"/>
      <c r="CS4517" s="345"/>
      <c r="DH4517" s="237"/>
      <c r="DI4517" s="237"/>
      <c r="DP4517" s="2505"/>
    </row>
    <row r="4518" spans="30:120">
      <c r="AD4518" s="1138"/>
      <c r="BH4518" s="1790"/>
      <c r="BN4518" s="237">
        <v>3821.17</v>
      </c>
      <c r="BO4518" s="237" t="s">
        <v>371</v>
      </c>
      <c r="CD4518" s="237">
        <v>830.08</v>
      </c>
      <c r="CE4518" s="237" t="s">
        <v>376</v>
      </c>
      <c r="CL4518" s="1789"/>
      <c r="CR4518" s="345"/>
      <c r="CS4518" s="345"/>
      <c r="DH4518" s="237"/>
      <c r="DI4518" s="237"/>
      <c r="DP4518" s="2505"/>
    </row>
    <row r="4519" spans="30:120">
      <c r="AD4519" s="1138"/>
      <c r="BH4519" s="1790"/>
      <c r="BN4519" s="237">
        <v>3821.18</v>
      </c>
      <c r="BO4519" s="237" t="s">
        <v>371</v>
      </c>
      <c r="CD4519" s="237">
        <v>830.09</v>
      </c>
      <c r="CE4519" s="237" t="s">
        <v>376</v>
      </c>
      <c r="CL4519" s="1789"/>
      <c r="CR4519" s="345"/>
      <c r="CS4519" s="345"/>
      <c r="DH4519" s="237"/>
      <c r="DI4519" s="237"/>
      <c r="DP4519" s="2505"/>
    </row>
    <row r="4520" spans="30:120">
      <c r="AD4520" s="1138"/>
      <c r="BH4520" s="1790"/>
      <c r="BN4520" s="237">
        <v>3821.19</v>
      </c>
      <c r="BO4520" s="237" t="s">
        <v>371</v>
      </c>
      <c r="CD4520" s="237">
        <v>832.03</v>
      </c>
      <c r="CE4520" s="237" t="s">
        <v>376</v>
      </c>
      <c r="CL4520" s="1789"/>
      <c r="CR4520" s="345"/>
      <c r="CS4520" s="345"/>
      <c r="DH4520" s="237"/>
      <c r="DI4520" s="237"/>
      <c r="DP4520" s="2505"/>
    </row>
    <row r="4521" spans="30:120">
      <c r="AD4521" s="1138"/>
      <c r="BH4521" s="1790"/>
      <c r="BN4521" s="237">
        <v>3821.2</v>
      </c>
      <c r="BO4521" s="237" t="s">
        <v>371</v>
      </c>
      <c r="CD4521" s="237">
        <v>832.05</v>
      </c>
      <c r="CE4521" s="237" t="s">
        <v>376</v>
      </c>
      <c r="CL4521" s="1789"/>
      <c r="CR4521" s="345"/>
      <c r="CS4521" s="345"/>
      <c r="DH4521" s="237"/>
      <c r="DI4521" s="237"/>
      <c r="DP4521" s="2505"/>
    </row>
    <row r="4522" spans="30:120">
      <c r="AD4522" s="1138"/>
      <c r="BH4522" s="1790"/>
      <c r="BN4522" s="237">
        <v>3821.21</v>
      </c>
      <c r="BO4522" s="237" t="s">
        <v>371</v>
      </c>
      <c r="CD4522" s="237">
        <v>832.06</v>
      </c>
      <c r="CE4522" s="237" t="s">
        <v>376</v>
      </c>
      <c r="CL4522" s="1789"/>
      <c r="CR4522" s="345"/>
      <c r="CS4522" s="345"/>
      <c r="DH4522" s="237"/>
      <c r="DI4522" s="237"/>
      <c r="DP4522" s="2505"/>
    </row>
    <row r="4523" spans="30:120">
      <c r="AD4523" s="1138"/>
      <c r="BH4523" s="1790"/>
      <c r="BN4523" s="237">
        <v>3821.22</v>
      </c>
      <c r="BO4523" s="237" t="s">
        <v>371</v>
      </c>
      <c r="CD4523" s="237">
        <v>832.07</v>
      </c>
      <c r="CE4523" s="237" t="s">
        <v>376</v>
      </c>
      <c r="CL4523" s="1789"/>
      <c r="CR4523" s="345"/>
      <c r="CS4523" s="345"/>
      <c r="DH4523" s="237"/>
      <c r="DI4523" s="237"/>
      <c r="DP4523" s="2505"/>
    </row>
    <row r="4524" spans="30:120">
      <c r="AD4524" s="1138"/>
      <c r="BH4524" s="1790"/>
      <c r="BN4524" s="237">
        <v>3821.23</v>
      </c>
      <c r="BO4524" s="237" t="s">
        <v>371</v>
      </c>
      <c r="CD4524" s="237">
        <v>832.09</v>
      </c>
      <c r="CE4524" s="237" t="s">
        <v>376</v>
      </c>
      <c r="CL4524" s="1789"/>
      <c r="CR4524" s="345"/>
      <c r="CS4524" s="345"/>
      <c r="DH4524" s="237"/>
      <c r="DI4524" s="237"/>
      <c r="DP4524" s="2505"/>
    </row>
    <row r="4525" spans="30:120">
      <c r="AD4525" s="1138"/>
      <c r="BH4525" s="1790"/>
      <c r="BN4525" s="237">
        <v>3821.24</v>
      </c>
      <c r="BO4525" s="237" t="s">
        <v>371</v>
      </c>
      <c r="CD4525" s="237">
        <v>832.1</v>
      </c>
      <c r="CE4525" s="237" t="s">
        <v>376</v>
      </c>
      <c r="CL4525" s="1789"/>
      <c r="CR4525" s="345"/>
      <c r="CS4525" s="345"/>
      <c r="DH4525" s="237"/>
      <c r="DI4525" s="237"/>
      <c r="DP4525" s="2505"/>
    </row>
    <row r="4526" spans="30:120">
      <c r="AD4526" s="1138"/>
      <c r="BH4526" s="1790"/>
      <c r="BN4526" s="237">
        <v>3821.25</v>
      </c>
      <c r="BO4526" s="237" t="s">
        <v>371</v>
      </c>
      <c r="CD4526" s="237">
        <v>832.11</v>
      </c>
      <c r="CE4526" s="237" t="s">
        <v>376</v>
      </c>
      <c r="CL4526" s="1789"/>
      <c r="CR4526" s="345"/>
      <c r="CS4526" s="345"/>
      <c r="DH4526" s="237"/>
      <c r="DI4526" s="237"/>
      <c r="DP4526" s="2505"/>
    </row>
    <row r="4527" spans="30:120">
      <c r="AD4527" s="1138"/>
      <c r="BH4527" s="1790"/>
      <c r="BN4527" s="237">
        <v>3821.26</v>
      </c>
      <c r="BO4527" s="237" t="s">
        <v>371</v>
      </c>
      <c r="CD4527" s="237">
        <v>901</v>
      </c>
      <c r="CE4527" s="237" t="s">
        <v>344</v>
      </c>
      <c r="CL4527" s="1789"/>
      <c r="CR4527" s="345"/>
      <c r="CS4527" s="345"/>
      <c r="DH4527" s="237"/>
      <c r="DI4527" s="237"/>
      <c r="DP4527" s="2505"/>
    </row>
    <row r="4528" spans="30:120">
      <c r="AD4528" s="1138"/>
      <c r="BH4528" s="1790"/>
      <c r="BN4528" s="237">
        <v>3821.27</v>
      </c>
      <c r="BO4528" s="237" t="s">
        <v>371</v>
      </c>
      <c r="CD4528" s="237">
        <v>901.01</v>
      </c>
      <c r="CE4528" s="237" t="s">
        <v>376</v>
      </c>
      <c r="CL4528" s="1789"/>
      <c r="CR4528" s="345"/>
      <c r="CS4528" s="345"/>
      <c r="DH4528" s="237"/>
      <c r="DI4528" s="237"/>
      <c r="DP4528" s="2505"/>
    </row>
    <row r="4529" spans="30:120">
      <c r="AD4529" s="1138"/>
      <c r="BH4529" s="1790"/>
      <c r="BN4529" s="237">
        <v>3821.28</v>
      </c>
      <c r="BO4529" s="237" t="s">
        <v>371</v>
      </c>
      <c r="CD4529" s="345">
        <v>901.02</v>
      </c>
      <c r="CE4529" s="345" t="s">
        <v>310</v>
      </c>
      <c r="CL4529" s="1789"/>
      <c r="CR4529" s="345"/>
      <c r="CS4529" s="345"/>
      <c r="DH4529" s="237"/>
      <c r="DI4529" s="237"/>
      <c r="DP4529" s="2505"/>
    </row>
    <row r="4530" spans="30:120">
      <c r="AD4530" s="1138"/>
      <c r="BH4530" s="1790"/>
      <c r="BN4530" s="237">
        <v>3821.29</v>
      </c>
      <c r="BO4530" s="237" t="s">
        <v>371</v>
      </c>
      <c r="CD4530" s="237">
        <v>901.02</v>
      </c>
      <c r="CE4530" s="237" t="s">
        <v>376</v>
      </c>
      <c r="CL4530" s="1789"/>
      <c r="CR4530" s="345"/>
      <c r="CS4530" s="345"/>
      <c r="DH4530" s="237"/>
      <c r="DI4530" s="237"/>
      <c r="DP4530" s="2505"/>
    </row>
    <row r="4531" spans="30:120">
      <c r="AD4531" s="1138"/>
      <c r="BH4531" s="1790"/>
      <c r="BN4531" s="237">
        <v>3821.3</v>
      </c>
      <c r="BO4531" s="237" t="s">
        <v>371</v>
      </c>
      <c r="CD4531" s="345">
        <v>901.03</v>
      </c>
      <c r="CE4531" s="345" t="s">
        <v>310</v>
      </c>
      <c r="CL4531" s="1789"/>
      <c r="CR4531" s="345"/>
      <c r="CS4531" s="345"/>
      <c r="DH4531" s="237"/>
      <c r="DI4531" s="237"/>
      <c r="DP4531" s="2505"/>
    </row>
    <row r="4532" spans="30:120">
      <c r="AD4532" s="1138"/>
      <c r="BH4532" s="1790"/>
      <c r="BN4532" s="237">
        <v>3822.01</v>
      </c>
      <c r="BO4532" s="237" t="s">
        <v>371</v>
      </c>
      <c r="CD4532" s="345">
        <v>901.04</v>
      </c>
      <c r="CE4532" s="345" t="s">
        <v>310</v>
      </c>
      <c r="CL4532" s="1789"/>
      <c r="CR4532" s="345"/>
      <c r="CS4532" s="345"/>
      <c r="DH4532" s="237"/>
      <c r="DI4532" s="237"/>
      <c r="DP4532" s="2505"/>
    </row>
    <row r="4533" spans="30:120">
      <c r="AD4533" s="1138"/>
      <c r="BH4533" s="1790"/>
      <c r="BN4533" s="237">
        <v>3822.02</v>
      </c>
      <c r="BO4533" s="237" t="s">
        <v>371</v>
      </c>
      <c r="CD4533" s="345">
        <v>902</v>
      </c>
      <c r="CE4533" s="345" t="s">
        <v>310</v>
      </c>
      <c r="CL4533" s="1789"/>
      <c r="CR4533" s="345"/>
      <c r="CS4533" s="345"/>
      <c r="DH4533" s="237"/>
      <c r="DI4533" s="237"/>
      <c r="DP4533" s="2505"/>
    </row>
    <row r="4534" spans="30:120">
      <c r="AD4534" s="1138"/>
      <c r="BH4534" s="1790"/>
      <c r="BN4534" s="237">
        <v>9800</v>
      </c>
      <c r="BO4534" s="237" t="s">
        <v>371</v>
      </c>
      <c r="CD4534" s="237">
        <v>902.02</v>
      </c>
      <c r="CE4534" s="237" t="s">
        <v>376</v>
      </c>
      <c r="CL4534" s="1789"/>
      <c r="CR4534" s="345"/>
      <c r="CS4534" s="345"/>
      <c r="DH4534" s="237"/>
      <c r="DI4534" s="237"/>
      <c r="DP4534" s="2505"/>
    </row>
    <row r="4535" spans="30:120">
      <c r="AD4535" s="1138"/>
      <c r="BH4535" s="1790"/>
      <c r="BN4535" s="237">
        <v>9900</v>
      </c>
      <c r="BO4535" s="237" t="s">
        <v>371</v>
      </c>
      <c r="CD4535" s="237">
        <v>902.03</v>
      </c>
      <c r="CE4535" s="237" t="s">
        <v>376</v>
      </c>
      <c r="CL4535" s="1789"/>
      <c r="CR4535" s="345"/>
      <c r="CS4535" s="345"/>
      <c r="DH4535" s="237"/>
      <c r="DI4535" s="237"/>
      <c r="DP4535" s="2505"/>
    </row>
    <row r="4536" spans="30:120">
      <c r="AD4536" s="1138"/>
      <c r="BH4536" s="1790"/>
      <c r="BN4536" s="237">
        <v>101</v>
      </c>
      <c r="BO4536" s="237" t="s">
        <v>367</v>
      </c>
      <c r="CD4536" s="237">
        <v>902.04</v>
      </c>
      <c r="CE4536" s="237" t="s">
        <v>376</v>
      </c>
      <c r="CL4536" s="1789"/>
      <c r="CR4536" s="345"/>
      <c r="CS4536" s="345"/>
      <c r="DH4536" s="237"/>
      <c r="DI4536" s="237"/>
      <c r="DP4536" s="2505"/>
    </row>
    <row r="4537" spans="30:120">
      <c r="AD4537" s="1138"/>
      <c r="BH4537" s="1790"/>
      <c r="BN4537" s="237">
        <v>102</v>
      </c>
      <c r="BO4537" s="237" t="s">
        <v>367</v>
      </c>
      <c r="CD4537" s="345">
        <v>903.01</v>
      </c>
      <c r="CE4537" s="345" t="s">
        <v>310</v>
      </c>
      <c r="CL4537" s="1789"/>
      <c r="CR4537" s="345"/>
      <c r="CS4537" s="345"/>
      <c r="DH4537" s="237"/>
      <c r="DI4537" s="237"/>
      <c r="DP4537" s="2505"/>
    </row>
    <row r="4538" spans="30:120">
      <c r="AD4538" s="1138"/>
      <c r="BH4538" s="1790"/>
      <c r="BN4538" s="237">
        <v>103.01</v>
      </c>
      <c r="BO4538" s="237" t="s">
        <v>367</v>
      </c>
      <c r="CD4538" s="345">
        <v>903.03</v>
      </c>
      <c r="CE4538" s="345" t="s">
        <v>310</v>
      </c>
      <c r="CL4538" s="1789"/>
      <c r="CR4538" s="345"/>
      <c r="CS4538" s="345"/>
      <c r="DH4538" s="237"/>
      <c r="DI4538" s="237"/>
      <c r="DP4538" s="2505"/>
    </row>
    <row r="4539" spans="30:120">
      <c r="AD4539" s="1138"/>
      <c r="BH4539" s="1790"/>
      <c r="BN4539" s="237">
        <v>103.02</v>
      </c>
      <c r="BO4539" s="237" t="s">
        <v>367</v>
      </c>
      <c r="CD4539" s="237">
        <v>903.03</v>
      </c>
      <c r="CE4539" s="237" t="s">
        <v>376</v>
      </c>
      <c r="CL4539" s="1789"/>
      <c r="CR4539" s="345"/>
      <c r="CS4539" s="345"/>
      <c r="DH4539" s="237"/>
      <c r="DI4539" s="237"/>
      <c r="DP4539" s="2505"/>
    </row>
    <row r="4540" spans="30:120">
      <c r="AD4540" s="1138"/>
      <c r="BH4540" s="1790"/>
      <c r="BN4540" s="237">
        <v>103.03</v>
      </c>
      <c r="BO4540" s="237" t="s">
        <v>367</v>
      </c>
      <c r="CD4540" s="345">
        <v>903.04</v>
      </c>
      <c r="CE4540" s="345" t="s">
        <v>310</v>
      </c>
      <c r="CL4540" s="1789"/>
      <c r="CR4540" s="345"/>
      <c r="CS4540" s="345"/>
      <c r="DH4540" s="237"/>
      <c r="DI4540" s="237"/>
      <c r="DP4540" s="2505"/>
    </row>
    <row r="4541" spans="30:120">
      <c r="AD4541" s="1138"/>
      <c r="BH4541" s="1790"/>
      <c r="BN4541" s="237">
        <v>104</v>
      </c>
      <c r="BO4541" s="237" t="s">
        <v>367</v>
      </c>
      <c r="CD4541" s="237">
        <v>903.04</v>
      </c>
      <c r="CE4541" s="237" t="s">
        <v>376</v>
      </c>
      <c r="CL4541" s="1789"/>
      <c r="CR4541" s="345"/>
      <c r="CS4541" s="345"/>
      <c r="DH4541" s="237"/>
      <c r="DI4541" s="237"/>
      <c r="DP4541" s="2505"/>
    </row>
    <row r="4542" spans="30:120">
      <c r="AD4542" s="1138"/>
      <c r="BH4542" s="1790"/>
      <c r="BN4542" s="237">
        <v>105.03</v>
      </c>
      <c r="BO4542" s="237" t="s">
        <v>367</v>
      </c>
      <c r="CD4542" s="237">
        <v>903.05</v>
      </c>
      <c r="CE4542" s="237" t="s">
        <v>376</v>
      </c>
      <c r="CL4542" s="1789"/>
      <c r="CR4542" s="345"/>
      <c r="CS4542" s="345"/>
      <c r="DH4542" s="237"/>
      <c r="DI4542" s="237"/>
      <c r="DP4542" s="2505"/>
    </row>
    <row r="4543" spans="30:120">
      <c r="AD4543" s="1138"/>
      <c r="BH4543" s="1790"/>
      <c r="BN4543" s="237">
        <v>105.04</v>
      </c>
      <c r="BO4543" s="237" t="s">
        <v>367</v>
      </c>
      <c r="CD4543" s="237">
        <v>903.06</v>
      </c>
      <c r="CE4543" s="237" t="s">
        <v>376</v>
      </c>
      <c r="CL4543" s="1789"/>
      <c r="CR4543" s="345"/>
      <c r="CS4543" s="345"/>
      <c r="DH4543" s="237"/>
      <c r="DI4543" s="237"/>
      <c r="DP4543" s="2505"/>
    </row>
    <row r="4544" spans="30:120">
      <c r="AD4544" s="1138"/>
      <c r="BH4544" s="1790"/>
      <c r="BN4544" s="237">
        <v>105.05</v>
      </c>
      <c r="BO4544" s="237" t="s">
        <v>367</v>
      </c>
      <c r="CD4544" s="237">
        <v>903.07</v>
      </c>
      <c r="CE4544" s="237" t="s">
        <v>376</v>
      </c>
      <c r="CL4544" s="1789"/>
      <c r="CR4544" s="345"/>
      <c r="CS4544" s="345"/>
      <c r="DH4544" s="237"/>
      <c r="DI4544" s="237"/>
      <c r="DP4544" s="2505"/>
    </row>
    <row r="4545" spans="30:120">
      <c r="AD4545" s="1138"/>
      <c r="BH4545" s="1790"/>
      <c r="BN4545" s="237">
        <v>105.06</v>
      </c>
      <c r="BO4545" s="237" t="s">
        <v>367</v>
      </c>
      <c r="CD4545" s="345">
        <v>904.01</v>
      </c>
      <c r="CE4545" s="345" t="s">
        <v>310</v>
      </c>
      <c r="CL4545" s="1789"/>
      <c r="CR4545" s="345"/>
      <c r="CS4545" s="345"/>
      <c r="DH4545" s="237"/>
      <c r="DI4545" s="237"/>
      <c r="DP4545" s="2505"/>
    </row>
    <row r="4546" spans="30:120">
      <c r="AD4546" s="1138"/>
      <c r="BH4546" s="1790"/>
      <c r="BN4546" s="237">
        <v>106.01</v>
      </c>
      <c r="BO4546" s="237" t="s">
        <v>367</v>
      </c>
      <c r="CD4546" s="237">
        <v>904.01</v>
      </c>
      <c r="CE4546" s="237" t="s">
        <v>376</v>
      </c>
      <c r="CL4546" s="1789"/>
      <c r="CR4546" s="345"/>
      <c r="CS4546" s="345"/>
      <c r="DH4546" s="237"/>
      <c r="DI4546" s="237"/>
      <c r="DP4546" s="2505"/>
    </row>
    <row r="4547" spans="30:120">
      <c r="AD4547" s="1138"/>
      <c r="BH4547" s="1790"/>
      <c r="BN4547" s="237">
        <v>106.02</v>
      </c>
      <c r="BO4547" s="237" t="s">
        <v>367</v>
      </c>
      <c r="CD4547" s="237">
        <v>904.02</v>
      </c>
      <c r="CE4547" s="237" t="s">
        <v>376</v>
      </c>
      <c r="CL4547" s="1789"/>
      <c r="CR4547" s="345"/>
      <c r="CS4547" s="345"/>
      <c r="DH4547" s="237"/>
      <c r="DI4547" s="237"/>
      <c r="DP4547" s="2505"/>
    </row>
    <row r="4548" spans="30:120">
      <c r="AD4548" s="1138"/>
      <c r="BH4548" s="1790"/>
      <c r="BN4548" s="237">
        <v>107.04</v>
      </c>
      <c r="BO4548" s="237" t="s">
        <v>367</v>
      </c>
      <c r="CD4548" s="345">
        <v>904.03</v>
      </c>
      <c r="CE4548" s="345" t="s">
        <v>310</v>
      </c>
      <c r="CL4548" s="1789"/>
      <c r="CR4548" s="345"/>
      <c r="CS4548" s="345"/>
      <c r="DH4548" s="237"/>
      <c r="DI4548" s="237"/>
      <c r="DP4548" s="2505"/>
    </row>
    <row r="4549" spans="30:120">
      <c r="AD4549" s="1138"/>
      <c r="BH4549" s="1790"/>
      <c r="BN4549" s="237">
        <v>107.05</v>
      </c>
      <c r="BO4549" s="237" t="s">
        <v>367</v>
      </c>
      <c r="CD4549" s="345">
        <v>904.04</v>
      </c>
      <c r="CE4549" s="345" t="s">
        <v>310</v>
      </c>
      <c r="CL4549" s="1789"/>
      <c r="CR4549" s="345"/>
      <c r="CS4549" s="345"/>
      <c r="DH4549" s="237"/>
      <c r="DI4549" s="237"/>
      <c r="DP4549" s="2505"/>
    </row>
    <row r="4550" spans="30:120">
      <c r="AD4550" s="1138"/>
      <c r="BH4550" s="1790"/>
      <c r="BN4550" s="237">
        <v>107.07</v>
      </c>
      <c r="BO4550" s="237" t="s">
        <v>367</v>
      </c>
      <c r="CD4550" s="237">
        <v>905</v>
      </c>
      <c r="CE4550" s="237" t="s">
        <v>376</v>
      </c>
      <c r="CL4550" s="1789"/>
      <c r="CR4550" s="345"/>
      <c r="CS4550" s="345"/>
      <c r="DH4550" s="237"/>
      <c r="DI4550" s="237"/>
      <c r="DP4550" s="2505"/>
    </row>
    <row r="4551" spans="30:120">
      <c r="AD4551" s="1138"/>
      <c r="BH4551" s="1790"/>
      <c r="BN4551" s="237">
        <v>107.08</v>
      </c>
      <c r="BO4551" s="237" t="s">
        <v>367</v>
      </c>
      <c r="CD4551" s="345">
        <v>905.02</v>
      </c>
      <c r="CE4551" s="345" t="s">
        <v>310</v>
      </c>
      <c r="CL4551" s="1789"/>
      <c r="CR4551" s="345"/>
      <c r="CS4551" s="345"/>
      <c r="DH4551" s="237"/>
      <c r="DI4551" s="237"/>
      <c r="DP4551" s="2505"/>
    </row>
    <row r="4552" spans="30:120">
      <c r="AD4552" s="1138"/>
      <c r="BH4552" s="1790"/>
      <c r="BN4552" s="237">
        <v>107.09</v>
      </c>
      <c r="BO4552" s="237" t="s">
        <v>367</v>
      </c>
      <c r="CD4552" s="345">
        <v>905.03</v>
      </c>
      <c r="CE4552" s="345" t="s">
        <v>310</v>
      </c>
      <c r="CL4552" s="1789"/>
      <c r="CR4552" s="345"/>
      <c r="CS4552" s="345"/>
      <c r="DH4552" s="237"/>
      <c r="DI4552" s="237"/>
      <c r="DP4552" s="2505"/>
    </row>
    <row r="4553" spans="30:120">
      <c r="AD4553" s="1138"/>
      <c r="BH4553" s="1790"/>
      <c r="BN4553" s="237">
        <v>107.1</v>
      </c>
      <c r="BO4553" s="237" t="s">
        <v>367</v>
      </c>
      <c r="CD4553" s="345">
        <v>905.04</v>
      </c>
      <c r="CE4553" s="345" t="s">
        <v>310</v>
      </c>
      <c r="CL4553" s="1789"/>
      <c r="CR4553" s="345"/>
      <c r="CS4553" s="345"/>
      <c r="DH4553" s="237"/>
      <c r="DI4553" s="237"/>
      <c r="DP4553" s="2505"/>
    </row>
    <row r="4554" spans="30:120">
      <c r="AD4554" s="1138"/>
      <c r="BH4554" s="1790"/>
      <c r="BN4554" s="237">
        <v>107.11</v>
      </c>
      <c r="BO4554" s="237" t="s">
        <v>367</v>
      </c>
      <c r="CD4554" s="237">
        <v>906</v>
      </c>
      <c r="CE4554" s="237" t="s">
        <v>376</v>
      </c>
      <c r="CL4554" s="1789"/>
      <c r="CR4554" s="345"/>
      <c r="CS4554" s="345"/>
      <c r="DH4554" s="237"/>
      <c r="DI4554" s="237"/>
      <c r="DP4554" s="2505"/>
    </row>
    <row r="4555" spans="30:120">
      <c r="AD4555" s="1138"/>
      <c r="BH4555" s="1790"/>
      <c r="BN4555" s="237">
        <v>107.12</v>
      </c>
      <c r="BO4555" s="237" t="s">
        <v>367</v>
      </c>
      <c r="CD4555" s="345">
        <v>906.01</v>
      </c>
      <c r="CE4555" s="345" t="s">
        <v>310</v>
      </c>
      <c r="CL4555" s="1789"/>
      <c r="CR4555" s="345"/>
      <c r="CS4555" s="345"/>
      <c r="DH4555" s="237"/>
      <c r="DI4555" s="237"/>
      <c r="DP4555" s="2505"/>
    </row>
    <row r="4556" spans="30:120">
      <c r="AD4556" s="1138"/>
      <c r="BH4556" s="1790"/>
      <c r="BN4556" s="237">
        <v>108.02</v>
      </c>
      <c r="BO4556" s="237" t="s">
        <v>367</v>
      </c>
      <c r="CD4556" s="345">
        <v>906.02</v>
      </c>
      <c r="CE4556" s="345" t="s">
        <v>310</v>
      </c>
      <c r="CL4556" s="1789"/>
      <c r="CR4556" s="345"/>
      <c r="CS4556" s="345"/>
      <c r="DH4556" s="237"/>
      <c r="DI4556" s="237"/>
      <c r="DP4556" s="2505"/>
    </row>
    <row r="4557" spans="30:120">
      <c r="AD4557" s="1138"/>
      <c r="BH4557" s="1790"/>
      <c r="BN4557" s="237">
        <v>108.08</v>
      </c>
      <c r="BO4557" s="237" t="s">
        <v>367</v>
      </c>
      <c r="CD4557" s="345">
        <v>907</v>
      </c>
      <c r="CE4557" s="345" t="s">
        <v>310</v>
      </c>
      <c r="CL4557" s="1789"/>
      <c r="CR4557" s="345"/>
      <c r="CS4557" s="345"/>
      <c r="DH4557" s="237"/>
      <c r="DI4557" s="237"/>
      <c r="DP4557" s="2505"/>
    </row>
    <row r="4558" spans="30:120">
      <c r="AD4558" s="1138"/>
      <c r="BH4558" s="1790"/>
      <c r="BN4558" s="237">
        <v>108.09</v>
      </c>
      <c r="BO4558" s="237" t="s">
        <v>367</v>
      </c>
      <c r="CD4558" s="237">
        <v>907.01</v>
      </c>
      <c r="CE4558" s="237" t="s">
        <v>376</v>
      </c>
      <c r="CL4558" s="1789"/>
      <c r="CR4558" s="345"/>
      <c r="CS4558" s="345"/>
      <c r="DH4558" s="237"/>
      <c r="DI4558" s="237"/>
      <c r="DP4558" s="2505"/>
    </row>
    <row r="4559" spans="30:120">
      <c r="AD4559" s="1138"/>
      <c r="BH4559" s="1790"/>
      <c r="BN4559" s="237">
        <v>108.12</v>
      </c>
      <c r="BO4559" s="237" t="s">
        <v>367</v>
      </c>
      <c r="CD4559" s="237">
        <v>907.02</v>
      </c>
      <c r="CE4559" s="237" t="s">
        <v>376</v>
      </c>
      <c r="CL4559" s="1789"/>
      <c r="CR4559" s="345"/>
      <c r="CS4559" s="345"/>
      <c r="DH4559" s="237"/>
      <c r="DI4559" s="237"/>
      <c r="DP4559" s="2505"/>
    </row>
    <row r="4560" spans="30:120">
      <c r="AD4560" s="1138"/>
      <c r="BH4560" s="1790"/>
      <c r="BN4560" s="237">
        <v>108.13</v>
      </c>
      <c r="BO4560" s="237" t="s">
        <v>367</v>
      </c>
      <c r="CD4560" s="345">
        <v>908.01</v>
      </c>
      <c r="CE4560" s="345" t="s">
        <v>310</v>
      </c>
      <c r="CL4560" s="1789"/>
      <c r="CR4560" s="345"/>
      <c r="CS4560" s="345"/>
      <c r="DH4560" s="237"/>
      <c r="DI4560" s="237"/>
      <c r="DP4560" s="2505"/>
    </row>
    <row r="4561" spans="30:120">
      <c r="AD4561" s="1138"/>
      <c r="BH4561" s="1790"/>
      <c r="BN4561" s="237">
        <v>108.14</v>
      </c>
      <c r="BO4561" s="237" t="s">
        <v>367</v>
      </c>
      <c r="CD4561" s="345">
        <v>908.02</v>
      </c>
      <c r="CE4561" s="345" t="s">
        <v>310</v>
      </c>
      <c r="CL4561" s="1789"/>
      <c r="CR4561" s="345"/>
      <c r="CS4561" s="345"/>
      <c r="DH4561" s="237"/>
      <c r="DI4561" s="237"/>
      <c r="DP4561" s="2505"/>
    </row>
    <row r="4562" spans="30:120">
      <c r="AD4562" s="1138"/>
      <c r="BH4562" s="1790"/>
      <c r="BN4562" s="237">
        <v>108.2</v>
      </c>
      <c r="BO4562" s="237" t="s">
        <v>367</v>
      </c>
      <c r="CD4562" s="237">
        <v>908.03</v>
      </c>
      <c r="CE4562" s="237" t="s">
        <v>376</v>
      </c>
      <c r="CL4562" s="1789"/>
      <c r="CR4562" s="345"/>
      <c r="CS4562" s="345"/>
      <c r="DH4562" s="237"/>
      <c r="DI4562" s="237"/>
      <c r="DP4562" s="2505"/>
    </row>
    <row r="4563" spans="30:120">
      <c r="AD4563" s="1138"/>
      <c r="BH4563" s="1790"/>
      <c r="BN4563" s="237">
        <v>108.21</v>
      </c>
      <c r="BO4563" s="237" t="s">
        <v>367</v>
      </c>
      <c r="CD4563" s="237">
        <v>908.04</v>
      </c>
      <c r="CE4563" s="237" t="s">
        <v>376</v>
      </c>
      <c r="CL4563" s="1789"/>
      <c r="CR4563" s="345"/>
      <c r="CS4563" s="345"/>
      <c r="DH4563" s="237"/>
      <c r="DI4563" s="237"/>
      <c r="DP4563" s="2505"/>
    </row>
    <row r="4564" spans="30:120">
      <c r="AD4564" s="1138"/>
      <c r="BH4564" s="1790"/>
      <c r="BN4564" s="237">
        <v>108.22</v>
      </c>
      <c r="BO4564" s="237" t="s">
        <v>367</v>
      </c>
      <c r="CD4564" s="237">
        <v>908.06</v>
      </c>
      <c r="CE4564" s="237" t="s">
        <v>376</v>
      </c>
      <c r="CL4564" s="1789"/>
      <c r="CR4564" s="345"/>
      <c r="CS4564" s="345"/>
      <c r="DH4564" s="237"/>
      <c r="DI4564" s="237"/>
      <c r="DP4564" s="2505"/>
    </row>
    <row r="4565" spans="30:120">
      <c r="AD4565" s="1138"/>
      <c r="BH4565" s="1790"/>
      <c r="BN4565" s="237">
        <v>108.23</v>
      </c>
      <c r="BO4565" s="237" t="s">
        <v>367</v>
      </c>
      <c r="CD4565" s="237">
        <v>908.07</v>
      </c>
      <c r="CE4565" s="237" t="s">
        <v>376</v>
      </c>
      <c r="CL4565" s="1789"/>
      <c r="CR4565" s="345"/>
      <c r="CS4565" s="345"/>
      <c r="DH4565" s="237"/>
      <c r="DI4565" s="237"/>
      <c r="DP4565" s="2505"/>
    </row>
    <row r="4566" spans="30:120">
      <c r="AD4566" s="1138"/>
      <c r="BH4566" s="1790"/>
      <c r="BN4566" s="237">
        <v>108.24</v>
      </c>
      <c r="BO4566" s="237" t="s">
        <v>367</v>
      </c>
      <c r="CD4566" s="237">
        <v>908.08</v>
      </c>
      <c r="CE4566" s="237" t="s">
        <v>376</v>
      </c>
      <c r="CL4566" s="1789"/>
      <c r="CR4566" s="345"/>
      <c r="CS4566" s="345"/>
      <c r="DH4566" s="237"/>
      <c r="DI4566" s="237"/>
      <c r="DP4566" s="2505"/>
    </row>
    <row r="4567" spans="30:120">
      <c r="AD4567" s="1138"/>
      <c r="BH4567" s="1790"/>
      <c r="BN4567" s="237">
        <v>108.25</v>
      </c>
      <c r="BO4567" s="237" t="s">
        <v>367</v>
      </c>
      <c r="CD4567" s="345">
        <v>909</v>
      </c>
      <c r="CE4567" s="345" t="s">
        <v>310</v>
      </c>
      <c r="CL4567" s="1789"/>
      <c r="CR4567" s="345"/>
      <c r="CS4567" s="345"/>
      <c r="DH4567" s="237"/>
      <c r="DI4567" s="237"/>
      <c r="DP4567" s="2505"/>
    </row>
    <row r="4568" spans="30:120">
      <c r="AD4568" s="1138"/>
      <c r="BH4568" s="1790"/>
      <c r="BN4568" s="237">
        <v>108.26</v>
      </c>
      <c r="BO4568" s="237" t="s">
        <v>367</v>
      </c>
      <c r="CD4568" s="237">
        <v>909.03</v>
      </c>
      <c r="CE4568" s="237" t="s">
        <v>376</v>
      </c>
      <c r="CL4568" s="1789"/>
      <c r="CR4568" s="345"/>
      <c r="CS4568" s="345"/>
      <c r="DH4568" s="237"/>
      <c r="DI4568" s="237"/>
      <c r="DP4568" s="2505"/>
    </row>
    <row r="4569" spans="30:120">
      <c r="AD4569" s="1138"/>
      <c r="BH4569" s="1790"/>
      <c r="BN4569" s="237">
        <v>108.27</v>
      </c>
      <c r="BO4569" s="237" t="s">
        <v>367</v>
      </c>
      <c r="CD4569" s="237">
        <v>909.04</v>
      </c>
      <c r="CE4569" s="237" t="s">
        <v>376</v>
      </c>
      <c r="CL4569" s="1789"/>
      <c r="CR4569" s="345"/>
      <c r="CS4569" s="345"/>
      <c r="DH4569" s="237"/>
      <c r="DI4569" s="237"/>
      <c r="DP4569" s="2505"/>
    </row>
    <row r="4570" spans="30:120">
      <c r="AD4570" s="1138"/>
      <c r="BH4570" s="1790"/>
      <c r="BN4570" s="237">
        <v>108.28</v>
      </c>
      <c r="BO4570" s="237" t="s">
        <v>367</v>
      </c>
      <c r="CD4570" s="237">
        <v>909.05</v>
      </c>
      <c r="CE4570" s="237" t="s">
        <v>376</v>
      </c>
      <c r="CL4570" s="1789"/>
      <c r="CR4570" s="345"/>
      <c r="CS4570" s="345"/>
      <c r="DH4570" s="237"/>
      <c r="DI4570" s="237"/>
      <c r="DP4570" s="2505"/>
    </row>
    <row r="4571" spans="30:120">
      <c r="AD4571" s="1138"/>
      <c r="BH4571" s="1790"/>
      <c r="BN4571" s="237">
        <v>109</v>
      </c>
      <c r="BO4571" s="237" t="s">
        <v>367</v>
      </c>
      <c r="CD4571" s="237">
        <v>909.06</v>
      </c>
      <c r="CE4571" s="237" t="s">
        <v>376</v>
      </c>
      <c r="CL4571" s="1789"/>
      <c r="CR4571" s="345"/>
      <c r="CS4571" s="345"/>
      <c r="DH4571" s="237"/>
      <c r="DI4571" s="237"/>
      <c r="DP4571" s="2505"/>
    </row>
    <row r="4572" spans="30:120">
      <c r="AD4572" s="1138"/>
      <c r="BH4572" s="1790"/>
      <c r="BN4572" s="237">
        <v>9900</v>
      </c>
      <c r="BO4572" s="237" t="s">
        <v>367</v>
      </c>
      <c r="CD4572" s="345">
        <v>910</v>
      </c>
      <c r="CE4572" s="345" t="s">
        <v>310</v>
      </c>
      <c r="CL4572" s="1789"/>
      <c r="CR4572" s="345"/>
      <c r="CS4572" s="345"/>
      <c r="DH4572" s="237"/>
      <c r="DI4572" s="237"/>
      <c r="DP4572" s="2505"/>
    </row>
    <row r="4573" spans="30:120">
      <c r="AD4573" s="1138"/>
      <c r="BH4573" s="1790"/>
      <c r="BN4573" s="237">
        <v>1.02</v>
      </c>
      <c r="BO4573" s="237" t="s">
        <v>368</v>
      </c>
      <c r="CD4573" s="237">
        <v>910.01</v>
      </c>
      <c r="CE4573" s="237" t="s">
        <v>376</v>
      </c>
      <c r="CL4573" s="1789"/>
      <c r="CR4573" s="345"/>
      <c r="CS4573" s="345"/>
      <c r="DH4573" s="237"/>
      <c r="DI4573" s="237"/>
      <c r="DP4573" s="2505"/>
    </row>
    <row r="4574" spans="30:120">
      <c r="AD4574" s="1138"/>
      <c r="BH4574" s="1790"/>
      <c r="BN4574" s="237">
        <v>1.03</v>
      </c>
      <c r="BO4574" s="237" t="s">
        <v>368</v>
      </c>
      <c r="CD4574" s="237">
        <v>910.05</v>
      </c>
      <c r="CE4574" s="237" t="s">
        <v>376</v>
      </c>
      <c r="CL4574" s="1789"/>
      <c r="CR4574" s="345"/>
      <c r="CS4574" s="345"/>
      <c r="DH4574" s="237"/>
      <c r="DI4574" s="237"/>
      <c r="DP4574" s="2505"/>
    </row>
    <row r="4575" spans="30:120">
      <c r="AD4575" s="1138"/>
      <c r="BH4575" s="1790"/>
      <c r="BN4575" s="237">
        <v>1.04</v>
      </c>
      <c r="BO4575" s="237" t="s">
        <v>368</v>
      </c>
      <c r="CD4575" s="237">
        <v>910.15</v>
      </c>
      <c r="CE4575" s="237" t="s">
        <v>376</v>
      </c>
      <c r="CL4575" s="1789"/>
      <c r="CR4575" s="345"/>
      <c r="CS4575" s="345"/>
      <c r="DH4575" s="237"/>
      <c r="DI4575" s="237"/>
      <c r="DP4575" s="2505"/>
    </row>
    <row r="4576" spans="30:120">
      <c r="AD4576" s="1138"/>
      <c r="BH4576" s="1790"/>
      <c r="BN4576" s="237">
        <v>2</v>
      </c>
      <c r="BO4576" s="237" t="s">
        <v>368</v>
      </c>
      <c r="CD4576" s="237">
        <v>910.16</v>
      </c>
      <c r="CE4576" s="237" t="s">
        <v>376</v>
      </c>
      <c r="CL4576" s="1789"/>
      <c r="CR4576" s="345"/>
      <c r="CS4576" s="345"/>
      <c r="DH4576" s="237"/>
      <c r="DI4576" s="237"/>
      <c r="DP4576" s="2505"/>
    </row>
    <row r="4577" spans="30:120">
      <c r="AD4577" s="1138"/>
      <c r="BH4577" s="1790"/>
      <c r="BN4577" s="237">
        <v>3</v>
      </c>
      <c r="BO4577" s="237" t="s">
        <v>368</v>
      </c>
      <c r="CD4577" s="237">
        <v>910.17</v>
      </c>
      <c r="CE4577" s="237" t="s">
        <v>376</v>
      </c>
      <c r="CL4577" s="1789"/>
      <c r="CR4577" s="345"/>
      <c r="CS4577" s="345"/>
      <c r="DH4577" s="237"/>
      <c r="DI4577" s="237"/>
      <c r="DP4577" s="2505"/>
    </row>
    <row r="4578" spans="30:120">
      <c r="AD4578" s="1138"/>
      <c r="BH4578" s="1790"/>
      <c r="BN4578" s="237">
        <v>4.01</v>
      </c>
      <c r="BO4578" s="237" t="s">
        <v>368</v>
      </c>
      <c r="CD4578" s="237">
        <v>910.18</v>
      </c>
      <c r="CE4578" s="237" t="s">
        <v>376</v>
      </c>
      <c r="CL4578" s="1789"/>
      <c r="CR4578" s="345"/>
      <c r="CS4578" s="345"/>
      <c r="DH4578" s="237"/>
      <c r="DI4578" s="237"/>
      <c r="DP4578" s="2505"/>
    </row>
    <row r="4579" spans="30:120">
      <c r="AD4579" s="1138"/>
      <c r="BH4579" s="1790"/>
      <c r="BN4579" s="237">
        <v>4.04</v>
      </c>
      <c r="BO4579" s="237" t="s">
        <v>368</v>
      </c>
      <c r="CD4579" s="237">
        <v>910.19</v>
      </c>
      <c r="CE4579" s="237" t="s">
        <v>376</v>
      </c>
      <c r="CL4579" s="1789"/>
      <c r="CR4579" s="345"/>
      <c r="CS4579" s="345"/>
      <c r="DH4579" s="237"/>
      <c r="DI4579" s="237"/>
      <c r="DP4579" s="2505"/>
    </row>
    <row r="4580" spans="30:120">
      <c r="AD4580" s="1138"/>
      <c r="BH4580" s="1790"/>
      <c r="BN4580" s="237">
        <v>4.05</v>
      </c>
      <c r="BO4580" s="237" t="s">
        <v>368</v>
      </c>
      <c r="CD4580" s="237">
        <v>910.2</v>
      </c>
      <c r="CE4580" s="237" t="s">
        <v>376</v>
      </c>
      <c r="CL4580" s="1789"/>
      <c r="CR4580" s="345"/>
      <c r="CS4580" s="345"/>
      <c r="DH4580" s="237"/>
      <c r="DI4580" s="237"/>
      <c r="DP4580" s="2505"/>
    </row>
    <row r="4581" spans="30:120">
      <c r="AD4581" s="1138"/>
      <c r="BH4581" s="1790"/>
      <c r="BN4581" s="237">
        <v>4.0599999999999996</v>
      </c>
      <c r="BO4581" s="237" t="s">
        <v>368</v>
      </c>
      <c r="CD4581" s="237">
        <v>910.21</v>
      </c>
      <c r="CE4581" s="237" t="s">
        <v>376</v>
      </c>
      <c r="CL4581" s="1789"/>
      <c r="CR4581" s="345"/>
      <c r="CS4581" s="345"/>
      <c r="DH4581" s="237"/>
      <c r="DI4581" s="237"/>
      <c r="DP4581" s="2505"/>
    </row>
    <row r="4582" spans="30:120">
      <c r="AD4582" s="1138"/>
      <c r="BH4582" s="1790"/>
      <c r="BN4582" s="237">
        <v>4.07</v>
      </c>
      <c r="BO4582" s="237" t="s">
        <v>368</v>
      </c>
      <c r="CD4582" s="237">
        <v>910.23</v>
      </c>
      <c r="CE4582" s="237" t="s">
        <v>376</v>
      </c>
      <c r="CL4582" s="1789"/>
      <c r="CR4582" s="345"/>
      <c r="CS4582" s="345"/>
      <c r="DH4582" s="237"/>
      <c r="DI4582" s="237"/>
      <c r="DP4582" s="2505"/>
    </row>
    <row r="4583" spans="30:120">
      <c r="AD4583" s="1138"/>
      <c r="BH4583" s="1790"/>
      <c r="BN4583" s="237">
        <v>5.01</v>
      </c>
      <c r="BO4583" s="237" t="s">
        <v>368</v>
      </c>
      <c r="CD4583" s="237">
        <v>910.25</v>
      </c>
      <c r="CE4583" s="237" t="s">
        <v>376</v>
      </c>
      <c r="CL4583" s="1789"/>
      <c r="CR4583" s="345"/>
      <c r="CS4583" s="345"/>
      <c r="DH4583" s="237"/>
      <c r="DI4583" s="237"/>
      <c r="DP4583" s="2505"/>
    </row>
    <row r="4584" spans="30:120">
      <c r="AD4584" s="1138"/>
      <c r="BH4584" s="1790"/>
      <c r="BN4584" s="237">
        <v>5.0199999999999996</v>
      </c>
      <c r="BO4584" s="237" t="s">
        <v>368</v>
      </c>
      <c r="CD4584" s="237">
        <v>910.28</v>
      </c>
      <c r="CE4584" s="237" t="s">
        <v>376</v>
      </c>
      <c r="CL4584" s="1789"/>
      <c r="CR4584" s="345"/>
      <c r="CS4584" s="345"/>
      <c r="DH4584" s="237"/>
      <c r="DI4584" s="237"/>
      <c r="DP4584" s="2505"/>
    </row>
    <row r="4585" spans="30:120">
      <c r="AD4585" s="1138"/>
      <c r="BH4585" s="1790"/>
      <c r="BN4585" s="237">
        <v>5.03</v>
      </c>
      <c r="BO4585" s="237" t="s">
        <v>368</v>
      </c>
      <c r="CD4585" s="237">
        <v>910.29</v>
      </c>
      <c r="CE4585" s="237" t="s">
        <v>376</v>
      </c>
      <c r="CL4585" s="1789"/>
      <c r="CR4585" s="345"/>
      <c r="CS4585" s="345"/>
      <c r="DH4585" s="237"/>
      <c r="DI4585" s="237"/>
      <c r="DP4585" s="2505"/>
    </row>
    <row r="4586" spans="30:120">
      <c r="AD4586" s="1138"/>
      <c r="BH4586" s="1790"/>
      <c r="BN4586" s="237">
        <v>6.01</v>
      </c>
      <c r="BO4586" s="237" t="s">
        <v>368</v>
      </c>
      <c r="CD4586" s="237">
        <v>910.3</v>
      </c>
      <c r="CE4586" s="237" t="s">
        <v>376</v>
      </c>
      <c r="CL4586" s="1789"/>
      <c r="CR4586" s="345"/>
      <c r="CS4586" s="345"/>
      <c r="DH4586" s="237"/>
      <c r="DI4586" s="237"/>
      <c r="DP4586" s="2505"/>
    </row>
    <row r="4587" spans="30:120">
      <c r="AD4587" s="1138"/>
      <c r="BH4587" s="1790"/>
      <c r="BN4587" s="237">
        <v>6.02</v>
      </c>
      <c r="BO4587" s="237" t="s">
        <v>368</v>
      </c>
      <c r="CD4587" s="237">
        <v>910.31</v>
      </c>
      <c r="CE4587" s="237" t="s">
        <v>376</v>
      </c>
      <c r="CL4587" s="1789"/>
      <c r="CR4587" s="345"/>
      <c r="CS4587" s="345"/>
      <c r="DH4587" s="237"/>
      <c r="DI4587" s="237"/>
      <c r="DP4587" s="2505"/>
    </row>
    <row r="4588" spans="30:120">
      <c r="AD4588" s="1138"/>
      <c r="BH4588" s="1790"/>
      <c r="BN4588" s="237">
        <v>7</v>
      </c>
      <c r="BO4588" s="237" t="s">
        <v>368</v>
      </c>
      <c r="CD4588" s="237">
        <v>910.32</v>
      </c>
      <c r="CE4588" s="237" t="s">
        <v>376</v>
      </c>
      <c r="CL4588" s="1789"/>
      <c r="CR4588" s="345"/>
      <c r="CS4588" s="345"/>
      <c r="DH4588" s="237"/>
      <c r="DI4588" s="237"/>
      <c r="DP4588" s="2505"/>
    </row>
    <row r="4589" spans="30:120">
      <c r="AD4589" s="1138"/>
      <c r="BH4589" s="1790"/>
      <c r="BN4589" s="237">
        <v>8.01</v>
      </c>
      <c r="BO4589" s="237" t="s">
        <v>368</v>
      </c>
      <c r="CD4589" s="237">
        <v>910.33</v>
      </c>
      <c r="CE4589" s="237" t="s">
        <v>376</v>
      </c>
      <c r="CL4589" s="1789"/>
      <c r="CR4589" s="345"/>
      <c r="CS4589" s="345"/>
      <c r="DH4589" s="237"/>
      <c r="DI4589" s="237"/>
      <c r="DP4589" s="2505"/>
    </row>
    <row r="4590" spans="30:120">
      <c r="AD4590" s="1138"/>
      <c r="BH4590" s="1790"/>
      <c r="BN4590" s="237">
        <v>8.02</v>
      </c>
      <c r="BO4590" s="237" t="s">
        <v>368</v>
      </c>
      <c r="CD4590" s="237">
        <v>910.34</v>
      </c>
      <c r="CE4590" s="237" t="s">
        <v>376</v>
      </c>
      <c r="CL4590" s="1789"/>
      <c r="CR4590" s="345"/>
      <c r="CS4590" s="345"/>
      <c r="DH4590" s="237"/>
      <c r="DI4590" s="237"/>
      <c r="DP4590" s="2505"/>
    </row>
    <row r="4591" spans="30:120">
      <c r="AD4591" s="1138"/>
      <c r="BH4591" s="1790"/>
      <c r="BN4591" s="237">
        <v>9</v>
      </c>
      <c r="BO4591" s="237" t="s">
        <v>368</v>
      </c>
      <c r="CD4591" s="237">
        <v>910.35</v>
      </c>
      <c r="CE4591" s="237" t="s">
        <v>376</v>
      </c>
      <c r="CL4591" s="1789"/>
      <c r="CR4591" s="345"/>
      <c r="CS4591" s="345"/>
      <c r="DH4591" s="237"/>
      <c r="DI4591" s="237"/>
      <c r="DP4591" s="2505"/>
    </row>
    <row r="4592" spans="30:120">
      <c r="AD4592" s="1138"/>
      <c r="BH4592" s="1790"/>
      <c r="BN4592" s="237">
        <v>10</v>
      </c>
      <c r="BO4592" s="237" t="s">
        <v>368</v>
      </c>
      <c r="CD4592" s="237">
        <v>910.36</v>
      </c>
      <c r="CE4592" s="237" t="s">
        <v>376</v>
      </c>
      <c r="CL4592" s="1789"/>
      <c r="CR4592" s="345"/>
      <c r="CS4592" s="345"/>
      <c r="DH4592" s="237"/>
      <c r="DI4592" s="237"/>
      <c r="DP4592" s="2505"/>
    </row>
    <row r="4593" spans="30:120">
      <c r="AD4593" s="1138"/>
      <c r="BH4593" s="1790"/>
      <c r="BN4593" s="237">
        <v>11.01</v>
      </c>
      <c r="BO4593" s="237" t="s">
        <v>368</v>
      </c>
      <c r="CD4593" s="237">
        <v>910.37</v>
      </c>
      <c r="CE4593" s="237" t="s">
        <v>376</v>
      </c>
      <c r="CL4593" s="1789"/>
      <c r="CR4593" s="345"/>
      <c r="CS4593" s="345"/>
      <c r="DH4593" s="237"/>
      <c r="DI4593" s="237"/>
      <c r="DP4593" s="2505"/>
    </row>
    <row r="4594" spans="30:120">
      <c r="AD4594" s="1138"/>
      <c r="BH4594" s="1790"/>
      <c r="BN4594" s="237">
        <v>11.02</v>
      </c>
      <c r="BO4594" s="237" t="s">
        <v>368</v>
      </c>
      <c r="CD4594" s="237">
        <v>910.38</v>
      </c>
      <c r="CE4594" s="237" t="s">
        <v>376</v>
      </c>
      <c r="CL4594" s="1789"/>
      <c r="CR4594" s="345"/>
      <c r="CS4594" s="345"/>
      <c r="DH4594" s="237"/>
      <c r="DI4594" s="237"/>
      <c r="DP4594" s="2505"/>
    </row>
    <row r="4595" spans="30:120">
      <c r="AD4595" s="1138"/>
      <c r="BH4595" s="1790"/>
      <c r="BN4595" s="237">
        <v>12.02</v>
      </c>
      <c r="BO4595" s="237" t="s">
        <v>368</v>
      </c>
      <c r="CD4595" s="237">
        <v>910.39</v>
      </c>
      <c r="CE4595" s="237" t="s">
        <v>376</v>
      </c>
      <c r="CL4595" s="1789"/>
      <c r="CR4595" s="345"/>
      <c r="CS4595" s="345"/>
      <c r="DH4595" s="237"/>
      <c r="DI4595" s="237"/>
      <c r="DP4595" s="2505"/>
    </row>
    <row r="4596" spans="30:120">
      <c r="AD4596" s="1138"/>
      <c r="BH4596" s="1790"/>
      <c r="BN4596" s="237">
        <v>12.03</v>
      </c>
      <c r="BO4596" s="237" t="s">
        <v>368</v>
      </c>
      <c r="CD4596" s="345">
        <v>911</v>
      </c>
      <c r="CE4596" s="345" t="s">
        <v>310</v>
      </c>
      <c r="CL4596" s="1789"/>
      <c r="CR4596" s="345"/>
      <c r="CS4596" s="345"/>
      <c r="DH4596" s="237"/>
      <c r="DI4596" s="237"/>
      <c r="DP4596" s="2505"/>
    </row>
    <row r="4597" spans="30:120">
      <c r="AD4597" s="1138"/>
      <c r="BH4597" s="1790"/>
      <c r="BN4597" s="237">
        <v>12.04</v>
      </c>
      <c r="BO4597" s="237" t="s">
        <v>368</v>
      </c>
      <c r="CD4597" s="345">
        <v>912.01</v>
      </c>
      <c r="CE4597" s="345" t="s">
        <v>310</v>
      </c>
      <c r="CL4597" s="1789"/>
      <c r="CR4597" s="345"/>
      <c r="CS4597" s="345"/>
      <c r="DH4597" s="237"/>
      <c r="DI4597" s="237"/>
      <c r="DP4597" s="2505"/>
    </row>
    <row r="4598" spans="30:120">
      <c r="AD4598" s="1138"/>
      <c r="BH4598" s="1790"/>
      <c r="BN4598" s="237">
        <v>12.05</v>
      </c>
      <c r="BO4598" s="237" t="s">
        <v>368</v>
      </c>
      <c r="CD4598" s="345">
        <v>912.02</v>
      </c>
      <c r="CE4598" s="345" t="s">
        <v>310</v>
      </c>
      <c r="CL4598" s="1789"/>
      <c r="CR4598" s="345"/>
      <c r="CS4598" s="345"/>
      <c r="DH4598" s="237"/>
      <c r="DI4598" s="237"/>
      <c r="DP4598" s="2505"/>
    </row>
    <row r="4599" spans="30:120">
      <c r="AD4599" s="1138"/>
      <c r="BH4599" s="1790"/>
      <c r="BN4599" s="237">
        <v>12.06</v>
      </c>
      <c r="BO4599" s="237" t="s">
        <v>368</v>
      </c>
      <c r="CD4599" s="345">
        <v>913</v>
      </c>
      <c r="CE4599" s="345" t="s">
        <v>310</v>
      </c>
      <c r="CL4599" s="1789"/>
      <c r="CR4599" s="345"/>
      <c r="CS4599" s="345"/>
      <c r="DH4599" s="237"/>
      <c r="DI4599" s="237"/>
      <c r="DP4599" s="2505"/>
    </row>
    <row r="4600" spans="30:120">
      <c r="AD4600" s="1138"/>
      <c r="BH4600" s="1790"/>
      <c r="BN4600" s="237">
        <v>13.01</v>
      </c>
      <c r="BO4600" s="237" t="s">
        <v>368</v>
      </c>
      <c r="CD4600" s="345">
        <v>914</v>
      </c>
      <c r="CE4600" s="345" t="s">
        <v>310</v>
      </c>
      <c r="CL4600" s="1789"/>
      <c r="CR4600" s="345"/>
      <c r="CS4600" s="345"/>
      <c r="DH4600" s="237"/>
      <c r="DI4600" s="237"/>
      <c r="DP4600" s="2505"/>
    </row>
    <row r="4601" spans="30:120">
      <c r="AD4601" s="1138"/>
      <c r="BH4601" s="1790"/>
      <c r="BN4601" s="237">
        <v>13.02</v>
      </c>
      <c r="BO4601" s="237" t="s">
        <v>368</v>
      </c>
      <c r="CD4601" s="345">
        <v>915</v>
      </c>
      <c r="CE4601" s="345" t="s">
        <v>310</v>
      </c>
      <c r="CL4601" s="1789"/>
      <c r="CR4601" s="345"/>
      <c r="CS4601" s="345"/>
      <c r="DH4601" s="237"/>
      <c r="DI4601" s="237"/>
      <c r="DP4601" s="2505"/>
    </row>
    <row r="4602" spans="30:120">
      <c r="AD4602" s="1138"/>
      <c r="BH4602" s="1790"/>
      <c r="BN4602" s="237">
        <v>13.03</v>
      </c>
      <c r="BO4602" s="237" t="s">
        <v>368</v>
      </c>
      <c r="CD4602" s="345">
        <v>916.01</v>
      </c>
      <c r="CE4602" s="345" t="s">
        <v>310</v>
      </c>
      <c r="CL4602" s="1789"/>
      <c r="CR4602" s="345"/>
      <c r="CS4602" s="345"/>
      <c r="DH4602" s="237"/>
      <c r="DI4602" s="237"/>
      <c r="DP4602" s="2505"/>
    </row>
    <row r="4603" spans="30:120">
      <c r="AD4603" s="1138"/>
      <c r="BH4603" s="1790"/>
      <c r="BN4603" s="237">
        <v>13.04</v>
      </c>
      <c r="BO4603" s="237" t="s">
        <v>368</v>
      </c>
      <c r="CD4603" s="345">
        <v>916.02</v>
      </c>
      <c r="CE4603" s="345" t="s">
        <v>310</v>
      </c>
      <c r="CL4603" s="1789"/>
      <c r="CR4603" s="345"/>
      <c r="CS4603" s="345"/>
      <c r="DH4603" s="237"/>
      <c r="DI4603" s="237"/>
      <c r="DP4603" s="2505"/>
    </row>
    <row r="4604" spans="30:120">
      <c r="AD4604" s="1138"/>
      <c r="BH4604" s="1790"/>
      <c r="BN4604" s="237">
        <v>14.02</v>
      </c>
      <c r="BO4604" s="237" t="s">
        <v>368</v>
      </c>
      <c r="CD4604" s="345">
        <v>917.01</v>
      </c>
      <c r="CE4604" s="345" t="s">
        <v>310</v>
      </c>
      <c r="CL4604" s="1789"/>
      <c r="CR4604" s="345"/>
      <c r="CS4604" s="345"/>
      <c r="DH4604" s="237"/>
      <c r="DI4604" s="237"/>
      <c r="DP4604" s="2505"/>
    </row>
    <row r="4605" spans="30:120">
      <c r="AD4605" s="1138"/>
      <c r="BH4605" s="1790"/>
      <c r="BN4605" s="237">
        <v>14.03</v>
      </c>
      <c r="BO4605" s="237" t="s">
        <v>368</v>
      </c>
      <c r="CD4605" s="345">
        <v>917.02</v>
      </c>
      <c r="CE4605" s="345" t="s">
        <v>310</v>
      </c>
      <c r="CL4605" s="1789"/>
      <c r="CR4605" s="345"/>
      <c r="CS4605" s="345"/>
      <c r="DH4605" s="237"/>
      <c r="DI4605" s="237"/>
      <c r="DP4605" s="2505"/>
    </row>
    <row r="4606" spans="30:120">
      <c r="AD4606" s="1138"/>
      <c r="BH4606" s="1790"/>
      <c r="BN4606" s="237">
        <v>14.04</v>
      </c>
      <c r="BO4606" s="237" t="s">
        <v>368</v>
      </c>
      <c r="CD4606" s="345">
        <v>918.02</v>
      </c>
      <c r="CE4606" s="345" t="s">
        <v>310</v>
      </c>
      <c r="CL4606" s="1789"/>
      <c r="CR4606" s="345"/>
      <c r="CS4606" s="345"/>
      <c r="DH4606" s="237"/>
      <c r="DI4606" s="237"/>
      <c r="DP4606" s="2505"/>
    </row>
    <row r="4607" spans="30:120">
      <c r="AD4607" s="1138"/>
      <c r="BH4607" s="1790"/>
      <c r="BN4607" s="237">
        <v>14.05</v>
      </c>
      <c r="BO4607" s="237" t="s">
        <v>368</v>
      </c>
      <c r="CD4607" s="345">
        <v>918.03</v>
      </c>
      <c r="CE4607" s="345" t="s">
        <v>310</v>
      </c>
      <c r="CL4607" s="1789"/>
      <c r="CR4607" s="345"/>
      <c r="CS4607" s="345"/>
      <c r="DH4607" s="237"/>
      <c r="DI4607" s="237"/>
      <c r="DP4607" s="2505"/>
    </row>
    <row r="4608" spans="30:120">
      <c r="AD4608" s="1138"/>
      <c r="BH4608" s="1790"/>
      <c r="BN4608" s="237">
        <v>15.03</v>
      </c>
      <c r="BO4608" s="237" t="s">
        <v>368</v>
      </c>
      <c r="CD4608" s="345">
        <v>918.04</v>
      </c>
      <c r="CE4608" s="345" t="s">
        <v>310</v>
      </c>
      <c r="CL4608" s="1789"/>
      <c r="CR4608" s="345"/>
      <c r="CS4608" s="345"/>
      <c r="DH4608" s="237"/>
      <c r="DI4608" s="237"/>
      <c r="DP4608" s="2505"/>
    </row>
    <row r="4609" spans="30:120">
      <c r="AD4609" s="1138"/>
      <c r="BH4609" s="1790"/>
      <c r="BN4609" s="237">
        <v>15.04</v>
      </c>
      <c r="BO4609" s="237" t="s">
        <v>368</v>
      </c>
      <c r="CD4609" s="345">
        <v>919.01</v>
      </c>
      <c r="CE4609" s="345" t="s">
        <v>310</v>
      </c>
      <c r="CL4609" s="1789"/>
      <c r="CR4609" s="345"/>
      <c r="CS4609" s="345"/>
      <c r="DH4609" s="237"/>
      <c r="DI4609" s="237"/>
      <c r="DP4609" s="2505"/>
    </row>
    <row r="4610" spans="30:120">
      <c r="AD4610" s="1138"/>
      <c r="BH4610" s="1790"/>
      <c r="BN4610" s="237">
        <v>15.05</v>
      </c>
      <c r="BO4610" s="237" t="s">
        <v>368</v>
      </c>
      <c r="CD4610" s="345">
        <v>919.03</v>
      </c>
      <c r="CE4610" s="345" t="s">
        <v>310</v>
      </c>
      <c r="CL4610" s="1789"/>
      <c r="CR4610" s="345"/>
      <c r="CS4610" s="345"/>
      <c r="DH4610" s="237"/>
      <c r="DI4610" s="237"/>
      <c r="DP4610" s="2505"/>
    </row>
    <row r="4611" spans="30:120">
      <c r="AD4611" s="1138"/>
      <c r="BH4611" s="1790"/>
      <c r="BN4611" s="237">
        <v>15.08</v>
      </c>
      <c r="BO4611" s="237" t="s">
        <v>368</v>
      </c>
      <c r="CD4611" s="345">
        <v>919.04</v>
      </c>
      <c r="CE4611" s="345" t="s">
        <v>310</v>
      </c>
      <c r="CL4611" s="1789"/>
      <c r="CR4611" s="345"/>
      <c r="CS4611" s="345"/>
      <c r="DH4611" s="237"/>
      <c r="DI4611" s="237"/>
      <c r="DP4611" s="2505"/>
    </row>
    <row r="4612" spans="30:120">
      <c r="AD4612" s="1138"/>
      <c r="BH4612" s="1790"/>
      <c r="BN4612" s="237">
        <v>15.09</v>
      </c>
      <c r="BO4612" s="237" t="s">
        <v>368</v>
      </c>
      <c r="CD4612" s="345">
        <v>920</v>
      </c>
      <c r="CE4612" s="345" t="s">
        <v>310</v>
      </c>
      <c r="CL4612" s="1789"/>
      <c r="CR4612" s="345"/>
      <c r="CS4612" s="345"/>
      <c r="DH4612" s="237"/>
      <c r="DI4612" s="237"/>
      <c r="DP4612" s="2505"/>
    </row>
    <row r="4613" spans="30:120">
      <c r="AD4613" s="1138"/>
      <c r="BH4613" s="1790"/>
      <c r="BN4613" s="237">
        <v>15.1</v>
      </c>
      <c r="BO4613" s="237" t="s">
        <v>368</v>
      </c>
      <c r="CD4613" s="237">
        <v>925</v>
      </c>
      <c r="CE4613" s="237" t="s">
        <v>376</v>
      </c>
      <c r="CL4613" s="1789"/>
      <c r="CR4613" s="345"/>
      <c r="CS4613" s="345"/>
      <c r="DH4613" s="237"/>
      <c r="DI4613" s="237"/>
      <c r="DP4613" s="2505"/>
    </row>
    <row r="4614" spans="30:120">
      <c r="AD4614" s="1138"/>
      <c r="BH4614" s="1790"/>
      <c r="BN4614" s="237">
        <v>15.11</v>
      </c>
      <c r="BO4614" s="237" t="s">
        <v>368</v>
      </c>
      <c r="CD4614" s="345">
        <v>1001.03</v>
      </c>
      <c r="CE4614" s="345" t="s">
        <v>310</v>
      </c>
      <c r="CL4614" s="1789"/>
      <c r="CR4614" s="345"/>
      <c r="CS4614" s="345"/>
      <c r="DH4614" s="237"/>
      <c r="DI4614" s="237"/>
      <c r="DP4614" s="2505"/>
    </row>
    <row r="4615" spans="30:120">
      <c r="AD4615" s="1138"/>
      <c r="BH4615" s="1790"/>
      <c r="BN4615" s="237">
        <v>16.010000000000002</v>
      </c>
      <c r="BO4615" s="237" t="s">
        <v>368</v>
      </c>
      <c r="CD4615" s="345">
        <v>1001.04</v>
      </c>
      <c r="CE4615" s="345" t="s">
        <v>310</v>
      </c>
      <c r="CL4615" s="1789"/>
      <c r="CR4615" s="345"/>
      <c r="CS4615" s="345"/>
      <c r="DH4615" s="237"/>
      <c r="DI4615" s="237"/>
      <c r="DP4615" s="2505"/>
    </row>
    <row r="4616" spans="30:120">
      <c r="AD4616" s="1138"/>
      <c r="BH4616" s="1790"/>
      <c r="BN4616" s="237">
        <v>16.02</v>
      </c>
      <c r="BO4616" s="237" t="s">
        <v>368</v>
      </c>
      <c r="CD4616" s="345">
        <v>1001.05</v>
      </c>
      <c r="CE4616" s="345" t="s">
        <v>310</v>
      </c>
      <c r="CL4616" s="1789"/>
      <c r="CR4616" s="345"/>
      <c r="CS4616" s="345"/>
      <c r="DH4616" s="237"/>
      <c r="DI4616" s="237"/>
      <c r="DP4616" s="2505"/>
    </row>
    <row r="4617" spans="30:120">
      <c r="AD4617" s="1138"/>
      <c r="BH4617" s="1790"/>
      <c r="BN4617" s="237">
        <v>17.02</v>
      </c>
      <c r="BO4617" s="237" t="s">
        <v>368</v>
      </c>
      <c r="CD4617" s="345">
        <v>1001.06</v>
      </c>
      <c r="CE4617" s="345" t="s">
        <v>310</v>
      </c>
      <c r="CL4617" s="1789"/>
      <c r="CR4617" s="345"/>
      <c r="CS4617" s="345"/>
      <c r="DH4617" s="237"/>
      <c r="DI4617" s="237"/>
      <c r="DP4617" s="2505"/>
    </row>
    <row r="4618" spans="30:120">
      <c r="AD4618" s="1138"/>
      <c r="BH4618" s="1790"/>
      <c r="BN4618" s="237">
        <v>17.03</v>
      </c>
      <c r="BO4618" s="237" t="s">
        <v>368</v>
      </c>
      <c r="CD4618" s="345">
        <v>1001.07</v>
      </c>
      <c r="CE4618" s="345" t="s">
        <v>310</v>
      </c>
      <c r="CL4618" s="1789"/>
      <c r="CR4618" s="345"/>
      <c r="CS4618" s="345"/>
      <c r="DH4618" s="237"/>
      <c r="DI4618" s="237"/>
      <c r="DP4618" s="2505"/>
    </row>
    <row r="4619" spans="30:120">
      <c r="AD4619" s="1138"/>
      <c r="BH4619" s="1790"/>
      <c r="BN4619" s="237">
        <v>17.04</v>
      </c>
      <c r="BO4619" s="237" t="s">
        <v>368</v>
      </c>
      <c r="CD4619" s="345">
        <v>1001.08</v>
      </c>
      <c r="CE4619" s="345" t="s">
        <v>310</v>
      </c>
      <c r="CL4619" s="1789"/>
      <c r="CR4619" s="345"/>
      <c r="CS4619" s="345"/>
      <c r="DH4619" s="237"/>
      <c r="DI4619" s="237"/>
      <c r="DP4619" s="2505"/>
    </row>
    <row r="4620" spans="30:120">
      <c r="AD4620" s="1138"/>
      <c r="BH4620" s="1790"/>
      <c r="BN4620" s="237">
        <v>18.010000000000002</v>
      </c>
      <c r="BO4620" s="237" t="s">
        <v>368</v>
      </c>
      <c r="CD4620" s="345">
        <v>1002.01</v>
      </c>
      <c r="CE4620" s="345" t="s">
        <v>310</v>
      </c>
      <c r="CL4620" s="1789"/>
      <c r="CR4620" s="345"/>
      <c r="CS4620" s="345"/>
      <c r="DH4620" s="237"/>
      <c r="DI4620" s="237"/>
      <c r="DP4620" s="2505"/>
    </row>
    <row r="4621" spans="30:120">
      <c r="AD4621" s="1138"/>
      <c r="BH4621" s="1790"/>
      <c r="BN4621" s="237">
        <v>18.03</v>
      </c>
      <c r="BO4621" s="237" t="s">
        <v>368</v>
      </c>
      <c r="CD4621" s="345">
        <v>1002.03</v>
      </c>
      <c r="CE4621" s="345" t="s">
        <v>310</v>
      </c>
      <c r="CL4621" s="1789"/>
      <c r="CR4621" s="345"/>
      <c r="CS4621" s="345"/>
      <c r="DH4621" s="237"/>
      <c r="DI4621" s="237"/>
      <c r="DP4621" s="2505"/>
    </row>
    <row r="4622" spans="30:120">
      <c r="AD4622" s="1138"/>
      <c r="BH4622" s="1790"/>
      <c r="BN4622" s="237">
        <v>18.04</v>
      </c>
      <c r="BO4622" s="237" t="s">
        <v>368</v>
      </c>
      <c r="CD4622" s="345">
        <v>1002.04</v>
      </c>
      <c r="CE4622" s="345" t="s">
        <v>310</v>
      </c>
      <c r="CL4622" s="1789"/>
      <c r="CR4622" s="345"/>
      <c r="CS4622" s="345"/>
      <c r="DH4622" s="237"/>
      <c r="DI4622" s="237"/>
      <c r="DP4622" s="2505"/>
    </row>
    <row r="4623" spans="30:120">
      <c r="AD4623" s="1138"/>
      <c r="BH4623" s="1790"/>
      <c r="BN4623" s="237">
        <v>18.05</v>
      </c>
      <c r="BO4623" s="237" t="s">
        <v>368</v>
      </c>
      <c r="CD4623" s="345">
        <v>1003.01</v>
      </c>
      <c r="CE4623" s="345" t="s">
        <v>310</v>
      </c>
      <c r="CL4623" s="1789"/>
      <c r="CR4623" s="345"/>
      <c r="CS4623" s="345"/>
      <c r="DH4623" s="237"/>
      <c r="DI4623" s="237"/>
      <c r="DP4623" s="2505"/>
    </row>
    <row r="4624" spans="30:120">
      <c r="AD4624" s="1138"/>
      <c r="BH4624" s="1790"/>
      <c r="BN4624" s="237">
        <v>19.03</v>
      </c>
      <c r="BO4624" s="237" t="s">
        <v>368</v>
      </c>
      <c r="CD4624" s="345">
        <v>1003.02</v>
      </c>
      <c r="CE4624" s="345" t="s">
        <v>310</v>
      </c>
      <c r="CL4624" s="1789"/>
      <c r="CR4624" s="345"/>
      <c r="CS4624" s="345"/>
      <c r="DH4624" s="237"/>
      <c r="DI4624" s="237"/>
      <c r="DP4624" s="2505"/>
    </row>
    <row r="4625" spans="30:120">
      <c r="AD4625" s="1138"/>
      <c r="BH4625" s="1790"/>
      <c r="BN4625" s="237">
        <v>19.04</v>
      </c>
      <c r="BO4625" s="237" t="s">
        <v>368</v>
      </c>
      <c r="CD4625" s="345">
        <v>1004</v>
      </c>
      <c r="CE4625" s="345" t="s">
        <v>310</v>
      </c>
      <c r="CL4625" s="1789"/>
      <c r="CR4625" s="345"/>
      <c r="CS4625" s="345"/>
      <c r="DH4625" s="237"/>
      <c r="DI4625" s="237"/>
      <c r="DP4625" s="2505"/>
    </row>
    <row r="4626" spans="30:120">
      <c r="AD4626" s="1138"/>
      <c r="BH4626" s="1790"/>
      <c r="BN4626" s="237">
        <v>19.05</v>
      </c>
      <c r="BO4626" s="237" t="s">
        <v>368</v>
      </c>
      <c r="CD4626" s="345">
        <v>1005.01</v>
      </c>
      <c r="CE4626" s="345" t="s">
        <v>310</v>
      </c>
      <c r="CL4626" s="1789"/>
      <c r="CR4626" s="345"/>
      <c r="CS4626" s="345"/>
      <c r="DH4626" s="237"/>
      <c r="DI4626" s="237"/>
      <c r="DP4626" s="2505"/>
    </row>
    <row r="4627" spans="30:120">
      <c r="AD4627" s="1138"/>
      <c r="BH4627" s="1790"/>
      <c r="BN4627" s="237">
        <v>19.09</v>
      </c>
      <c r="BO4627" s="237" t="s">
        <v>368</v>
      </c>
      <c r="CD4627" s="345">
        <v>1005.02</v>
      </c>
      <c r="CE4627" s="345" t="s">
        <v>310</v>
      </c>
      <c r="CL4627" s="1789"/>
      <c r="CR4627" s="345"/>
      <c r="CS4627" s="345"/>
      <c r="DH4627" s="237"/>
      <c r="DI4627" s="237"/>
      <c r="DP4627" s="2505"/>
    </row>
    <row r="4628" spans="30:120">
      <c r="AD4628" s="1138"/>
      <c r="BH4628" s="1790"/>
      <c r="BN4628" s="237">
        <v>20.03</v>
      </c>
      <c r="BO4628" s="237" t="s">
        <v>368</v>
      </c>
      <c r="CD4628" s="345">
        <v>1006</v>
      </c>
      <c r="CE4628" s="345" t="s">
        <v>310</v>
      </c>
      <c r="CL4628" s="1789"/>
      <c r="CR4628" s="345"/>
      <c r="CS4628" s="345"/>
      <c r="DH4628" s="237"/>
      <c r="DI4628" s="237"/>
      <c r="DP4628" s="2505"/>
    </row>
    <row r="4629" spans="30:120">
      <c r="AD4629" s="1138"/>
      <c r="BH4629" s="1790"/>
      <c r="BN4629" s="237">
        <v>20.04</v>
      </c>
      <c r="BO4629" s="237" t="s">
        <v>368</v>
      </c>
      <c r="CD4629" s="345">
        <v>1007</v>
      </c>
      <c r="CE4629" s="345" t="s">
        <v>310</v>
      </c>
      <c r="CL4629" s="1789"/>
      <c r="CR4629" s="345"/>
      <c r="CS4629" s="345"/>
      <c r="DH4629" s="237"/>
      <c r="DI4629" s="237"/>
      <c r="DP4629" s="2505"/>
    </row>
    <row r="4630" spans="30:120">
      <c r="AD4630" s="1138"/>
      <c r="BH4630" s="1790"/>
      <c r="BN4630" s="237">
        <v>20.07</v>
      </c>
      <c r="BO4630" s="237" t="s">
        <v>368</v>
      </c>
      <c r="CD4630" s="345">
        <v>1008.01</v>
      </c>
      <c r="CE4630" s="345" t="s">
        <v>310</v>
      </c>
      <c r="CL4630" s="1789"/>
      <c r="CR4630" s="345"/>
      <c r="CS4630" s="345"/>
      <c r="DH4630" s="237"/>
      <c r="DI4630" s="237"/>
      <c r="DP4630" s="2505"/>
    </row>
    <row r="4631" spans="30:120">
      <c r="AD4631" s="1138"/>
      <c r="BH4631" s="1790"/>
      <c r="BN4631" s="237">
        <v>20.079999999999998</v>
      </c>
      <c r="BO4631" s="237" t="s">
        <v>368</v>
      </c>
      <c r="CD4631" s="345">
        <v>1008.03</v>
      </c>
      <c r="CE4631" s="345" t="s">
        <v>310</v>
      </c>
      <c r="CL4631" s="1789"/>
      <c r="CR4631" s="345"/>
      <c r="CS4631" s="345"/>
      <c r="DH4631" s="237"/>
      <c r="DI4631" s="237"/>
      <c r="DP4631" s="2505"/>
    </row>
    <row r="4632" spans="30:120">
      <c r="AD4632" s="1138"/>
      <c r="BH4632" s="1790"/>
      <c r="BN4632" s="237">
        <v>20.11</v>
      </c>
      <c r="BO4632" s="237" t="s">
        <v>368</v>
      </c>
      <c r="CD4632" s="345">
        <v>1008.04</v>
      </c>
      <c r="CE4632" s="345" t="s">
        <v>310</v>
      </c>
      <c r="CL4632" s="1789"/>
      <c r="CR4632" s="345"/>
      <c r="CS4632" s="345"/>
      <c r="DH4632" s="237"/>
      <c r="DI4632" s="237"/>
      <c r="DP4632" s="2505"/>
    </row>
    <row r="4633" spans="30:120">
      <c r="AD4633" s="1138"/>
      <c r="BH4633" s="1790"/>
      <c r="BN4633" s="237">
        <v>20.12</v>
      </c>
      <c r="BO4633" s="237" t="s">
        <v>368</v>
      </c>
      <c r="CD4633" s="345">
        <v>1101</v>
      </c>
      <c r="CE4633" s="345" t="s">
        <v>310</v>
      </c>
      <c r="CL4633" s="1789"/>
      <c r="CR4633" s="345"/>
      <c r="CS4633" s="345"/>
      <c r="DH4633" s="237"/>
      <c r="DI4633" s="237"/>
      <c r="DP4633" s="2505"/>
    </row>
    <row r="4634" spans="30:120">
      <c r="AD4634" s="1138"/>
      <c r="BH4634" s="1790"/>
      <c r="BN4634" s="237">
        <v>20.13</v>
      </c>
      <c r="BO4634" s="237" t="s">
        <v>368</v>
      </c>
      <c r="CD4634" s="345">
        <v>1103.01</v>
      </c>
      <c r="CE4634" s="345" t="s">
        <v>310</v>
      </c>
      <c r="CL4634" s="1789"/>
      <c r="CR4634" s="345"/>
      <c r="CS4634" s="345"/>
      <c r="DH4634" s="237"/>
      <c r="DI4634" s="237"/>
      <c r="DP4634" s="2505"/>
    </row>
    <row r="4635" spans="30:120">
      <c r="AD4635" s="1138"/>
      <c r="BH4635" s="1790"/>
      <c r="BN4635" s="237">
        <v>20.14</v>
      </c>
      <c r="BO4635" s="237" t="s">
        <v>368</v>
      </c>
      <c r="CD4635" s="345">
        <v>1103.03</v>
      </c>
      <c r="CE4635" s="345" t="s">
        <v>310</v>
      </c>
      <c r="CL4635" s="1789"/>
      <c r="CR4635" s="345"/>
      <c r="CS4635" s="345"/>
      <c r="DH4635" s="237"/>
      <c r="DI4635" s="237"/>
      <c r="DP4635" s="2505"/>
    </row>
    <row r="4636" spans="30:120">
      <c r="AD4636" s="1138"/>
      <c r="BH4636" s="1790"/>
      <c r="BN4636" s="237">
        <v>20.149999999999999</v>
      </c>
      <c r="BO4636" s="237" t="s">
        <v>368</v>
      </c>
      <c r="CD4636" s="345">
        <v>1103.07</v>
      </c>
      <c r="CE4636" s="345" t="s">
        <v>310</v>
      </c>
      <c r="CL4636" s="1789"/>
      <c r="CR4636" s="345"/>
      <c r="CS4636" s="345"/>
      <c r="DH4636" s="237"/>
      <c r="DI4636" s="237"/>
      <c r="DP4636" s="2505"/>
    </row>
    <row r="4637" spans="30:120">
      <c r="AD4637" s="1138"/>
      <c r="BH4637" s="1790"/>
      <c r="BN4637" s="237">
        <v>20.16</v>
      </c>
      <c r="BO4637" s="237" t="s">
        <v>368</v>
      </c>
      <c r="CD4637" s="345">
        <v>1103.08</v>
      </c>
      <c r="CE4637" s="345" t="s">
        <v>310</v>
      </c>
      <c r="CL4637" s="1789"/>
      <c r="CR4637" s="345"/>
      <c r="CS4637" s="345"/>
      <c r="DH4637" s="237"/>
      <c r="DI4637" s="237"/>
      <c r="DP4637" s="2505"/>
    </row>
    <row r="4638" spans="30:120">
      <c r="AD4638" s="1138"/>
      <c r="BH4638" s="1790"/>
      <c r="BN4638" s="237">
        <v>21.01</v>
      </c>
      <c r="BO4638" s="237" t="s">
        <v>368</v>
      </c>
      <c r="CD4638" s="345">
        <v>1103.0899999999999</v>
      </c>
      <c r="CE4638" s="345" t="s">
        <v>310</v>
      </c>
      <c r="CL4638" s="1789"/>
      <c r="CR4638" s="345"/>
      <c r="CS4638" s="345"/>
      <c r="DH4638" s="237"/>
      <c r="DI4638" s="237"/>
      <c r="DP4638" s="2505"/>
    </row>
    <row r="4639" spans="30:120">
      <c r="AD4639" s="1138"/>
      <c r="BH4639" s="1790"/>
      <c r="BN4639" s="237">
        <v>21.02</v>
      </c>
      <c r="BO4639" s="237" t="s">
        <v>368</v>
      </c>
      <c r="CD4639" s="345">
        <v>1103.1099999999999</v>
      </c>
      <c r="CE4639" s="345" t="s">
        <v>310</v>
      </c>
      <c r="CL4639" s="1789"/>
      <c r="CR4639" s="345"/>
      <c r="CS4639" s="345"/>
      <c r="DH4639" s="237"/>
      <c r="DI4639" s="237"/>
      <c r="DP4639" s="2505"/>
    </row>
    <row r="4640" spans="30:120">
      <c r="AD4640" s="1138"/>
      <c r="BH4640" s="1790"/>
      <c r="BN4640" s="237">
        <v>22.01</v>
      </c>
      <c r="BO4640" s="237" t="s">
        <v>368</v>
      </c>
      <c r="CD4640" s="345">
        <v>1103.1199999999999</v>
      </c>
      <c r="CE4640" s="345" t="s">
        <v>310</v>
      </c>
      <c r="CL4640" s="1789"/>
      <c r="CR4640" s="345"/>
      <c r="CS4640" s="345"/>
      <c r="DH4640" s="237"/>
      <c r="DI4640" s="237"/>
      <c r="DP4640" s="2505"/>
    </row>
    <row r="4641" spans="30:120">
      <c r="AD4641" s="1138"/>
      <c r="BH4641" s="1790"/>
      <c r="BN4641" s="237">
        <v>22.03</v>
      </c>
      <c r="BO4641" s="237" t="s">
        <v>368</v>
      </c>
      <c r="CD4641" s="345">
        <v>1103.1300000000001</v>
      </c>
      <c r="CE4641" s="345" t="s">
        <v>310</v>
      </c>
      <c r="CL4641" s="1789"/>
      <c r="CR4641" s="345"/>
      <c r="CS4641" s="345"/>
      <c r="DH4641" s="237"/>
      <c r="DI4641" s="237"/>
      <c r="DP4641" s="2505"/>
    </row>
    <row r="4642" spans="30:120">
      <c r="AD4642" s="1138"/>
      <c r="BH4642" s="1790"/>
      <c r="BN4642" s="237">
        <v>22.04</v>
      </c>
      <c r="BO4642" s="237" t="s">
        <v>368</v>
      </c>
      <c r="CD4642" s="345">
        <v>1103.19</v>
      </c>
      <c r="CE4642" s="345" t="s">
        <v>310</v>
      </c>
      <c r="CL4642" s="1789"/>
      <c r="CR4642" s="345"/>
      <c r="CS4642" s="345"/>
      <c r="DH4642" s="237"/>
      <c r="DI4642" s="237"/>
      <c r="DP4642" s="2505"/>
    </row>
    <row r="4643" spans="30:120">
      <c r="AD4643" s="1138"/>
      <c r="BH4643" s="1790"/>
      <c r="BN4643" s="237">
        <v>22.05</v>
      </c>
      <c r="BO4643" s="237" t="s">
        <v>368</v>
      </c>
      <c r="CD4643" s="345">
        <v>1103.21</v>
      </c>
      <c r="CE4643" s="345" t="s">
        <v>310</v>
      </c>
      <c r="CL4643" s="1789"/>
      <c r="CR4643" s="345"/>
      <c r="CS4643" s="345"/>
      <c r="DH4643" s="237"/>
      <c r="DI4643" s="237"/>
      <c r="DP4643" s="2505"/>
    </row>
    <row r="4644" spans="30:120">
      <c r="AD4644" s="1138"/>
      <c r="BH4644" s="1790"/>
      <c r="BN4644" s="237">
        <v>23.02</v>
      </c>
      <c r="BO4644" s="237" t="s">
        <v>368</v>
      </c>
      <c r="CD4644" s="345">
        <v>1103.23</v>
      </c>
      <c r="CE4644" s="345" t="s">
        <v>310</v>
      </c>
      <c r="CL4644" s="1789"/>
      <c r="CR4644" s="345"/>
      <c r="CS4644" s="345"/>
      <c r="DH4644" s="237"/>
      <c r="DI4644" s="237"/>
      <c r="DP4644" s="2505"/>
    </row>
    <row r="4645" spans="30:120">
      <c r="AD4645" s="1138"/>
      <c r="BH4645" s="1790"/>
      <c r="BN4645" s="237">
        <v>23.04</v>
      </c>
      <c r="BO4645" s="237" t="s">
        <v>368</v>
      </c>
      <c r="CD4645" s="345">
        <v>1103.26</v>
      </c>
      <c r="CE4645" s="345" t="s">
        <v>310</v>
      </c>
      <c r="CL4645" s="1789"/>
      <c r="CR4645" s="345"/>
      <c r="CS4645" s="345"/>
      <c r="DH4645" s="237"/>
      <c r="DI4645" s="237"/>
      <c r="DP4645" s="2505"/>
    </row>
    <row r="4646" spans="30:120">
      <c r="AD4646" s="1138"/>
      <c r="BH4646" s="1790"/>
      <c r="BN4646" s="237">
        <v>23.05</v>
      </c>
      <c r="BO4646" s="237" t="s">
        <v>368</v>
      </c>
      <c r="CD4646" s="345">
        <v>1103.27</v>
      </c>
      <c r="CE4646" s="345" t="s">
        <v>310</v>
      </c>
      <c r="CL4646" s="1789"/>
      <c r="CR4646" s="345"/>
      <c r="CS4646" s="345"/>
      <c r="DH4646" s="237"/>
      <c r="DI4646" s="237"/>
      <c r="DP4646" s="2505"/>
    </row>
    <row r="4647" spans="30:120">
      <c r="AD4647" s="1138"/>
      <c r="BH4647" s="1790"/>
      <c r="BN4647" s="237">
        <v>23.06</v>
      </c>
      <c r="BO4647" s="237" t="s">
        <v>368</v>
      </c>
      <c r="CD4647" s="345">
        <v>1103.28</v>
      </c>
      <c r="CE4647" s="345" t="s">
        <v>310</v>
      </c>
      <c r="CL4647" s="1789"/>
      <c r="CR4647" s="345"/>
      <c r="CS4647" s="345"/>
      <c r="DH4647" s="237"/>
      <c r="DI4647" s="237"/>
      <c r="DP4647" s="2505"/>
    </row>
    <row r="4648" spans="30:120">
      <c r="AD4648" s="1138"/>
      <c r="BH4648" s="1790"/>
      <c r="BN4648" s="237">
        <v>23.07</v>
      </c>
      <c r="BO4648" s="237" t="s">
        <v>368</v>
      </c>
      <c r="CD4648" s="345">
        <v>1103.3</v>
      </c>
      <c r="CE4648" s="345" t="s">
        <v>310</v>
      </c>
      <c r="CL4648" s="1789"/>
      <c r="CR4648" s="345"/>
      <c r="CS4648" s="345"/>
      <c r="DH4648" s="237"/>
      <c r="DI4648" s="237"/>
      <c r="DP4648" s="2505"/>
    </row>
    <row r="4649" spans="30:120">
      <c r="AD4649" s="1138"/>
      <c r="BH4649" s="1790"/>
      <c r="BN4649" s="237">
        <v>24.01</v>
      </c>
      <c r="BO4649" s="237" t="s">
        <v>368</v>
      </c>
      <c r="CD4649" s="345">
        <v>1103.32</v>
      </c>
      <c r="CE4649" s="345" t="s">
        <v>310</v>
      </c>
      <c r="CL4649" s="1789"/>
      <c r="CR4649" s="345"/>
      <c r="CS4649" s="345"/>
      <c r="DH4649" s="237"/>
      <c r="DI4649" s="237"/>
      <c r="DP4649" s="2505"/>
    </row>
    <row r="4650" spans="30:120">
      <c r="AD4650" s="1138"/>
      <c r="BH4650" s="1790"/>
      <c r="BN4650" s="237">
        <v>24.03</v>
      </c>
      <c r="BO4650" s="237" t="s">
        <v>368</v>
      </c>
      <c r="CD4650" s="345">
        <v>1103.33</v>
      </c>
      <c r="CE4650" s="345" t="s">
        <v>310</v>
      </c>
      <c r="CL4650" s="1789"/>
      <c r="CR4650" s="345"/>
      <c r="CS4650" s="345"/>
      <c r="DH4650" s="237"/>
      <c r="DI4650" s="237"/>
      <c r="DP4650" s="2505"/>
    </row>
    <row r="4651" spans="30:120">
      <c r="AD4651" s="1138"/>
      <c r="BH4651" s="1790"/>
      <c r="BN4651" s="237">
        <v>24.04</v>
      </c>
      <c r="BO4651" s="237" t="s">
        <v>368</v>
      </c>
      <c r="CD4651" s="345">
        <v>1103.3399999999999</v>
      </c>
      <c r="CE4651" s="345" t="s">
        <v>310</v>
      </c>
      <c r="CL4651" s="1789"/>
      <c r="CR4651" s="345"/>
      <c r="CS4651" s="345"/>
      <c r="DH4651" s="237"/>
      <c r="DI4651" s="237"/>
      <c r="DP4651" s="2505"/>
    </row>
    <row r="4652" spans="30:120">
      <c r="AD4652" s="1138"/>
      <c r="BH4652" s="1790"/>
      <c r="BN4652" s="237">
        <v>25.04</v>
      </c>
      <c r="BO4652" s="237" t="s">
        <v>368</v>
      </c>
      <c r="CD4652" s="345">
        <v>1103.3699999999999</v>
      </c>
      <c r="CE4652" s="345" t="s">
        <v>310</v>
      </c>
      <c r="CL4652" s="1789"/>
      <c r="CR4652" s="345"/>
      <c r="CS4652" s="345"/>
      <c r="DH4652" s="237"/>
      <c r="DI4652" s="237"/>
      <c r="DP4652" s="2505"/>
    </row>
    <row r="4653" spans="30:120">
      <c r="AD4653" s="1138"/>
      <c r="BH4653" s="1790"/>
      <c r="BN4653" s="237">
        <v>25.05</v>
      </c>
      <c r="BO4653" s="237" t="s">
        <v>368</v>
      </c>
      <c r="CD4653" s="345">
        <v>1103.3800000000001</v>
      </c>
      <c r="CE4653" s="345" t="s">
        <v>310</v>
      </c>
      <c r="CL4653" s="1789"/>
      <c r="CR4653" s="345"/>
      <c r="CS4653" s="345"/>
      <c r="DH4653" s="237"/>
      <c r="DI4653" s="237"/>
      <c r="DP4653" s="2505"/>
    </row>
    <row r="4654" spans="30:120">
      <c r="AD4654" s="1138"/>
      <c r="BH4654" s="1790"/>
      <c r="BN4654" s="237">
        <v>25.07</v>
      </c>
      <c r="BO4654" s="237" t="s">
        <v>368</v>
      </c>
      <c r="CD4654" s="345">
        <v>1103.3900000000001</v>
      </c>
      <c r="CE4654" s="345" t="s">
        <v>310</v>
      </c>
      <c r="CL4654" s="1789"/>
      <c r="CR4654" s="345"/>
      <c r="CS4654" s="345"/>
      <c r="DH4654" s="237"/>
      <c r="DI4654" s="237"/>
      <c r="DP4654" s="2505"/>
    </row>
    <row r="4655" spans="30:120">
      <c r="AD4655" s="1138"/>
      <c r="BH4655" s="1790"/>
      <c r="BN4655" s="237">
        <v>25.08</v>
      </c>
      <c r="BO4655" s="237" t="s">
        <v>368</v>
      </c>
      <c r="CD4655" s="345">
        <v>1103.4100000000001</v>
      </c>
      <c r="CE4655" s="345" t="s">
        <v>310</v>
      </c>
      <c r="CL4655" s="1789"/>
      <c r="CR4655" s="345"/>
      <c r="CS4655" s="345"/>
      <c r="DH4655" s="237"/>
      <c r="DI4655" s="237"/>
      <c r="DP4655" s="2505"/>
    </row>
    <row r="4656" spans="30:120">
      <c r="AD4656" s="1138"/>
      <c r="BH4656" s="1790"/>
      <c r="BN4656" s="237">
        <v>25.09</v>
      </c>
      <c r="BO4656" s="237" t="s">
        <v>368</v>
      </c>
      <c r="CD4656" s="345">
        <v>1103.44</v>
      </c>
      <c r="CE4656" s="345" t="s">
        <v>310</v>
      </c>
      <c r="CL4656" s="1789"/>
      <c r="CR4656" s="345"/>
      <c r="CS4656" s="345"/>
      <c r="DH4656" s="237"/>
      <c r="DI4656" s="237"/>
      <c r="DP4656" s="2505"/>
    </row>
    <row r="4657" spans="30:120">
      <c r="AD4657" s="1138"/>
      <c r="BH4657" s="1790"/>
      <c r="BN4657" s="237">
        <v>25.1</v>
      </c>
      <c r="BO4657" s="237" t="s">
        <v>368</v>
      </c>
      <c r="CD4657" s="345">
        <v>1103.45</v>
      </c>
      <c r="CE4657" s="345" t="s">
        <v>310</v>
      </c>
      <c r="CL4657" s="1789"/>
      <c r="CR4657" s="345"/>
      <c r="CS4657" s="345"/>
      <c r="DH4657" s="237"/>
      <c r="DI4657" s="237"/>
      <c r="DP4657" s="2505"/>
    </row>
    <row r="4658" spans="30:120">
      <c r="AD4658" s="1138"/>
      <c r="BH4658" s="1790"/>
      <c r="BN4658" s="237">
        <v>25.11</v>
      </c>
      <c r="BO4658" s="237" t="s">
        <v>368</v>
      </c>
      <c r="CD4658" s="345">
        <v>1103.46</v>
      </c>
      <c r="CE4658" s="345" t="s">
        <v>310</v>
      </c>
      <c r="CL4658" s="1789"/>
      <c r="CR4658" s="345"/>
      <c r="CS4658" s="345"/>
      <c r="DH4658" s="237"/>
      <c r="DI4658" s="237"/>
      <c r="DP4658" s="2505"/>
    </row>
    <row r="4659" spans="30:120">
      <c r="AD4659" s="1138"/>
      <c r="BH4659" s="1790"/>
      <c r="BN4659" s="237">
        <v>26.01</v>
      </c>
      <c r="BO4659" s="237" t="s">
        <v>368</v>
      </c>
      <c r="CD4659" s="345">
        <v>1103.47</v>
      </c>
      <c r="CE4659" s="345" t="s">
        <v>310</v>
      </c>
      <c r="CL4659" s="1789"/>
      <c r="CR4659" s="345"/>
      <c r="CS4659" s="345"/>
      <c r="DH4659" s="237"/>
      <c r="DI4659" s="237"/>
      <c r="DP4659" s="2505"/>
    </row>
    <row r="4660" spans="30:120">
      <c r="AD4660" s="1138"/>
      <c r="BH4660" s="1790"/>
      <c r="BN4660" s="237">
        <v>26.02</v>
      </c>
      <c r="BO4660" s="237" t="s">
        <v>368</v>
      </c>
      <c r="CD4660" s="345">
        <v>1103.48</v>
      </c>
      <c r="CE4660" s="345" t="s">
        <v>310</v>
      </c>
      <c r="CL4660" s="1789"/>
      <c r="CR4660" s="345"/>
      <c r="CS4660" s="345"/>
      <c r="DH4660" s="237"/>
      <c r="DI4660" s="237"/>
      <c r="DP4660" s="2505"/>
    </row>
    <row r="4661" spans="30:120">
      <c r="AD4661" s="1138"/>
      <c r="BH4661" s="1790"/>
      <c r="BN4661" s="237">
        <v>26.03</v>
      </c>
      <c r="BO4661" s="237" t="s">
        <v>368</v>
      </c>
      <c r="CD4661" s="345">
        <v>1103.49</v>
      </c>
      <c r="CE4661" s="345" t="s">
        <v>310</v>
      </c>
      <c r="CL4661" s="1789"/>
      <c r="CR4661" s="345"/>
      <c r="CS4661" s="345"/>
      <c r="DH4661" s="237"/>
      <c r="DI4661" s="237"/>
      <c r="DP4661" s="2505"/>
    </row>
    <row r="4662" spans="30:120">
      <c r="AD4662" s="1138"/>
      <c r="BH4662" s="1790"/>
      <c r="BN4662" s="237">
        <v>26.04</v>
      </c>
      <c r="BO4662" s="237" t="s">
        <v>368</v>
      </c>
      <c r="CD4662" s="345">
        <v>1103.5</v>
      </c>
      <c r="CE4662" s="345" t="s">
        <v>310</v>
      </c>
      <c r="CL4662" s="1789"/>
      <c r="CR4662" s="345"/>
      <c r="CS4662" s="345"/>
      <c r="DH4662" s="237"/>
      <c r="DI4662" s="237"/>
      <c r="DP4662" s="2505"/>
    </row>
    <row r="4663" spans="30:120">
      <c r="AD4663" s="1138"/>
      <c r="BH4663" s="1790"/>
      <c r="BN4663" s="237">
        <v>26.05</v>
      </c>
      <c r="BO4663" s="237" t="s">
        <v>368</v>
      </c>
      <c r="CD4663" s="345">
        <v>1103.51</v>
      </c>
      <c r="CE4663" s="345" t="s">
        <v>310</v>
      </c>
      <c r="CL4663" s="1789"/>
      <c r="CR4663" s="345"/>
      <c r="CS4663" s="345"/>
      <c r="DH4663" s="237"/>
      <c r="DI4663" s="237"/>
      <c r="DP4663" s="2505"/>
    </row>
    <row r="4664" spans="30:120">
      <c r="AD4664" s="1138"/>
      <c r="BH4664" s="1790"/>
      <c r="BN4664" s="237">
        <v>27.1</v>
      </c>
      <c r="BO4664" s="237" t="s">
        <v>368</v>
      </c>
      <c r="CD4664" s="345">
        <v>1103.52</v>
      </c>
      <c r="CE4664" s="345" t="s">
        <v>310</v>
      </c>
      <c r="CL4664" s="1789"/>
      <c r="CR4664" s="345"/>
      <c r="CS4664" s="345"/>
      <c r="DH4664" s="237"/>
      <c r="DI4664" s="237"/>
      <c r="DP4664" s="2505"/>
    </row>
    <row r="4665" spans="30:120">
      <c r="AD4665" s="1138"/>
      <c r="BH4665" s="1790"/>
      <c r="BN4665" s="237">
        <v>27.14</v>
      </c>
      <c r="BO4665" s="237" t="s">
        <v>368</v>
      </c>
      <c r="CD4665" s="345">
        <v>1103.53</v>
      </c>
      <c r="CE4665" s="345" t="s">
        <v>310</v>
      </c>
      <c r="CL4665" s="1789"/>
      <c r="CR4665" s="345"/>
      <c r="CS4665" s="345"/>
      <c r="DH4665" s="237"/>
      <c r="DI4665" s="237"/>
      <c r="DP4665" s="2505"/>
    </row>
    <row r="4666" spans="30:120">
      <c r="AD4666" s="1138"/>
      <c r="BH4666" s="1790"/>
      <c r="BN4666" s="237">
        <v>27.16</v>
      </c>
      <c r="BO4666" s="237" t="s">
        <v>368</v>
      </c>
      <c r="CD4666" s="345">
        <v>1103.54</v>
      </c>
      <c r="CE4666" s="345" t="s">
        <v>310</v>
      </c>
      <c r="CL4666" s="1789"/>
      <c r="CR4666" s="345"/>
      <c r="CS4666" s="345"/>
      <c r="DH4666" s="237"/>
      <c r="DI4666" s="237"/>
      <c r="DP4666" s="2505"/>
    </row>
    <row r="4667" spans="30:120">
      <c r="AD4667" s="1138"/>
      <c r="BH4667" s="1790"/>
      <c r="BN4667" s="237">
        <v>27.2</v>
      </c>
      <c r="BO4667" s="237" t="s">
        <v>368</v>
      </c>
      <c r="CD4667" s="345">
        <v>1103.55</v>
      </c>
      <c r="CE4667" s="345" t="s">
        <v>310</v>
      </c>
      <c r="CL4667" s="1789"/>
      <c r="CR4667" s="345"/>
      <c r="CS4667" s="345"/>
      <c r="DH4667" s="237"/>
      <c r="DI4667" s="237"/>
      <c r="DP4667" s="2505"/>
    </row>
    <row r="4668" spans="30:120">
      <c r="AD4668" s="1138"/>
      <c r="BH4668" s="1790"/>
      <c r="BN4668" s="237">
        <v>27.21</v>
      </c>
      <c r="BO4668" s="237" t="s">
        <v>368</v>
      </c>
      <c r="CD4668" s="345">
        <v>1103.56</v>
      </c>
      <c r="CE4668" s="345" t="s">
        <v>310</v>
      </c>
      <c r="CL4668" s="1789"/>
      <c r="CR4668" s="345"/>
      <c r="CS4668" s="345"/>
      <c r="DH4668" s="237"/>
      <c r="DI4668" s="237"/>
      <c r="DP4668" s="2505"/>
    </row>
    <row r="4669" spans="30:120">
      <c r="AD4669" s="1138"/>
      <c r="BH4669" s="1790"/>
      <c r="BN4669" s="237">
        <v>27.23</v>
      </c>
      <c r="BO4669" s="237" t="s">
        <v>368</v>
      </c>
      <c r="CD4669" s="345">
        <v>1103.57</v>
      </c>
      <c r="CE4669" s="345" t="s">
        <v>310</v>
      </c>
      <c r="CL4669" s="1789"/>
      <c r="CR4669" s="345"/>
      <c r="CS4669" s="345"/>
      <c r="DH4669" s="237"/>
      <c r="DI4669" s="237"/>
      <c r="DP4669" s="2505"/>
    </row>
    <row r="4670" spans="30:120">
      <c r="AD4670" s="1138"/>
      <c r="BH4670" s="1790"/>
      <c r="BN4670" s="237">
        <v>27.24</v>
      </c>
      <c r="BO4670" s="237" t="s">
        <v>368</v>
      </c>
      <c r="CD4670" s="345">
        <v>1103.58</v>
      </c>
      <c r="CE4670" s="345" t="s">
        <v>310</v>
      </c>
      <c r="CL4670" s="1789"/>
      <c r="CR4670" s="345"/>
      <c r="CS4670" s="345"/>
      <c r="DH4670" s="237"/>
      <c r="DI4670" s="237"/>
      <c r="DP4670" s="2505"/>
    </row>
    <row r="4671" spans="30:120">
      <c r="AD4671" s="1138"/>
      <c r="BH4671" s="1790"/>
      <c r="BN4671" s="237">
        <v>27.25</v>
      </c>
      <c r="BO4671" s="237" t="s">
        <v>368</v>
      </c>
      <c r="CD4671" s="345">
        <v>1103.5899999999999</v>
      </c>
      <c r="CE4671" s="345" t="s">
        <v>310</v>
      </c>
      <c r="CL4671" s="1789"/>
      <c r="CR4671" s="345"/>
      <c r="CS4671" s="345"/>
      <c r="DH4671" s="237"/>
      <c r="DI4671" s="237"/>
      <c r="DP4671" s="2505"/>
    </row>
    <row r="4672" spans="30:120">
      <c r="AD4672" s="1138"/>
      <c r="BH4672" s="1790"/>
      <c r="BN4672" s="237">
        <v>27.26</v>
      </c>
      <c r="BO4672" s="237" t="s">
        <v>368</v>
      </c>
      <c r="CD4672" s="345">
        <v>1103.5999999999999</v>
      </c>
      <c r="CE4672" s="345" t="s">
        <v>310</v>
      </c>
      <c r="CL4672" s="1789"/>
      <c r="CR4672" s="345"/>
      <c r="CS4672" s="345"/>
      <c r="DH4672" s="237"/>
      <c r="DI4672" s="237"/>
      <c r="DP4672" s="2505"/>
    </row>
    <row r="4673" spans="30:120">
      <c r="AD4673" s="1138"/>
      <c r="BH4673" s="1790"/>
      <c r="BN4673" s="237">
        <v>27.27</v>
      </c>
      <c r="BO4673" s="237" t="s">
        <v>368</v>
      </c>
      <c r="CD4673" s="345">
        <v>1103.6099999999999</v>
      </c>
      <c r="CE4673" s="345" t="s">
        <v>310</v>
      </c>
      <c r="CL4673" s="1789"/>
      <c r="CR4673" s="345"/>
      <c r="CS4673" s="345"/>
      <c r="DH4673" s="237"/>
      <c r="DI4673" s="237"/>
      <c r="DP4673" s="2505"/>
    </row>
    <row r="4674" spans="30:120">
      <c r="AD4674" s="1138"/>
      <c r="BH4674" s="1790"/>
      <c r="BN4674" s="237">
        <v>27.28</v>
      </c>
      <c r="BO4674" s="237" t="s">
        <v>368</v>
      </c>
      <c r="CD4674" s="345">
        <v>1103.6199999999999</v>
      </c>
      <c r="CE4674" s="345" t="s">
        <v>310</v>
      </c>
      <c r="CL4674" s="1789"/>
      <c r="CR4674" s="345"/>
      <c r="CS4674" s="345"/>
      <c r="DH4674" s="237"/>
      <c r="DI4674" s="237"/>
      <c r="DP4674" s="2505"/>
    </row>
    <row r="4675" spans="30:120">
      <c r="AD4675" s="1138"/>
      <c r="BH4675" s="1790"/>
      <c r="BN4675" s="237">
        <v>27.29</v>
      </c>
      <c r="BO4675" s="237" t="s">
        <v>368</v>
      </c>
      <c r="CD4675" s="345">
        <v>1103.6300000000001</v>
      </c>
      <c r="CE4675" s="345" t="s">
        <v>310</v>
      </c>
      <c r="CL4675" s="1789"/>
      <c r="CR4675" s="345"/>
      <c r="CS4675" s="345"/>
      <c r="DH4675" s="237"/>
      <c r="DI4675" s="237"/>
      <c r="DP4675" s="2505"/>
    </row>
    <row r="4676" spans="30:120">
      <c r="AD4676" s="1138"/>
      <c r="BH4676" s="1790"/>
      <c r="BN4676" s="237">
        <v>27.3</v>
      </c>
      <c r="BO4676" s="237" t="s">
        <v>368</v>
      </c>
      <c r="CD4676" s="345">
        <v>1103.6400000000001</v>
      </c>
      <c r="CE4676" s="345" t="s">
        <v>310</v>
      </c>
      <c r="CL4676" s="1789"/>
      <c r="CR4676" s="345"/>
      <c r="CS4676" s="345"/>
      <c r="DH4676" s="237"/>
      <c r="DI4676" s="237"/>
      <c r="DP4676" s="2505"/>
    </row>
    <row r="4677" spans="30:120">
      <c r="AD4677" s="1138"/>
      <c r="BH4677" s="1790"/>
      <c r="BN4677" s="237">
        <v>27.31</v>
      </c>
      <c r="BO4677" s="237" t="s">
        <v>368</v>
      </c>
      <c r="CD4677" s="345">
        <v>1103.6500000000001</v>
      </c>
      <c r="CE4677" s="345" t="s">
        <v>310</v>
      </c>
      <c r="CL4677" s="1789"/>
      <c r="CR4677" s="345"/>
      <c r="CS4677" s="345"/>
      <c r="DH4677" s="237"/>
      <c r="DI4677" s="237"/>
      <c r="DP4677" s="2505"/>
    </row>
    <row r="4678" spans="30:120">
      <c r="AD4678" s="1138"/>
      <c r="BH4678" s="1790"/>
      <c r="BN4678" s="237">
        <v>27.32</v>
      </c>
      <c r="BO4678" s="237" t="s">
        <v>368</v>
      </c>
      <c r="CD4678" s="345">
        <v>1103.6600000000001</v>
      </c>
      <c r="CE4678" s="345" t="s">
        <v>310</v>
      </c>
      <c r="CL4678" s="1789"/>
      <c r="CR4678" s="345"/>
      <c r="CS4678" s="345"/>
      <c r="DH4678" s="237"/>
      <c r="DI4678" s="237"/>
      <c r="DP4678" s="2505"/>
    </row>
    <row r="4679" spans="30:120">
      <c r="AD4679" s="1138"/>
      <c r="BH4679" s="1790"/>
      <c r="BN4679" s="237">
        <v>27.33</v>
      </c>
      <c r="BO4679" s="237" t="s">
        <v>368</v>
      </c>
      <c r="CD4679" s="345">
        <v>1103.67</v>
      </c>
      <c r="CE4679" s="345" t="s">
        <v>310</v>
      </c>
      <c r="CL4679" s="1789"/>
      <c r="CR4679" s="345"/>
      <c r="CS4679" s="345"/>
      <c r="DH4679" s="237"/>
      <c r="DI4679" s="237"/>
      <c r="DP4679" s="2505"/>
    </row>
    <row r="4680" spans="30:120">
      <c r="AD4680" s="1138"/>
      <c r="BH4680" s="1790"/>
      <c r="BN4680" s="237">
        <v>27.34</v>
      </c>
      <c r="BO4680" s="237" t="s">
        <v>368</v>
      </c>
      <c r="CD4680" s="345">
        <v>1103.68</v>
      </c>
      <c r="CE4680" s="345" t="s">
        <v>310</v>
      </c>
      <c r="CL4680" s="1789"/>
      <c r="CR4680" s="345"/>
      <c r="CS4680" s="345"/>
      <c r="DH4680" s="237"/>
      <c r="DI4680" s="237"/>
      <c r="DP4680" s="2505"/>
    </row>
    <row r="4681" spans="30:120">
      <c r="AD4681" s="1138"/>
      <c r="BH4681" s="1790"/>
      <c r="BN4681" s="237">
        <v>27.35</v>
      </c>
      <c r="BO4681" s="237" t="s">
        <v>368</v>
      </c>
      <c r="CD4681" s="345">
        <v>1104.02</v>
      </c>
      <c r="CE4681" s="345" t="s">
        <v>310</v>
      </c>
      <c r="CL4681" s="1789"/>
      <c r="CR4681" s="345"/>
      <c r="CS4681" s="345"/>
      <c r="DH4681" s="237"/>
      <c r="DI4681" s="237"/>
      <c r="DP4681" s="2505"/>
    </row>
    <row r="4682" spans="30:120">
      <c r="AD4682" s="1138"/>
      <c r="BH4682" s="1790"/>
      <c r="BN4682" s="237">
        <v>27.36</v>
      </c>
      <c r="BO4682" s="237" t="s">
        <v>368</v>
      </c>
      <c r="CD4682" s="345">
        <v>1104.03</v>
      </c>
      <c r="CE4682" s="345" t="s">
        <v>310</v>
      </c>
      <c r="CL4682" s="1789"/>
      <c r="CR4682" s="345"/>
      <c r="CS4682" s="345"/>
      <c r="DH4682" s="237"/>
      <c r="DI4682" s="237"/>
      <c r="DP4682" s="2505"/>
    </row>
    <row r="4683" spans="30:120">
      <c r="AD4683" s="1138"/>
      <c r="BH4683" s="1790"/>
      <c r="BN4683" s="237">
        <v>27.37</v>
      </c>
      <c r="BO4683" s="237" t="s">
        <v>368</v>
      </c>
      <c r="CD4683" s="345">
        <v>1104.04</v>
      </c>
      <c r="CE4683" s="345" t="s">
        <v>310</v>
      </c>
      <c r="CL4683" s="1789"/>
      <c r="CR4683" s="345"/>
      <c r="CS4683" s="345"/>
      <c r="DH4683" s="237"/>
      <c r="DI4683" s="237"/>
      <c r="DP4683" s="2505"/>
    </row>
    <row r="4684" spans="30:120">
      <c r="AD4684" s="1138"/>
      <c r="BH4684" s="1790"/>
      <c r="BN4684" s="237">
        <v>27.38</v>
      </c>
      <c r="BO4684" s="237" t="s">
        <v>368</v>
      </c>
      <c r="CD4684" s="345">
        <v>1105.01</v>
      </c>
      <c r="CE4684" s="345" t="s">
        <v>310</v>
      </c>
      <c r="CL4684" s="1789"/>
      <c r="CR4684" s="345"/>
      <c r="CS4684" s="345"/>
      <c r="DH4684" s="237"/>
      <c r="DI4684" s="237"/>
      <c r="DP4684" s="2505"/>
    </row>
    <row r="4685" spans="30:120">
      <c r="AD4685" s="1138"/>
      <c r="BH4685" s="1790"/>
      <c r="BN4685" s="237">
        <v>27.39</v>
      </c>
      <c r="BO4685" s="237" t="s">
        <v>368</v>
      </c>
      <c r="CD4685" s="345">
        <v>1105.02</v>
      </c>
      <c r="CE4685" s="345" t="s">
        <v>310</v>
      </c>
      <c r="CL4685" s="1789"/>
      <c r="CR4685" s="345"/>
      <c r="CS4685" s="345"/>
      <c r="DH4685" s="237"/>
      <c r="DI4685" s="237"/>
      <c r="DP4685" s="2505"/>
    </row>
    <row r="4686" spans="30:120">
      <c r="AD4686" s="1138"/>
      <c r="BH4686" s="1790"/>
      <c r="BN4686" s="237">
        <v>27.4</v>
      </c>
      <c r="BO4686" s="237" t="s">
        <v>368</v>
      </c>
      <c r="CD4686" s="345">
        <v>1106</v>
      </c>
      <c r="CE4686" s="345" t="s">
        <v>310</v>
      </c>
      <c r="CL4686" s="1789"/>
      <c r="CR4686" s="345"/>
      <c r="CS4686" s="345"/>
      <c r="DH4686" s="237"/>
      <c r="DI4686" s="237"/>
      <c r="DP4686" s="2505"/>
    </row>
    <row r="4687" spans="30:120">
      <c r="AD4687" s="1138"/>
      <c r="BH4687" s="1790"/>
      <c r="BN4687" s="237">
        <v>27.41</v>
      </c>
      <c r="BO4687" s="237" t="s">
        <v>368</v>
      </c>
      <c r="CD4687" s="345">
        <v>1108</v>
      </c>
      <c r="CE4687" s="345" t="s">
        <v>297</v>
      </c>
      <c r="CL4687" s="1789"/>
      <c r="CR4687" s="345"/>
      <c r="CS4687" s="345"/>
      <c r="DH4687" s="237"/>
      <c r="DI4687" s="237"/>
      <c r="DP4687" s="2505"/>
    </row>
    <row r="4688" spans="30:120">
      <c r="AD4688" s="1138"/>
      <c r="BH4688" s="1790"/>
      <c r="BN4688" s="237">
        <v>27.42</v>
      </c>
      <c r="BO4688" s="237" t="s">
        <v>368</v>
      </c>
      <c r="CD4688" s="237">
        <v>2501.0300000000002</v>
      </c>
      <c r="CE4688" s="237" t="s">
        <v>341</v>
      </c>
      <c r="CL4688" s="1789"/>
      <c r="CR4688" s="345"/>
      <c r="CS4688" s="345"/>
      <c r="DH4688" s="237"/>
      <c r="DI4688" s="237"/>
      <c r="DP4688" s="2505"/>
    </row>
    <row r="4689" spans="30:120">
      <c r="AD4689" s="1138"/>
      <c r="BH4689" s="1790"/>
      <c r="BN4689" s="237">
        <v>27.43</v>
      </c>
      <c r="BO4689" s="237" t="s">
        <v>368</v>
      </c>
      <c r="CD4689" s="237">
        <v>2501.04</v>
      </c>
      <c r="CE4689" s="237" t="s">
        <v>341</v>
      </c>
      <c r="CL4689" s="1789"/>
      <c r="CR4689" s="345"/>
      <c r="CS4689" s="345"/>
      <c r="DH4689" s="237"/>
      <c r="DI4689" s="237"/>
      <c r="DP4689" s="2505"/>
    </row>
    <row r="4690" spans="30:120">
      <c r="AD4690" s="1138"/>
      <c r="BH4690" s="1790"/>
      <c r="BN4690" s="237">
        <v>27.44</v>
      </c>
      <c r="BO4690" s="237" t="s">
        <v>368</v>
      </c>
      <c r="CD4690" s="237">
        <v>2501.0500000000002</v>
      </c>
      <c r="CE4690" s="237" t="s">
        <v>341</v>
      </c>
      <c r="CL4690" s="1789"/>
      <c r="CR4690" s="345"/>
      <c r="CS4690" s="345"/>
      <c r="DH4690" s="237"/>
      <c r="DI4690" s="237"/>
      <c r="DP4690" s="2505"/>
    </row>
    <row r="4691" spans="30:120">
      <c r="AD4691" s="1138"/>
      <c r="BH4691" s="1790"/>
      <c r="BN4691" s="237">
        <v>27.45</v>
      </c>
      <c r="BO4691" s="237" t="s">
        <v>368</v>
      </c>
      <c r="CD4691" s="237">
        <v>2501.06</v>
      </c>
      <c r="CE4691" s="237" t="s">
        <v>341</v>
      </c>
      <c r="CL4691" s="1789"/>
      <c r="CR4691" s="345"/>
      <c r="CS4691" s="345"/>
      <c r="DH4691" s="237"/>
      <c r="DI4691" s="237"/>
      <c r="DP4691" s="2505"/>
    </row>
    <row r="4692" spans="30:120">
      <c r="AD4692" s="1138"/>
      <c r="BH4692" s="1790"/>
      <c r="BN4692" s="237">
        <v>27.46</v>
      </c>
      <c r="BO4692" s="237" t="s">
        <v>368</v>
      </c>
      <c r="CD4692" s="237">
        <v>2502</v>
      </c>
      <c r="CE4692" s="237" t="s">
        <v>341</v>
      </c>
      <c r="CL4692" s="1789"/>
      <c r="CR4692" s="345"/>
      <c r="CS4692" s="345"/>
      <c r="DH4692" s="237"/>
      <c r="DI4692" s="237"/>
      <c r="DP4692" s="2505"/>
    </row>
    <row r="4693" spans="30:120">
      <c r="AD4693" s="1138"/>
      <c r="BH4693" s="1790"/>
      <c r="BN4693" s="237">
        <v>27.47</v>
      </c>
      <c r="BO4693" s="237" t="s">
        <v>368</v>
      </c>
      <c r="CD4693" s="237">
        <v>3801</v>
      </c>
      <c r="CE4693" s="237" t="s">
        <v>371</v>
      </c>
      <c r="CL4693" s="1789"/>
      <c r="CR4693" s="345"/>
      <c r="CS4693" s="345"/>
      <c r="DH4693" s="237"/>
      <c r="DI4693" s="237"/>
      <c r="DP4693" s="2505"/>
    </row>
    <row r="4694" spans="30:120">
      <c r="AD4694" s="1138"/>
      <c r="BH4694" s="1790"/>
      <c r="BN4694" s="237">
        <v>27.48</v>
      </c>
      <c r="BO4694" s="237" t="s">
        <v>368</v>
      </c>
      <c r="CD4694" s="237">
        <v>3802</v>
      </c>
      <c r="CE4694" s="237" t="s">
        <v>371</v>
      </c>
      <c r="CL4694" s="1789"/>
      <c r="CR4694" s="345"/>
      <c r="CS4694" s="345"/>
      <c r="DH4694" s="237"/>
      <c r="DI4694" s="237"/>
      <c r="DP4694" s="2505"/>
    </row>
    <row r="4695" spans="30:120">
      <c r="AD4695" s="1138"/>
      <c r="BH4695" s="1790"/>
      <c r="BN4695" s="237">
        <v>9900</v>
      </c>
      <c r="BO4695" s="237" t="s">
        <v>368</v>
      </c>
      <c r="CD4695" s="237">
        <v>3803</v>
      </c>
      <c r="CE4695" s="237" t="s">
        <v>371</v>
      </c>
      <c r="CL4695" s="1789"/>
      <c r="CR4695" s="345"/>
      <c r="CS4695" s="345"/>
      <c r="DH4695" s="237"/>
      <c r="DI4695" s="237"/>
      <c r="DP4695" s="2505"/>
    </row>
    <row r="4696" spans="30:120">
      <c r="AD4696" s="1138"/>
      <c r="BH4696" s="1790"/>
      <c r="BN4696" s="237">
        <v>201.01</v>
      </c>
      <c r="BO4696" s="237" t="s">
        <v>369</v>
      </c>
      <c r="CD4696" s="237">
        <v>3804</v>
      </c>
      <c r="CE4696" s="237" t="s">
        <v>371</v>
      </c>
      <c r="CL4696" s="1789"/>
      <c r="CR4696" s="345"/>
      <c r="CS4696" s="345"/>
      <c r="DH4696" s="237"/>
      <c r="DI4696" s="237"/>
      <c r="DP4696" s="2505"/>
    </row>
    <row r="4697" spans="30:120">
      <c r="AD4697" s="1138"/>
      <c r="BH4697" s="1790"/>
      <c r="BN4697" s="237">
        <v>201.02</v>
      </c>
      <c r="BO4697" s="237" t="s">
        <v>369</v>
      </c>
      <c r="CD4697" s="237">
        <v>3805</v>
      </c>
      <c r="CE4697" s="237" t="s">
        <v>371</v>
      </c>
      <c r="CL4697" s="1789"/>
      <c r="CR4697" s="345"/>
      <c r="CS4697" s="345"/>
      <c r="DH4697" s="237"/>
      <c r="DI4697" s="237"/>
      <c r="DP4697" s="2505"/>
    </row>
    <row r="4698" spans="30:120">
      <c r="AD4698" s="1138"/>
      <c r="BH4698" s="1790"/>
      <c r="BN4698" s="237">
        <v>202.01</v>
      </c>
      <c r="BO4698" s="237" t="s">
        <v>369</v>
      </c>
      <c r="CD4698" s="237">
        <v>3806</v>
      </c>
      <c r="CE4698" s="237" t="s">
        <v>371</v>
      </c>
      <c r="CL4698" s="1789"/>
      <c r="CR4698" s="345"/>
      <c r="CS4698" s="345"/>
      <c r="DH4698" s="237"/>
      <c r="DI4698" s="237"/>
      <c r="DP4698" s="2505"/>
    </row>
    <row r="4699" spans="30:120">
      <c r="AD4699" s="1138"/>
      <c r="BH4699" s="1790"/>
      <c r="BN4699" s="237">
        <v>202.02</v>
      </c>
      <c r="BO4699" s="237" t="s">
        <v>369</v>
      </c>
      <c r="CD4699" s="237">
        <v>3807</v>
      </c>
      <c r="CE4699" s="237" t="s">
        <v>371</v>
      </c>
      <c r="CL4699" s="1789"/>
      <c r="CR4699" s="345"/>
      <c r="CS4699" s="345"/>
      <c r="DH4699" s="237"/>
      <c r="DI4699" s="237"/>
      <c r="DP4699" s="2505"/>
    </row>
    <row r="4700" spans="30:120">
      <c r="AD4700" s="1138"/>
      <c r="BH4700" s="1790"/>
      <c r="BN4700" s="237">
        <v>203.01</v>
      </c>
      <c r="BO4700" s="237" t="s">
        <v>369</v>
      </c>
      <c r="CD4700" s="237">
        <v>3808</v>
      </c>
      <c r="CE4700" s="237" t="s">
        <v>371</v>
      </c>
      <c r="CL4700" s="1789"/>
      <c r="CR4700" s="345"/>
      <c r="CS4700" s="345"/>
      <c r="DH4700" s="237"/>
      <c r="DI4700" s="237"/>
      <c r="DP4700" s="2505"/>
    </row>
    <row r="4701" spans="30:120">
      <c r="AD4701" s="1138"/>
      <c r="BH4701" s="1790"/>
      <c r="BN4701" s="237">
        <v>203.02</v>
      </c>
      <c r="BO4701" s="237" t="s">
        <v>369</v>
      </c>
      <c r="CD4701" s="237">
        <v>3809.01</v>
      </c>
      <c r="CE4701" s="237" t="s">
        <v>371</v>
      </c>
      <c r="CL4701" s="1789"/>
      <c r="CR4701" s="345"/>
      <c r="CS4701" s="345"/>
      <c r="DH4701" s="237"/>
      <c r="DI4701" s="237"/>
      <c r="DP4701" s="2505"/>
    </row>
    <row r="4702" spans="30:120">
      <c r="AD4702" s="1138"/>
      <c r="BH4702" s="1790"/>
      <c r="BN4702" s="237">
        <v>204.01</v>
      </c>
      <c r="BO4702" s="237" t="s">
        <v>369</v>
      </c>
      <c r="CD4702" s="237">
        <v>3809.02</v>
      </c>
      <c r="CE4702" s="237" t="s">
        <v>371</v>
      </c>
      <c r="CL4702" s="1789"/>
      <c r="CR4702" s="345"/>
      <c r="CS4702" s="345"/>
      <c r="DH4702" s="237"/>
      <c r="DI4702" s="237"/>
      <c r="DP4702" s="2505"/>
    </row>
    <row r="4703" spans="30:120">
      <c r="AD4703" s="1138"/>
      <c r="BH4703" s="1790"/>
      <c r="BN4703" s="237">
        <v>204.02</v>
      </c>
      <c r="BO4703" s="237" t="s">
        <v>369</v>
      </c>
      <c r="CD4703" s="237">
        <v>3810</v>
      </c>
      <c r="CE4703" s="237" t="s">
        <v>371</v>
      </c>
      <c r="CL4703" s="1789"/>
      <c r="CR4703" s="345"/>
      <c r="CS4703" s="345"/>
      <c r="DH4703" s="237"/>
      <c r="DI4703" s="237"/>
      <c r="DP4703" s="2505"/>
    </row>
    <row r="4704" spans="30:120">
      <c r="AD4704" s="1138"/>
      <c r="BH4704" s="1790"/>
      <c r="BN4704" s="237">
        <v>205</v>
      </c>
      <c r="BO4704" s="237" t="s">
        <v>369</v>
      </c>
      <c r="CD4704" s="237">
        <v>3811.03</v>
      </c>
      <c r="CE4704" s="237" t="s">
        <v>371</v>
      </c>
      <c r="CL4704" s="1789"/>
      <c r="CR4704" s="345"/>
      <c r="CS4704" s="345"/>
      <c r="DH4704" s="237"/>
      <c r="DI4704" s="237"/>
      <c r="DP4704" s="2505"/>
    </row>
    <row r="4705" spans="30:120">
      <c r="AD4705" s="1138"/>
      <c r="BH4705" s="1790"/>
      <c r="BN4705" s="237">
        <v>206.01</v>
      </c>
      <c r="BO4705" s="237" t="s">
        <v>369</v>
      </c>
      <c r="CD4705" s="237">
        <v>3811.04</v>
      </c>
      <c r="CE4705" s="237" t="s">
        <v>371</v>
      </c>
      <c r="CL4705" s="1789"/>
      <c r="CR4705" s="345"/>
      <c r="CS4705" s="345"/>
      <c r="DH4705" s="237"/>
      <c r="DI4705" s="237"/>
      <c r="DP4705" s="2505"/>
    </row>
    <row r="4706" spans="30:120">
      <c r="AD4706" s="1138"/>
      <c r="BH4706" s="1790"/>
      <c r="BN4706" s="237">
        <v>206.02</v>
      </c>
      <c r="BO4706" s="237" t="s">
        <v>369</v>
      </c>
      <c r="CD4706" s="237">
        <v>3811.05</v>
      </c>
      <c r="CE4706" s="237" t="s">
        <v>371</v>
      </c>
      <c r="CL4706" s="1789"/>
      <c r="CR4706" s="345"/>
      <c r="CS4706" s="345"/>
      <c r="DH4706" s="237"/>
      <c r="DI4706" s="237"/>
      <c r="DP4706" s="2505"/>
    </row>
    <row r="4707" spans="30:120">
      <c r="AD4707" s="1138"/>
      <c r="BH4707" s="1790"/>
      <c r="BN4707" s="237">
        <v>207.03</v>
      </c>
      <c r="BO4707" s="237" t="s">
        <v>369</v>
      </c>
      <c r="CD4707" s="237">
        <v>3811.06</v>
      </c>
      <c r="CE4707" s="237" t="s">
        <v>371</v>
      </c>
      <c r="CL4707" s="1789"/>
      <c r="CR4707" s="345"/>
      <c r="CS4707" s="345"/>
      <c r="DH4707" s="237"/>
      <c r="DI4707" s="237"/>
      <c r="DP4707" s="2505"/>
    </row>
    <row r="4708" spans="30:120">
      <c r="AD4708" s="1138"/>
      <c r="BH4708" s="1790"/>
      <c r="BN4708" s="237">
        <v>207.04</v>
      </c>
      <c r="BO4708" s="237" t="s">
        <v>369</v>
      </c>
      <c r="CD4708" s="237">
        <v>3811.07</v>
      </c>
      <c r="CE4708" s="237" t="s">
        <v>371</v>
      </c>
      <c r="CL4708" s="1789"/>
      <c r="CR4708" s="345"/>
      <c r="CS4708" s="345"/>
      <c r="DH4708" s="237"/>
      <c r="DI4708" s="237"/>
      <c r="DP4708" s="2505"/>
    </row>
    <row r="4709" spans="30:120">
      <c r="AD4709" s="1138"/>
      <c r="BH4709" s="1790"/>
      <c r="BN4709" s="237">
        <v>207.05</v>
      </c>
      <c r="BO4709" s="237" t="s">
        <v>369</v>
      </c>
      <c r="CD4709" s="237">
        <v>3812.04</v>
      </c>
      <c r="CE4709" s="237" t="s">
        <v>371</v>
      </c>
      <c r="CL4709" s="1789"/>
      <c r="CR4709" s="345"/>
      <c r="CS4709" s="345"/>
      <c r="DH4709" s="237"/>
      <c r="DI4709" s="237"/>
      <c r="DP4709" s="2505"/>
    </row>
    <row r="4710" spans="30:120">
      <c r="AD4710" s="1138"/>
      <c r="BH4710" s="1790"/>
      <c r="BN4710" s="237">
        <v>207.06</v>
      </c>
      <c r="BO4710" s="237" t="s">
        <v>369</v>
      </c>
      <c r="CD4710" s="237">
        <v>3813</v>
      </c>
      <c r="CE4710" s="237" t="s">
        <v>371</v>
      </c>
      <c r="CL4710" s="1789"/>
      <c r="CR4710" s="345"/>
      <c r="CS4710" s="345"/>
      <c r="DH4710" s="237"/>
      <c r="DI4710" s="237"/>
      <c r="DP4710" s="2505"/>
    </row>
    <row r="4711" spans="30:120">
      <c r="AD4711" s="1138"/>
      <c r="BH4711" s="1790"/>
      <c r="BN4711" s="237">
        <v>207.07</v>
      </c>
      <c r="BO4711" s="237" t="s">
        <v>369</v>
      </c>
      <c r="CD4711" s="237">
        <v>3814.01</v>
      </c>
      <c r="CE4711" s="237" t="s">
        <v>371</v>
      </c>
      <c r="CL4711" s="1789"/>
      <c r="CR4711" s="345"/>
      <c r="CS4711" s="345"/>
      <c r="DH4711" s="237"/>
      <c r="DI4711" s="237"/>
      <c r="DP4711" s="2505"/>
    </row>
    <row r="4712" spans="30:120">
      <c r="AD4712" s="1138"/>
      <c r="BH4712" s="1790"/>
      <c r="BN4712" s="237">
        <v>208.03</v>
      </c>
      <c r="BO4712" s="237" t="s">
        <v>369</v>
      </c>
      <c r="CD4712" s="237">
        <v>3814.02</v>
      </c>
      <c r="CE4712" s="237" t="s">
        <v>371</v>
      </c>
      <c r="CL4712" s="1789"/>
      <c r="CR4712" s="345"/>
      <c r="CS4712" s="345"/>
      <c r="DH4712" s="237"/>
      <c r="DI4712" s="237"/>
      <c r="DP4712" s="2505"/>
    </row>
    <row r="4713" spans="30:120">
      <c r="AD4713" s="1138"/>
      <c r="BH4713" s="1790"/>
      <c r="BN4713" s="237">
        <v>208.05</v>
      </c>
      <c r="BO4713" s="237" t="s">
        <v>369</v>
      </c>
      <c r="CD4713" s="237">
        <v>3815.04</v>
      </c>
      <c r="CE4713" s="237" t="s">
        <v>371</v>
      </c>
      <c r="CL4713" s="1789"/>
      <c r="CR4713" s="345"/>
      <c r="CS4713" s="345"/>
      <c r="DH4713" s="237"/>
      <c r="DI4713" s="237"/>
      <c r="DP4713" s="2505"/>
    </row>
    <row r="4714" spans="30:120">
      <c r="AD4714" s="1138"/>
      <c r="BH4714" s="1790"/>
      <c r="BN4714" s="237">
        <v>208.06</v>
      </c>
      <c r="BO4714" s="237" t="s">
        <v>369</v>
      </c>
      <c r="CD4714" s="237">
        <v>3815.05</v>
      </c>
      <c r="CE4714" s="237" t="s">
        <v>371</v>
      </c>
      <c r="CL4714" s="1789"/>
      <c r="CR4714" s="345"/>
      <c r="CS4714" s="345"/>
      <c r="DH4714" s="237"/>
      <c r="DI4714" s="237"/>
      <c r="DP4714" s="2505"/>
    </row>
    <row r="4715" spans="30:120">
      <c r="AD4715" s="1138"/>
      <c r="BH4715" s="1790"/>
      <c r="BN4715" s="237">
        <v>208.07</v>
      </c>
      <c r="BO4715" s="237" t="s">
        <v>369</v>
      </c>
      <c r="CD4715" s="237">
        <v>3815.06</v>
      </c>
      <c r="CE4715" s="237" t="s">
        <v>371</v>
      </c>
      <c r="CL4715" s="1789"/>
      <c r="CR4715" s="345"/>
      <c r="CS4715" s="345"/>
      <c r="DH4715" s="237"/>
      <c r="DI4715" s="237"/>
      <c r="DP4715" s="2505"/>
    </row>
    <row r="4716" spans="30:120">
      <c r="AD4716" s="1138"/>
      <c r="BH4716" s="1790"/>
      <c r="BN4716" s="237">
        <v>208.08</v>
      </c>
      <c r="BO4716" s="237" t="s">
        <v>369</v>
      </c>
      <c r="CD4716" s="237">
        <v>3815.07</v>
      </c>
      <c r="CE4716" s="237" t="s">
        <v>371</v>
      </c>
      <c r="CL4716" s="1789"/>
      <c r="CR4716" s="345"/>
      <c r="CS4716" s="345"/>
      <c r="DH4716" s="237"/>
      <c r="DI4716" s="237"/>
      <c r="DP4716" s="2505"/>
    </row>
    <row r="4717" spans="30:120">
      <c r="AD4717" s="1138"/>
      <c r="BH4717" s="1790"/>
      <c r="BN4717" s="237">
        <v>208.1</v>
      </c>
      <c r="BO4717" s="237" t="s">
        <v>369</v>
      </c>
      <c r="CD4717" s="237">
        <v>3815.08</v>
      </c>
      <c r="CE4717" s="237" t="s">
        <v>371</v>
      </c>
      <c r="CL4717" s="1789"/>
      <c r="CR4717" s="345"/>
      <c r="CS4717" s="345"/>
      <c r="DH4717" s="237"/>
      <c r="DI4717" s="237"/>
      <c r="DP4717" s="2505"/>
    </row>
    <row r="4718" spans="30:120">
      <c r="AD4718" s="1138"/>
      <c r="BH4718" s="1790"/>
      <c r="BN4718" s="237">
        <v>208.11</v>
      </c>
      <c r="BO4718" s="237" t="s">
        <v>369</v>
      </c>
      <c r="CD4718" s="237">
        <v>3816.02</v>
      </c>
      <c r="CE4718" s="237" t="s">
        <v>371</v>
      </c>
      <c r="CL4718" s="1789"/>
      <c r="CR4718" s="345"/>
      <c r="CS4718" s="345"/>
      <c r="DH4718" s="237"/>
      <c r="DI4718" s="237"/>
      <c r="DP4718" s="2505"/>
    </row>
    <row r="4719" spans="30:120">
      <c r="AD4719" s="1138"/>
      <c r="BH4719" s="1790"/>
      <c r="BN4719" s="237">
        <v>208.12</v>
      </c>
      <c r="BO4719" s="237" t="s">
        <v>369</v>
      </c>
      <c r="CD4719" s="237">
        <v>3816.03</v>
      </c>
      <c r="CE4719" s="237" t="s">
        <v>371</v>
      </c>
      <c r="CL4719" s="1789"/>
      <c r="CR4719" s="345"/>
      <c r="CS4719" s="345"/>
      <c r="DH4719" s="237"/>
      <c r="DI4719" s="237"/>
      <c r="DP4719" s="2505"/>
    </row>
    <row r="4720" spans="30:120">
      <c r="AD4720" s="1138"/>
      <c r="BH4720" s="1790"/>
      <c r="BN4720" s="237">
        <v>209.01</v>
      </c>
      <c r="BO4720" s="237" t="s">
        <v>369</v>
      </c>
      <c r="CD4720" s="237">
        <v>3816.04</v>
      </c>
      <c r="CE4720" s="237" t="s">
        <v>371</v>
      </c>
      <c r="CL4720" s="1789"/>
      <c r="CR4720" s="345"/>
      <c r="CS4720" s="345"/>
      <c r="DH4720" s="237"/>
      <c r="DI4720" s="237"/>
      <c r="DP4720" s="2505"/>
    </row>
    <row r="4721" spans="30:120">
      <c r="AD4721" s="1138"/>
      <c r="BH4721" s="1790"/>
      <c r="BN4721" s="237">
        <v>209.02</v>
      </c>
      <c r="BO4721" s="237" t="s">
        <v>369</v>
      </c>
      <c r="CD4721" s="237">
        <v>3816.05</v>
      </c>
      <c r="CE4721" s="237" t="s">
        <v>371</v>
      </c>
      <c r="CL4721" s="1789"/>
      <c r="CR4721" s="345"/>
      <c r="CS4721" s="345"/>
      <c r="DH4721" s="237"/>
      <c r="DI4721" s="237"/>
      <c r="DP4721" s="2505"/>
    </row>
    <row r="4722" spans="30:120">
      <c r="AD4722" s="1138"/>
      <c r="BH4722" s="1790"/>
      <c r="BN4722" s="237">
        <v>209.04</v>
      </c>
      <c r="BO4722" s="237" t="s">
        <v>369</v>
      </c>
      <c r="CD4722" s="237">
        <v>3817.01</v>
      </c>
      <c r="CE4722" s="237" t="s">
        <v>371</v>
      </c>
      <c r="CL4722" s="1789"/>
      <c r="CR4722" s="345"/>
      <c r="CS4722" s="345"/>
      <c r="DH4722" s="237"/>
      <c r="DI4722" s="237"/>
      <c r="DP4722" s="2505"/>
    </row>
    <row r="4723" spans="30:120">
      <c r="AD4723" s="1138"/>
      <c r="BH4723" s="1790"/>
      <c r="BN4723" s="237">
        <v>209.05</v>
      </c>
      <c r="BO4723" s="237" t="s">
        <v>369</v>
      </c>
      <c r="CD4723" s="237">
        <v>3817.02</v>
      </c>
      <c r="CE4723" s="237" t="s">
        <v>371</v>
      </c>
      <c r="CL4723" s="1789"/>
      <c r="CR4723" s="345"/>
      <c r="CS4723" s="345"/>
      <c r="DH4723" s="237"/>
      <c r="DI4723" s="237"/>
      <c r="DP4723" s="2505"/>
    </row>
    <row r="4724" spans="30:120">
      <c r="AD4724" s="1138"/>
      <c r="BH4724" s="1790"/>
      <c r="BN4724" s="237">
        <v>210</v>
      </c>
      <c r="BO4724" s="237" t="s">
        <v>369</v>
      </c>
      <c r="CD4724" s="237">
        <v>3818.02</v>
      </c>
      <c r="CE4724" s="237" t="s">
        <v>371</v>
      </c>
      <c r="CL4724" s="1789"/>
      <c r="CR4724" s="345"/>
      <c r="CS4724" s="345"/>
      <c r="DH4724" s="237"/>
      <c r="DI4724" s="237"/>
      <c r="DP4724" s="2505"/>
    </row>
    <row r="4725" spans="30:120">
      <c r="AD4725" s="1138"/>
      <c r="BH4725" s="1790"/>
      <c r="BN4725" s="237">
        <v>211</v>
      </c>
      <c r="BO4725" s="237" t="s">
        <v>369</v>
      </c>
      <c r="CD4725" s="237">
        <v>3818.03</v>
      </c>
      <c r="CE4725" s="237" t="s">
        <v>371</v>
      </c>
      <c r="CL4725" s="1789"/>
      <c r="CR4725" s="345"/>
      <c r="CS4725" s="345"/>
      <c r="DH4725" s="237"/>
      <c r="DI4725" s="237"/>
      <c r="DP4725" s="2505"/>
    </row>
    <row r="4726" spans="30:120">
      <c r="AD4726" s="1138"/>
      <c r="BH4726" s="1790"/>
      <c r="BN4726" s="237">
        <v>212.01</v>
      </c>
      <c r="BO4726" s="237" t="s">
        <v>369</v>
      </c>
      <c r="CD4726" s="237">
        <v>3818.04</v>
      </c>
      <c r="CE4726" s="237" t="s">
        <v>371</v>
      </c>
      <c r="CL4726" s="1789"/>
      <c r="CR4726" s="345"/>
      <c r="CS4726" s="345"/>
      <c r="DH4726" s="237"/>
      <c r="DI4726" s="237"/>
      <c r="DP4726" s="2505"/>
    </row>
    <row r="4727" spans="30:120">
      <c r="AD4727" s="1138"/>
      <c r="BH4727" s="1790"/>
      <c r="BN4727" s="237">
        <v>212.03</v>
      </c>
      <c r="BO4727" s="237" t="s">
        <v>369</v>
      </c>
      <c r="CD4727" s="237">
        <v>3819</v>
      </c>
      <c r="CE4727" s="237" t="s">
        <v>371</v>
      </c>
      <c r="CL4727" s="1789"/>
      <c r="CR4727" s="345"/>
      <c r="CS4727" s="345"/>
      <c r="DH4727" s="237"/>
      <c r="DI4727" s="237"/>
      <c r="DP4727" s="2505"/>
    </row>
    <row r="4728" spans="30:120">
      <c r="AD4728" s="1138"/>
      <c r="BH4728" s="1790"/>
      <c r="BN4728" s="237">
        <v>212.05</v>
      </c>
      <c r="BO4728" s="237" t="s">
        <v>369</v>
      </c>
      <c r="CD4728" s="237">
        <v>3820.07</v>
      </c>
      <c r="CE4728" s="237" t="s">
        <v>371</v>
      </c>
      <c r="CL4728" s="1789"/>
      <c r="CR4728" s="345"/>
      <c r="CS4728" s="345"/>
      <c r="DH4728" s="237"/>
      <c r="DI4728" s="237"/>
      <c r="DP4728" s="2505"/>
    </row>
    <row r="4729" spans="30:120">
      <c r="AD4729" s="1138"/>
      <c r="BH4729" s="1790"/>
      <c r="BN4729" s="237">
        <v>212.06</v>
      </c>
      <c r="BO4729" s="237" t="s">
        <v>369</v>
      </c>
      <c r="CD4729" s="237">
        <v>3820.08</v>
      </c>
      <c r="CE4729" s="237" t="s">
        <v>371</v>
      </c>
      <c r="CL4729" s="1789"/>
      <c r="CR4729" s="345"/>
      <c r="CS4729" s="345"/>
      <c r="DH4729" s="237"/>
      <c r="DI4729" s="237"/>
      <c r="DP4729" s="2505"/>
    </row>
    <row r="4730" spans="30:120">
      <c r="AD4730" s="1138"/>
      <c r="BH4730" s="1790"/>
      <c r="BN4730" s="237">
        <v>213.06</v>
      </c>
      <c r="BO4730" s="237" t="s">
        <v>369</v>
      </c>
      <c r="CD4730" s="237">
        <v>3820.09</v>
      </c>
      <c r="CE4730" s="237" t="s">
        <v>371</v>
      </c>
      <c r="CL4730" s="1789"/>
      <c r="CR4730" s="345"/>
      <c r="CS4730" s="345"/>
      <c r="DH4730" s="237"/>
      <c r="DI4730" s="237"/>
      <c r="DP4730" s="2505"/>
    </row>
    <row r="4731" spans="30:120">
      <c r="AD4731" s="1138"/>
      <c r="BH4731" s="1790"/>
      <c r="BN4731" s="237">
        <v>213.07</v>
      </c>
      <c r="BO4731" s="237" t="s">
        <v>369</v>
      </c>
      <c r="CD4731" s="237">
        <v>3820.1</v>
      </c>
      <c r="CE4731" s="237" t="s">
        <v>371</v>
      </c>
      <c r="CL4731" s="1789"/>
      <c r="CR4731" s="345"/>
      <c r="CS4731" s="345"/>
      <c r="DH4731" s="237"/>
      <c r="DI4731" s="237"/>
      <c r="DP4731" s="2505"/>
    </row>
    <row r="4732" spans="30:120">
      <c r="AD4732" s="1138"/>
      <c r="BH4732" s="1790"/>
      <c r="BN4732" s="237">
        <v>213.11</v>
      </c>
      <c r="BO4732" s="237" t="s">
        <v>369</v>
      </c>
      <c r="CD4732" s="237">
        <v>3820.11</v>
      </c>
      <c r="CE4732" s="237" t="s">
        <v>371</v>
      </c>
      <c r="CL4732" s="1789"/>
      <c r="CR4732" s="345"/>
      <c r="CS4732" s="345"/>
      <c r="DH4732" s="237"/>
      <c r="DI4732" s="237"/>
      <c r="DP4732" s="2505"/>
    </row>
    <row r="4733" spans="30:120">
      <c r="AD4733" s="1138"/>
      <c r="BH4733" s="1790"/>
      <c r="BN4733" s="237">
        <v>213.12</v>
      </c>
      <c r="BO4733" s="237" t="s">
        <v>369</v>
      </c>
      <c r="CD4733" s="237">
        <v>3820.12</v>
      </c>
      <c r="CE4733" s="237" t="s">
        <v>371</v>
      </c>
      <c r="CL4733" s="1789"/>
      <c r="CR4733" s="345"/>
      <c r="CS4733" s="345"/>
      <c r="DH4733" s="237"/>
      <c r="DI4733" s="237"/>
      <c r="DP4733" s="2505"/>
    </row>
    <row r="4734" spans="30:120">
      <c r="AD4734" s="1138"/>
      <c r="BH4734" s="1790"/>
      <c r="BN4734" s="237">
        <v>213.13</v>
      </c>
      <c r="BO4734" s="237" t="s">
        <v>369</v>
      </c>
      <c r="CD4734" s="237">
        <v>3820.13</v>
      </c>
      <c r="CE4734" s="237" t="s">
        <v>371</v>
      </c>
      <c r="CL4734" s="1789"/>
      <c r="CR4734" s="345"/>
      <c r="CS4734" s="345"/>
      <c r="DH4734" s="237"/>
      <c r="DI4734" s="237"/>
      <c r="DP4734" s="2505"/>
    </row>
    <row r="4735" spans="30:120">
      <c r="AD4735" s="1138"/>
      <c r="BH4735" s="1790"/>
      <c r="BN4735" s="237">
        <v>213.14</v>
      </c>
      <c r="BO4735" s="237" t="s">
        <v>369</v>
      </c>
      <c r="CD4735" s="237">
        <v>3820.14</v>
      </c>
      <c r="CE4735" s="237" t="s">
        <v>371</v>
      </c>
      <c r="CL4735" s="1789"/>
      <c r="CR4735" s="345"/>
      <c r="CS4735" s="345"/>
      <c r="DH4735" s="237"/>
      <c r="DI4735" s="237"/>
      <c r="DP4735" s="2505"/>
    </row>
    <row r="4736" spans="30:120">
      <c r="AD4736" s="1138"/>
      <c r="BH4736" s="1790"/>
      <c r="BN4736" s="237">
        <v>213.15</v>
      </c>
      <c r="BO4736" s="237" t="s">
        <v>369</v>
      </c>
      <c r="CD4736" s="237">
        <v>3820.15</v>
      </c>
      <c r="CE4736" s="237" t="s">
        <v>371</v>
      </c>
      <c r="CL4736" s="1789"/>
      <c r="CR4736" s="345"/>
      <c r="CS4736" s="345"/>
      <c r="DH4736" s="237"/>
      <c r="DI4736" s="237"/>
      <c r="DP4736" s="2505"/>
    </row>
    <row r="4737" spans="30:120">
      <c r="AD4737" s="1138"/>
      <c r="BH4737" s="1790"/>
      <c r="BN4737" s="237">
        <v>213.16</v>
      </c>
      <c r="BO4737" s="237" t="s">
        <v>369</v>
      </c>
      <c r="CD4737" s="237">
        <v>3820.16</v>
      </c>
      <c r="CE4737" s="237" t="s">
        <v>371</v>
      </c>
      <c r="CL4737" s="1789"/>
      <c r="CR4737" s="345"/>
      <c r="CS4737" s="345"/>
      <c r="DH4737" s="237"/>
      <c r="DI4737" s="237"/>
      <c r="DP4737" s="2505"/>
    </row>
    <row r="4738" spans="30:120">
      <c r="AD4738" s="1138"/>
      <c r="BH4738" s="1790"/>
      <c r="BN4738" s="237">
        <v>213.17</v>
      </c>
      <c r="BO4738" s="237" t="s">
        <v>369</v>
      </c>
      <c r="CD4738" s="237">
        <v>3821.1</v>
      </c>
      <c r="CE4738" s="237" t="s">
        <v>371</v>
      </c>
      <c r="CL4738" s="1789"/>
      <c r="CR4738" s="345"/>
      <c r="CS4738" s="345"/>
      <c r="DH4738" s="237"/>
      <c r="DI4738" s="237"/>
      <c r="DP4738" s="2505"/>
    </row>
    <row r="4739" spans="30:120">
      <c r="AD4739" s="1138"/>
      <c r="BH4739" s="1790"/>
      <c r="BN4739" s="237">
        <v>213.18</v>
      </c>
      <c r="BO4739" s="237" t="s">
        <v>369</v>
      </c>
      <c r="CD4739" s="237">
        <v>3821.12</v>
      </c>
      <c r="CE4739" s="237" t="s">
        <v>371</v>
      </c>
      <c r="CL4739" s="1789"/>
      <c r="CR4739" s="345"/>
      <c r="CS4739" s="345"/>
      <c r="DH4739" s="237"/>
      <c r="DI4739" s="237"/>
      <c r="DP4739" s="2505"/>
    </row>
    <row r="4740" spans="30:120">
      <c r="AD4740" s="1138"/>
      <c r="BH4740" s="1790"/>
      <c r="BN4740" s="237">
        <v>213.19</v>
      </c>
      <c r="BO4740" s="237" t="s">
        <v>369</v>
      </c>
      <c r="CD4740" s="237">
        <v>3821.14</v>
      </c>
      <c r="CE4740" s="237" t="s">
        <v>371</v>
      </c>
      <c r="CL4740" s="1789"/>
      <c r="CR4740" s="345"/>
      <c r="CS4740" s="345"/>
      <c r="DH4740" s="237"/>
      <c r="DI4740" s="237"/>
      <c r="DP4740" s="2505"/>
    </row>
    <row r="4741" spans="30:120">
      <c r="AD4741" s="1138"/>
      <c r="BH4741" s="1790"/>
      <c r="BN4741" s="237">
        <v>213.2</v>
      </c>
      <c r="BO4741" s="237" t="s">
        <v>369</v>
      </c>
      <c r="CD4741" s="237">
        <v>3821.15</v>
      </c>
      <c r="CE4741" s="237" t="s">
        <v>371</v>
      </c>
      <c r="CL4741" s="1789"/>
      <c r="CR4741" s="345"/>
      <c r="CS4741" s="345"/>
      <c r="DH4741" s="237"/>
      <c r="DI4741" s="237"/>
      <c r="DP4741" s="2505"/>
    </row>
    <row r="4742" spans="30:120">
      <c r="AD4742" s="1138"/>
      <c r="BH4742" s="1790"/>
      <c r="BN4742" s="237">
        <v>213.21</v>
      </c>
      <c r="BO4742" s="237" t="s">
        <v>369</v>
      </c>
      <c r="CD4742" s="237">
        <v>3821.16</v>
      </c>
      <c r="CE4742" s="237" t="s">
        <v>371</v>
      </c>
      <c r="CL4742" s="1789"/>
      <c r="CR4742" s="345"/>
      <c r="CS4742" s="345"/>
      <c r="DH4742" s="237"/>
      <c r="DI4742" s="237"/>
      <c r="DP4742" s="2505"/>
    </row>
    <row r="4743" spans="30:120">
      <c r="AD4743" s="1138"/>
      <c r="BH4743" s="1790"/>
      <c r="BN4743" s="237">
        <v>214.01</v>
      </c>
      <c r="BO4743" s="237" t="s">
        <v>369</v>
      </c>
      <c r="CD4743" s="237">
        <v>3821.17</v>
      </c>
      <c r="CE4743" s="237" t="s">
        <v>371</v>
      </c>
      <c r="CL4743" s="1789"/>
      <c r="CR4743" s="345"/>
      <c r="CS4743" s="345"/>
      <c r="DH4743" s="237"/>
      <c r="DI4743" s="237"/>
      <c r="DP4743" s="2505"/>
    </row>
    <row r="4744" spans="30:120">
      <c r="AD4744" s="1138"/>
      <c r="BH4744" s="1790"/>
      <c r="BN4744" s="237">
        <v>214.03</v>
      </c>
      <c r="BO4744" s="237" t="s">
        <v>369</v>
      </c>
      <c r="CD4744" s="237">
        <v>3821.18</v>
      </c>
      <c r="CE4744" s="237" t="s">
        <v>371</v>
      </c>
      <c r="CL4744" s="1789"/>
      <c r="CR4744" s="345"/>
      <c r="CS4744" s="345"/>
      <c r="DH4744" s="237"/>
      <c r="DI4744" s="237"/>
      <c r="DP4744" s="2505"/>
    </row>
    <row r="4745" spans="30:120">
      <c r="AD4745" s="1138"/>
      <c r="BH4745" s="1790"/>
      <c r="BN4745" s="237">
        <v>214.04</v>
      </c>
      <c r="BO4745" s="237" t="s">
        <v>369</v>
      </c>
      <c r="CD4745" s="237">
        <v>3821.19</v>
      </c>
      <c r="CE4745" s="237" t="s">
        <v>371</v>
      </c>
      <c r="CL4745" s="1789"/>
      <c r="CR4745" s="345"/>
      <c r="CS4745" s="345"/>
      <c r="DH4745" s="237"/>
      <c r="DI4745" s="237"/>
      <c r="DP4745" s="2505"/>
    </row>
    <row r="4746" spans="30:120">
      <c r="AD4746" s="1138"/>
      <c r="BH4746" s="1790"/>
      <c r="BN4746" s="237">
        <v>215.04</v>
      </c>
      <c r="BO4746" s="237" t="s">
        <v>369</v>
      </c>
      <c r="CD4746" s="237">
        <v>3821.2</v>
      </c>
      <c r="CE4746" s="237" t="s">
        <v>371</v>
      </c>
      <c r="CL4746" s="1789"/>
      <c r="CR4746" s="345"/>
      <c r="CS4746" s="345"/>
      <c r="DH4746" s="237"/>
      <c r="DI4746" s="237"/>
      <c r="DP4746" s="2505"/>
    </row>
    <row r="4747" spans="30:120">
      <c r="AD4747" s="1138"/>
      <c r="BH4747" s="1790"/>
      <c r="BN4747" s="237">
        <v>215.05</v>
      </c>
      <c r="BO4747" s="237" t="s">
        <v>369</v>
      </c>
      <c r="CD4747" s="237">
        <v>3821.21</v>
      </c>
      <c r="CE4747" s="237" t="s">
        <v>371</v>
      </c>
      <c r="CL4747" s="1789"/>
      <c r="CR4747" s="345"/>
      <c r="CS4747" s="345"/>
      <c r="DH4747" s="237"/>
      <c r="DI4747" s="237"/>
      <c r="DP4747" s="2505"/>
    </row>
    <row r="4748" spans="30:120">
      <c r="AD4748" s="1138"/>
      <c r="BH4748" s="1790"/>
      <c r="BN4748" s="237">
        <v>215.06</v>
      </c>
      <c r="BO4748" s="237" t="s">
        <v>369</v>
      </c>
      <c r="CD4748" s="237">
        <v>3821.22</v>
      </c>
      <c r="CE4748" s="237" t="s">
        <v>371</v>
      </c>
      <c r="CL4748" s="1789"/>
      <c r="CR4748" s="345"/>
      <c r="CS4748" s="345"/>
      <c r="DH4748" s="237"/>
      <c r="DI4748" s="237"/>
      <c r="DP4748" s="2505"/>
    </row>
    <row r="4749" spans="30:120">
      <c r="AD4749" s="1138"/>
      <c r="BH4749" s="1790"/>
      <c r="BN4749" s="237">
        <v>215.07</v>
      </c>
      <c r="BO4749" s="237" t="s">
        <v>369</v>
      </c>
      <c r="CD4749" s="237">
        <v>3821.23</v>
      </c>
      <c r="CE4749" s="237" t="s">
        <v>371</v>
      </c>
      <c r="CL4749" s="1789"/>
      <c r="CR4749" s="345"/>
      <c r="CS4749" s="345"/>
      <c r="DH4749" s="237"/>
      <c r="DI4749" s="237"/>
      <c r="DP4749" s="2505"/>
    </row>
    <row r="4750" spans="30:120">
      <c r="AD4750" s="1138"/>
      <c r="BH4750" s="1790"/>
      <c r="BN4750" s="237">
        <v>216.04</v>
      </c>
      <c r="BO4750" s="237" t="s">
        <v>369</v>
      </c>
      <c r="CD4750" s="237">
        <v>3821.24</v>
      </c>
      <c r="CE4750" s="237" t="s">
        <v>371</v>
      </c>
      <c r="CL4750" s="1789"/>
      <c r="CR4750" s="345"/>
      <c r="CS4750" s="345"/>
      <c r="DH4750" s="237"/>
      <c r="DI4750" s="237"/>
      <c r="DP4750" s="2505"/>
    </row>
    <row r="4751" spans="30:120">
      <c r="AD4751" s="1138"/>
      <c r="BH4751" s="1790"/>
      <c r="BN4751" s="237">
        <v>216.06</v>
      </c>
      <c r="BO4751" s="237" t="s">
        <v>369</v>
      </c>
      <c r="CD4751" s="237">
        <v>3821.25</v>
      </c>
      <c r="CE4751" s="237" t="s">
        <v>371</v>
      </c>
      <c r="CL4751" s="1789"/>
      <c r="CR4751" s="345"/>
      <c r="CS4751" s="345"/>
      <c r="DH4751" s="237"/>
      <c r="DI4751" s="237"/>
      <c r="DP4751" s="2505"/>
    </row>
    <row r="4752" spans="30:120">
      <c r="AD4752" s="1138"/>
      <c r="BH4752" s="1790"/>
      <c r="BN4752" s="237">
        <v>216.08</v>
      </c>
      <c r="BO4752" s="237" t="s">
        <v>369</v>
      </c>
      <c r="CD4752" s="237">
        <v>3821.26</v>
      </c>
      <c r="CE4752" s="237" t="s">
        <v>371</v>
      </c>
      <c r="CL4752" s="1789"/>
      <c r="CR4752" s="345"/>
      <c r="CS4752" s="345"/>
      <c r="DH4752" s="237"/>
      <c r="DI4752" s="237"/>
      <c r="DP4752" s="2505"/>
    </row>
    <row r="4753" spans="30:120">
      <c r="AD4753" s="1138"/>
      <c r="BH4753" s="1790"/>
      <c r="BN4753" s="237">
        <v>216.09</v>
      </c>
      <c r="BO4753" s="237" t="s">
        <v>369</v>
      </c>
      <c r="CD4753" s="237">
        <v>3821.27</v>
      </c>
      <c r="CE4753" s="237" t="s">
        <v>371</v>
      </c>
      <c r="CL4753" s="1789"/>
      <c r="CR4753" s="345"/>
      <c r="CS4753" s="345"/>
      <c r="DH4753" s="237"/>
      <c r="DI4753" s="237"/>
      <c r="DP4753" s="2505"/>
    </row>
    <row r="4754" spans="30:120">
      <c r="AD4754" s="1138"/>
      <c r="BH4754" s="1790"/>
      <c r="BN4754" s="237">
        <v>216.11</v>
      </c>
      <c r="BO4754" s="237" t="s">
        <v>369</v>
      </c>
      <c r="CD4754" s="237">
        <v>3821.28</v>
      </c>
      <c r="CE4754" s="237" t="s">
        <v>371</v>
      </c>
      <c r="CL4754" s="1789"/>
      <c r="CR4754" s="345"/>
      <c r="CS4754" s="345"/>
      <c r="DH4754" s="237"/>
      <c r="DI4754" s="237"/>
      <c r="DP4754" s="2505"/>
    </row>
    <row r="4755" spans="30:120">
      <c r="AD4755" s="1138"/>
      <c r="BH4755" s="1790"/>
      <c r="BN4755" s="237">
        <v>216.12</v>
      </c>
      <c r="BO4755" s="237" t="s">
        <v>369</v>
      </c>
      <c r="CD4755" s="237">
        <v>3821.29</v>
      </c>
      <c r="CE4755" s="237" t="s">
        <v>371</v>
      </c>
      <c r="CL4755" s="1789"/>
      <c r="CR4755" s="345"/>
      <c r="CS4755" s="345"/>
      <c r="DH4755" s="237"/>
      <c r="DI4755" s="237"/>
      <c r="DP4755" s="2505"/>
    </row>
    <row r="4756" spans="30:120">
      <c r="AD4756" s="1138"/>
      <c r="BH4756" s="1790"/>
      <c r="BN4756" s="237">
        <v>216.13</v>
      </c>
      <c r="BO4756" s="237" t="s">
        <v>369</v>
      </c>
      <c r="CD4756" s="237">
        <v>3821.3</v>
      </c>
      <c r="CE4756" s="237" t="s">
        <v>371</v>
      </c>
      <c r="CL4756" s="1789"/>
      <c r="CR4756" s="345"/>
      <c r="CS4756" s="345"/>
      <c r="DH4756" s="237"/>
      <c r="DI4756" s="237"/>
      <c r="DP4756" s="2505"/>
    </row>
    <row r="4757" spans="30:120">
      <c r="AD4757" s="1138"/>
      <c r="BH4757" s="1790"/>
      <c r="BN4757" s="237">
        <v>216.14</v>
      </c>
      <c r="BO4757" s="237" t="s">
        <v>369</v>
      </c>
      <c r="CD4757" s="237">
        <v>3822.01</v>
      </c>
      <c r="CE4757" s="237" t="s">
        <v>371</v>
      </c>
      <c r="CL4757" s="1789"/>
      <c r="CR4757" s="345"/>
      <c r="CS4757" s="345"/>
      <c r="DH4757" s="237"/>
      <c r="DI4757" s="237"/>
      <c r="DP4757" s="2505"/>
    </row>
    <row r="4758" spans="30:120">
      <c r="AD4758" s="1138"/>
      <c r="BH4758" s="1790"/>
      <c r="BN4758" s="237">
        <v>216.17</v>
      </c>
      <c r="BO4758" s="237" t="s">
        <v>369</v>
      </c>
      <c r="CD4758" s="237">
        <v>3822.02</v>
      </c>
      <c r="CE4758" s="237" t="s">
        <v>371</v>
      </c>
      <c r="CL4758" s="1789"/>
      <c r="CR4758" s="345"/>
      <c r="CS4758" s="345"/>
      <c r="DH4758" s="237"/>
      <c r="DI4758" s="237"/>
      <c r="DP4758" s="2505"/>
    </row>
    <row r="4759" spans="30:120">
      <c r="AD4759" s="1138"/>
      <c r="BH4759" s="1790"/>
      <c r="BN4759" s="237">
        <v>217.04</v>
      </c>
      <c r="BO4759" s="237" t="s">
        <v>369</v>
      </c>
      <c r="CD4759" s="345">
        <v>4501.03</v>
      </c>
      <c r="CE4759" s="345" t="s">
        <v>316</v>
      </c>
      <c r="CL4759" s="1789"/>
      <c r="CR4759" s="345"/>
      <c r="CS4759" s="345"/>
      <c r="DH4759" s="237"/>
      <c r="DI4759" s="237"/>
      <c r="DP4759" s="2505"/>
    </row>
    <row r="4760" spans="30:120">
      <c r="AD4760" s="1138"/>
      <c r="BH4760" s="1790"/>
      <c r="BN4760" s="237">
        <v>217.05</v>
      </c>
      <c r="BO4760" s="237" t="s">
        <v>369</v>
      </c>
      <c r="CD4760" s="345">
        <v>4501.04</v>
      </c>
      <c r="CE4760" s="345" t="s">
        <v>316</v>
      </c>
      <c r="CL4760" s="1789"/>
      <c r="CR4760" s="345"/>
      <c r="CS4760" s="345"/>
      <c r="DH4760" s="237"/>
      <c r="DI4760" s="237"/>
      <c r="DP4760" s="2505"/>
    </row>
    <row r="4761" spans="30:120">
      <c r="AD4761" s="1138"/>
      <c r="BH4761" s="1790"/>
      <c r="BN4761" s="237">
        <v>217.06</v>
      </c>
      <c r="BO4761" s="237" t="s">
        <v>369</v>
      </c>
      <c r="CD4761" s="345">
        <v>4501.05</v>
      </c>
      <c r="CE4761" s="345" t="s">
        <v>316</v>
      </c>
      <c r="CL4761" s="1789"/>
      <c r="CR4761" s="345"/>
      <c r="CS4761" s="345"/>
      <c r="DH4761" s="237"/>
      <c r="DI4761" s="237"/>
      <c r="DP4761" s="2505"/>
    </row>
    <row r="4762" spans="30:120">
      <c r="AD4762" s="1138"/>
      <c r="BH4762" s="1790"/>
      <c r="BN4762" s="237">
        <v>217.07</v>
      </c>
      <c r="BO4762" s="237" t="s">
        <v>369</v>
      </c>
      <c r="CD4762" s="345">
        <v>4501.0600000000004</v>
      </c>
      <c r="CE4762" s="345" t="s">
        <v>316</v>
      </c>
      <c r="CL4762" s="1789"/>
      <c r="CR4762" s="345"/>
      <c r="CS4762" s="345"/>
      <c r="DH4762" s="237"/>
      <c r="DI4762" s="237"/>
      <c r="DP4762" s="2505"/>
    </row>
    <row r="4763" spans="30:120">
      <c r="AD4763" s="1138"/>
      <c r="BH4763" s="1790"/>
      <c r="BN4763" s="237">
        <v>217.08</v>
      </c>
      <c r="BO4763" s="237" t="s">
        <v>369</v>
      </c>
      <c r="CD4763" s="345">
        <v>4502.01</v>
      </c>
      <c r="CE4763" s="345" t="s">
        <v>316</v>
      </c>
      <c r="CL4763" s="1789"/>
      <c r="CR4763" s="345"/>
      <c r="CS4763" s="345"/>
      <c r="DH4763" s="237"/>
      <c r="DI4763" s="237"/>
      <c r="DP4763" s="2505"/>
    </row>
    <row r="4764" spans="30:120">
      <c r="AD4764" s="1138"/>
      <c r="BH4764" s="1790"/>
      <c r="BN4764" s="237">
        <v>218.02</v>
      </c>
      <c r="BO4764" s="237" t="s">
        <v>369</v>
      </c>
      <c r="CD4764" s="345">
        <v>4502.0200000000004</v>
      </c>
      <c r="CE4764" s="345" t="s">
        <v>316</v>
      </c>
      <c r="CL4764" s="1789"/>
      <c r="CR4764" s="345"/>
      <c r="CS4764" s="345"/>
      <c r="DH4764" s="237"/>
      <c r="DI4764" s="237"/>
      <c r="DP4764" s="2505"/>
    </row>
    <row r="4765" spans="30:120">
      <c r="AD4765" s="1138"/>
      <c r="BH4765" s="1790"/>
      <c r="BN4765" s="237">
        <v>218.03</v>
      </c>
      <c r="BO4765" s="237" t="s">
        <v>369</v>
      </c>
      <c r="CD4765" s="345">
        <v>4503.05</v>
      </c>
      <c r="CE4765" s="345" t="s">
        <v>316</v>
      </c>
      <c r="CL4765" s="1789"/>
      <c r="CR4765" s="345"/>
      <c r="CS4765" s="345"/>
      <c r="DH4765" s="237"/>
      <c r="DI4765" s="237"/>
      <c r="DP4765" s="2505"/>
    </row>
    <row r="4766" spans="30:120">
      <c r="AD4766" s="1138"/>
      <c r="BH4766" s="1790"/>
      <c r="BN4766" s="237">
        <v>218.05</v>
      </c>
      <c r="BO4766" s="237" t="s">
        <v>369</v>
      </c>
      <c r="CD4766" s="345">
        <v>4503.0600000000004</v>
      </c>
      <c r="CE4766" s="345" t="s">
        <v>316</v>
      </c>
      <c r="CL4766" s="1789"/>
      <c r="CR4766" s="345"/>
      <c r="CS4766" s="345"/>
      <c r="DH4766" s="237"/>
      <c r="DI4766" s="237"/>
      <c r="DP4766" s="2505"/>
    </row>
    <row r="4767" spans="30:120">
      <c r="AD4767" s="1138"/>
      <c r="BH4767" s="1790"/>
      <c r="BN4767" s="237">
        <v>218.06</v>
      </c>
      <c r="BO4767" s="237" t="s">
        <v>369</v>
      </c>
      <c r="CD4767" s="345">
        <v>4503.07</v>
      </c>
      <c r="CE4767" s="345" t="s">
        <v>316</v>
      </c>
      <c r="CL4767" s="1789"/>
      <c r="CR4767" s="345"/>
      <c r="CS4767" s="345"/>
      <c r="DH4767" s="237"/>
      <c r="DI4767" s="237"/>
      <c r="DP4767" s="2505"/>
    </row>
    <row r="4768" spans="30:120">
      <c r="AD4768" s="1138"/>
      <c r="BH4768" s="1790"/>
      <c r="BN4768" s="237">
        <v>219.01</v>
      </c>
      <c r="BO4768" s="237" t="s">
        <v>369</v>
      </c>
      <c r="CD4768" s="345">
        <v>4503.08</v>
      </c>
      <c r="CE4768" s="345" t="s">
        <v>316</v>
      </c>
      <c r="CL4768" s="1789"/>
      <c r="CR4768" s="345"/>
      <c r="CS4768" s="345"/>
      <c r="DH4768" s="237"/>
      <c r="DI4768" s="237"/>
      <c r="DP4768" s="2505"/>
    </row>
    <row r="4769" spans="30:120">
      <c r="AD4769" s="1138"/>
      <c r="BH4769" s="1790"/>
      <c r="BN4769" s="237">
        <v>219.02</v>
      </c>
      <c r="BO4769" s="237" t="s">
        <v>369</v>
      </c>
      <c r="CD4769" s="345">
        <v>4503.09</v>
      </c>
      <c r="CE4769" s="345" t="s">
        <v>316</v>
      </c>
      <c r="CL4769" s="1789"/>
      <c r="CR4769" s="345"/>
      <c r="CS4769" s="345"/>
      <c r="DH4769" s="237"/>
      <c r="DI4769" s="237"/>
      <c r="DP4769" s="2505"/>
    </row>
    <row r="4770" spans="30:120">
      <c r="AD4770" s="1138"/>
      <c r="BH4770" s="1790"/>
      <c r="BN4770" s="237">
        <v>220.01</v>
      </c>
      <c r="BO4770" s="237" t="s">
        <v>369</v>
      </c>
      <c r="CD4770" s="345">
        <v>4503.1000000000004</v>
      </c>
      <c r="CE4770" s="345" t="s">
        <v>316</v>
      </c>
      <c r="CL4770" s="1789"/>
      <c r="CR4770" s="345"/>
      <c r="CS4770" s="345"/>
      <c r="DH4770" s="237"/>
      <c r="DI4770" s="237"/>
      <c r="DP4770" s="2505"/>
    </row>
    <row r="4771" spans="30:120">
      <c r="AD4771" s="1138"/>
      <c r="BH4771" s="1790"/>
      <c r="BN4771" s="237">
        <v>220.02</v>
      </c>
      <c r="BO4771" s="237" t="s">
        <v>369</v>
      </c>
      <c r="CD4771" s="345">
        <v>4504.01</v>
      </c>
      <c r="CE4771" s="345" t="s">
        <v>316</v>
      </c>
      <c r="CL4771" s="1789"/>
      <c r="CR4771" s="345"/>
      <c r="CS4771" s="345"/>
      <c r="DH4771" s="237"/>
      <c r="DI4771" s="237"/>
      <c r="DP4771" s="2505"/>
    </row>
    <row r="4772" spans="30:120">
      <c r="AD4772" s="1138"/>
      <c r="BH4772" s="1790"/>
      <c r="BN4772" s="237">
        <v>220.04</v>
      </c>
      <c r="BO4772" s="237" t="s">
        <v>369</v>
      </c>
      <c r="CD4772" s="345">
        <v>4504.0200000000004</v>
      </c>
      <c r="CE4772" s="345" t="s">
        <v>316</v>
      </c>
      <c r="CL4772" s="1789"/>
      <c r="CR4772" s="345"/>
      <c r="CS4772" s="345"/>
      <c r="DH4772" s="237"/>
      <c r="DI4772" s="237"/>
      <c r="DP4772" s="2505"/>
    </row>
    <row r="4773" spans="30:120">
      <c r="AD4773" s="1138"/>
      <c r="BH4773" s="1790"/>
      <c r="BN4773" s="237">
        <v>220.06</v>
      </c>
      <c r="BO4773" s="237" t="s">
        <v>369</v>
      </c>
      <c r="CD4773" s="345">
        <v>4505.01</v>
      </c>
      <c r="CE4773" s="345" t="s">
        <v>316</v>
      </c>
      <c r="CL4773" s="1789"/>
      <c r="CR4773" s="345"/>
      <c r="CS4773" s="345"/>
      <c r="DH4773" s="237"/>
      <c r="DI4773" s="237"/>
      <c r="DP4773" s="2505"/>
    </row>
    <row r="4774" spans="30:120">
      <c r="AD4774" s="1138"/>
      <c r="BH4774" s="1790"/>
      <c r="BN4774" s="237">
        <v>220.07</v>
      </c>
      <c r="BO4774" s="237" t="s">
        <v>369</v>
      </c>
      <c r="CD4774" s="345">
        <v>4505.0200000000004</v>
      </c>
      <c r="CE4774" s="345" t="s">
        <v>316</v>
      </c>
      <c r="CL4774" s="1789"/>
      <c r="CR4774" s="345"/>
      <c r="CS4774" s="345"/>
      <c r="DH4774" s="237"/>
      <c r="DI4774" s="237"/>
      <c r="DP4774" s="2505"/>
    </row>
    <row r="4775" spans="30:120">
      <c r="AD4775" s="1138"/>
      <c r="BH4775" s="1790"/>
      <c r="BN4775" s="237">
        <v>221.01</v>
      </c>
      <c r="BO4775" s="237" t="s">
        <v>369</v>
      </c>
      <c r="CD4775" s="345">
        <v>4506.01</v>
      </c>
      <c r="CE4775" s="345" t="s">
        <v>316</v>
      </c>
      <c r="CL4775" s="1789"/>
      <c r="CR4775" s="345"/>
      <c r="CS4775" s="345"/>
      <c r="DH4775" s="237"/>
      <c r="DI4775" s="237"/>
      <c r="DP4775" s="2505"/>
    </row>
    <row r="4776" spans="30:120">
      <c r="AD4776" s="1138"/>
      <c r="BH4776" s="1790"/>
      <c r="BN4776" s="237">
        <v>221.04</v>
      </c>
      <c r="BO4776" s="237" t="s">
        <v>369</v>
      </c>
      <c r="CD4776" s="345">
        <v>4506.0200000000004</v>
      </c>
      <c r="CE4776" s="345" t="s">
        <v>316</v>
      </c>
      <c r="CL4776" s="1789"/>
      <c r="CR4776" s="345"/>
      <c r="CS4776" s="345"/>
      <c r="DH4776" s="237"/>
      <c r="DI4776" s="237"/>
      <c r="DP4776" s="2505"/>
    </row>
    <row r="4777" spans="30:120">
      <c r="AD4777" s="1138"/>
      <c r="BH4777" s="1790"/>
      <c r="BN4777" s="237">
        <v>221.05</v>
      </c>
      <c r="BO4777" s="237" t="s">
        <v>369</v>
      </c>
      <c r="CD4777" s="345">
        <v>4507.03</v>
      </c>
      <c r="CE4777" s="345" t="s">
        <v>316</v>
      </c>
      <c r="CL4777" s="1789"/>
      <c r="CR4777" s="345"/>
      <c r="CS4777" s="345"/>
      <c r="DH4777" s="237"/>
      <c r="DI4777" s="237"/>
      <c r="DP4777" s="2505"/>
    </row>
    <row r="4778" spans="30:120">
      <c r="AD4778" s="1138"/>
      <c r="BH4778" s="1790"/>
      <c r="BN4778" s="237">
        <v>221.06</v>
      </c>
      <c r="BO4778" s="237" t="s">
        <v>369</v>
      </c>
      <c r="CD4778" s="345">
        <v>4507.04</v>
      </c>
      <c r="CE4778" s="345" t="s">
        <v>316</v>
      </c>
      <c r="CL4778" s="1789"/>
      <c r="CR4778" s="345"/>
      <c r="CS4778" s="345"/>
      <c r="DH4778" s="237"/>
      <c r="DI4778" s="237"/>
      <c r="DP4778" s="2505"/>
    </row>
    <row r="4779" spans="30:120">
      <c r="AD4779" s="1138"/>
      <c r="BH4779" s="1790"/>
      <c r="BN4779" s="237">
        <v>222.01</v>
      </c>
      <c r="BO4779" s="237" t="s">
        <v>369</v>
      </c>
      <c r="CD4779" s="345">
        <v>4507.05</v>
      </c>
      <c r="CE4779" s="345" t="s">
        <v>316</v>
      </c>
      <c r="CL4779" s="1789"/>
      <c r="CR4779" s="345"/>
      <c r="CS4779" s="345"/>
      <c r="DH4779" s="237"/>
      <c r="DI4779" s="237"/>
      <c r="DP4779" s="2505"/>
    </row>
    <row r="4780" spans="30:120">
      <c r="AD4780" s="1138"/>
      <c r="BH4780" s="1790"/>
      <c r="BN4780" s="237">
        <v>222.05</v>
      </c>
      <c r="BO4780" s="237" t="s">
        <v>369</v>
      </c>
      <c r="CD4780" s="345">
        <v>4507.0600000000004</v>
      </c>
      <c r="CE4780" s="345" t="s">
        <v>316</v>
      </c>
      <c r="CL4780" s="1789"/>
      <c r="CR4780" s="345"/>
      <c r="CS4780" s="345"/>
      <c r="DH4780" s="237"/>
      <c r="DI4780" s="237"/>
      <c r="DP4780" s="2505"/>
    </row>
    <row r="4781" spans="30:120">
      <c r="AD4781" s="1138"/>
      <c r="BH4781" s="1790"/>
      <c r="BN4781" s="237">
        <v>222.06</v>
      </c>
      <c r="BO4781" s="237" t="s">
        <v>369</v>
      </c>
      <c r="CD4781" s="345">
        <v>4508</v>
      </c>
      <c r="CE4781" s="345" t="s">
        <v>316</v>
      </c>
      <c r="CL4781" s="1789"/>
      <c r="CR4781" s="345"/>
      <c r="CS4781" s="345"/>
      <c r="DH4781" s="237"/>
      <c r="DI4781" s="237"/>
      <c r="DP4781" s="2505"/>
    </row>
    <row r="4782" spans="30:120">
      <c r="AD4782" s="1138"/>
      <c r="BH4782" s="1790"/>
      <c r="BN4782" s="237">
        <v>222.07</v>
      </c>
      <c r="BO4782" s="237" t="s">
        <v>369</v>
      </c>
      <c r="CD4782" s="345">
        <v>4509.01</v>
      </c>
      <c r="CE4782" s="345" t="s">
        <v>316</v>
      </c>
      <c r="CL4782" s="1789"/>
      <c r="CR4782" s="345"/>
      <c r="CS4782" s="345"/>
      <c r="DH4782" s="237"/>
      <c r="DI4782" s="237"/>
      <c r="DP4782" s="2505"/>
    </row>
    <row r="4783" spans="30:120">
      <c r="AD4783" s="1138"/>
      <c r="BH4783" s="1790"/>
      <c r="BN4783" s="237">
        <v>222.08</v>
      </c>
      <c r="BO4783" s="237" t="s">
        <v>369</v>
      </c>
      <c r="CD4783" s="345">
        <v>4509.0200000000004</v>
      </c>
      <c r="CE4783" s="345" t="s">
        <v>316</v>
      </c>
      <c r="CL4783" s="1789"/>
      <c r="CR4783" s="345"/>
      <c r="CS4783" s="345"/>
      <c r="DH4783" s="237"/>
      <c r="DI4783" s="237"/>
      <c r="DP4783" s="2505"/>
    </row>
    <row r="4784" spans="30:120">
      <c r="AD4784" s="1138"/>
      <c r="BH4784" s="1790"/>
      <c r="BN4784" s="237">
        <v>222.09</v>
      </c>
      <c r="BO4784" s="237" t="s">
        <v>369</v>
      </c>
      <c r="CD4784" s="345">
        <v>4510.01</v>
      </c>
      <c r="CE4784" s="345" t="s">
        <v>316</v>
      </c>
      <c r="CL4784" s="1789"/>
      <c r="CR4784" s="345"/>
      <c r="CS4784" s="345"/>
      <c r="DH4784" s="237"/>
      <c r="DI4784" s="237"/>
      <c r="DP4784" s="2505"/>
    </row>
    <row r="4785" spans="30:120">
      <c r="AD4785" s="1138"/>
      <c r="BH4785" s="1790"/>
      <c r="BN4785" s="237">
        <v>9101</v>
      </c>
      <c r="BO4785" s="237" t="s">
        <v>372</v>
      </c>
      <c r="CD4785" s="345">
        <v>4510.0200000000004</v>
      </c>
      <c r="CE4785" s="345" t="s">
        <v>316</v>
      </c>
      <c r="CL4785" s="1789"/>
      <c r="CR4785" s="345"/>
      <c r="CS4785" s="345"/>
      <c r="DH4785" s="237"/>
      <c r="DI4785" s="237"/>
      <c r="DP4785" s="2505"/>
    </row>
    <row r="4786" spans="30:120">
      <c r="AD4786" s="1138"/>
      <c r="BH4786" s="1790"/>
      <c r="BN4786" s="237">
        <v>9103</v>
      </c>
      <c r="BO4786" s="237" t="s">
        <v>372</v>
      </c>
      <c r="CD4786" s="345">
        <v>4511.01</v>
      </c>
      <c r="CE4786" s="345" t="s">
        <v>316</v>
      </c>
      <c r="CL4786" s="1789"/>
      <c r="CR4786" s="345"/>
      <c r="CS4786" s="345"/>
      <c r="DH4786" s="237"/>
      <c r="DI4786" s="237"/>
      <c r="DP4786" s="2505"/>
    </row>
    <row r="4787" spans="30:120">
      <c r="AD4787" s="1138"/>
      <c r="BH4787" s="1790"/>
      <c r="BN4787" s="237">
        <v>9104.01</v>
      </c>
      <c r="BO4787" s="237" t="s">
        <v>372</v>
      </c>
      <c r="CD4787" s="345">
        <v>4511.03</v>
      </c>
      <c r="CE4787" s="345" t="s">
        <v>316</v>
      </c>
      <c r="CL4787" s="1789"/>
      <c r="CR4787" s="345"/>
      <c r="CS4787" s="345"/>
      <c r="DH4787" s="237"/>
      <c r="DI4787" s="237"/>
      <c r="DP4787" s="2505"/>
    </row>
    <row r="4788" spans="30:120">
      <c r="AD4788" s="1138"/>
      <c r="BH4788" s="1790"/>
      <c r="BN4788" s="237">
        <v>9104.02</v>
      </c>
      <c r="BO4788" s="237" t="s">
        <v>372</v>
      </c>
      <c r="CD4788" s="345">
        <v>4511.04</v>
      </c>
      <c r="CE4788" s="345" t="s">
        <v>316</v>
      </c>
      <c r="CL4788" s="1789"/>
      <c r="CR4788" s="345"/>
      <c r="CS4788" s="345"/>
      <c r="DH4788" s="237"/>
      <c r="DI4788" s="237"/>
      <c r="DP4788" s="2505"/>
    </row>
    <row r="4789" spans="30:120">
      <c r="AD4789" s="1138"/>
      <c r="BH4789" s="1790"/>
      <c r="BN4789" s="237">
        <v>9105</v>
      </c>
      <c r="BO4789" s="237" t="s">
        <v>372</v>
      </c>
      <c r="CD4789" s="345">
        <v>4512</v>
      </c>
      <c r="CE4789" s="345" t="s">
        <v>316</v>
      </c>
      <c r="CL4789" s="1789"/>
      <c r="CR4789" s="345"/>
      <c r="CS4789" s="345"/>
      <c r="DH4789" s="237"/>
      <c r="DI4789" s="237"/>
      <c r="DP4789" s="2505"/>
    </row>
    <row r="4790" spans="30:120">
      <c r="AD4790" s="1138"/>
      <c r="BH4790" s="1790"/>
      <c r="BN4790" s="237">
        <v>9106.01</v>
      </c>
      <c r="BO4790" s="237" t="s">
        <v>372</v>
      </c>
      <c r="CD4790" s="345">
        <v>4513</v>
      </c>
      <c r="CE4790" s="345" t="s">
        <v>316</v>
      </c>
      <c r="CL4790" s="1789"/>
      <c r="CR4790" s="345"/>
      <c r="CS4790" s="345"/>
      <c r="DH4790" s="237"/>
      <c r="DI4790" s="237"/>
      <c r="DP4790" s="2505"/>
    </row>
    <row r="4791" spans="30:120">
      <c r="AD4791" s="1138"/>
      <c r="BH4791" s="1790"/>
      <c r="BN4791" s="237">
        <v>9106.02</v>
      </c>
      <c r="BO4791" s="237" t="s">
        <v>372</v>
      </c>
      <c r="CD4791" s="345">
        <v>4514</v>
      </c>
      <c r="CE4791" s="345" t="s">
        <v>316</v>
      </c>
      <c r="CL4791" s="1789"/>
      <c r="CR4791" s="345"/>
      <c r="CS4791" s="345"/>
      <c r="DH4791" s="237"/>
      <c r="DI4791" s="237"/>
      <c r="DP4791" s="2505"/>
    </row>
    <row r="4792" spans="30:120">
      <c r="AD4792" s="1138"/>
      <c r="BH4792" s="1790"/>
      <c r="BN4792" s="237">
        <v>9107.01</v>
      </c>
      <c r="BO4792" s="237" t="s">
        <v>372</v>
      </c>
      <c r="CD4792" s="345">
        <v>4515.01</v>
      </c>
      <c r="CE4792" s="345" t="s">
        <v>316</v>
      </c>
      <c r="CL4792" s="1789"/>
      <c r="CR4792" s="345"/>
      <c r="CS4792" s="345"/>
      <c r="DH4792" s="237"/>
      <c r="DI4792" s="237"/>
      <c r="DP4792" s="2505"/>
    </row>
    <row r="4793" spans="30:120">
      <c r="AD4793" s="1138"/>
      <c r="BH4793" s="1790"/>
      <c r="BN4793" s="237">
        <v>9107.02</v>
      </c>
      <c r="BO4793" s="237" t="s">
        <v>372</v>
      </c>
      <c r="CD4793" s="345">
        <v>4515.0200000000004</v>
      </c>
      <c r="CE4793" s="345" t="s">
        <v>316</v>
      </c>
      <c r="CL4793" s="1789"/>
      <c r="CR4793" s="345"/>
      <c r="CS4793" s="345"/>
      <c r="DH4793" s="237"/>
      <c r="DI4793" s="237"/>
      <c r="DP4793" s="2505"/>
    </row>
    <row r="4794" spans="30:120">
      <c r="AD4794" s="1138"/>
      <c r="BH4794" s="1790"/>
      <c r="BN4794" s="237">
        <v>9108</v>
      </c>
      <c r="BO4794" s="237" t="s">
        <v>372</v>
      </c>
      <c r="CD4794" s="345">
        <v>4516.03</v>
      </c>
      <c r="CE4794" s="345" t="s">
        <v>316</v>
      </c>
      <c r="CL4794" s="1789"/>
      <c r="CR4794" s="345"/>
      <c r="CS4794" s="345"/>
      <c r="DH4794" s="237"/>
      <c r="DI4794" s="237"/>
      <c r="DP4794" s="2505"/>
    </row>
    <row r="4795" spans="30:120">
      <c r="AD4795" s="1138"/>
      <c r="BH4795" s="1790"/>
      <c r="BN4795" s="237">
        <v>9110</v>
      </c>
      <c r="BO4795" s="237" t="s">
        <v>372</v>
      </c>
      <c r="CD4795" s="345">
        <v>4516.04</v>
      </c>
      <c r="CE4795" s="345" t="s">
        <v>316</v>
      </c>
      <c r="CL4795" s="1789"/>
      <c r="CR4795" s="345"/>
      <c r="CS4795" s="345"/>
      <c r="DH4795" s="237"/>
      <c r="DI4795" s="237"/>
      <c r="DP4795" s="2505"/>
    </row>
    <row r="4796" spans="30:120">
      <c r="AD4796" s="1138"/>
      <c r="BH4796" s="1790"/>
      <c r="BN4796" s="237">
        <v>9112.01</v>
      </c>
      <c r="BO4796" s="237" t="s">
        <v>372</v>
      </c>
      <c r="CD4796" s="345">
        <v>4516.05</v>
      </c>
      <c r="CE4796" s="345" t="s">
        <v>316</v>
      </c>
      <c r="CL4796" s="1789"/>
      <c r="CR4796" s="345"/>
      <c r="CS4796" s="345"/>
      <c r="DH4796" s="237"/>
      <c r="DI4796" s="237"/>
      <c r="DP4796" s="2505"/>
    </row>
    <row r="4797" spans="30:120">
      <c r="AD4797" s="1138"/>
      <c r="BH4797" s="1790"/>
      <c r="BN4797" s="237">
        <v>9112.02</v>
      </c>
      <c r="BO4797" s="237" t="s">
        <v>372</v>
      </c>
      <c r="CD4797" s="345">
        <v>4516.0600000000004</v>
      </c>
      <c r="CE4797" s="345" t="s">
        <v>316</v>
      </c>
      <c r="CL4797" s="1789"/>
      <c r="CR4797" s="345"/>
      <c r="CS4797" s="345"/>
      <c r="DH4797" s="237"/>
      <c r="DI4797" s="237"/>
      <c r="DP4797" s="2505"/>
    </row>
    <row r="4798" spans="30:120">
      <c r="AD4798" s="1138"/>
      <c r="BH4798" s="1790"/>
      <c r="BN4798" s="237">
        <v>9112.0300000000007</v>
      </c>
      <c r="BO4798" s="237" t="s">
        <v>372</v>
      </c>
      <c r="CD4798" s="345">
        <v>4517.01</v>
      </c>
      <c r="CE4798" s="345" t="s">
        <v>316</v>
      </c>
      <c r="CL4798" s="1789"/>
      <c r="CR4798" s="345"/>
      <c r="CS4798" s="345"/>
      <c r="DH4798" s="237"/>
      <c r="DI4798" s="237"/>
      <c r="DP4798" s="2505"/>
    </row>
    <row r="4799" spans="30:120">
      <c r="AD4799" s="1138"/>
      <c r="BH4799" s="1790"/>
      <c r="BN4799" s="237">
        <v>9112.0400000000009</v>
      </c>
      <c r="BO4799" s="237" t="s">
        <v>372</v>
      </c>
      <c r="CD4799" s="345">
        <v>4517.0200000000004</v>
      </c>
      <c r="CE4799" s="345" t="s">
        <v>316</v>
      </c>
      <c r="CL4799" s="1789"/>
      <c r="CR4799" s="345"/>
      <c r="CS4799" s="345"/>
      <c r="DH4799" s="237"/>
      <c r="DI4799" s="237"/>
      <c r="DP4799" s="2505"/>
    </row>
    <row r="4800" spans="30:120">
      <c r="AD4800" s="1138"/>
      <c r="BH4800" s="1790"/>
      <c r="BN4800" s="237">
        <v>9112.0499999999993</v>
      </c>
      <c r="BO4800" s="237" t="s">
        <v>372</v>
      </c>
      <c r="CD4800" s="237">
        <v>4901</v>
      </c>
      <c r="CE4800" s="237" t="s">
        <v>352</v>
      </c>
      <c r="CL4800" s="1789"/>
      <c r="CR4800" s="345"/>
      <c r="CS4800" s="345"/>
      <c r="DH4800" s="237"/>
      <c r="DI4800" s="237"/>
      <c r="DP4800" s="2505"/>
    </row>
    <row r="4801" spans="30:120">
      <c r="AD4801" s="1138"/>
      <c r="BH4801" s="1790"/>
      <c r="BN4801" s="237">
        <v>9112.06</v>
      </c>
      <c r="BO4801" s="237" t="s">
        <v>372</v>
      </c>
      <c r="CD4801" s="237">
        <v>9101</v>
      </c>
      <c r="CE4801" s="237" t="s">
        <v>372</v>
      </c>
      <c r="CL4801" s="1789"/>
      <c r="CR4801" s="345"/>
      <c r="CS4801" s="345"/>
      <c r="DH4801" s="237"/>
      <c r="DI4801" s="237"/>
      <c r="DP4801" s="2505"/>
    </row>
    <row r="4802" spans="30:120">
      <c r="AD4802" s="1138"/>
      <c r="BH4802" s="1790"/>
      <c r="BN4802" s="237">
        <v>9112.07</v>
      </c>
      <c r="BO4802" s="237" t="s">
        <v>372</v>
      </c>
      <c r="CD4802" s="237">
        <v>9103</v>
      </c>
      <c r="CE4802" s="237" t="s">
        <v>372</v>
      </c>
      <c r="CL4802" s="1789"/>
      <c r="CR4802" s="345"/>
      <c r="CS4802" s="345"/>
      <c r="DH4802" s="237"/>
      <c r="DI4802" s="237"/>
      <c r="DP4802" s="2505"/>
    </row>
    <row r="4803" spans="30:120">
      <c r="AD4803" s="1138"/>
      <c r="BH4803" s="1790"/>
      <c r="BN4803" s="237">
        <v>9113.01</v>
      </c>
      <c r="BO4803" s="237" t="s">
        <v>372</v>
      </c>
      <c r="CD4803" s="237">
        <v>9104.01</v>
      </c>
      <c r="CE4803" s="237" t="s">
        <v>372</v>
      </c>
      <c r="CL4803" s="1789"/>
      <c r="CR4803" s="345"/>
      <c r="CS4803" s="345"/>
      <c r="DH4803" s="237"/>
      <c r="DI4803" s="237"/>
      <c r="DP4803" s="2505"/>
    </row>
    <row r="4804" spans="30:120">
      <c r="AD4804" s="1138"/>
      <c r="BH4804" s="1790"/>
      <c r="BN4804" s="237">
        <v>9113.02</v>
      </c>
      <c r="BO4804" s="237" t="s">
        <v>372</v>
      </c>
      <c r="CD4804" s="237">
        <v>9104.02</v>
      </c>
      <c r="CE4804" s="237" t="s">
        <v>372</v>
      </c>
      <c r="CL4804" s="1789"/>
      <c r="CR4804" s="345"/>
      <c r="CS4804" s="345"/>
      <c r="DH4804" s="237"/>
      <c r="DI4804" s="237"/>
      <c r="DP4804" s="2505"/>
    </row>
    <row r="4805" spans="30:120">
      <c r="AD4805" s="1138"/>
      <c r="BH4805" s="1790"/>
      <c r="BN4805" s="237">
        <v>9114.01</v>
      </c>
      <c r="BO4805" s="237" t="s">
        <v>372</v>
      </c>
      <c r="CD4805" s="237">
        <v>9105</v>
      </c>
      <c r="CE4805" s="237" t="s">
        <v>372</v>
      </c>
      <c r="CL4805" s="1789"/>
      <c r="CR4805" s="345"/>
      <c r="CS4805" s="345"/>
      <c r="DH4805" s="237"/>
      <c r="DI4805" s="237"/>
      <c r="DP4805" s="2505"/>
    </row>
    <row r="4806" spans="30:120">
      <c r="AD4806" s="1138"/>
      <c r="BH4806" s="1790"/>
      <c r="BN4806" s="237">
        <v>9114.02</v>
      </c>
      <c r="BO4806" s="237" t="s">
        <v>372</v>
      </c>
      <c r="CD4806" s="237">
        <v>9106.01</v>
      </c>
      <c r="CE4806" s="237" t="s">
        <v>372</v>
      </c>
      <c r="CL4806" s="1789"/>
      <c r="CR4806" s="345"/>
      <c r="CS4806" s="345"/>
      <c r="DH4806" s="237"/>
      <c r="DI4806" s="237"/>
      <c r="DP4806" s="2505"/>
    </row>
    <row r="4807" spans="30:120">
      <c r="AD4807" s="1138"/>
      <c r="BH4807" s="1790"/>
      <c r="BN4807" s="237">
        <v>9115</v>
      </c>
      <c r="BO4807" s="237" t="s">
        <v>372</v>
      </c>
      <c r="CD4807" s="237">
        <v>9106.02</v>
      </c>
      <c r="CE4807" s="237" t="s">
        <v>372</v>
      </c>
      <c r="CL4807" s="1789"/>
      <c r="CR4807" s="345"/>
      <c r="CS4807" s="345"/>
      <c r="DH4807" s="237"/>
      <c r="DI4807" s="237"/>
      <c r="DP4807" s="2505"/>
    </row>
    <row r="4808" spans="30:120">
      <c r="AD4808" s="1138"/>
      <c r="BH4808" s="1790"/>
      <c r="BN4808" s="237">
        <v>9117.02</v>
      </c>
      <c r="BO4808" s="237" t="s">
        <v>372</v>
      </c>
      <c r="CD4808" s="237">
        <v>9107.01</v>
      </c>
      <c r="CE4808" s="237" t="s">
        <v>372</v>
      </c>
      <c r="CL4808" s="1789"/>
      <c r="CR4808" s="345"/>
      <c r="CS4808" s="345"/>
      <c r="DH4808" s="237"/>
      <c r="DI4808" s="237"/>
      <c r="DP4808" s="2505"/>
    </row>
    <row r="4809" spans="30:120">
      <c r="AD4809" s="1138"/>
      <c r="BH4809" s="1790"/>
      <c r="BN4809" s="237">
        <v>9117.0300000000007</v>
      </c>
      <c r="BO4809" s="237" t="s">
        <v>372</v>
      </c>
      <c r="CD4809" s="237">
        <v>9107.02</v>
      </c>
      <c r="CE4809" s="237" t="s">
        <v>372</v>
      </c>
      <c r="CL4809" s="1789"/>
      <c r="CR4809" s="345"/>
      <c r="CS4809" s="345"/>
      <c r="DH4809" s="237"/>
      <c r="DI4809" s="237"/>
      <c r="DP4809" s="2505"/>
    </row>
    <row r="4810" spans="30:120">
      <c r="AD4810" s="1138"/>
      <c r="BH4810" s="1790"/>
      <c r="BN4810" s="237">
        <v>9117.0400000000009</v>
      </c>
      <c r="BO4810" s="237" t="s">
        <v>372</v>
      </c>
      <c r="CD4810" s="237">
        <v>9108</v>
      </c>
      <c r="CE4810" s="237" t="s">
        <v>372</v>
      </c>
      <c r="CL4810" s="1789"/>
      <c r="CR4810" s="345"/>
      <c r="CS4810" s="345"/>
      <c r="DH4810" s="237"/>
      <c r="DI4810" s="237"/>
      <c r="DP4810" s="2505"/>
    </row>
    <row r="4811" spans="30:120">
      <c r="AD4811" s="1138"/>
      <c r="BH4811" s="1790"/>
      <c r="BN4811" s="237">
        <v>9800</v>
      </c>
      <c r="BO4811" s="237" t="s">
        <v>372</v>
      </c>
      <c r="CD4811" s="237">
        <v>9110</v>
      </c>
      <c r="CE4811" s="237" t="s">
        <v>372</v>
      </c>
      <c r="CL4811" s="1789"/>
      <c r="CR4811" s="345"/>
      <c r="CS4811" s="345"/>
      <c r="DH4811" s="237"/>
      <c r="DI4811" s="237"/>
      <c r="DP4811" s="2505"/>
    </row>
    <row r="4812" spans="30:120">
      <c r="AD4812" s="1138"/>
      <c r="BH4812" s="1790"/>
      <c r="BN4812" s="237">
        <v>9801</v>
      </c>
      <c r="BO4812" s="237" t="s">
        <v>372</v>
      </c>
      <c r="CD4812" s="237">
        <v>9112.01</v>
      </c>
      <c r="CE4812" s="237" t="s">
        <v>372</v>
      </c>
      <c r="CL4812" s="1789"/>
      <c r="CR4812" s="345"/>
      <c r="CS4812" s="345"/>
      <c r="DH4812" s="237"/>
      <c r="DI4812" s="237"/>
      <c r="DP4812" s="2505"/>
    </row>
    <row r="4813" spans="30:120">
      <c r="AD4813" s="1138"/>
      <c r="BH4813" s="1790"/>
      <c r="BN4813" s="237">
        <v>801.01</v>
      </c>
      <c r="BO4813" s="237" t="s">
        <v>376</v>
      </c>
      <c r="CD4813" s="237">
        <v>9112.02</v>
      </c>
      <c r="CE4813" s="237" t="s">
        <v>372</v>
      </c>
      <c r="CL4813" s="1789"/>
      <c r="CR4813" s="345"/>
      <c r="CS4813" s="345"/>
      <c r="DH4813" s="237"/>
      <c r="DI4813" s="237"/>
      <c r="DP4813" s="2505"/>
    </row>
    <row r="4814" spans="30:120">
      <c r="AD4814" s="1138"/>
      <c r="BH4814" s="1790"/>
      <c r="BN4814" s="237">
        <v>801.02</v>
      </c>
      <c r="BO4814" s="237" t="s">
        <v>376</v>
      </c>
      <c r="CD4814" s="237">
        <v>9112.0300000000007</v>
      </c>
      <c r="CE4814" s="237" t="s">
        <v>372</v>
      </c>
      <c r="CL4814" s="1789"/>
      <c r="CR4814" s="345"/>
      <c r="CS4814" s="345"/>
      <c r="DH4814" s="237"/>
      <c r="DI4814" s="237"/>
      <c r="DP4814" s="2505"/>
    </row>
    <row r="4815" spans="30:120">
      <c r="AD4815" s="1138"/>
      <c r="BH4815" s="1790"/>
      <c r="BN4815" s="237">
        <v>802.01</v>
      </c>
      <c r="BO4815" s="237" t="s">
        <v>376</v>
      </c>
      <c r="CD4815" s="237">
        <v>9112.0400000000009</v>
      </c>
      <c r="CE4815" s="237" t="s">
        <v>372</v>
      </c>
      <c r="CL4815" s="1789"/>
      <c r="CR4815" s="345"/>
      <c r="CS4815" s="345"/>
      <c r="DH4815" s="237"/>
      <c r="DI4815" s="237"/>
      <c r="DP4815" s="2505"/>
    </row>
    <row r="4816" spans="30:120">
      <c r="AD4816" s="1138"/>
      <c r="BH4816" s="1790"/>
      <c r="BN4816" s="237">
        <v>802.02</v>
      </c>
      <c r="BO4816" s="237" t="s">
        <v>376</v>
      </c>
      <c r="CD4816" s="237">
        <v>9112.0499999999993</v>
      </c>
      <c r="CE4816" s="237" t="s">
        <v>372</v>
      </c>
      <c r="CL4816" s="1789"/>
      <c r="CR4816" s="345"/>
      <c r="CS4816" s="345"/>
      <c r="DH4816" s="237"/>
      <c r="DI4816" s="237"/>
      <c r="DP4816" s="2505"/>
    </row>
    <row r="4817" spans="30:120">
      <c r="AD4817" s="1138"/>
      <c r="BH4817" s="1790"/>
      <c r="BN4817" s="237">
        <v>803</v>
      </c>
      <c r="BO4817" s="237" t="s">
        <v>376</v>
      </c>
      <c r="CD4817" s="237">
        <v>9112.06</v>
      </c>
      <c r="CE4817" s="237" t="s">
        <v>372</v>
      </c>
      <c r="CL4817" s="1789"/>
      <c r="CR4817" s="345"/>
      <c r="CS4817" s="345"/>
      <c r="DH4817" s="237"/>
      <c r="DI4817" s="237"/>
      <c r="DP4817" s="2505"/>
    </row>
    <row r="4818" spans="30:120">
      <c r="AD4818" s="1138"/>
      <c r="BH4818" s="1790"/>
      <c r="BN4818" s="237">
        <v>804</v>
      </c>
      <c r="BO4818" s="237" t="s">
        <v>376</v>
      </c>
      <c r="CD4818" s="237">
        <v>9112.07</v>
      </c>
      <c r="CE4818" s="237" t="s">
        <v>372</v>
      </c>
      <c r="CL4818" s="1789"/>
      <c r="CR4818" s="345"/>
      <c r="CS4818" s="345"/>
      <c r="DH4818" s="237"/>
      <c r="DI4818" s="237"/>
      <c r="DP4818" s="2505"/>
    </row>
    <row r="4819" spans="30:120">
      <c r="AD4819" s="1138"/>
      <c r="BH4819" s="1790"/>
      <c r="BN4819" s="237">
        <v>805</v>
      </c>
      <c r="BO4819" s="237" t="s">
        <v>376</v>
      </c>
      <c r="CD4819" s="237">
        <v>9113.01</v>
      </c>
      <c r="CE4819" s="237" t="s">
        <v>372</v>
      </c>
      <c r="CL4819" s="1789"/>
      <c r="CR4819" s="345"/>
      <c r="CS4819" s="345"/>
      <c r="DH4819" s="237"/>
      <c r="DI4819" s="237"/>
      <c r="DP4819" s="2505"/>
    </row>
    <row r="4820" spans="30:120">
      <c r="AD4820" s="1138"/>
      <c r="BH4820" s="1790"/>
      <c r="BN4820" s="237">
        <v>806</v>
      </c>
      <c r="BO4820" s="237" t="s">
        <v>376</v>
      </c>
      <c r="CD4820" s="237">
        <v>9113.02</v>
      </c>
      <c r="CE4820" s="237" t="s">
        <v>372</v>
      </c>
      <c r="CL4820" s="1789"/>
      <c r="CR4820" s="345"/>
      <c r="CS4820" s="345"/>
      <c r="DH4820" s="237"/>
      <c r="DI4820" s="237"/>
      <c r="DP4820" s="2505"/>
    </row>
    <row r="4821" spans="30:120">
      <c r="AD4821" s="1138"/>
      <c r="BH4821" s="1790"/>
      <c r="BN4821" s="237">
        <v>807</v>
      </c>
      <c r="BO4821" s="237" t="s">
        <v>376</v>
      </c>
      <c r="CD4821" s="237">
        <v>9114.01</v>
      </c>
      <c r="CE4821" s="237" t="s">
        <v>372</v>
      </c>
      <c r="CL4821" s="1789"/>
      <c r="CR4821" s="345"/>
      <c r="CS4821" s="345"/>
      <c r="DH4821" s="237"/>
      <c r="DI4821" s="237"/>
      <c r="DP4821" s="2505"/>
    </row>
    <row r="4822" spans="30:120">
      <c r="AD4822" s="1138"/>
      <c r="BH4822" s="1790"/>
      <c r="BN4822" s="237">
        <v>808.03</v>
      </c>
      <c r="BO4822" s="237" t="s">
        <v>376</v>
      </c>
      <c r="CD4822" s="237">
        <v>9114.02</v>
      </c>
      <c r="CE4822" s="237" t="s">
        <v>372</v>
      </c>
      <c r="CL4822" s="1789"/>
      <c r="CR4822" s="345"/>
      <c r="CS4822" s="345"/>
      <c r="DH4822" s="237"/>
      <c r="DI4822" s="237"/>
      <c r="DP4822" s="2505"/>
    </row>
    <row r="4823" spans="30:120">
      <c r="AD4823" s="1138"/>
      <c r="BH4823" s="1790"/>
      <c r="BN4823" s="237">
        <v>808.05</v>
      </c>
      <c r="BO4823" s="237" t="s">
        <v>376</v>
      </c>
      <c r="CD4823" s="237">
        <v>9115</v>
      </c>
      <c r="CE4823" s="237" t="s">
        <v>372</v>
      </c>
      <c r="CL4823" s="1789"/>
      <c r="CR4823" s="345"/>
      <c r="CS4823" s="345"/>
      <c r="DH4823" s="237"/>
      <c r="DI4823" s="237"/>
      <c r="DP4823" s="2505"/>
    </row>
    <row r="4824" spans="30:120">
      <c r="AD4824" s="1138"/>
      <c r="BH4824" s="1790"/>
      <c r="BN4824" s="237">
        <v>808.06</v>
      </c>
      <c r="BO4824" s="237" t="s">
        <v>376</v>
      </c>
      <c r="CD4824" s="237">
        <v>9117.02</v>
      </c>
      <c r="CE4824" s="237" t="s">
        <v>372</v>
      </c>
      <c r="CL4824" s="1789"/>
      <c r="CR4824" s="345"/>
      <c r="CS4824" s="345"/>
      <c r="DH4824" s="237"/>
      <c r="DI4824" s="237"/>
      <c r="DP4824" s="2505"/>
    </row>
    <row r="4825" spans="30:120">
      <c r="AD4825" s="1138"/>
      <c r="BH4825" s="1790"/>
      <c r="BN4825" s="237">
        <v>808.07</v>
      </c>
      <c r="BO4825" s="237" t="s">
        <v>376</v>
      </c>
      <c r="CD4825" s="237">
        <v>9117.0300000000007</v>
      </c>
      <c r="CE4825" s="237" t="s">
        <v>372</v>
      </c>
      <c r="CL4825" s="1789"/>
      <c r="CR4825" s="345"/>
      <c r="CS4825" s="345"/>
      <c r="DH4825" s="237"/>
      <c r="DI4825" s="237"/>
      <c r="DP4825" s="2505"/>
    </row>
    <row r="4826" spans="30:120">
      <c r="AD4826" s="1138"/>
      <c r="BH4826" s="1790"/>
      <c r="BN4826" s="237">
        <v>808.08</v>
      </c>
      <c r="BO4826" s="237" t="s">
        <v>376</v>
      </c>
      <c r="CD4826" s="237">
        <v>9117.0400000000009</v>
      </c>
      <c r="CE4826" s="237" t="s">
        <v>372</v>
      </c>
      <c r="CL4826" s="1789"/>
      <c r="CR4826" s="345"/>
      <c r="CS4826" s="345"/>
      <c r="DH4826" s="237"/>
      <c r="DI4826" s="237"/>
      <c r="DP4826" s="2505"/>
    </row>
    <row r="4827" spans="30:120">
      <c r="AD4827" s="1138"/>
      <c r="BH4827" s="1790"/>
      <c r="BN4827" s="237">
        <v>808.09</v>
      </c>
      <c r="BO4827" s="237" t="s">
        <v>376</v>
      </c>
      <c r="CD4827" s="237">
        <v>9501</v>
      </c>
      <c r="CE4827" s="237" t="s">
        <v>329</v>
      </c>
      <c r="CL4827" s="1789"/>
      <c r="CR4827" s="345"/>
      <c r="CS4827" s="345"/>
      <c r="DH4827" s="237"/>
      <c r="DI4827" s="237"/>
      <c r="DP4827" s="2505"/>
    </row>
    <row r="4828" spans="30:120">
      <c r="AD4828" s="1138"/>
      <c r="BH4828" s="1790"/>
      <c r="BN4828" s="237">
        <v>809.01</v>
      </c>
      <c r="BO4828" s="237" t="s">
        <v>376</v>
      </c>
      <c r="CD4828" s="237">
        <v>9501.02</v>
      </c>
      <c r="CE4828" s="237" t="s">
        <v>378</v>
      </c>
      <c r="CL4828" s="1789"/>
      <c r="CR4828" s="345"/>
      <c r="CS4828" s="345"/>
      <c r="DH4828" s="237"/>
      <c r="DI4828" s="237"/>
      <c r="DP4828" s="2505"/>
    </row>
    <row r="4829" spans="30:120">
      <c r="AD4829" s="1138"/>
      <c r="BH4829" s="1790"/>
      <c r="BN4829" s="237">
        <v>809.02</v>
      </c>
      <c r="BO4829" s="237" t="s">
        <v>376</v>
      </c>
      <c r="CD4829" s="237">
        <v>9501.0300000000007</v>
      </c>
      <c r="CE4829" s="237" t="s">
        <v>378</v>
      </c>
      <c r="CL4829" s="1789"/>
      <c r="CR4829" s="345"/>
      <c r="CS4829" s="345"/>
      <c r="DH4829" s="237"/>
      <c r="DI4829" s="237"/>
      <c r="DP4829" s="2505"/>
    </row>
    <row r="4830" spans="30:120">
      <c r="AD4830" s="1138"/>
      <c r="BH4830" s="1790"/>
      <c r="BN4830" s="237">
        <v>810.01</v>
      </c>
      <c r="BO4830" s="237" t="s">
        <v>376</v>
      </c>
      <c r="CD4830" s="237">
        <v>9501.0400000000009</v>
      </c>
      <c r="CE4830" s="237" t="s">
        <v>378</v>
      </c>
      <c r="CL4830" s="1789"/>
      <c r="CR4830" s="345"/>
      <c r="CS4830" s="345"/>
      <c r="DH4830" s="237"/>
      <c r="DI4830" s="237"/>
      <c r="DP4830" s="2505"/>
    </row>
    <row r="4831" spans="30:120">
      <c r="AD4831" s="1138"/>
      <c r="BH4831" s="1790"/>
      <c r="BN4831" s="237">
        <v>810.02</v>
      </c>
      <c r="BO4831" s="237" t="s">
        <v>376</v>
      </c>
      <c r="CD4831" s="237">
        <v>9502.01</v>
      </c>
      <c r="CE4831" s="237" t="s">
        <v>329</v>
      </c>
      <c r="CL4831" s="1789"/>
      <c r="CR4831" s="345"/>
      <c r="CS4831" s="345"/>
      <c r="DH4831" s="237"/>
      <c r="DI4831" s="237"/>
      <c r="DP4831" s="2505"/>
    </row>
    <row r="4832" spans="30:120">
      <c r="AD4832" s="1138"/>
      <c r="BH4832" s="1790"/>
      <c r="BN4832" s="237">
        <v>811.01</v>
      </c>
      <c r="BO4832" s="237" t="s">
        <v>376</v>
      </c>
      <c r="CD4832" s="237">
        <v>9502.01</v>
      </c>
      <c r="CE4832" s="237" t="s">
        <v>378</v>
      </c>
      <c r="CL4832" s="1789"/>
      <c r="CR4832" s="345"/>
      <c r="CS4832" s="345"/>
      <c r="DH4832" s="237"/>
      <c r="DI4832" s="237"/>
      <c r="DP4832" s="2505"/>
    </row>
    <row r="4833" spans="30:120">
      <c r="AD4833" s="1138"/>
      <c r="BH4833" s="1790"/>
      <c r="BN4833" s="237">
        <v>811.02</v>
      </c>
      <c r="BO4833" s="237" t="s">
        <v>376</v>
      </c>
      <c r="CD4833" s="237">
        <v>9502.02</v>
      </c>
      <c r="CE4833" s="237" t="s">
        <v>329</v>
      </c>
      <c r="CL4833" s="1789"/>
      <c r="CR4833" s="345"/>
      <c r="CS4833" s="345"/>
      <c r="DH4833" s="237"/>
      <c r="DI4833" s="237"/>
      <c r="DP4833" s="2505"/>
    </row>
    <row r="4834" spans="30:120">
      <c r="AD4834" s="1138"/>
      <c r="BH4834" s="1790"/>
      <c r="BN4834" s="237">
        <v>812.01</v>
      </c>
      <c r="BO4834" s="237" t="s">
        <v>376</v>
      </c>
      <c r="CD4834" s="237">
        <v>9502.02</v>
      </c>
      <c r="CE4834" s="237" t="s">
        <v>378</v>
      </c>
      <c r="CL4834" s="1789"/>
      <c r="CR4834" s="345"/>
      <c r="CS4834" s="345"/>
      <c r="DH4834" s="237"/>
      <c r="DI4834" s="237"/>
      <c r="DP4834" s="2505"/>
    </row>
    <row r="4835" spans="30:120">
      <c r="AD4835" s="1138"/>
      <c r="BH4835" s="1790"/>
      <c r="BN4835" s="237">
        <v>812.02</v>
      </c>
      <c r="BO4835" s="237" t="s">
        <v>376</v>
      </c>
      <c r="CD4835" s="237">
        <v>9502.0300000000007</v>
      </c>
      <c r="CE4835" s="237" t="s">
        <v>329</v>
      </c>
      <c r="CL4835" s="1789"/>
      <c r="CR4835" s="345"/>
      <c r="CS4835" s="345"/>
      <c r="DH4835" s="237"/>
      <c r="DI4835" s="237"/>
      <c r="DP4835" s="2505"/>
    </row>
    <row r="4836" spans="30:120">
      <c r="AD4836" s="1138"/>
      <c r="BH4836" s="1790"/>
      <c r="BN4836" s="237">
        <v>813</v>
      </c>
      <c r="BO4836" s="237" t="s">
        <v>376</v>
      </c>
      <c r="CD4836" s="237">
        <v>9502.0400000000009</v>
      </c>
      <c r="CE4836" s="237" t="s">
        <v>329</v>
      </c>
      <c r="CL4836" s="1789"/>
      <c r="CR4836" s="345"/>
      <c r="CS4836" s="345"/>
      <c r="DH4836" s="237"/>
      <c r="DI4836" s="237"/>
      <c r="DP4836" s="2505"/>
    </row>
    <row r="4837" spans="30:120">
      <c r="AD4837" s="1138"/>
      <c r="BH4837" s="1790"/>
      <c r="BN4837" s="237">
        <v>815</v>
      </c>
      <c r="BO4837" s="237" t="s">
        <v>376</v>
      </c>
      <c r="CD4837" s="237">
        <v>9503.0300000000007</v>
      </c>
      <c r="CE4837" s="237" t="s">
        <v>378</v>
      </c>
      <c r="CL4837" s="1789"/>
      <c r="CR4837" s="345"/>
      <c r="CS4837" s="345"/>
      <c r="DH4837" s="237"/>
      <c r="DI4837" s="237"/>
      <c r="DP4837" s="2505"/>
    </row>
    <row r="4838" spans="30:120">
      <c r="AD4838" s="1138"/>
      <c r="BH4838" s="1790"/>
      <c r="BN4838" s="237">
        <v>816</v>
      </c>
      <c r="BO4838" s="237" t="s">
        <v>376</v>
      </c>
      <c r="CD4838" s="237">
        <v>9503.0400000000009</v>
      </c>
      <c r="CE4838" s="237" t="s">
        <v>378</v>
      </c>
      <c r="CL4838" s="1789"/>
      <c r="CR4838" s="345"/>
      <c r="CS4838" s="345"/>
      <c r="DH4838" s="237"/>
      <c r="DI4838" s="237"/>
      <c r="DP4838" s="2505"/>
    </row>
    <row r="4839" spans="30:120">
      <c r="AD4839" s="1138"/>
      <c r="BH4839" s="1790"/>
      <c r="BN4839" s="237">
        <v>817.01</v>
      </c>
      <c r="BO4839" s="237" t="s">
        <v>376</v>
      </c>
      <c r="CD4839" s="237">
        <v>9503.0499999999993</v>
      </c>
      <c r="CE4839" s="237" t="s">
        <v>378</v>
      </c>
      <c r="CL4839" s="1789"/>
      <c r="CR4839" s="345"/>
      <c r="CS4839" s="345"/>
      <c r="DH4839" s="237"/>
      <c r="DI4839" s="237"/>
      <c r="DP4839" s="2505"/>
    </row>
    <row r="4840" spans="30:120">
      <c r="AD4840" s="1138"/>
      <c r="BH4840" s="1790"/>
      <c r="BN4840" s="237">
        <v>817.02</v>
      </c>
      <c r="BO4840" s="237" t="s">
        <v>376</v>
      </c>
      <c r="CD4840" s="237">
        <v>9503.06</v>
      </c>
      <c r="CE4840" s="237" t="s">
        <v>378</v>
      </c>
      <c r="CL4840" s="1789"/>
      <c r="CR4840" s="345"/>
      <c r="CS4840" s="345"/>
      <c r="DH4840" s="237"/>
      <c r="DI4840" s="237"/>
      <c r="DP4840" s="2505"/>
    </row>
    <row r="4841" spans="30:120">
      <c r="AD4841" s="1138"/>
      <c r="BH4841" s="1790"/>
      <c r="BN4841" s="237">
        <v>818</v>
      </c>
      <c r="BO4841" s="237" t="s">
        <v>376</v>
      </c>
      <c r="CD4841" s="237">
        <v>9504</v>
      </c>
      <c r="CE4841" s="237" t="s">
        <v>378</v>
      </c>
      <c r="CL4841" s="1789"/>
      <c r="CR4841" s="345"/>
      <c r="CS4841" s="345"/>
      <c r="DH4841" s="237"/>
      <c r="DI4841" s="237"/>
      <c r="DP4841" s="2505"/>
    </row>
    <row r="4842" spans="30:120">
      <c r="AD4842" s="1138"/>
      <c r="BH4842" s="1790"/>
      <c r="BN4842" s="237">
        <v>819</v>
      </c>
      <c r="BO4842" s="237" t="s">
        <v>376</v>
      </c>
      <c r="CD4842" s="237">
        <v>9505.01</v>
      </c>
      <c r="CE4842" s="237" t="s">
        <v>378</v>
      </c>
      <c r="CL4842" s="1789"/>
      <c r="CR4842" s="345"/>
      <c r="CS4842" s="345"/>
      <c r="DH4842" s="237"/>
      <c r="DI4842" s="237"/>
      <c r="DP4842" s="2505"/>
    </row>
    <row r="4843" spans="30:120">
      <c r="AD4843" s="1138"/>
      <c r="BH4843" s="1790"/>
      <c r="BN4843" s="237">
        <v>820</v>
      </c>
      <c r="BO4843" s="237" t="s">
        <v>376</v>
      </c>
      <c r="CD4843" s="237">
        <v>9505.02</v>
      </c>
      <c r="CE4843" s="237" t="s">
        <v>378</v>
      </c>
      <c r="CL4843" s="1789"/>
      <c r="CR4843" s="345"/>
      <c r="CS4843" s="345"/>
      <c r="DH4843" s="237"/>
      <c r="DI4843" s="237"/>
      <c r="DP4843" s="2505"/>
    </row>
    <row r="4844" spans="30:120">
      <c r="AD4844" s="1138"/>
      <c r="BH4844" s="1790"/>
      <c r="BN4844" s="237">
        <v>821</v>
      </c>
      <c r="BO4844" s="237" t="s">
        <v>376</v>
      </c>
      <c r="CD4844" s="237">
        <v>9506.0400000000009</v>
      </c>
      <c r="CE4844" s="237" t="s">
        <v>378</v>
      </c>
      <c r="CL4844" s="1789"/>
      <c r="CR4844" s="345"/>
      <c r="CS4844" s="345"/>
      <c r="DH4844" s="237"/>
      <c r="DI4844" s="237"/>
      <c r="DP4844" s="2505"/>
    </row>
    <row r="4845" spans="30:120">
      <c r="AD4845" s="1138"/>
      <c r="BH4845" s="1790"/>
      <c r="BN4845" s="237">
        <v>822.01</v>
      </c>
      <c r="BO4845" s="237" t="s">
        <v>376</v>
      </c>
      <c r="CD4845" s="237">
        <v>9506.0499999999993</v>
      </c>
      <c r="CE4845" s="237" t="s">
        <v>378</v>
      </c>
      <c r="CL4845" s="1789"/>
      <c r="CR4845" s="345"/>
      <c r="CS4845" s="345"/>
      <c r="DH4845" s="237"/>
      <c r="DI4845" s="237"/>
      <c r="DP4845" s="2505"/>
    </row>
    <row r="4846" spans="30:120">
      <c r="AD4846" s="1138"/>
      <c r="BH4846" s="1790"/>
      <c r="BN4846" s="237">
        <v>822.02</v>
      </c>
      <c r="BO4846" s="237" t="s">
        <v>376</v>
      </c>
      <c r="CD4846" s="237">
        <v>9506.06</v>
      </c>
      <c r="CE4846" s="237" t="s">
        <v>378</v>
      </c>
      <c r="CL4846" s="1789"/>
      <c r="CR4846" s="345"/>
      <c r="CS4846" s="345"/>
      <c r="DH4846" s="237"/>
      <c r="DI4846" s="237"/>
      <c r="DP4846" s="2505"/>
    </row>
    <row r="4847" spans="30:120">
      <c r="AD4847" s="1138"/>
      <c r="BH4847" s="1790"/>
      <c r="BN4847" s="237">
        <v>823.02</v>
      </c>
      <c r="BO4847" s="237" t="s">
        <v>376</v>
      </c>
      <c r="CD4847" s="237">
        <v>9506.07</v>
      </c>
      <c r="CE4847" s="237" t="s">
        <v>378</v>
      </c>
      <c r="CL4847" s="1789"/>
      <c r="CR4847" s="345"/>
      <c r="CS4847" s="345"/>
      <c r="DH4847" s="237"/>
      <c r="DI4847" s="237"/>
      <c r="DP4847" s="2505"/>
    </row>
    <row r="4848" spans="30:120">
      <c r="AD4848" s="1138"/>
      <c r="BH4848" s="1790"/>
      <c r="BN4848" s="237">
        <v>823.03</v>
      </c>
      <c r="BO4848" s="237" t="s">
        <v>376</v>
      </c>
      <c r="CD4848" s="237">
        <v>9506.08</v>
      </c>
      <c r="CE4848" s="237" t="s">
        <v>378</v>
      </c>
      <c r="CL4848" s="1789"/>
      <c r="CR4848" s="345"/>
      <c r="CS4848" s="345"/>
      <c r="DH4848" s="237"/>
      <c r="DI4848" s="237"/>
      <c r="DP4848" s="2505"/>
    </row>
    <row r="4849" spans="30:120">
      <c r="AD4849" s="1138"/>
      <c r="BH4849" s="1790"/>
      <c r="BN4849" s="237">
        <v>824.01</v>
      </c>
      <c r="BO4849" s="237" t="s">
        <v>376</v>
      </c>
      <c r="CD4849" s="237">
        <v>9506.09</v>
      </c>
      <c r="CE4849" s="237" t="s">
        <v>378</v>
      </c>
      <c r="CL4849" s="1789"/>
      <c r="CR4849" s="345"/>
      <c r="CS4849" s="345"/>
      <c r="DH4849" s="237"/>
      <c r="DI4849" s="237"/>
      <c r="DP4849" s="2505"/>
    </row>
    <row r="4850" spans="30:120">
      <c r="AD4850" s="1138"/>
      <c r="BH4850" s="1790"/>
      <c r="BN4850" s="237">
        <v>824.04</v>
      </c>
      <c r="BO4850" s="237" t="s">
        <v>376</v>
      </c>
      <c r="CD4850" s="237">
        <v>9506.1</v>
      </c>
      <c r="CE4850" s="237" t="s">
        <v>378</v>
      </c>
      <c r="CL4850" s="1789"/>
      <c r="CR4850" s="345"/>
      <c r="CS4850" s="345"/>
      <c r="DH4850" s="237"/>
      <c r="DI4850" s="237"/>
      <c r="DP4850" s="2505"/>
    </row>
    <row r="4851" spans="30:120">
      <c r="AD4851" s="1138"/>
      <c r="BH4851" s="1790"/>
      <c r="BN4851" s="237">
        <v>824.05</v>
      </c>
      <c r="BO4851" s="237" t="s">
        <v>376</v>
      </c>
      <c r="CD4851" s="237">
        <v>9506.11</v>
      </c>
      <c r="CE4851" s="237" t="s">
        <v>378</v>
      </c>
      <c r="CL4851" s="1789"/>
      <c r="CR4851" s="345"/>
      <c r="CS4851" s="345"/>
      <c r="DH4851" s="237"/>
      <c r="DI4851" s="237"/>
      <c r="DP4851" s="2505"/>
    </row>
    <row r="4852" spans="30:120">
      <c r="AD4852" s="1138"/>
      <c r="BH4852" s="1790"/>
      <c r="BN4852" s="237">
        <v>824.06</v>
      </c>
      <c r="BO4852" s="237" t="s">
        <v>376</v>
      </c>
      <c r="CD4852" s="237">
        <v>9601.01</v>
      </c>
      <c r="CE4852" s="237" t="s">
        <v>336</v>
      </c>
      <c r="CL4852" s="1789"/>
      <c r="CR4852" s="345"/>
      <c r="CS4852" s="345"/>
      <c r="DH4852" s="237"/>
      <c r="DI4852" s="237"/>
      <c r="DP4852" s="2505"/>
    </row>
    <row r="4853" spans="30:120">
      <c r="AD4853" s="1138"/>
      <c r="BH4853" s="1790"/>
      <c r="BN4853" s="237">
        <v>824.1</v>
      </c>
      <c r="BO4853" s="237" t="s">
        <v>376</v>
      </c>
      <c r="CD4853" s="237">
        <v>9601.02</v>
      </c>
      <c r="CE4853" s="237" t="s">
        <v>336</v>
      </c>
      <c r="CL4853" s="1789"/>
      <c r="CR4853" s="345"/>
      <c r="CS4853" s="345"/>
      <c r="DH4853" s="237"/>
      <c r="DI4853" s="237"/>
      <c r="DP4853" s="2505"/>
    </row>
    <row r="4854" spans="30:120">
      <c r="AD4854" s="1138"/>
      <c r="BH4854" s="1790"/>
      <c r="BN4854" s="237">
        <v>824.11</v>
      </c>
      <c r="BO4854" s="237" t="s">
        <v>376</v>
      </c>
      <c r="CD4854" s="237">
        <v>9601.0400000000009</v>
      </c>
      <c r="CE4854" s="237" t="s">
        <v>336</v>
      </c>
      <c r="CL4854" s="1789"/>
      <c r="CR4854" s="345"/>
      <c r="CS4854" s="345"/>
      <c r="DH4854" s="237"/>
      <c r="DI4854" s="237"/>
      <c r="DP4854" s="2505"/>
    </row>
    <row r="4855" spans="30:120">
      <c r="AD4855" s="1138"/>
      <c r="BH4855" s="1790"/>
      <c r="BN4855" s="237">
        <v>824.12</v>
      </c>
      <c r="BO4855" s="237" t="s">
        <v>376</v>
      </c>
      <c r="CD4855" s="237">
        <v>9601.0499999999993</v>
      </c>
      <c r="CE4855" s="237" t="s">
        <v>336</v>
      </c>
      <c r="CL4855" s="1789"/>
      <c r="CR4855" s="345"/>
      <c r="CS4855" s="345"/>
      <c r="DH4855" s="237"/>
      <c r="DI4855" s="237"/>
      <c r="DP4855" s="2505"/>
    </row>
    <row r="4856" spans="30:120">
      <c r="AD4856" s="1138"/>
      <c r="BH4856" s="1790"/>
      <c r="BN4856" s="237">
        <v>824.13</v>
      </c>
      <c r="BO4856" s="237" t="s">
        <v>376</v>
      </c>
      <c r="CD4856" s="237">
        <v>9602</v>
      </c>
      <c r="CE4856" s="237" t="s">
        <v>336</v>
      </c>
      <c r="CL4856" s="1789"/>
      <c r="CR4856" s="345"/>
      <c r="CS4856" s="345"/>
      <c r="DH4856" s="237"/>
      <c r="DI4856" s="237"/>
      <c r="DP4856" s="2505"/>
    </row>
    <row r="4857" spans="30:120">
      <c r="AD4857" s="1138"/>
      <c r="BH4857" s="1790"/>
      <c r="BN4857" s="237">
        <v>824.14</v>
      </c>
      <c r="BO4857" s="237" t="s">
        <v>376</v>
      </c>
      <c r="CD4857" s="237">
        <v>9603</v>
      </c>
      <c r="CE4857" s="237" t="s">
        <v>336</v>
      </c>
      <c r="CL4857" s="1789"/>
      <c r="CR4857" s="345"/>
      <c r="CS4857" s="345"/>
      <c r="DH4857" s="237"/>
      <c r="DI4857" s="237"/>
      <c r="DP4857" s="2505"/>
    </row>
    <row r="4858" spans="30:120">
      <c r="AD4858" s="1138"/>
      <c r="BH4858" s="1790"/>
      <c r="BN4858" s="237">
        <v>824.15</v>
      </c>
      <c r="BO4858" s="237" t="s">
        <v>376</v>
      </c>
      <c r="CD4858" s="237">
        <v>9604.01</v>
      </c>
      <c r="CE4858" s="237" t="s">
        <v>336</v>
      </c>
      <c r="CL4858" s="1789"/>
      <c r="CR4858" s="345"/>
      <c r="CS4858" s="345"/>
      <c r="DH4858" s="237"/>
      <c r="DI4858" s="237"/>
      <c r="DP4858" s="2505"/>
    </row>
    <row r="4859" spans="30:120">
      <c r="AD4859" s="1138"/>
      <c r="BH4859" s="1790"/>
      <c r="BN4859" s="237">
        <v>825.03</v>
      </c>
      <c r="BO4859" s="237" t="s">
        <v>376</v>
      </c>
      <c r="CD4859" s="237">
        <v>9604.02</v>
      </c>
      <c r="CE4859" s="237" t="s">
        <v>336</v>
      </c>
      <c r="CL4859" s="1789"/>
      <c r="CR4859" s="345"/>
      <c r="CS4859" s="345"/>
      <c r="DH4859" s="237"/>
      <c r="DI4859" s="237"/>
      <c r="DP4859" s="2505"/>
    </row>
    <row r="4860" spans="30:120">
      <c r="AD4860" s="1138"/>
      <c r="BH4860" s="1790"/>
      <c r="BN4860" s="237">
        <v>825.06</v>
      </c>
      <c r="BO4860" s="237" t="s">
        <v>376</v>
      </c>
      <c r="CD4860" s="237">
        <v>9605.01</v>
      </c>
      <c r="CE4860" s="237" t="s">
        <v>336</v>
      </c>
      <c r="CL4860" s="1789"/>
      <c r="CR4860" s="345"/>
      <c r="CS4860" s="345"/>
      <c r="DH4860" s="237"/>
      <c r="DI4860" s="237"/>
      <c r="DP4860" s="2505"/>
    </row>
    <row r="4861" spans="30:120">
      <c r="AD4861" s="1138"/>
      <c r="BH4861" s="1790"/>
      <c r="BN4861" s="237">
        <v>825.08</v>
      </c>
      <c r="BO4861" s="237" t="s">
        <v>376</v>
      </c>
      <c r="CD4861" s="237">
        <v>9605.0300000000007</v>
      </c>
      <c r="CE4861" s="237" t="s">
        <v>336</v>
      </c>
      <c r="CL4861" s="1789"/>
      <c r="CR4861" s="345"/>
      <c r="CS4861" s="345"/>
      <c r="DH4861" s="237"/>
      <c r="DI4861" s="237"/>
      <c r="DP4861" s="2505"/>
    </row>
    <row r="4862" spans="30:120">
      <c r="AD4862" s="1138"/>
      <c r="BH4862" s="1790"/>
      <c r="BN4862" s="237">
        <v>825.09</v>
      </c>
      <c r="BO4862" s="237" t="s">
        <v>376</v>
      </c>
      <c r="CD4862" s="237">
        <v>9605.0400000000009</v>
      </c>
      <c r="CE4862" s="237" t="s">
        <v>336</v>
      </c>
      <c r="CL4862" s="1789"/>
      <c r="CR4862" s="345"/>
      <c r="CS4862" s="345"/>
      <c r="DH4862" s="237"/>
      <c r="DI4862" s="237"/>
      <c r="DP4862" s="2505"/>
    </row>
    <row r="4863" spans="30:120">
      <c r="AD4863" s="1138"/>
      <c r="BH4863" s="1790"/>
      <c r="BN4863" s="237">
        <v>825.1</v>
      </c>
      <c r="BO4863" s="237" t="s">
        <v>376</v>
      </c>
      <c r="CD4863" s="237">
        <v>9606.01</v>
      </c>
      <c r="CE4863" s="237" t="s">
        <v>336</v>
      </c>
      <c r="CL4863" s="1789"/>
      <c r="CR4863" s="345"/>
      <c r="CS4863" s="345"/>
      <c r="DH4863" s="237"/>
      <c r="DI4863" s="237"/>
      <c r="DP4863" s="2505"/>
    </row>
    <row r="4864" spans="30:120">
      <c r="AD4864" s="1138"/>
      <c r="BH4864" s="1790"/>
      <c r="BN4864" s="237">
        <v>825.11</v>
      </c>
      <c r="BO4864" s="237" t="s">
        <v>376</v>
      </c>
      <c r="CD4864" s="237">
        <v>9606.02</v>
      </c>
      <c r="CE4864" s="237" t="s">
        <v>336</v>
      </c>
      <c r="CL4864" s="1789"/>
      <c r="CR4864" s="345"/>
      <c r="CS4864" s="345"/>
      <c r="DH4864" s="237"/>
      <c r="DI4864" s="237"/>
      <c r="DP4864" s="2505"/>
    </row>
    <row r="4865" spans="30:120">
      <c r="AD4865" s="1138"/>
      <c r="BH4865" s="1790"/>
      <c r="BN4865" s="237">
        <v>825.12</v>
      </c>
      <c r="BO4865" s="237" t="s">
        <v>376</v>
      </c>
      <c r="CD4865" s="237">
        <v>9607</v>
      </c>
      <c r="CE4865" s="237" t="s">
        <v>336</v>
      </c>
      <c r="CL4865" s="1789"/>
      <c r="CR4865" s="345"/>
      <c r="CS4865" s="345"/>
      <c r="DH4865" s="237"/>
      <c r="DI4865" s="237"/>
      <c r="DP4865" s="2505"/>
    </row>
    <row r="4866" spans="30:120">
      <c r="AD4866" s="1138"/>
      <c r="BH4866" s="1790"/>
      <c r="BN4866" s="237">
        <v>825.13</v>
      </c>
      <c r="BO4866" s="237" t="s">
        <v>376</v>
      </c>
      <c r="CD4866" s="237">
        <v>9608</v>
      </c>
      <c r="CE4866" s="237" t="s">
        <v>336</v>
      </c>
      <c r="CL4866" s="1789"/>
      <c r="CR4866" s="345"/>
      <c r="CS4866" s="345"/>
      <c r="DH4866" s="237"/>
      <c r="DI4866" s="237"/>
      <c r="DP4866" s="2505"/>
    </row>
    <row r="4867" spans="30:120">
      <c r="AD4867" s="1138"/>
      <c r="BH4867" s="1790"/>
      <c r="BN4867" s="237">
        <v>826.04</v>
      </c>
      <c r="BO4867" s="237" t="s">
        <v>376</v>
      </c>
      <c r="CD4867" s="237">
        <v>9609</v>
      </c>
      <c r="CE4867" s="237" t="s">
        <v>336</v>
      </c>
      <c r="CL4867" s="1789"/>
      <c r="CR4867" s="345"/>
      <c r="CS4867" s="345"/>
      <c r="DH4867" s="237"/>
      <c r="DI4867" s="237"/>
      <c r="DP4867" s="2505"/>
    </row>
    <row r="4868" spans="30:120">
      <c r="AD4868" s="1138"/>
      <c r="BH4868" s="1790"/>
      <c r="BN4868" s="237">
        <v>826.05</v>
      </c>
      <c r="BO4868" s="237" t="s">
        <v>376</v>
      </c>
      <c r="CD4868" s="237">
        <v>9610</v>
      </c>
      <c r="CE4868" s="237" t="s">
        <v>336</v>
      </c>
      <c r="CL4868" s="1789"/>
      <c r="CR4868" s="345"/>
      <c r="CS4868" s="345"/>
      <c r="DH4868" s="237"/>
      <c r="DI4868" s="237"/>
      <c r="DP4868" s="2505"/>
    </row>
    <row r="4869" spans="30:120">
      <c r="AD4869" s="1138"/>
      <c r="BH4869" s="1790"/>
      <c r="BN4869" s="237">
        <v>826.06</v>
      </c>
      <c r="BO4869" s="237" t="s">
        <v>376</v>
      </c>
      <c r="CD4869" s="237">
        <v>9611</v>
      </c>
      <c r="CE4869" s="237" t="s">
        <v>336</v>
      </c>
      <c r="CL4869" s="1789"/>
      <c r="CR4869" s="345"/>
      <c r="CS4869" s="345"/>
      <c r="DH4869" s="237"/>
      <c r="DI4869" s="237"/>
      <c r="DP4869" s="2505"/>
    </row>
    <row r="4870" spans="30:120">
      <c r="AD4870" s="1138"/>
      <c r="BH4870" s="1790"/>
      <c r="BN4870" s="237">
        <v>826.07</v>
      </c>
      <c r="BO4870" s="237" t="s">
        <v>376</v>
      </c>
      <c r="CD4870" s="237">
        <v>9612.01</v>
      </c>
      <c r="CE4870" s="237" t="s">
        <v>336</v>
      </c>
      <c r="CL4870" s="1789"/>
      <c r="CR4870" s="345"/>
      <c r="CS4870" s="345"/>
      <c r="DH4870" s="237"/>
      <c r="DI4870" s="237"/>
      <c r="DP4870" s="2505"/>
    </row>
    <row r="4871" spans="30:120">
      <c r="AD4871" s="1138"/>
      <c r="BH4871" s="1790"/>
      <c r="BN4871" s="237">
        <v>827.01</v>
      </c>
      <c r="BO4871" s="237" t="s">
        <v>376</v>
      </c>
      <c r="CD4871" s="237">
        <v>9612.02</v>
      </c>
      <c r="CE4871" s="237" t="s">
        <v>336</v>
      </c>
      <c r="CL4871" s="1789"/>
      <c r="CR4871" s="345"/>
      <c r="CS4871" s="345"/>
      <c r="DH4871" s="237"/>
      <c r="DI4871" s="237"/>
      <c r="DP4871" s="2505"/>
    </row>
    <row r="4872" spans="30:120">
      <c r="AD4872" s="1138"/>
      <c r="BH4872" s="1790"/>
      <c r="BN4872" s="237">
        <v>827.03</v>
      </c>
      <c r="BO4872" s="237" t="s">
        <v>376</v>
      </c>
      <c r="CD4872" s="237">
        <v>9613.01</v>
      </c>
      <c r="CE4872" s="237" t="s">
        <v>336</v>
      </c>
      <c r="CL4872" s="1789"/>
      <c r="CR4872" s="345"/>
      <c r="CS4872" s="345"/>
      <c r="DH4872" s="237"/>
      <c r="DI4872" s="237"/>
      <c r="DP4872" s="2505"/>
    </row>
    <row r="4873" spans="30:120">
      <c r="AD4873" s="1138"/>
      <c r="BH4873" s="1790"/>
      <c r="BN4873" s="237">
        <v>827.04</v>
      </c>
      <c r="BO4873" s="237" t="s">
        <v>376</v>
      </c>
      <c r="CD4873" s="237">
        <v>9613.0300000000007</v>
      </c>
      <c r="CE4873" s="237" t="s">
        <v>336</v>
      </c>
      <c r="CL4873" s="1789"/>
      <c r="CR4873" s="345"/>
      <c r="CS4873" s="345"/>
      <c r="DH4873" s="237"/>
      <c r="DI4873" s="237"/>
      <c r="DP4873" s="2505"/>
    </row>
    <row r="4874" spans="30:120">
      <c r="AD4874" s="1138"/>
      <c r="BH4874" s="1790"/>
      <c r="BN4874" s="237">
        <v>827.05</v>
      </c>
      <c r="BO4874" s="237" t="s">
        <v>376</v>
      </c>
      <c r="CD4874" s="237">
        <v>9613.0400000000009</v>
      </c>
      <c r="CE4874" s="237" t="s">
        <v>336</v>
      </c>
      <c r="CL4874" s="1789"/>
      <c r="CR4874" s="345"/>
      <c r="CS4874" s="345"/>
      <c r="DH4874" s="237"/>
      <c r="DI4874" s="237"/>
      <c r="DP4874" s="2505"/>
    </row>
    <row r="4875" spans="30:120">
      <c r="AD4875" s="1138"/>
      <c r="BH4875" s="1790"/>
      <c r="BN4875" s="237">
        <v>828.01</v>
      </c>
      <c r="BO4875" s="237" t="s">
        <v>376</v>
      </c>
      <c r="CD4875" s="237">
        <v>9614.01</v>
      </c>
      <c r="CE4875" s="237" t="s">
        <v>336</v>
      </c>
      <c r="CL4875" s="1789"/>
      <c r="CR4875" s="345"/>
      <c r="CS4875" s="345"/>
      <c r="DH4875" s="237"/>
      <c r="DI4875" s="237"/>
      <c r="DP4875" s="2505"/>
    </row>
    <row r="4876" spans="30:120">
      <c r="AD4876" s="1138"/>
      <c r="BH4876" s="1790"/>
      <c r="BN4876" s="237">
        <v>828.02</v>
      </c>
      <c r="BO4876" s="237" t="s">
        <v>376</v>
      </c>
      <c r="CD4876" s="237">
        <v>9614.02</v>
      </c>
      <c r="CE4876" s="237" t="s">
        <v>336</v>
      </c>
      <c r="CL4876" s="1789"/>
      <c r="CR4876" s="345"/>
      <c r="CS4876" s="345"/>
      <c r="DH4876" s="237"/>
      <c r="DI4876" s="237"/>
      <c r="DP4876" s="2505"/>
    </row>
    <row r="4877" spans="30:120">
      <c r="AD4877" s="1138"/>
      <c r="BH4877" s="1790"/>
      <c r="BN4877" s="237">
        <v>829.02</v>
      </c>
      <c r="BO4877" s="237" t="s">
        <v>376</v>
      </c>
      <c r="CD4877" s="237">
        <v>9615</v>
      </c>
      <c r="CE4877" s="237" t="s">
        <v>336</v>
      </c>
      <c r="CL4877" s="1789"/>
      <c r="CR4877" s="345"/>
      <c r="CS4877" s="345"/>
      <c r="DH4877" s="237"/>
      <c r="DI4877" s="237"/>
      <c r="DP4877" s="2505"/>
    </row>
    <row r="4878" spans="30:120">
      <c r="AD4878" s="1138"/>
      <c r="BH4878" s="1790"/>
      <c r="BN4878" s="237">
        <v>829.03</v>
      </c>
      <c r="BO4878" s="237" t="s">
        <v>376</v>
      </c>
      <c r="CD4878" s="237">
        <v>9616.01</v>
      </c>
      <c r="CE4878" s="237" t="s">
        <v>336</v>
      </c>
      <c r="CL4878" s="1789"/>
      <c r="CR4878" s="345"/>
      <c r="CS4878" s="345"/>
      <c r="DH4878" s="237"/>
      <c r="DI4878" s="237"/>
      <c r="DP4878" s="2505"/>
    </row>
    <row r="4879" spans="30:120">
      <c r="AD4879" s="1138"/>
      <c r="BH4879" s="1790"/>
      <c r="BN4879" s="237">
        <v>829.04</v>
      </c>
      <c r="BO4879" s="237" t="s">
        <v>376</v>
      </c>
      <c r="CD4879" s="237">
        <v>9616.02</v>
      </c>
      <c r="CE4879" s="237" t="s">
        <v>336</v>
      </c>
      <c r="CL4879" s="1789"/>
      <c r="CR4879" s="345"/>
      <c r="CS4879" s="345"/>
      <c r="DH4879" s="237"/>
      <c r="DI4879" s="237"/>
      <c r="DP4879" s="2505"/>
    </row>
    <row r="4880" spans="30:120">
      <c r="AD4880" s="1138"/>
      <c r="BH4880" s="1790"/>
      <c r="BN4880" s="237">
        <v>830.03</v>
      </c>
      <c r="BO4880" s="237" t="s">
        <v>376</v>
      </c>
      <c r="CD4880" s="237">
        <v>9616.0400000000009</v>
      </c>
      <c r="CE4880" s="237" t="s">
        <v>336</v>
      </c>
      <c r="CL4880" s="1789"/>
      <c r="CR4880" s="345"/>
      <c r="CS4880" s="345"/>
      <c r="DH4880" s="237"/>
      <c r="DI4880" s="237"/>
      <c r="DP4880" s="2505"/>
    </row>
    <row r="4881" spans="30:120">
      <c r="AD4881" s="1138"/>
      <c r="BH4881" s="1790"/>
      <c r="BN4881" s="237">
        <v>830.05</v>
      </c>
      <c r="BO4881" s="237" t="s">
        <v>376</v>
      </c>
      <c r="CD4881" s="237">
        <v>9616.0499999999993</v>
      </c>
      <c r="CE4881" s="237" t="s">
        <v>336</v>
      </c>
      <c r="CL4881" s="1789"/>
      <c r="CR4881" s="345"/>
      <c r="CS4881" s="345"/>
      <c r="DH4881" s="237"/>
      <c r="DI4881" s="237"/>
      <c r="DP4881" s="2505"/>
    </row>
    <row r="4882" spans="30:120">
      <c r="AD4882" s="1138"/>
      <c r="BH4882" s="1790"/>
      <c r="BN4882" s="237">
        <v>830.06</v>
      </c>
      <c r="BO4882" s="237" t="s">
        <v>376</v>
      </c>
      <c r="CD4882" s="237">
        <v>9617.01</v>
      </c>
      <c r="CE4882" s="237" t="s">
        <v>336</v>
      </c>
      <c r="CL4882" s="1789"/>
      <c r="CR4882" s="345"/>
      <c r="CS4882" s="345"/>
      <c r="DH4882" s="237"/>
      <c r="DI4882" s="237"/>
      <c r="DP4882" s="2505"/>
    </row>
    <row r="4883" spans="30:120">
      <c r="AD4883" s="1138"/>
      <c r="BH4883" s="1790"/>
      <c r="BN4883" s="237">
        <v>830.07</v>
      </c>
      <c r="BO4883" s="237" t="s">
        <v>376</v>
      </c>
      <c r="CD4883" s="237">
        <v>9617.02</v>
      </c>
      <c r="CE4883" s="237" t="s">
        <v>336</v>
      </c>
      <c r="CL4883" s="1789"/>
      <c r="CR4883" s="345"/>
      <c r="CS4883" s="345"/>
      <c r="DH4883" s="237"/>
      <c r="DI4883" s="237"/>
      <c r="DP4883" s="2505"/>
    </row>
    <row r="4884" spans="30:120">
      <c r="AD4884" s="1138"/>
      <c r="BH4884" s="1790"/>
      <c r="BN4884" s="237">
        <v>830.08</v>
      </c>
      <c r="BO4884" s="237" t="s">
        <v>376</v>
      </c>
      <c r="CD4884" s="237">
        <v>9701.01</v>
      </c>
      <c r="CE4884" s="237" t="s">
        <v>346</v>
      </c>
      <c r="CL4884" s="1789"/>
      <c r="CR4884" s="345"/>
      <c r="CS4884" s="345"/>
      <c r="DH4884" s="237"/>
      <c r="DI4884" s="237"/>
      <c r="DP4884" s="2505"/>
    </row>
    <row r="4885" spans="30:120">
      <c r="AD4885" s="1138"/>
      <c r="BH4885" s="1790"/>
      <c r="BN4885" s="237">
        <v>830.09</v>
      </c>
      <c r="BO4885" s="237" t="s">
        <v>376</v>
      </c>
      <c r="CD4885" s="237">
        <v>9701.0300000000007</v>
      </c>
      <c r="CE4885" s="237" t="s">
        <v>346</v>
      </c>
      <c r="CL4885" s="1789"/>
      <c r="CR4885" s="345"/>
      <c r="CS4885" s="345"/>
      <c r="DH4885" s="237"/>
      <c r="DI4885" s="237"/>
      <c r="DP4885" s="2505"/>
    </row>
    <row r="4886" spans="30:120">
      <c r="AD4886" s="1138"/>
      <c r="BH4886" s="1790"/>
      <c r="BN4886" s="237">
        <v>832.03</v>
      </c>
      <c r="BO4886" s="237" t="s">
        <v>376</v>
      </c>
      <c r="CD4886" s="237">
        <v>9701.0400000000009</v>
      </c>
      <c r="CE4886" s="237" t="s">
        <v>346</v>
      </c>
      <c r="CL4886" s="1789"/>
      <c r="CR4886" s="345"/>
      <c r="CS4886" s="345"/>
      <c r="DH4886" s="237"/>
      <c r="DI4886" s="237"/>
      <c r="DP4886" s="2505"/>
    </row>
    <row r="4887" spans="30:120">
      <c r="AD4887" s="1138"/>
      <c r="BH4887" s="1790"/>
      <c r="BN4887" s="237">
        <v>832.05</v>
      </c>
      <c r="BO4887" s="237" t="s">
        <v>376</v>
      </c>
      <c r="CD4887" s="237">
        <v>9702</v>
      </c>
      <c r="CE4887" s="237" t="s">
        <v>346</v>
      </c>
      <c r="CL4887" s="1789"/>
      <c r="CR4887" s="345"/>
      <c r="CS4887" s="345"/>
      <c r="DH4887" s="237"/>
      <c r="DI4887" s="237"/>
      <c r="DP4887" s="2505"/>
    </row>
    <row r="4888" spans="30:120">
      <c r="AD4888" s="1138"/>
      <c r="BH4888" s="1790"/>
      <c r="BN4888" s="237">
        <v>832.06</v>
      </c>
      <c r="BO4888" s="237" t="s">
        <v>376</v>
      </c>
      <c r="CD4888" s="237">
        <v>9703.01</v>
      </c>
      <c r="CE4888" s="237" t="s">
        <v>346</v>
      </c>
      <c r="CL4888" s="1789"/>
      <c r="CR4888" s="345"/>
      <c r="CS4888" s="345"/>
      <c r="DH4888" s="237"/>
      <c r="DI4888" s="237"/>
      <c r="DP4888" s="2505"/>
    </row>
    <row r="4889" spans="30:120">
      <c r="AD4889" s="1138"/>
      <c r="BH4889" s="1790"/>
      <c r="BN4889" s="237">
        <v>832.07</v>
      </c>
      <c r="BO4889" s="237" t="s">
        <v>376</v>
      </c>
      <c r="CD4889" s="237">
        <v>9703.0300000000007</v>
      </c>
      <c r="CE4889" s="237" t="s">
        <v>346</v>
      </c>
      <c r="CL4889" s="1789"/>
      <c r="CR4889" s="345"/>
      <c r="CS4889" s="345"/>
      <c r="DH4889" s="237"/>
      <c r="DI4889" s="237"/>
      <c r="DP4889" s="2505"/>
    </row>
    <row r="4890" spans="30:120">
      <c r="AD4890" s="1138"/>
      <c r="BH4890" s="1790"/>
      <c r="BN4890" s="237">
        <v>832.09</v>
      </c>
      <c r="BO4890" s="237" t="s">
        <v>376</v>
      </c>
      <c r="CD4890" s="237">
        <v>9703.0400000000009</v>
      </c>
      <c r="CE4890" s="237" t="s">
        <v>346</v>
      </c>
      <c r="CL4890" s="1789"/>
      <c r="CR4890" s="345"/>
      <c r="CS4890" s="345"/>
      <c r="DH4890" s="237"/>
      <c r="DI4890" s="237"/>
      <c r="DP4890" s="2505"/>
    </row>
    <row r="4891" spans="30:120">
      <c r="AD4891" s="1138"/>
      <c r="BH4891" s="1790"/>
      <c r="BN4891" s="237">
        <v>832.1</v>
      </c>
      <c r="BO4891" s="237" t="s">
        <v>376</v>
      </c>
      <c r="CD4891" s="237">
        <v>9704</v>
      </c>
      <c r="CE4891" s="237" t="s">
        <v>346</v>
      </c>
      <c r="CL4891" s="1789"/>
      <c r="CR4891" s="345"/>
      <c r="CS4891" s="345"/>
      <c r="DH4891" s="237"/>
      <c r="DI4891" s="237"/>
      <c r="DP4891" s="2505"/>
    </row>
    <row r="4892" spans="30:120">
      <c r="AD4892" s="1138"/>
      <c r="BH4892" s="1790"/>
      <c r="BN4892" s="237">
        <v>832.11</v>
      </c>
      <c r="BO4892" s="237" t="s">
        <v>376</v>
      </c>
      <c r="CD4892" s="237">
        <v>9705.01</v>
      </c>
      <c r="CE4892" s="237" t="s">
        <v>346</v>
      </c>
      <c r="CL4892" s="1789"/>
      <c r="CR4892" s="345"/>
      <c r="CS4892" s="345"/>
      <c r="DH4892" s="237"/>
      <c r="DI4892" s="237"/>
      <c r="DP4892" s="2505"/>
    </row>
    <row r="4893" spans="30:120">
      <c r="AD4893" s="1138"/>
      <c r="BH4893" s="1790"/>
      <c r="BN4893" s="237">
        <v>901.01</v>
      </c>
      <c r="BO4893" s="237" t="s">
        <v>376</v>
      </c>
      <c r="CD4893" s="237">
        <v>9705.02</v>
      </c>
      <c r="CE4893" s="237" t="s">
        <v>346</v>
      </c>
      <c r="CL4893" s="1789"/>
      <c r="CR4893" s="345"/>
      <c r="CS4893" s="345"/>
      <c r="DH4893" s="237"/>
      <c r="DI4893" s="237"/>
      <c r="DP4893" s="2505"/>
    </row>
    <row r="4894" spans="30:120">
      <c r="AD4894" s="1138"/>
      <c r="BH4894" s="1790"/>
      <c r="BN4894" s="237">
        <v>901.02</v>
      </c>
      <c r="BO4894" s="237" t="s">
        <v>376</v>
      </c>
      <c r="CD4894" s="237">
        <v>9706</v>
      </c>
      <c r="CE4894" s="237" t="s">
        <v>346</v>
      </c>
      <c r="CL4894" s="1789"/>
      <c r="CR4894" s="345"/>
      <c r="CS4894" s="345"/>
      <c r="DH4894" s="237"/>
      <c r="DI4894" s="237"/>
      <c r="DP4894" s="2505"/>
    </row>
    <row r="4895" spans="30:120">
      <c r="AD4895" s="1138"/>
      <c r="BH4895" s="1790"/>
      <c r="BN4895" s="237">
        <v>902.02</v>
      </c>
      <c r="BO4895" s="237" t="s">
        <v>376</v>
      </c>
      <c r="CD4895" s="237">
        <v>9707</v>
      </c>
      <c r="CE4895" s="237" t="s">
        <v>346</v>
      </c>
      <c r="CL4895" s="1789"/>
      <c r="CR4895" s="345"/>
      <c r="CS4895" s="345"/>
      <c r="DH4895" s="237"/>
      <c r="DI4895" s="237"/>
      <c r="DP4895" s="2505"/>
    </row>
    <row r="4896" spans="30:120">
      <c r="AD4896" s="1138"/>
      <c r="BH4896" s="1790"/>
      <c r="BN4896" s="237">
        <v>902.03</v>
      </c>
      <c r="BO4896" s="237" t="s">
        <v>376</v>
      </c>
      <c r="CD4896" s="345">
        <v>9800</v>
      </c>
      <c r="CE4896" s="345" t="s">
        <v>309</v>
      </c>
      <c r="CL4896" s="1789"/>
      <c r="CR4896" s="345"/>
      <c r="CS4896" s="345"/>
      <c r="DH4896" s="237"/>
      <c r="DI4896" s="237"/>
      <c r="DP4896" s="2505"/>
    </row>
    <row r="4897" spans="30:120">
      <c r="AD4897" s="1138"/>
      <c r="BH4897" s="1790"/>
      <c r="BN4897" s="237">
        <v>902.04</v>
      </c>
      <c r="BO4897" s="237" t="s">
        <v>376</v>
      </c>
      <c r="CD4897" s="345">
        <v>9800</v>
      </c>
      <c r="CE4897" s="345" t="s">
        <v>310</v>
      </c>
      <c r="CL4897" s="1789"/>
      <c r="CR4897" s="345"/>
      <c r="CS4897" s="345"/>
      <c r="DH4897" s="237"/>
      <c r="DI4897" s="237"/>
      <c r="DP4897" s="2505"/>
    </row>
    <row r="4898" spans="30:120">
      <c r="AD4898" s="1138"/>
      <c r="BH4898" s="1790"/>
      <c r="BN4898" s="237">
        <v>903.03</v>
      </c>
      <c r="BO4898" s="237" t="s">
        <v>376</v>
      </c>
      <c r="CD4898" s="237">
        <v>9800</v>
      </c>
      <c r="CE4898" s="237" t="s">
        <v>317</v>
      </c>
      <c r="CL4898" s="1789"/>
      <c r="CR4898" s="345"/>
      <c r="CS4898" s="345"/>
      <c r="DH4898" s="237"/>
      <c r="DI4898" s="237"/>
      <c r="DP4898" s="2505"/>
    </row>
    <row r="4899" spans="30:120">
      <c r="AD4899" s="1138"/>
      <c r="BH4899" s="1790"/>
      <c r="BN4899" s="237">
        <v>903.04</v>
      </c>
      <c r="BO4899" s="237" t="s">
        <v>376</v>
      </c>
      <c r="CD4899" s="237">
        <v>9800</v>
      </c>
      <c r="CE4899" s="237" t="s">
        <v>336</v>
      </c>
      <c r="CL4899" s="1789"/>
      <c r="CR4899" s="345"/>
      <c r="CS4899" s="345"/>
      <c r="DH4899" s="237"/>
      <c r="DI4899" s="237"/>
      <c r="DP4899" s="2505"/>
    </row>
    <row r="4900" spans="30:120">
      <c r="AD4900" s="1138"/>
      <c r="BH4900" s="1790"/>
      <c r="BN4900" s="237">
        <v>903.05</v>
      </c>
      <c r="BO4900" s="237" t="s">
        <v>376</v>
      </c>
      <c r="CD4900" s="237">
        <v>9800</v>
      </c>
      <c r="CE4900" s="237" t="s">
        <v>339</v>
      </c>
      <c r="CL4900" s="1789"/>
      <c r="CR4900" s="345"/>
      <c r="CS4900" s="345"/>
      <c r="DH4900" s="237"/>
      <c r="DI4900" s="237"/>
      <c r="DP4900" s="2505"/>
    </row>
    <row r="4901" spans="30:120">
      <c r="AD4901" s="1138"/>
      <c r="BH4901" s="1790"/>
      <c r="BN4901" s="237">
        <v>903.06</v>
      </c>
      <c r="BO4901" s="237" t="s">
        <v>376</v>
      </c>
      <c r="CD4901" s="237">
        <v>9800</v>
      </c>
      <c r="CE4901" s="237" t="s">
        <v>344</v>
      </c>
      <c r="CL4901" s="1789"/>
      <c r="CR4901" s="345"/>
      <c r="CS4901" s="345"/>
      <c r="DH4901" s="237"/>
      <c r="DI4901" s="237"/>
      <c r="DP4901" s="2505"/>
    </row>
    <row r="4902" spans="30:120">
      <c r="AD4902" s="1138"/>
      <c r="BH4902" s="1790"/>
      <c r="BN4902" s="237">
        <v>903.07</v>
      </c>
      <c r="BO4902" s="237" t="s">
        <v>376</v>
      </c>
      <c r="CD4902" s="237">
        <v>9800</v>
      </c>
      <c r="CE4902" s="237" t="s">
        <v>350</v>
      </c>
      <c r="CL4902" s="1789"/>
      <c r="CR4902" s="345"/>
      <c r="CS4902" s="345"/>
      <c r="DH4902" s="237"/>
      <c r="DI4902" s="237"/>
      <c r="DP4902" s="2505"/>
    </row>
    <row r="4903" spans="30:120">
      <c r="AD4903" s="1138"/>
      <c r="BH4903" s="1790"/>
      <c r="BN4903" s="237">
        <v>904.01</v>
      </c>
      <c r="BO4903" s="237" t="s">
        <v>376</v>
      </c>
      <c r="CD4903" s="237">
        <v>9800</v>
      </c>
      <c r="CE4903" s="237" t="s">
        <v>361</v>
      </c>
      <c r="CL4903" s="1789"/>
      <c r="CR4903" s="345"/>
      <c r="CS4903" s="345"/>
      <c r="DH4903" s="237"/>
      <c r="DI4903" s="237"/>
      <c r="DP4903" s="2505"/>
    </row>
    <row r="4904" spans="30:120">
      <c r="AD4904" s="1138"/>
      <c r="BH4904" s="1790"/>
      <c r="BN4904" s="237">
        <v>904.02</v>
      </c>
      <c r="BO4904" s="237" t="s">
        <v>376</v>
      </c>
      <c r="CD4904" s="237">
        <v>9800</v>
      </c>
      <c r="CE4904" s="237" t="s">
        <v>365</v>
      </c>
      <c r="CL4904" s="1789"/>
      <c r="CR4904" s="345"/>
      <c r="CS4904" s="345"/>
      <c r="DH4904" s="237"/>
      <c r="DI4904" s="237"/>
      <c r="DP4904" s="2505"/>
    </row>
    <row r="4905" spans="30:120">
      <c r="AD4905" s="1138"/>
      <c r="BH4905" s="1790"/>
      <c r="BN4905" s="237">
        <v>905</v>
      </c>
      <c r="BO4905" s="237" t="s">
        <v>376</v>
      </c>
      <c r="CD4905" s="237">
        <v>9800</v>
      </c>
      <c r="CE4905" s="237" t="s">
        <v>371</v>
      </c>
      <c r="CL4905" s="1789"/>
      <c r="CR4905" s="345"/>
      <c r="CS4905" s="345"/>
      <c r="DH4905" s="237"/>
      <c r="DI4905" s="237"/>
      <c r="DP4905" s="2505"/>
    </row>
    <row r="4906" spans="30:120">
      <c r="AD4906" s="1138"/>
      <c r="BH4906" s="1790"/>
      <c r="BN4906" s="237">
        <v>906</v>
      </c>
      <c r="BO4906" s="237" t="s">
        <v>376</v>
      </c>
      <c r="CD4906" s="237">
        <v>9800</v>
      </c>
      <c r="CE4906" s="237" t="s">
        <v>372</v>
      </c>
      <c r="CL4906" s="1789"/>
      <c r="CR4906" s="345"/>
      <c r="CS4906" s="345"/>
      <c r="DH4906" s="237"/>
      <c r="DI4906" s="237"/>
      <c r="DP4906" s="2505"/>
    </row>
    <row r="4907" spans="30:120">
      <c r="AD4907" s="1138"/>
      <c r="BH4907" s="1790"/>
      <c r="BN4907" s="237">
        <v>907.01</v>
      </c>
      <c r="BO4907" s="237" t="s">
        <v>376</v>
      </c>
      <c r="CD4907" s="345">
        <v>9801</v>
      </c>
      <c r="CE4907" s="345" t="s">
        <v>309</v>
      </c>
      <c r="CL4907" s="1789"/>
      <c r="CR4907" s="345"/>
      <c r="CS4907" s="345"/>
      <c r="DH4907" s="237"/>
      <c r="DI4907" s="237"/>
      <c r="DP4907" s="2505"/>
    </row>
    <row r="4908" spans="30:120">
      <c r="AD4908" s="1138"/>
      <c r="BH4908" s="1790"/>
      <c r="BN4908" s="237">
        <v>907.02</v>
      </c>
      <c r="BO4908" s="237" t="s">
        <v>376</v>
      </c>
      <c r="CD4908" s="237">
        <v>9801</v>
      </c>
      <c r="CE4908" s="237" t="s">
        <v>336</v>
      </c>
      <c r="CL4908" s="1789"/>
      <c r="CR4908" s="345"/>
      <c r="CS4908" s="345"/>
      <c r="DH4908" s="237"/>
      <c r="DI4908" s="237"/>
      <c r="DP4908" s="2505"/>
    </row>
    <row r="4909" spans="30:120">
      <c r="AD4909" s="1138"/>
      <c r="BH4909" s="1790"/>
      <c r="BN4909" s="237">
        <v>908.03</v>
      </c>
      <c r="BO4909" s="237" t="s">
        <v>376</v>
      </c>
      <c r="CD4909" s="237">
        <v>9801</v>
      </c>
      <c r="CE4909" s="237" t="s">
        <v>337</v>
      </c>
      <c r="CL4909" s="1789"/>
      <c r="CR4909" s="345"/>
      <c r="CS4909" s="345"/>
      <c r="DH4909" s="237"/>
      <c r="DI4909" s="237"/>
      <c r="DP4909" s="2505"/>
    </row>
    <row r="4910" spans="30:120">
      <c r="AD4910" s="1138"/>
      <c r="BH4910" s="1790"/>
      <c r="BN4910" s="237">
        <v>908.04</v>
      </c>
      <c r="BO4910" s="237" t="s">
        <v>376</v>
      </c>
      <c r="CD4910" s="237">
        <v>9801</v>
      </c>
      <c r="CE4910" s="237" t="s">
        <v>350</v>
      </c>
      <c r="CL4910" s="1789"/>
      <c r="CR4910" s="345"/>
      <c r="CS4910" s="345"/>
      <c r="DH4910" s="237"/>
      <c r="DI4910" s="237"/>
      <c r="DP4910" s="2505"/>
    </row>
    <row r="4911" spans="30:120">
      <c r="AD4911" s="1138"/>
      <c r="BH4911" s="1790"/>
      <c r="BN4911" s="237">
        <v>908.06</v>
      </c>
      <c r="BO4911" s="237" t="s">
        <v>376</v>
      </c>
      <c r="CD4911" s="237">
        <v>9801</v>
      </c>
      <c r="CE4911" s="237" t="s">
        <v>352</v>
      </c>
      <c r="CL4911" s="1789"/>
      <c r="CR4911" s="345"/>
      <c r="CS4911" s="345"/>
      <c r="DH4911" s="237"/>
      <c r="DI4911" s="237"/>
      <c r="DP4911" s="2505"/>
    </row>
    <row r="4912" spans="30:120">
      <c r="AD4912" s="1138"/>
      <c r="BH4912" s="1790"/>
      <c r="BN4912" s="237">
        <v>908.07</v>
      </c>
      <c r="BO4912" s="237" t="s">
        <v>376</v>
      </c>
      <c r="CD4912" s="237">
        <v>9801</v>
      </c>
      <c r="CE4912" s="237" t="s">
        <v>361</v>
      </c>
      <c r="CL4912" s="1789"/>
      <c r="CR4912" s="345"/>
      <c r="CS4912" s="345"/>
      <c r="DH4912" s="237"/>
      <c r="DI4912" s="237"/>
      <c r="DP4912" s="2505"/>
    </row>
    <row r="4913" spans="30:120">
      <c r="AD4913" s="1138"/>
      <c r="BH4913" s="1790"/>
      <c r="BN4913" s="237">
        <v>908.08</v>
      </c>
      <c r="BO4913" s="237" t="s">
        <v>376</v>
      </c>
      <c r="CD4913" s="237">
        <v>9801</v>
      </c>
      <c r="CE4913" s="237" t="s">
        <v>372</v>
      </c>
      <c r="CL4913" s="1789"/>
      <c r="CR4913" s="345"/>
      <c r="CS4913" s="345"/>
      <c r="DH4913" s="237"/>
      <c r="DI4913" s="237"/>
      <c r="DP4913" s="2505"/>
    </row>
    <row r="4914" spans="30:120">
      <c r="AD4914" s="1138"/>
      <c r="BH4914" s="1790"/>
      <c r="BN4914" s="237">
        <v>909.03</v>
      </c>
      <c r="BO4914" s="237" t="s">
        <v>376</v>
      </c>
      <c r="CD4914" s="237">
        <v>9802</v>
      </c>
      <c r="CE4914" s="237" t="s">
        <v>336</v>
      </c>
      <c r="CL4914" s="1789"/>
      <c r="CR4914" s="345"/>
      <c r="CS4914" s="345"/>
      <c r="DH4914" s="237"/>
      <c r="DI4914" s="237"/>
      <c r="DP4914" s="2505"/>
    </row>
    <row r="4915" spans="30:120">
      <c r="AD4915" s="1138"/>
      <c r="BH4915" s="1790"/>
      <c r="BN4915" s="237">
        <v>909.04</v>
      </c>
      <c r="BO4915" s="237" t="s">
        <v>376</v>
      </c>
      <c r="CD4915" s="237">
        <v>9802</v>
      </c>
      <c r="CE4915" s="237" t="s">
        <v>337</v>
      </c>
      <c r="CL4915" s="1789"/>
      <c r="CR4915" s="345"/>
      <c r="CS4915" s="345"/>
      <c r="DH4915" s="237"/>
      <c r="DI4915" s="237"/>
      <c r="DP4915" s="2505"/>
    </row>
    <row r="4916" spans="30:120">
      <c r="AD4916" s="1138"/>
      <c r="BH4916" s="1790"/>
      <c r="BN4916" s="237">
        <v>909.05</v>
      </c>
      <c r="BO4916" s="237" t="s">
        <v>376</v>
      </c>
      <c r="CD4916" s="237">
        <v>9802</v>
      </c>
      <c r="CE4916" s="237" t="s">
        <v>352</v>
      </c>
      <c r="CL4916" s="1789"/>
      <c r="CR4916" s="345"/>
      <c r="CS4916" s="345"/>
      <c r="DH4916" s="237"/>
      <c r="DI4916" s="237"/>
      <c r="DP4916" s="2505"/>
    </row>
    <row r="4917" spans="30:120">
      <c r="AD4917" s="1138"/>
      <c r="BH4917" s="1790"/>
      <c r="BN4917" s="237">
        <v>909.06</v>
      </c>
      <c r="BO4917" s="237" t="s">
        <v>376</v>
      </c>
      <c r="CD4917" s="237">
        <v>9802</v>
      </c>
      <c r="CE4917" s="237" t="s">
        <v>361</v>
      </c>
      <c r="CL4917" s="1789"/>
      <c r="CR4917" s="345"/>
      <c r="CS4917" s="345"/>
      <c r="DH4917" s="237"/>
      <c r="DI4917" s="237"/>
      <c r="DP4917" s="2505"/>
    </row>
    <row r="4918" spans="30:120">
      <c r="AD4918" s="1138"/>
      <c r="BH4918" s="1790"/>
      <c r="BN4918" s="237">
        <v>910.01</v>
      </c>
      <c r="BO4918" s="237" t="s">
        <v>376</v>
      </c>
      <c r="CD4918" s="237">
        <v>9803</v>
      </c>
      <c r="CE4918" s="237" t="s">
        <v>337</v>
      </c>
      <c r="CL4918" s="1789"/>
      <c r="CR4918" s="345"/>
      <c r="CS4918" s="345"/>
      <c r="DH4918" s="237"/>
      <c r="DI4918" s="237"/>
      <c r="DP4918" s="2505"/>
    </row>
    <row r="4919" spans="30:120">
      <c r="AD4919" s="1138"/>
      <c r="BH4919" s="1790"/>
      <c r="BN4919" s="237">
        <v>910.05</v>
      </c>
      <c r="BO4919" s="237" t="s">
        <v>376</v>
      </c>
      <c r="CD4919" s="237">
        <v>9803</v>
      </c>
      <c r="CE4919" s="237" t="s">
        <v>352</v>
      </c>
      <c r="CL4919" s="1789"/>
      <c r="CR4919" s="345"/>
      <c r="CS4919" s="345"/>
      <c r="DH4919" s="237"/>
      <c r="DI4919" s="237"/>
      <c r="DP4919" s="2505"/>
    </row>
    <row r="4920" spans="30:120">
      <c r="AD4920" s="1138"/>
      <c r="BH4920" s="1790"/>
      <c r="BN4920" s="237">
        <v>910.15</v>
      </c>
      <c r="BO4920" s="237" t="s">
        <v>376</v>
      </c>
      <c r="CD4920" s="237">
        <v>9804</v>
      </c>
      <c r="CE4920" s="237" t="s">
        <v>337</v>
      </c>
      <c r="CL4920" s="1789"/>
      <c r="CR4920" s="345"/>
      <c r="CS4920" s="345"/>
      <c r="DH4920" s="237"/>
      <c r="DI4920" s="237"/>
      <c r="DP4920" s="2505"/>
    </row>
    <row r="4921" spans="30:120">
      <c r="AD4921" s="1138"/>
      <c r="BH4921" s="1790"/>
      <c r="BN4921" s="237">
        <v>910.16</v>
      </c>
      <c r="BO4921" s="237" t="s">
        <v>376</v>
      </c>
      <c r="CD4921" s="237">
        <v>9804</v>
      </c>
      <c r="CE4921" s="237" t="s">
        <v>352</v>
      </c>
      <c r="CL4921" s="1789"/>
      <c r="CR4921" s="345"/>
      <c r="CS4921" s="345"/>
      <c r="DH4921" s="237"/>
      <c r="DI4921" s="237"/>
      <c r="DP4921" s="2505"/>
    </row>
    <row r="4922" spans="30:120">
      <c r="AD4922" s="1138"/>
      <c r="BH4922" s="1790"/>
      <c r="BN4922" s="237">
        <v>910.17</v>
      </c>
      <c r="BO4922" s="237" t="s">
        <v>376</v>
      </c>
      <c r="CD4922" s="237">
        <v>9804</v>
      </c>
      <c r="CE4922" s="237" t="s">
        <v>361</v>
      </c>
      <c r="CL4922" s="1789"/>
      <c r="CR4922" s="345"/>
      <c r="CS4922" s="345"/>
      <c r="DH4922" s="237"/>
      <c r="DI4922" s="237"/>
      <c r="DP4922" s="2505"/>
    </row>
    <row r="4923" spans="30:120">
      <c r="AD4923" s="1138"/>
      <c r="BH4923" s="1790"/>
      <c r="BN4923" s="237">
        <v>910.18</v>
      </c>
      <c r="BO4923" s="237" t="s">
        <v>376</v>
      </c>
      <c r="CD4923" s="237">
        <v>9805</v>
      </c>
      <c r="CE4923" s="237" t="s">
        <v>337</v>
      </c>
      <c r="CL4923" s="1789"/>
      <c r="CR4923" s="345"/>
      <c r="CS4923" s="345"/>
      <c r="DH4923" s="237"/>
      <c r="DI4923" s="237"/>
      <c r="DP4923" s="2505"/>
    </row>
    <row r="4924" spans="30:120">
      <c r="AD4924" s="1138"/>
      <c r="BH4924" s="1790"/>
      <c r="BN4924" s="237">
        <v>910.19</v>
      </c>
      <c r="BO4924" s="237" t="s">
        <v>376</v>
      </c>
      <c r="CD4924" s="237">
        <v>9805</v>
      </c>
      <c r="CE4924" s="237" t="s">
        <v>352</v>
      </c>
      <c r="CL4924" s="1789"/>
      <c r="CR4924" s="345"/>
      <c r="CS4924" s="345"/>
      <c r="DH4924" s="237"/>
      <c r="DI4924" s="237"/>
      <c r="DP4924" s="2505"/>
    </row>
    <row r="4925" spans="30:120">
      <c r="AD4925" s="1138"/>
      <c r="BH4925" s="1790"/>
      <c r="BN4925" s="237">
        <v>910.2</v>
      </c>
      <c r="BO4925" s="237" t="s">
        <v>376</v>
      </c>
      <c r="CD4925" s="237">
        <v>9805</v>
      </c>
      <c r="CE4925" s="237" t="s">
        <v>361</v>
      </c>
      <c r="CL4925" s="1789"/>
      <c r="CR4925" s="345"/>
      <c r="CS4925" s="345"/>
      <c r="DH4925" s="237"/>
      <c r="DI4925" s="237"/>
      <c r="DP4925" s="2505"/>
    </row>
    <row r="4926" spans="30:120">
      <c r="AD4926" s="1138"/>
      <c r="BH4926" s="1790"/>
      <c r="BN4926" s="237">
        <v>910.21</v>
      </c>
      <c r="BO4926" s="237" t="s">
        <v>376</v>
      </c>
      <c r="CD4926" s="237">
        <v>9806</v>
      </c>
      <c r="CE4926" s="237" t="s">
        <v>337</v>
      </c>
      <c r="CL4926" s="1789"/>
      <c r="CR4926" s="345"/>
      <c r="CS4926" s="345"/>
      <c r="DH4926" s="237"/>
      <c r="DI4926" s="237"/>
      <c r="DP4926" s="2505"/>
    </row>
    <row r="4927" spans="30:120">
      <c r="AD4927" s="1138"/>
      <c r="BH4927" s="1790"/>
      <c r="BN4927" s="237">
        <v>910.23</v>
      </c>
      <c r="BO4927" s="237" t="s">
        <v>376</v>
      </c>
      <c r="CD4927" s="237">
        <v>9806</v>
      </c>
      <c r="CE4927" s="237" t="s">
        <v>352</v>
      </c>
      <c r="CL4927" s="1789"/>
      <c r="CR4927" s="345"/>
      <c r="CS4927" s="345"/>
      <c r="DH4927" s="237"/>
      <c r="DI4927" s="237"/>
      <c r="DP4927" s="2505"/>
    </row>
    <row r="4928" spans="30:120">
      <c r="AD4928" s="1138"/>
      <c r="BH4928" s="1790"/>
      <c r="BN4928" s="237">
        <v>910.25</v>
      </c>
      <c r="BO4928" s="237" t="s">
        <v>376</v>
      </c>
      <c r="CD4928" s="237">
        <v>9807</v>
      </c>
      <c r="CE4928" s="237" t="s">
        <v>337</v>
      </c>
      <c r="CL4928" s="1789"/>
      <c r="CR4928" s="345"/>
      <c r="CS4928" s="345"/>
      <c r="DH4928" s="237"/>
      <c r="DI4928" s="237"/>
      <c r="DP4928" s="2505"/>
    </row>
    <row r="4929" spans="30:120">
      <c r="AD4929" s="1138"/>
      <c r="BH4929" s="1790"/>
      <c r="BN4929" s="237">
        <v>910.28</v>
      </c>
      <c r="BO4929" s="237" t="s">
        <v>376</v>
      </c>
      <c r="CD4929" s="237">
        <v>9807</v>
      </c>
      <c r="CE4929" s="237" t="s">
        <v>352</v>
      </c>
      <c r="CL4929" s="1789"/>
      <c r="CR4929" s="345"/>
      <c r="CS4929" s="345"/>
      <c r="DH4929" s="237"/>
      <c r="DI4929" s="237"/>
      <c r="DP4929" s="2505"/>
    </row>
    <row r="4930" spans="30:120">
      <c r="AD4930" s="1138"/>
      <c r="BH4930" s="1790"/>
      <c r="BN4930" s="237">
        <v>910.29</v>
      </c>
      <c r="BO4930" s="237" t="s">
        <v>376</v>
      </c>
      <c r="CD4930" s="237">
        <v>9808</v>
      </c>
      <c r="CE4930" s="237" t="s">
        <v>352</v>
      </c>
      <c r="CL4930" s="1789"/>
      <c r="CR4930" s="345"/>
      <c r="CS4930" s="345"/>
      <c r="DH4930" s="237"/>
      <c r="DI4930" s="237"/>
      <c r="DP4930" s="2505"/>
    </row>
    <row r="4931" spans="30:120">
      <c r="AD4931" s="1138"/>
      <c r="BH4931" s="1790"/>
      <c r="BN4931" s="237">
        <v>910.3</v>
      </c>
      <c r="BO4931" s="237" t="s">
        <v>376</v>
      </c>
      <c r="CD4931" s="237">
        <v>9809</v>
      </c>
      <c r="CE4931" s="237" t="s">
        <v>352</v>
      </c>
      <c r="CL4931" s="1789"/>
      <c r="CR4931" s="345"/>
      <c r="CS4931" s="345"/>
      <c r="DH4931" s="237"/>
      <c r="DI4931" s="237"/>
      <c r="DP4931" s="2505"/>
    </row>
    <row r="4932" spans="30:120">
      <c r="AD4932" s="1138"/>
      <c r="BH4932" s="1790"/>
      <c r="BN4932" s="237">
        <v>910.31</v>
      </c>
      <c r="BO4932" s="237" t="s">
        <v>376</v>
      </c>
      <c r="CD4932" s="237">
        <v>9810</v>
      </c>
      <c r="CE4932" s="237" t="s">
        <v>352</v>
      </c>
      <c r="CL4932" s="1789"/>
      <c r="CR4932" s="345"/>
      <c r="CS4932" s="345"/>
      <c r="DH4932" s="237"/>
      <c r="DI4932" s="237"/>
      <c r="DP4932" s="2505"/>
    </row>
    <row r="4933" spans="30:120">
      <c r="AD4933" s="1138"/>
      <c r="BH4933" s="1790"/>
      <c r="BN4933" s="237">
        <v>910.32</v>
      </c>
      <c r="BO4933" s="237" t="s">
        <v>376</v>
      </c>
      <c r="CD4933" s="237">
        <v>9811</v>
      </c>
      <c r="CE4933" s="237" t="s">
        <v>352</v>
      </c>
      <c r="CL4933" s="1789"/>
      <c r="CR4933" s="345"/>
      <c r="CS4933" s="345"/>
      <c r="DH4933" s="237"/>
      <c r="DI4933" s="237"/>
      <c r="DP4933" s="2505"/>
    </row>
    <row r="4934" spans="30:120">
      <c r="AD4934" s="1138"/>
      <c r="BH4934" s="1790"/>
      <c r="BN4934" s="237">
        <v>910.33</v>
      </c>
      <c r="BO4934" s="237" t="s">
        <v>376</v>
      </c>
      <c r="CD4934" s="237">
        <v>9812</v>
      </c>
      <c r="CE4934" s="237" t="s">
        <v>352</v>
      </c>
      <c r="CL4934" s="1789"/>
      <c r="CR4934" s="345"/>
      <c r="CS4934" s="345"/>
      <c r="DH4934" s="237"/>
      <c r="DI4934" s="237"/>
      <c r="DP4934" s="2505"/>
    </row>
    <row r="4935" spans="30:120">
      <c r="AD4935" s="1138"/>
      <c r="BH4935" s="1790"/>
      <c r="BN4935" s="237">
        <v>910.34</v>
      </c>
      <c r="BO4935" s="237" t="s">
        <v>376</v>
      </c>
      <c r="CD4935" s="237">
        <v>9813</v>
      </c>
      <c r="CE4935" s="237" t="s">
        <v>352</v>
      </c>
      <c r="CL4935" s="1789"/>
      <c r="CR4935" s="345"/>
      <c r="CS4935" s="345"/>
      <c r="DH4935" s="237"/>
      <c r="DI4935" s="237"/>
      <c r="DP4935" s="2505"/>
    </row>
    <row r="4936" spans="30:120">
      <c r="AD4936" s="1138"/>
      <c r="BH4936" s="1790"/>
      <c r="BN4936" s="237">
        <v>910.35</v>
      </c>
      <c r="BO4936" s="237" t="s">
        <v>376</v>
      </c>
      <c r="CD4936" s="345">
        <v>9900</v>
      </c>
      <c r="CE4936" s="345" t="s">
        <v>306</v>
      </c>
      <c r="CL4936" s="1789"/>
      <c r="CR4936" s="345"/>
      <c r="CS4936" s="345"/>
      <c r="DH4936" s="237"/>
      <c r="DI4936" s="237"/>
      <c r="DP4936" s="2505"/>
    </row>
    <row r="4937" spans="30:120">
      <c r="AD4937" s="1138"/>
      <c r="BH4937" s="1790"/>
      <c r="BN4937" s="237">
        <v>910.36</v>
      </c>
      <c r="BO4937" s="237" t="s">
        <v>376</v>
      </c>
      <c r="CD4937" s="345">
        <v>9900</v>
      </c>
      <c r="CE4937" s="345" t="s">
        <v>309</v>
      </c>
      <c r="CL4937" s="1789"/>
      <c r="CR4937" s="345"/>
      <c r="CS4937" s="345"/>
      <c r="DH4937" s="237"/>
      <c r="DI4937" s="237"/>
      <c r="DP4937" s="2505"/>
    </row>
    <row r="4938" spans="30:120">
      <c r="AD4938" s="1138"/>
      <c r="BH4938" s="1790"/>
      <c r="BN4938" s="237">
        <v>910.37</v>
      </c>
      <c r="BO4938" s="237" t="s">
        <v>376</v>
      </c>
      <c r="CD4938" s="345">
        <v>9900</v>
      </c>
      <c r="CE4938" s="345" t="s">
        <v>310</v>
      </c>
      <c r="CL4938" s="1789"/>
      <c r="CR4938" s="345"/>
      <c r="CS4938" s="345"/>
      <c r="DH4938" s="237"/>
      <c r="DI4938" s="237"/>
      <c r="DP4938" s="2505"/>
    </row>
    <row r="4939" spans="30:120">
      <c r="AD4939" s="1138"/>
      <c r="BH4939" s="1790"/>
      <c r="BN4939" s="237">
        <v>910.38</v>
      </c>
      <c r="BO4939" s="237" t="s">
        <v>376</v>
      </c>
      <c r="CD4939" s="345">
        <v>9900</v>
      </c>
      <c r="CE4939" s="345" t="s">
        <v>315</v>
      </c>
      <c r="CL4939" s="1789"/>
      <c r="CR4939" s="345"/>
      <c r="CS4939" s="345"/>
      <c r="DH4939" s="237"/>
      <c r="DI4939" s="237"/>
      <c r="DP4939" s="2505"/>
    </row>
    <row r="4940" spans="30:120">
      <c r="AD4940" s="1138"/>
      <c r="BH4940" s="1790"/>
      <c r="BN4940" s="237">
        <v>910.39</v>
      </c>
      <c r="BO4940" s="237" t="s">
        <v>376</v>
      </c>
      <c r="CD4940" s="345">
        <v>9900</v>
      </c>
      <c r="CE4940" s="345" t="s">
        <v>316</v>
      </c>
      <c r="CL4940" s="1789"/>
      <c r="CR4940" s="345"/>
      <c r="CS4940" s="345"/>
      <c r="DH4940" s="237"/>
      <c r="DI4940" s="237"/>
      <c r="DP4940" s="2505"/>
    </row>
    <row r="4941" spans="30:120">
      <c r="AD4941" s="1138"/>
      <c r="BH4941" s="1790"/>
      <c r="BN4941" s="237">
        <v>925</v>
      </c>
      <c r="BO4941" s="237" t="s">
        <v>376</v>
      </c>
      <c r="CD4941" s="237">
        <v>9900</v>
      </c>
      <c r="CE4941" s="237" t="s">
        <v>318</v>
      </c>
      <c r="CL4941" s="1789"/>
      <c r="CR4941" s="345"/>
      <c r="CS4941" s="345"/>
      <c r="DH4941" s="237"/>
      <c r="DI4941" s="237"/>
      <c r="DP4941" s="2505"/>
    </row>
    <row r="4942" spans="30:120">
      <c r="AD4942" s="1138"/>
      <c r="BH4942" s="1790"/>
      <c r="BN4942" s="237">
        <v>9900</v>
      </c>
      <c r="BO4942" s="237" t="s">
        <v>376</v>
      </c>
      <c r="CD4942" s="237">
        <v>9900</v>
      </c>
      <c r="CE4942" s="237" t="s">
        <v>323</v>
      </c>
      <c r="CL4942" s="1789"/>
      <c r="CR4942" s="345"/>
      <c r="CS4942" s="345"/>
      <c r="DH4942" s="237"/>
      <c r="DI4942" s="237"/>
      <c r="DP4942" s="2505"/>
    </row>
    <row r="4943" spans="30:120">
      <c r="AD4943" s="1138"/>
      <c r="BH4943" s="1790"/>
      <c r="BN4943" s="237">
        <v>101.01</v>
      </c>
      <c r="BO4943" s="237" t="s">
        <v>377</v>
      </c>
      <c r="CD4943" s="237">
        <v>9900</v>
      </c>
      <c r="CE4943" s="237" t="s">
        <v>325</v>
      </c>
      <c r="CL4943" s="1789"/>
      <c r="CR4943" s="345"/>
      <c r="CS4943" s="345"/>
      <c r="DH4943" s="237"/>
      <c r="DI4943" s="237"/>
      <c r="DP4943" s="2505"/>
    </row>
    <row r="4944" spans="30:120">
      <c r="AD4944" s="1138"/>
      <c r="BH4944" s="1790"/>
      <c r="BN4944" s="237">
        <v>101.02</v>
      </c>
      <c r="BO4944" s="237" t="s">
        <v>377</v>
      </c>
      <c r="CD4944" s="237">
        <v>9900</v>
      </c>
      <c r="CE4944" s="237" t="s">
        <v>326</v>
      </c>
      <c r="CL4944" s="1789"/>
      <c r="CR4944" s="345"/>
      <c r="CS4944" s="345"/>
      <c r="DH4944" s="237"/>
      <c r="DI4944" s="237"/>
      <c r="DP4944" s="2505"/>
    </row>
    <row r="4945" spans="30:120">
      <c r="AD4945" s="1138"/>
      <c r="BH4945" s="1790"/>
      <c r="BN4945" s="237">
        <v>102.04</v>
      </c>
      <c r="BO4945" s="237" t="s">
        <v>377</v>
      </c>
      <c r="CD4945" s="237">
        <v>9900</v>
      </c>
      <c r="CE4945" s="237" t="s">
        <v>335</v>
      </c>
      <c r="CL4945" s="1789"/>
      <c r="CR4945" s="345"/>
      <c r="CS4945" s="345"/>
      <c r="DH4945" s="237"/>
      <c r="DI4945" s="237"/>
      <c r="DP4945" s="2505"/>
    </row>
    <row r="4946" spans="30:120">
      <c r="AD4946" s="1138"/>
      <c r="BH4946" s="1790"/>
      <c r="BN4946" s="237">
        <v>102.05</v>
      </c>
      <c r="BO4946" s="237" t="s">
        <v>377</v>
      </c>
      <c r="CD4946" s="237">
        <v>9900</v>
      </c>
      <c r="CE4946" s="237" t="s">
        <v>337</v>
      </c>
      <c r="CL4946" s="1789"/>
      <c r="CR4946" s="345"/>
      <c r="CS4946" s="345"/>
      <c r="DH4946" s="237"/>
      <c r="DI4946" s="237"/>
      <c r="DP4946" s="2505"/>
    </row>
    <row r="4947" spans="30:120">
      <c r="AD4947" s="1138"/>
      <c r="BH4947" s="1790"/>
      <c r="BN4947" s="237">
        <v>102.06</v>
      </c>
      <c r="BO4947" s="237" t="s">
        <v>377</v>
      </c>
      <c r="CD4947" s="237">
        <v>9900</v>
      </c>
      <c r="CE4947" s="237" t="s">
        <v>339</v>
      </c>
      <c r="CL4947" s="1789"/>
      <c r="CR4947" s="345"/>
      <c r="CS4947" s="345"/>
      <c r="DH4947" s="237"/>
      <c r="DI4947" s="237"/>
      <c r="DP4947" s="2505"/>
    </row>
    <row r="4948" spans="30:120">
      <c r="AD4948" s="1138"/>
      <c r="BH4948" s="1790"/>
      <c r="BN4948" s="237">
        <v>102.07</v>
      </c>
      <c r="BO4948" s="237" t="s">
        <v>377</v>
      </c>
      <c r="CD4948" s="237">
        <v>9900</v>
      </c>
      <c r="CE4948" s="237" t="s">
        <v>341</v>
      </c>
      <c r="CL4948" s="1789"/>
      <c r="CR4948" s="345"/>
      <c r="CS4948" s="345"/>
      <c r="DH4948" s="237"/>
      <c r="DI4948" s="237"/>
      <c r="DP4948" s="2505"/>
    </row>
    <row r="4949" spans="30:120">
      <c r="AD4949" s="1138"/>
      <c r="BH4949" s="1790"/>
      <c r="BN4949" s="237">
        <v>102.08</v>
      </c>
      <c r="BO4949" s="237" t="s">
        <v>377</v>
      </c>
      <c r="CD4949" s="237">
        <v>9900</v>
      </c>
      <c r="CE4949" s="237" t="s">
        <v>344</v>
      </c>
      <c r="CL4949" s="1789"/>
      <c r="CR4949" s="345"/>
      <c r="CS4949" s="345"/>
      <c r="DH4949" s="237"/>
      <c r="DI4949" s="237"/>
      <c r="DP4949" s="2505"/>
    </row>
    <row r="4950" spans="30:120">
      <c r="AD4950" s="1138"/>
      <c r="BH4950" s="1790"/>
      <c r="BN4950" s="237">
        <v>102.09</v>
      </c>
      <c r="BO4950" s="237" t="s">
        <v>377</v>
      </c>
      <c r="CD4950" s="237">
        <v>9900</v>
      </c>
      <c r="CE4950" s="237" t="s">
        <v>346</v>
      </c>
      <c r="CL4950" s="1789"/>
      <c r="CR4950" s="345"/>
      <c r="CS4950" s="345"/>
      <c r="DH4950" s="237"/>
      <c r="DI4950" s="237"/>
      <c r="DP4950" s="2505"/>
    </row>
    <row r="4951" spans="30:120">
      <c r="AD4951" s="1138"/>
      <c r="BH4951" s="1790"/>
      <c r="BN4951" s="237">
        <v>9900</v>
      </c>
      <c r="BO4951" s="237" t="s">
        <v>377</v>
      </c>
      <c r="CD4951" s="237">
        <v>9900</v>
      </c>
      <c r="CE4951" s="237" t="s">
        <v>349</v>
      </c>
      <c r="CL4951" s="1789"/>
      <c r="CR4951" s="345"/>
      <c r="CS4951" s="345"/>
      <c r="DH4951" s="237"/>
      <c r="DI4951" s="237"/>
      <c r="DP4951" s="2505"/>
    </row>
    <row r="4952" spans="30:120">
      <c r="AD4952" s="1138"/>
      <c r="BH4952" s="1790"/>
      <c r="BN4952" s="237">
        <v>9501.02</v>
      </c>
      <c r="BO4952" s="237" t="s">
        <v>378</v>
      </c>
      <c r="CD4952" s="237">
        <v>9900</v>
      </c>
      <c r="CE4952" s="237" t="s">
        <v>351</v>
      </c>
      <c r="CL4952" s="1789"/>
      <c r="CR4952" s="345"/>
      <c r="CS4952" s="345"/>
      <c r="DH4952" s="237"/>
      <c r="DI4952" s="237"/>
      <c r="DP4952" s="2505"/>
    </row>
    <row r="4953" spans="30:120">
      <c r="AD4953" s="1138"/>
      <c r="BH4953" s="1790"/>
      <c r="BN4953" s="237">
        <v>9501.0300000000007</v>
      </c>
      <c r="BO4953" s="237" t="s">
        <v>378</v>
      </c>
      <c r="CD4953" s="237">
        <v>9900</v>
      </c>
      <c r="CE4953" s="237" t="s">
        <v>352</v>
      </c>
      <c r="CL4953" s="1789"/>
      <c r="CR4953" s="345"/>
      <c r="CS4953" s="345"/>
      <c r="DH4953" s="237"/>
      <c r="DI4953" s="237"/>
      <c r="DP4953" s="2505"/>
    </row>
    <row r="4954" spans="30:120">
      <c r="AD4954" s="1138"/>
      <c r="BH4954" s="1790"/>
      <c r="BN4954" s="237">
        <v>9501.0400000000009</v>
      </c>
      <c r="BO4954" s="237" t="s">
        <v>378</v>
      </c>
      <c r="CD4954" s="237">
        <v>9900</v>
      </c>
      <c r="CE4954" s="237" t="s">
        <v>356</v>
      </c>
      <c r="CL4954" s="1789"/>
      <c r="CR4954" s="345"/>
      <c r="CS4954" s="345"/>
      <c r="DH4954" s="237"/>
      <c r="DI4954" s="237"/>
      <c r="DP4954" s="2505"/>
    </row>
    <row r="4955" spans="30:120">
      <c r="AD4955" s="1138"/>
      <c r="BH4955" s="1790"/>
      <c r="BN4955" s="237">
        <v>9502.01</v>
      </c>
      <c r="BO4955" s="237" t="s">
        <v>378</v>
      </c>
      <c r="CD4955" s="237">
        <v>9900</v>
      </c>
      <c r="CE4955" s="237" t="s">
        <v>359</v>
      </c>
      <c r="CL4955" s="1789"/>
      <c r="CR4955" s="345"/>
      <c r="CS4955" s="345"/>
      <c r="DH4955" s="237"/>
      <c r="DI4955" s="237"/>
      <c r="DP4955" s="2505"/>
    </row>
    <row r="4956" spans="30:120">
      <c r="AD4956" s="1138"/>
      <c r="BH4956" s="1790"/>
      <c r="BN4956" s="237">
        <v>9502.02</v>
      </c>
      <c r="BO4956" s="237" t="s">
        <v>378</v>
      </c>
      <c r="CD4956" s="237">
        <v>9900</v>
      </c>
      <c r="CE4956" s="237" t="s">
        <v>361</v>
      </c>
      <c r="CL4956" s="1789"/>
      <c r="CR4956" s="345"/>
      <c r="CS4956" s="345"/>
      <c r="DH4956" s="237"/>
      <c r="DI4956" s="237"/>
      <c r="DP4956" s="2505"/>
    </row>
    <row r="4957" spans="30:120">
      <c r="AD4957" s="1138"/>
      <c r="BH4957" s="1790"/>
      <c r="BN4957" s="237">
        <v>9503.0300000000007</v>
      </c>
      <c r="BO4957" s="237" t="s">
        <v>378</v>
      </c>
      <c r="CD4957" s="237">
        <v>9900</v>
      </c>
      <c r="CE4957" s="237" t="s">
        <v>362</v>
      </c>
      <c r="CL4957" s="1789"/>
      <c r="CR4957" s="345"/>
      <c r="CS4957" s="345"/>
      <c r="DH4957" s="237"/>
      <c r="DI4957" s="237"/>
      <c r="DP4957" s="2505"/>
    </row>
    <row r="4958" spans="30:120">
      <c r="AD4958" s="1138"/>
      <c r="BH4958" s="1790"/>
      <c r="BN4958" s="237">
        <v>9503.0400000000009</v>
      </c>
      <c r="BO4958" s="237" t="s">
        <v>378</v>
      </c>
      <c r="CD4958" s="237">
        <v>9900</v>
      </c>
      <c r="CE4958" s="237" t="s">
        <v>363</v>
      </c>
      <c r="CL4958" s="1789"/>
      <c r="CR4958" s="345"/>
      <c r="CS4958" s="345"/>
      <c r="DH4958" s="237"/>
      <c r="DI4958" s="237"/>
      <c r="DP4958" s="2505"/>
    </row>
    <row r="4959" spans="30:120">
      <c r="AD4959" s="1138"/>
      <c r="BH4959" s="1790"/>
      <c r="BN4959" s="237">
        <v>9503.0499999999993</v>
      </c>
      <c r="BO4959" s="237" t="s">
        <v>378</v>
      </c>
      <c r="CD4959" s="237">
        <v>9900</v>
      </c>
      <c r="CE4959" s="237" t="s">
        <v>367</v>
      </c>
      <c r="CL4959" s="1789"/>
      <c r="CR4959" s="345"/>
      <c r="CS4959" s="345"/>
      <c r="DH4959" s="237"/>
      <c r="DI4959" s="237"/>
      <c r="DP4959" s="2505"/>
    </row>
    <row r="4960" spans="30:120">
      <c r="AD4960" s="1138"/>
      <c r="BH4960" s="1790"/>
      <c r="BN4960" s="237">
        <v>9503.06</v>
      </c>
      <c r="BO4960" s="237" t="s">
        <v>378</v>
      </c>
      <c r="CD4960" s="237">
        <v>9900</v>
      </c>
      <c r="CE4960" s="237" t="s">
        <v>368</v>
      </c>
      <c r="CL4960" s="1789"/>
      <c r="CR4960" s="345"/>
      <c r="CS4960" s="345"/>
      <c r="DH4960" s="237"/>
      <c r="DI4960" s="237"/>
      <c r="DP4960" s="2505"/>
    </row>
    <row r="4961" spans="30:123">
      <c r="AD4961" s="1138"/>
      <c r="BH4961" s="1790"/>
      <c r="BN4961" s="237">
        <v>9504</v>
      </c>
      <c r="BO4961" s="237" t="s">
        <v>378</v>
      </c>
      <c r="CD4961" s="237">
        <v>9900</v>
      </c>
      <c r="CE4961" s="237" t="s">
        <v>371</v>
      </c>
      <c r="CL4961" s="1789"/>
      <c r="CR4961" s="345"/>
      <c r="CS4961" s="345"/>
      <c r="DH4961" s="237"/>
      <c r="DI4961" s="237"/>
      <c r="DP4961" s="2505"/>
    </row>
    <row r="4962" spans="30:123">
      <c r="AD4962" s="1138"/>
      <c r="BH4962" s="1790"/>
      <c r="BN4962" s="237">
        <v>9505.01</v>
      </c>
      <c r="BO4962" s="237" t="s">
        <v>378</v>
      </c>
      <c r="CD4962" s="237">
        <v>9900</v>
      </c>
      <c r="CE4962" s="237" t="s">
        <v>376</v>
      </c>
      <c r="CL4962" s="1789"/>
      <c r="CR4962" s="345"/>
      <c r="CS4962" s="345"/>
      <c r="DH4962" s="237"/>
      <c r="DI4962" s="237"/>
      <c r="DP4962" s="2505"/>
    </row>
    <row r="4963" spans="30:123">
      <c r="AD4963" s="1138"/>
      <c r="BH4963" s="1790"/>
      <c r="BN4963" s="237">
        <v>9505.02</v>
      </c>
      <c r="BO4963" s="237" t="s">
        <v>378</v>
      </c>
      <c r="CD4963" s="237">
        <v>9900</v>
      </c>
      <c r="CE4963" s="237" t="s">
        <v>377</v>
      </c>
      <c r="CL4963" s="1789"/>
      <c r="CR4963" s="345"/>
      <c r="CS4963" s="345"/>
      <c r="DH4963" s="237"/>
      <c r="DI4963" s="237"/>
      <c r="DP4963" s="2505"/>
    </row>
    <row r="4964" spans="30:123">
      <c r="AD4964" s="1138"/>
      <c r="BH4964" s="1790"/>
      <c r="BN4964" s="237">
        <v>9506.0400000000009</v>
      </c>
      <c r="BO4964" s="237" t="s">
        <v>378</v>
      </c>
      <c r="CD4964" s="237">
        <v>9900</v>
      </c>
      <c r="CE4964" s="237" t="s">
        <v>378</v>
      </c>
      <c r="CL4964" s="1789"/>
      <c r="CR4964" s="345"/>
      <c r="CS4964" s="345"/>
      <c r="DH4964" s="237"/>
      <c r="DI4964" s="237"/>
      <c r="DP4964" s="2505"/>
    </row>
    <row r="4965" spans="30:123">
      <c r="AD4965" s="1138"/>
      <c r="BH4965" s="1790"/>
      <c r="BN4965" s="237">
        <v>9506.0499999999993</v>
      </c>
      <c r="BO4965" s="237" t="s">
        <v>378</v>
      </c>
      <c r="CD4965" s="237">
        <v>9901</v>
      </c>
      <c r="CE4965" s="237" t="s">
        <v>337</v>
      </c>
      <c r="CL4965" s="1789"/>
      <c r="CR4965" s="345"/>
      <c r="CS4965" s="345"/>
      <c r="DH4965" s="237"/>
      <c r="DI4965" s="237"/>
      <c r="DP4965" s="2505"/>
    </row>
    <row r="4966" spans="30:123">
      <c r="AD4966" s="1138"/>
      <c r="BH4966" s="1790"/>
      <c r="BN4966" s="237">
        <v>9506.06</v>
      </c>
      <c r="BO4966" s="237" t="s">
        <v>378</v>
      </c>
      <c r="CD4966" s="237">
        <v>9901</v>
      </c>
      <c r="CE4966" s="237" t="s">
        <v>351</v>
      </c>
      <c r="CL4966" s="1789"/>
      <c r="CR4966" s="345"/>
      <c r="CS4966" s="345"/>
      <c r="DH4966" s="237"/>
      <c r="DI4966" s="237"/>
      <c r="DP4966" s="2505"/>
    </row>
    <row r="4967" spans="30:123">
      <c r="AD4967" s="1138"/>
      <c r="BH4967" s="1790"/>
      <c r="BN4967" s="237">
        <v>9506.07</v>
      </c>
      <c r="BO4967" s="237" t="s">
        <v>378</v>
      </c>
      <c r="CD4967" s="237">
        <v>9901</v>
      </c>
      <c r="CE4967" s="237" t="s">
        <v>357</v>
      </c>
      <c r="CL4967" s="1789"/>
      <c r="CR4967" s="345"/>
      <c r="CS4967" s="345"/>
      <c r="DH4967" s="237"/>
      <c r="DI4967" s="237"/>
      <c r="DP4967" s="2505"/>
    </row>
    <row r="4968" spans="30:123">
      <c r="AD4968" s="1138"/>
      <c r="BH4968" s="1790"/>
      <c r="BN4968" s="237">
        <v>9506.08</v>
      </c>
      <c r="BO4968" s="237" t="s">
        <v>378</v>
      </c>
      <c r="CD4968" s="237">
        <v>9901</v>
      </c>
      <c r="CE4968" s="237" t="s">
        <v>361</v>
      </c>
      <c r="CL4968" s="1789"/>
      <c r="CR4968" s="345"/>
      <c r="CS4968" s="345"/>
      <c r="DH4968" s="237"/>
      <c r="DI4968" s="237"/>
      <c r="DP4968" s="2505"/>
    </row>
    <row r="4969" spans="30:123">
      <c r="AD4969" s="1138"/>
      <c r="BH4969" s="1790"/>
      <c r="BN4969" s="237">
        <v>9506.09</v>
      </c>
      <c r="BO4969" s="237" t="s">
        <v>378</v>
      </c>
      <c r="CD4969" s="237">
        <v>9901</v>
      </c>
      <c r="CE4969" s="237" t="s">
        <v>363</v>
      </c>
      <c r="CL4969" s="1789"/>
      <c r="CR4969" s="345"/>
      <c r="CS4969" s="345"/>
      <c r="DH4969" s="237"/>
      <c r="DI4969" s="237"/>
      <c r="DP4969" s="2505"/>
    </row>
    <row r="4970" spans="30:123">
      <c r="AD4970" s="1138"/>
      <c r="BH4970" s="1790"/>
      <c r="BN4970" s="237">
        <v>9506.1</v>
      </c>
      <c r="BO4970" s="237" t="s">
        <v>378</v>
      </c>
      <c r="CD4970" s="237">
        <v>9901</v>
      </c>
      <c r="CE4970" s="237" t="s">
        <v>370</v>
      </c>
      <c r="CL4970" s="1789"/>
      <c r="CR4970" s="345"/>
      <c r="CS4970" s="345"/>
      <c r="DH4970" s="237"/>
      <c r="DI4970" s="237"/>
      <c r="DP4970" s="2505"/>
    </row>
    <row r="4971" spans="30:123">
      <c r="AD4971" s="1138"/>
      <c r="BH4971" s="1790"/>
      <c r="BN4971" s="237">
        <v>9506.11</v>
      </c>
      <c r="BO4971" s="237" t="s">
        <v>378</v>
      </c>
      <c r="CD4971" s="237">
        <v>9902</v>
      </c>
      <c r="CE4971" s="237" t="s">
        <v>357</v>
      </c>
      <c r="CL4971" s="1789"/>
      <c r="CR4971" s="345"/>
      <c r="CS4971" s="345"/>
      <c r="DH4971" s="237"/>
      <c r="DI4971" s="237"/>
      <c r="DP4971" s="2505"/>
    </row>
    <row r="4972" spans="30:123">
      <c r="AD4972" s="1138"/>
      <c r="BH4972" s="1790"/>
      <c r="BN4972" s="237">
        <v>9900</v>
      </c>
      <c r="BO4972" s="237" t="s">
        <v>378</v>
      </c>
      <c r="CD4972" s="237">
        <v>9902</v>
      </c>
      <c r="CE4972" s="237" t="s">
        <v>370</v>
      </c>
      <c r="CL4972" s="1789"/>
      <c r="CR4972" s="345"/>
      <c r="CS4972" s="345"/>
      <c r="DH4972" s="237"/>
      <c r="DI4972" s="237"/>
      <c r="DP4972" s="2505"/>
    </row>
    <row r="4973" spans="30:123">
      <c r="AD4973" s="1138" t="s">
        <v>2815</v>
      </c>
      <c r="BH4973" s="1790" t="s">
        <v>2815</v>
      </c>
      <c r="BN4973" s="2831" t="s">
        <v>2308</v>
      </c>
      <c r="BO4973" s="2832"/>
      <c r="CD4973" s="2831" t="s">
        <v>2308</v>
      </c>
      <c r="CE4973" s="2832"/>
      <c r="CL4973" s="1789" t="s">
        <v>2815</v>
      </c>
      <c r="CR4973" s="2831" t="s">
        <v>2308</v>
      </c>
      <c r="CS4973" s="2832"/>
      <c r="DH4973" s="2831" t="s">
        <v>2308</v>
      </c>
      <c r="DI4973" s="2832"/>
      <c r="DP4973" s="2506" t="s">
        <v>2815</v>
      </c>
      <c r="DS4973" s="1331" t="s">
        <v>2815</v>
      </c>
    </row>
  </sheetData>
  <sheetProtection algorithmName="SHA-512" hashValue="/kGb/NDL6JCP+CdbsYi2p6QIcDpnCDE0GzlUVrUj+28hvMYojzOW+rlkjbZ0xZ9tZzTxe4zThgBQQf39oveNkQ==" saltValue="qihfmFTqKhBleS1Jx7Zovw==" spinCount="100000" sheet="1" objects="1" scenarios="1"/>
  <sortState xmlns:xlrd2="http://schemas.microsoft.com/office/spreadsheetml/2017/richdata2" ref="CA414:CB450">
    <sortCondition ref="CB414:CB450"/>
  </sortState>
  <mergeCells count="168">
    <mergeCell ref="CM451:CN451"/>
    <mergeCell ref="CU251:CV251"/>
    <mergeCell ref="CR4973:CS4973"/>
    <mergeCell ref="CX3001:CY3001"/>
    <mergeCell ref="DE451:DF451"/>
    <mergeCell ref="DH4973:DI4973"/>
    <mergeCell ref="DK251:DL251"/>
    <mergeCell ref="DN3001:DO3001"/>
    <mergeCell ref="CM9:CN9"/>
    <mergeCell ref="CR9:CS9"/>
    <mergeCell ref="CU9:CV9"/>
    <mergeCell ref="CX9:CY9"/>
    <mergeCell ref="DE9:DF9"/>
    <mergeCell ref="DH9:DI9"/>
    <mergeCell ref="DK9:DL9"/>
    <mergeCell ref="DN9:DO9"/>
    <mergeCell ref="CM12:CN12"/>
    <mergeCell ref="CR12:CS12"/>
    <mergeCell ref="CU12:CV12"/>
    <mergeCell ref="CX12:CY12"/>
    <mergeCell ref="DE12:DF12"/>
    <mergeCell ref="DH12:DI12"/>
    <mergeCell ref="DK12:DL12"/>
    <mergeCell ref="DN12:DO12"/>
    <mergeCell ref="CM3:DP3"/>
    <mergeCell ref="DA4:DA8"/>
    <mergeCell ref="DC4:DC8"/>
    <mergeCell ref="DE4:DF8"/>
    <mergeCell ref="DH4:DI8"/>
    <mergeCell ref="DK4:DL8"/>
    <mergeCell ref="DN4:DO8"/>
    <mergeCell ref="CM6:CN6"/>
    <mergeCell ref="CR6:CS6"/>
    <mergeCell ref="CU6:CV6"/>
    <mergeCell ref="CX6:CY6"/>
    <mergeCell ref="BN6:BO6"/>
    <mergeCell ref="BQ6:BR6"/>
    <mergeCell ref="BT6:BU6"/>
    <mergeCell ref="AE6:AF6"/>
    <mergeCell ref="AJ6:AK6"/>
    <mergeCell ref="AM6:AN6"/>
    <mergeCell ref="AP6:AQ6"/>
    <mergeCell ref="A6:B6"/>
    <mergeCell ref="F6:G6"/>
    <mergeCell ref="I6:J6"/>
    <mergeCell ref="L6:M6"/>
    <mergeCell ref="BI6:BJ6"/>
    <mergeCell ref="AB2314:AC2314"/>
    <mergeCell ref="L2314:M2314"/>
    <mergeCell ref="BI411:BJ411"/>
    <mergeCell ref="CA411:CB411"/>
    <mergeCell ref="I43:J43"/>
    <mergeCell ref="Y43:Z43"/>
    <mergeCell ref="A361:B361"/>
    <mergeCell ref="S361:T361"/>
    <mergeCell ref="V739:W739"/>
    <mergeCell ref="F739:G739"/>
    <mergeCell ref="BQ213:BR213"/>
    <mergeCell ref="BF9:BG9"/>
    <mergeCell ref="BN4973:BO4973"/>
    <mergeCell ref="CD4973:CE4973"/>
    <mergeCell ref="CG213:CH213"/>
    <mergeCell ref="CD12:CE12"/>
    <mergeCell ref="CG12:CH12"/>
    <mergeCell ref="CJ12:CK12"/>
    <mergeCell ref="BI12:BJ12"/>
    <mergeCell ref="BN12:BO12"/>
    <mergeCell ref="BQ12:BR12"/>
    <mergeCell ref="BT12:BU12"/>
    <mergeCell ref="CA12:CB12"/>
    <mergeCell ref="BT2944:BU2944"/>
    <mergeCell ref="CJ2944:CK2944"/>
    <mergeCell ref="AB12:AC12"/>
    <mergeCell ref="V12:W12"/>
    <mergeCell ref="S12:T12"/>
    <mergeCell ref="S9:T9"/>
    <mergeCell ref="V9:W9"/>
    <mergeCell ref="Y9:Z9"/>
    <mergeCell ref="L12:M12"/>
    <mergeCell ref="BI3:CL3"/>
    <mergeCell ref="BI9:BJ9"/>
    <mergeCell ref="BN9:BO9"/>
    <mergeCell ref="BQ9:BR9"/>
    <mergeCell ref="BT9:BU9"/>
    <mergeCell ref="CA9:CB9"/>
    <mergeCell ref="CD9:CE9"/>
    <mergeCell ref="CG9:CH9"/>
    <mergeCell ref="BW4:BW8"/>
    <mergeCell ref="BY4:BY8"/>
    <mergeCell ref="CA4:CB8"/>
    <mergeCell ref="CD4:CE8"/>
    <mergeCell ref="CG4:CH8"/>
    <mergeCell ref="CJ4:CK8"/>
    <mergeCell ref="CJ9:CK9"/>
    <mergeCell ref="AW9:AX9"/>
    <mergeCell ref="AZ9:BA9"/>
    <mergeCell ref="A3:AC3"/>
    <mergeCell ref="A12:B12"/>
    <mergeCell ref="F12:G12"/>
    <mergeCell ref="I12:J12"/>
    <mergeCell ref="A9:B9"/>
    <mergeCell ref="EA92:EC92"/>
    <mergeCell ref="DX103:DZ103"/>
    <mergeCell ref="DX104:DZ104"/>
    <mergeCell ref="DX105:DZ105"/>
    <mergeCell ref="DX98:DZ98"/>
    <mergeCell ref="DX99:DZ99"/>
    <mergeCell ref="DX100:DZ100"/>
    <mergeCell ref="DX101:DZ101"/>
    <mergeCell ref="DX102:DZ102"/>
    <mergeCell ref="DX94:DZ94"/>
    <mergeCell ref="DX93:DZ93"/>
    <mergeCell ref="DX95:DZ95"/>
    <mergeCell ref="DX96:DZ96"/>
    <mergeCell ref="DX97:DZ97"/>
    <mergeCell ref="L9:M9"/>
    <mergeCell ref="Y12:Z12"/>
    <mergeCell ref="AS4:AS8"/>
    <mergeCell ref="F9:G9"/>
    <mergeCell ref="I9:J9"/>
    <mergeCell ref="DX106:DZ106"/>
    <mergeCell ref="DX107:DZ107"/>
    <mergeCell ref="AE366:AF366"/>
    <mergeCell ref="AW366:AX366"/>
    <mergeCell ref="AU4:AU8"/>
    <mergeCell ref="AZ4:BA8"/>
    <mergeCell ref="AZ815:BA815"/>
    <mergeCell ref="AJ815:AK815"/>
    <mergeCell ref="AZ12:BA12"/>
    <mergeCell ref="BH3:BH11"/>
    <mergeCell ref="DX116:DZ116"/>
    <mergeCell ref="DX111:DZ111"/>
    <mergeCell ref="DX112:DZ112"/>
    <mergeCell ref="DX113:DZ113"/>
    <mergeCell ref="DX114:DZ114"/>
    <mergeCell ref="DX115:DZ115"/>
    <mergeCell ref="DX108:DZ108"/>
    <mergeCell ref="DX109:DZ109"/>
    <mergeCell ref="DX110:DZ110"/>
    <mergeCell ref="DV92:DZ92"/>
    <mergeCell ref="BC12:BD12"/>
    <mergeCell ref="BF12:BG12"/>
    <mergeCell ref="AE9:AF9"/>
    <mergeCell ref="AJ9:AK9"/>
    <mergeCell ref="AP2951:AQ2951"/>
    <mergeCell ref="BF2951:BG2951"/>
    <mergeCell ref="S4:T8"/>
    <mergeCell ref="O4:O8"/>
    <mergeCell ref="Q4:Q8"/>
    <mergeCell ref="V4:W8"/>
    <mergeCell ref="Y4:Z8"/>
    <mergeCell ref="AB4:AC8"/>
    <mergeCell ref="AW4:AX8"/>
    <mergeCell ref="AD3:AD9"/>
    <mergeCell ref="BF4:BG8"/>
    <mergeCell ref="AE3:BG3"/>
    <mergeCell ref="BC4:BD8"/>
    <mergeCell ref="AM49:AN49"/>
    <mergeCell ref="BC49:BD49"/>
    <mergeCell ref="AB9:AC9"/>
    <mergeCell ref="AM9:AN9"/>
    <mergeCell ref="AE12:AF12"/>
    <mergeCell ref="AJ12:AK12"/>
    <mergeCell ref="AM12:AN12"/>
    <mergeCell ref="AP12:AQ12"/>
    <mergeCell ref="AW12:AX12"/>
    <mergeCell ref="BC9:BD9"/>
    <mergeCell ref="AP9:AQ9"/>
  </mergeCells>
  <conditionalFormatting sqref="A13:A360 S13:S360 AE13:AE365 AW13:AW365 CA13:CA24 CA26:CA211 CA213:CA214 CA216:CA219 CA221:CA410 BI13:BI397 BI399:BI410">
    <cfRule type="expression" dxfId="1504" priority="98">
      <formula>A13=A14</formula>
    </cfRule>
  </conditionalFormatting>
  <conditionalFormatting sqref="DX80:DX84 DX13:DX78">
    <cfRule type="cellIs" dxfId="1503" priority="93" operator="greaterThan">
      <formula>0</formula>
    </cfRule>
  </conditionalFormatting>
  <conditionalFormatting sqref="DX41">
    <cfRule type="cellIs" dxfId="1502" priority="91" operator="greaterThan">
      <formula>0</formula>
    </cfRule>
  </conditionalFormatting>
  <conditionalFormatting sqref="DX21">
    <cfRule type="cellIs" dxfId="1501" priority="90" operator="greaterThan">
      <formula>0</formula>
    </cfRule>
  </conditionalFormatting>
  <conditionalFormatting sqref="DX24">
    <cfRule type="cellIs" dxfId="1500" priority="89" operator="greaterThan">
      <formula>0</formula>
    </cfRule>
  </conditionalFormatting>
  <conditionalFormatting sqref="DX25">
    <cfRule type="cellIs" dxfId="1499" priority="88" operator="greaterThan">
      <formula>0</formula>
    </cfRule>
  </conditionalFormatting>
  <conditionalFormatting sqref="DX25">
    <cfRule type="cellIs" dxfId="1498" priority="87" operator="greaterThan">
      <formula>0</formula>
    </cfRule>
  </conditionalFormatting>
  <conditionalFormatting sqref="DX34">
    <cfRule type="cellIs" dxfId="1497" priority="85" operator="greaterThan">
      <formula>0</formula>
    </cfRule>
  </conditionalFormatting>
  <conditionalFormatting sqref="DX34">
    <cfRule type="cellIs" dxfId="1496" priority="84" operator="greaterThan">
      <formula>0</formula>
    </cfRule>
  </conditionalFormatting>
  <conditionalFormatting sqref="DX15">
    <cfRule type="cellIs" dxfId="1495" priority="79" operator="greaterThan">
      <formula>0</formula>
    </cfRule>
  </conditionalFormatting>
  <conditionalFormatting sqref="DX29">
    <cfRule type="cellIs" dxfId="1494" priority="78" operator="greaterThan">
      <formula>0</formula>
    </cfRule>
  </conditionalFormatting>
  <conditionalFormatting sqref="DX43">
    <cfRule type="cellIs" dxfId="1493" priority="77" operator="greaterThan">
      <formula>0</formula>
    </cfRule>
  </conditionalFormatting>
  <conditionalFormatting sqref="DX45">
    <cfRule type="cellIs" dxfId="1492" priority="76" operator="greaterThan">
      <formula>0</formula>
    </cfRule>
  </conditionalFormatting>
  <conditionalFormatting sqref="DX46">
    <cfRule type="cellIs" dxfId="1491" priority="75" operator="greaterThan">
      <formula>0</formula>
    </cfRule>
  </conditionalFormatting>
  <conditionalFormatting sqref="DX53">
    <cfRule type="cellIs" dxfId="1490" priority="74" operator="greaterThan">
      <formula>0</formula>
    </cfRule>
  </conditionalFormatting>
  <conditionalFormatting sqref="DX58">
    <cfRule type="cellIs" dxfId="1489" priority="73" operator="greaterThan">
      <formula>0</formula>
    </cfRule>
  </conditionalFormatting>
  <conditionalFormatting sqref="S13:S360">
    <cfRule type="expression" dxfId="1488" priority="45">
      <formula>S13=S14</formula>
    </cfRule>
  </conditionalFormatting>
  <conditionalFormatting sqref="AE13:AE360">
    <cfRule type="expression" dxfId="1487" priority="43">
      <formula>AE13=AE14</formula>
    </cfRule>
  </conditionalFormatting>
  <conditionalFormatting sqref="AE361:AE365">
    <cfRule type="expression" dxfId="1486" priority="42">
      <formula>AE361=AE362</formula>
    </cfRule>
  </conditionalFormatting>
  <conditionalFormatting sqref="AW13:AW360">
    <cfRule type="expression" dxfId="1485" priority="41">
      <formula>AW13=AW14</formula>
    </cfRule>
  </conditionalFormatting>
  <conditionalFormatting sqref="AW361:AW365">
    <cfRule type="expression" dxfId="1484" priority="40">
      <formula>AW361=AW362</formula>
    </cfRule>
  </conditionalFormatting>
  <conditionalFormatting sqref="B13:B360 D13:D35 G13:G738 J13:J42 M13:M2313 T13:T360 W13:W738 Z13:Z42 AC13:AC2313 AF13:AF365 AH13:AH35 AK13:AK814 AN13:AN48 AQ13:AQ2950 AX13:AX365 BA13:BA814 BD13:BD48 BG13:BG2950 CB13:CB410 BJ13:BJ410 DT80:DT87 DT13:DT78">
    <cfRule type="cellIs" dxfId="1483" priority="39" operator="equal">
      <formula>County</formula>
    </cfRule>
  </conditionalFormatting>
  <conditionalFormatting sqref="DX85:DX86">
    <cfRule type="cellIs" dxfId="1482" priority="36" operator="greaterThan">
      <formula>0</formula>
    </cfRule>
  </conditionalFormatting>
  <conditionalFormatting sqref="DT85:DT86">
    <cfRule type="cellIs" dxfId="1481" priority="35" operator="equal">
      <formula>County</formula>
    </cfRule>
  </conditionalFormatting>
  <conditionalFormatting sqref="DX87">
    <cfRule type="cellIs" dxfId="1480" priority="34" operator="greaterThan">
      <formula>0</formula>
    </cfRule>
  </conditionalFormatting>
  <conditionalFormatting sqref="DT87">
    <cfRule type="cellIs" dxfId="1479" priority="33" operator="equal">
      <formula>County</formula>
    </cfRule>
  </conditionalFormatting>
  <conditionalFormatting sqref="AZ4:BA8">
    <cfRule type="expression" dxfId="1478" priority="30">
      <formula>COUNT(DS_Metro_QCTs_2023)&lt;&gt;COUNT(DS_2023_Metro_QCTs_Sorted)</formula>
    </cfRule>
  </conditionalFormatting>
  <conditionalFormatting sqref="BC4:BD8">
    <cfRule type="expression" dxfId="1477" priority="29">
      <formula>COUNT(DS_NonMetro_QCTs_2023)&lt;&gt;COUNT(DS_2023_NonMetro_QCTs_Sorted)</formula>
    </cfRule>
  </conditionalFormatting>
  <conditionalFormatting sqref="V4:W8">
    <cfRule type="expression" dxfId="1476" priority="26">
      <formula>COUNT(DS_Metro_QCTs_2023)&lt;&gt;COUNT(DS_2023_Metro_QCTs_Sorted)</formula>
    </cfRule>
  </conditionalFormatting>
  <conditionalFormatting sqref="Y4:Z8">
    <cfRule type="expression" dxfId="1475" priority="25">
      <formula>COUNT(DS_NonMetro_QCTs_2023)&lt;&gt;COUNT(DS_2023_NonMetro_QCTs_Sorted)</formula>
    </cfRule>
  </conditionalFormatting>
  <conditionalFormatting sqref="AB4:AC8">
    <cfRule type="expression" dxfId="1474" priority="24">
      <formula>COUNTA(DS_2022_GAO_Counties)&lt;&gt;COUNT(DS_2022_GAO_QCTs_Sorted)</formula>
    </cfRule>
  </conditionalFormatting>
  <conditionalFormatting sqref="S4:T8">
    <cfRule type="expression" dxfId="1473" priority="23">
      <formula>ROWS(DS_ZCTAs_2022)&lt;&gt;ROWS(DS_2022_ZCTAs_Sorted)</formula>
    </cfRule>
  </conditionalFormatting>
  <conditionalFormatting sqref="AW4:AX8">
    <cfRule type="expression" dxfId="1472" priority="22">
      <formula>ROWS(DS_ZCTAs_2023)&lt;&gt;ROWS(DS_2023_ZCTAs_Sorted)</formula>
    </cfRule>
  </conditionalFormatting>
  <conditionalFormatting sqref="BF4:BG8">
    <cfRule type="expression" dxfId="1471" priority="21">
      <formula>COUNTA(DS_2023_GAO_Counties)&lt;&gt;COUNT(DS_2023_GAO_QCTs_Sorted)</formula>
    </cfRule>
  </conditionalFormatting>
  <conditionalFormatting sqref="CD4:CE8">
    <cfRule type="expression" dxfId="1470" priority="18">
      <formula>COUNT(DS_Metro_QCTs_2023)&lt;&gt;COUNT(DS_2023_Metro_QCTs_Sorted)</formula>
    </cfRule>
  </conditionalFormatting>
  <conditionalFormatting sqref="CG4:CH8">
    <cfRule type="expression" dxfId="1469" priority="17">
      <formula>COUNT(DS_NonMetro_QCTs_2023)&lt;&gt;COUNT(DS_2023_NonMetro_QCTs_Sorted)</formula>
    </cfRule>
  </conditionalFormatting>
  <conditionalFormatting sqref="CA4:CB8">
    <cfRule type="expression" dxfId="1468" priority="16">
      <formula>ROWS(DS_ZCTAs_2023)&lt;&gt;ROWS(DS_2023_ZCTAs_Sorted)</formula>
    </cfRule>
  </conditionalFormatting>
  <conditionalFormatting sqref="CJ4:CK8">
    <cfRule type="expression" dxfId="1467" priority="15">
      <formula>COUNTA(DS_2023_GAO_Counties)&lt;&gt;COUNT(DS_2023_GAO_QCTs_Sorted)</formula>
    </cfRule>
  </conditionalFormatting>
  <conditionalFormatting sqref="BL13:BL35 BO13:BO4972 BR13:BR212 BU13:BU2943 CE13:CE4972 CH13:CH212 CK13:CK2943">
    <cfRule type="cellIs" dxfId="1466" priority="10" operator="equal">
      <formula>County</formula>
    </cfRule>
  </conditionalFormatting>
  <conditionalFormatting sqref="CA25 CA212 CA215 CA220">
    <cfRule type="expression" dxfId="1465" priority="4803">
      <formula>CA25=#REF!</formula>
    </cfRule>
  </conditionalFormatting>
  <conditionalFormatting sqref="BI398">
    <cfRule type="expression" dxfId="1464" priority="4840">
      <formula>BI398=#REF!</formula>
    </cfRule>
  </conditionalFormatting>
  <conditionalFormatting sqref="DH4:DI8">
    <cfRule type="expression" dxfId="1463" priority="7">
      <formula>COUNT(DS_Metro_QCTs_2023)&lt;&gt;COUNT(DS_2023_Metro_QCTs_Sorted)</formula>
    </cfRule>
  </conditionalFormatting>
  <conditionalFormatting sqref="DK4:DL8">
    <cfRule type="expression" dxfId="1462" priority="6">
      <formula>COUNT(DS_NonMetro_QCTs_2023)&lt;&gt;COUNT(DS_2023_NonMetro_QCTs_Sorted)</formula>
    </cfRule>
  </conditionalFormatting>
  <conditionalFormatting sqref="DE4:DF8">
    <cfRule type="expression" dxfId="1461" priority="5">
      <formula>ROWS(DS_ZCTAs_2023)&lt;&gt;ROWS(DS_2023_ZCTAs_Sorted)</formula>
    </cfRule>
  </conditionalFormatting>
  <conditionalFormatting sqref="DN4:DO8">
    <cfRule type="expression" dxfId="1460" priority="4">
      <formula>COUNTA(DS_2023_GAO_Counties)&lt;&gt;COUNT(DS_2023_GAO_QCTs_Sorted)</formula>
    </cfRule>
  </conditionalFormatting>
  <conditionalFormatting sqref="CM13:CM450 DE13:DE450">
    <cfRule type="expression" dxfId="1459" priority="3">
      <formula>CM13=CM14</formula>
    </cfRule>
  </conditionalFormatting>
  <conditionalFormatting sqref="CN13:CN450 DF13:DF450">
    <cfRule type="cellIs" dxfId="1458" priority="2" operator="equal">
      <formula>County</formula>
    </cfRule>
  </conditionalFormatting>
  <conditionalFormatting sqref="CP13:CP35 CS13:CS4972 CV13:CV250 CY13:CY3000 DL13:DL250 DI13:DI4972 DO13:DO3000">
    <cfRule type="cellIs" dxfId="1457" priority="1" operator="equal">
      <formula>County</formula>
    </cfRule>
  </conditionalFormatting>
  <pageMargins left="0.7" right="0.7" top="0.75" bottom="0.75" header="0.3" footer="0.3"/>
  <pageSetup scale="8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46" id="{C367F2D9-0871-402B-93BD-FAE8FE097096}">
            <xm:f>S180=Data1!#REF!</xm:f>
            <x14:dxf>
              <fill>
                <patternFill>
                  <bgColor rgb="FFFFCCFF"/>
                </patternFill>
              </fill>
            </x14:dxf>
          </x14:cfRule>
          <xm:sqref>S180 S187 S263 S271 S287</xm:sqref>
        </x14:conditionalFormatting>
        <x14:conditionalFormatting xmlns:xm="http://schemas.microsoft.com/office/excel/2006/main">
          <x14:cfRule type="expression" priority="4199" id="{047D5C16-0FBC-4E5B-882D-E50D2DACDAD3}">
            <xm:f>MAX(Data1!$R$354:$R$420,Data1!$Q$354:$Q$420)&gt;ROWS(DS_2022_County_QCTs)</xm:f>
            <x14:dxf>
              <font>
                <color rgb="FFC00000"/>
              </font>
              <fill>
                <patternFill>
                  <bgColor rgb="FFFFEBFF"/>
                </patternFill>
              </fill>
            </x14:dxf>
          </x14:cfRule>
          <xm:sqref>O4:O8</xm:sqref>
        </x14:conditionalFormatting>
        <x14:conditionalFormatting xmlns:xm="http://schemas.microsoft.com/office/excel/2006/main">
          <x14:cfRule type="expression" priority="4200" id="{AADC6359-3111-4D4C-B412-F8D4BC3D4BD1}">
            <xm:f>MAX(Data1!$S$354:$S$420)&gt;ROWS(DS_2022_County_GAOs)</xm:f>
            <x14:dxf>
              <font>
                <color rgb="FFC00000"/>
              </font>
              <fill>
                <patternFill>
                  <bgColor rgb="FFFFEBFF"/>
                </patternFill>
              </fill>
            </x14:dxf>
          </x14:cfRule>
          <xm:sqref>Q4:Q8</xm:sqref>
        </x14:conditionalFormatting>
        <x14:conditionalFormatting xmlns:xm="http://schemas.microsoft.com/office/excel/2006/main">
          <x14:cfRule type="expression" priority="4205" id="{E33A1A6A-B4B6-4047-9707-02EB076EDC27}">
            <xm:f>MAX(Data1!$V$354:$V$420,Data1!$U$354:$U$420)&gt;ROWS(DS_2023_County_QCTs)</xm:f>
            <x14:dxf>
              <font>
                <color rgb="FFC00000"/>
              </font>
              <fill>
                <patternFill>
                  <bgColor rgb="FFFFEBFF"/>
                </patternFill>
              </fill>
            </x14:dxf>
          </x14:cfRule>
          <xm:sqref>AS4:AS8</xm:sqref>
        </x14:conditionalFormatting>
        <x14:conditionalFormatting xmlns:xm="http://schemas.microsoft.com/office/excel/2006/main">
          <x14:cfRule type="expression" priority="4206" id="{DA8DC176-0678-401F-86A8-1F2011B5DC04}">
            <xm:f>MAX(Data1!$W$354:$W$420)&gt;ROWS(DS_2023_County_GAOs)</xm:f>
            <x14:dxf>
              <font>
                <color rgb="FFC00000"/>
              </font>
              <fill>
                <patternFill>
                  <bgColor rgb="FFFFEBFF"/>
                </patternFill>
              </fill>
            </x14:dxf>
          </x14:cfRule>
          <xm:sqref>AU4:AU8</xm:sqref>
        </x14:conditionalFormatting>
        <x14:conditionalFormatting xmlns:xm="http://schemas.microsoft.com/office/excel/2006/main">
          <x14:cfRule type="expression" priority="19" id="{5B98C72B-D375-4E87-9E56-D5A372FFBDF3}">
            <xm:f>MAX(Data1!$V$354:$V$420,Data1!$U$354:$U$420)&gt;ROWS(DS_2023_County_QCTs)</xm:f>
            <x14:dxf>
              <font>
                <color rgb="FFC00000"/>
              </font>
              <fill>
                <patternFill>
                  <bgColor rgb="FFFFEBFF"/>
                </patternFill>
              </fill>
            </x14:dxf>
          </x14:cfRule>
          <xm:sqref>BW4:BW8</xm:sqref>
        </x14:conditionalFormatting>
        <x14:conditionalFormatting xmlns:xm="http://schemas.microsoft.com/office/excel/2006/main">
          <x14:cfRule type="expression" priority="20" id="{41D6E78A-A5A3-4E95-99FD-71DE02A3DF97}">
            <xm:f>MAX(Data1!$W$354:$W$420)&gt;ROWS(DS_2023_County_GAOs)</xm:f>
            <x14:dxf>
              <font>
                <color rgb="FFC00000"/>
              </font>
              <fill>
                <patternFill>
                  <bgColor rgb="FFFFEBFF"/>
                </patternFill>
              </fill>
            </x14:dxf>
          </x14:cfRule>
          <xm:sqref>BY4:BY8</xm:sqref>
        </x14:conditionalFormatting>
        <x14:conditionalFormatting xmlns:xm="http://schemas.microsoft.com/office/excel/2006/main">
          <x14:cfRule type="expression" priority="8" id="{A4E6CE25-485B-444B-AA6D-E30F1E9FECD8}">
            <xm:f>MAX(Data1!$V$354:$V$420,Data1!$U$354:$U$420)&gt;ROWS(DS_2023_County_QCTs)</xm:f>
            <x14:dxf>
              <font>
                <color rgb="FFC00000"/>
              </font>
              <fill>
                <patternFill>
                  <bgColor rgb="FFFFEBFF"/>
                </patternFill>
              </fill>
            </x14:dxf>
          </x14:cfRule>
          <xm:sqref>DA4:DA8</xm:sqref>
        </x14:conditionalFormatting>
        <x14:conditionalFormatting xmlns:xm="http://schemas.microsoft.com/office/excel/2006/main">
          <x14:cfRule type="expression" priority="9" id="{211EBBE1-D241-41CD-A496-D22E858B5A32}">
            <xm:f>MAX(Data1!$W$354:$W$420)&gt;ROWS(DS_2023_County_GAOs)</xm:f>
            <x14:dxf>
              <font>
                <color rgb="FFC00000"/>
              </font>
              <fill>
                <patternFill>
                  <bgColor rgb="FFFFEBFF"/>
                </patternFill>
              </fill>
            </x14:dxf>
          </x14:cfRule>
          <xm:sqref>DC4:DC8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dimension ref="A1:K12"/>
  <sheetViews>
    <sheetView showGridLines="0" zoomScaleNormal="100" zoomScaleSheetLayoutView="100" workbookViewId="0">
      <pane ySplit="2" topLeftCell="A3" activePane="bottomLeft" state="frozen"/>
      <selection activeCell="M21" sqref="M21"/>
      <selection pane="bottomLeft" activeCell="R24" sqref="R24"/>
    </sheetView>
  </sheetViews>
  <sheetFormatPr defaultColWidth="8.7109375" defaultRowHeight="15"/>
  <cols>
    <col min="1" max="1" width="3" customWidth="1"/>
    <col min="2" max="3" width="3.7109375" customWidth="1"/>
    <col min="4" max="6" width="4.42578125" customWidth="1"/>
    <col min="7" max="10" width="17.7109375" customWidth="1"/>
    <col min="11" max="11" width="16.85546875" customWidth="1"/>
  </cols>
  <sheetData>
    <row r="1" spans="1:11" ht="35.65" customHeight="1" thickBot="1">
      <c r="A1" s="2979" t="s">
        <v>2869</v>
      </c>
      <c r="B1" s="2980"/>
      <c r="C1" s="2980"/>
      <c r="D1" s="2980"/>
      <c r="E1" s="2980"/>
      <c r="F1" s="2980"/>
      <c r="G1" s="2980"/>
      <c r="H1" s="2980"/>
      <c r="I1" s="2980"/>
      <c r="J1" s="2980"/>
      <c r="K1" s="2981"/>
    </row>
    <row r="3" spans="1:11" ht="14.45" customHeight="1">
      <c r="A3" s="3498" t="s">
        <v>2870</v>
      </c>
      <c r="B3" s="3498"/>
      <c r="C3" s="3498"/>
      <c r="D3" s="3498"/>
      <c r="E3" s="3498"/>
      <c r="F3" s="3498"/>
      <c r="G3" s="3498"/>
      <c r="H3" s="3498"/>
      <c r="I3" s="3498"/>
      <c r="J3" s="3498"/>
      <c r="K3" s="3498"/>
    </row>
    <row r="4" spans="1:11">
      <c r="A4" s="3498"/>
      <c r="B4" s="3498"/>
      <c r="C4" s="3498"/>
      <c r="D4" s="3498"/>
      <c r="E4" s="3498"/>
      <c r="F4" s="3498"/>
      <c r="G4" s="3498"/>
      <c r="H4" s="3498"/>
      <c r="I4" s="3498"/>
      <c r="J4" s="3498"/>
      <c r="K4" s="3498"/>
    </row>
    <row r="5" spans="1:11">
      <c r="A5" s="3498"/>
      <c r="B5" s="3498"/>
      <c r="C5" s="3498"/>
      <c r="D5" s="3498"/>
      <c r="E5" s="3498"/>
      <c r="F5" s="3498"/>
      <c r="G5" s="3498"/>
      <c r="H5" s="3498"/>
      <c r="I5" s="3498"/>
      <c r="J5" s="3498"/>
      <c r="K5" s="3498"/>
    </row>
    <row r="6" spans="1:11">
      <c r="A6" s="3498"/>
      <c r="B6" s="3498"/>
      <c r="C6" s="3498"/>
      <c r="D6" s="3498"/>
      <c r="E6" s="3498"/>
      <c r="F6" s="3498"/>
      <c r="G6" s="3498"/>
      <c r="H6" s="3498"/>
      <c r="I6" s="3498"/>
      <c r="J6" s="3498"/>
      <c r="K6" s="3498"/>
    </row>
    <row r="10" spans="1:11">
      <c r="B10" s="3"/>
    </row>
    <row r="11" spans="1:11">
      <c r="B11" s="3"/>
    </row>
    <row r="12" spans="1:11">
      <c r="B12" s="3"/>
    </row>
  </sheetData>
  <sheetProtection algorithmName="SHA-512" hashValue="618EZLb56faTzghEHZnPuGXF/eWAgMd6TAbMTYrvpJnbrRdpXaNCw0oNIss02ZAz72SCvpisxMcKkKxuuwtSMg==" saltValue="z57Zq4sLoFVilfYnSIrNEQ==" spinCount="100000" sheet="1" selectLockedCells="1"/>
  <mergeCells count="2">
    <mergeCell ref="A1:K1"/>
    <mergeCell ref="A3:K6"/>
  </mergeCells>
  <pageMargins left="0.7" right="0.7" top="0.75" bottom="0.75" header="0.3" footer="0.3"/>
  <pageSetup scale="8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tabColor rgb="FF00B0F0"/>
  </sheetPr>
  <dimension ref="A1:AG14"/>
  <sheetViews>
    <sheetView showGridLines="0" zoomScaleNormal="100" zoomScaleSheetLayoutView="100" workbookViewId="0">
      <pane ySplit="2" topLeftCell="A3" activePane="bottomLeft" state="frozen"/>
      <selection activeCell="L364" sqref="L364:N364"/>
      <selection pane="bottomLeft" activeCell="U23" sqref="U23"/>
    </sheetView>
  </sheetViews>
  <sheetFormatPr defaultColWidth="8.5703125" defaultRowHeight="15"/>
  <cols>
    <col min="1" max="1" width="3" customWidth="1"/>
    <col min="2" max="3" width="3.5703125" customWidth="1"/>
    <col min="4" max="6" width="4.42578125" customWidth="1"/>
    <col min="7" max="7" width="25.5703125" customWidth="1"/>
    <col min="8" max="9" width="24.7109375" customWidth="1"/>
    <col min="10" max="10" width="8.85546875" customWidth="1"/>
    <col min="11" max="11" width="5.5703125" customWidth="1"/>
    <col min="12" max="12" width="8.7109375" customWidth="1"/>
    <col min="13" max="15" width="3.5703125" customWidth="1"/>
    <col min="16" max="16" width="35.7109375" customWidth="1"/>
    <col min="17" max="18" width="3.5703125" customWidth="1"/>
  </cols>
  <sheetData>
    <row r="1" spans="1:33" ht="35.85" customHeight="1" thickBot="1">
      <c r="A1" s="2979" t="str">
        <f>"Section 5.B.1
Goals in "&amp;Excel_RFA_Number</f>
        <v>Section 5.B.1
Goals in RFA 2025-103</v>
      </c>
      <c r="B1" s="2980"/>
      <c r="C1" s="2980"/>
      <c r="D1" s="2980"/>
      <c r="E1" s="2980"/>
      <c r="F1" s="2980"/>
      <c r="G1" s="2980"/>
      <c r="H1" s="2980"/>
      <c r="I1" s="2980"/>
      <c r="J1" s="2980"/>
      <c r="K1" s="2981"/>
      <c r="L1" s="24"/>
      <c r="M1" s="2943"/>
      <c r="N1" s="2943"/>
      <c r="O1" s="2943"/>
      <c r="P1" s="2943"/>
      <c r="Q1" s="2943"/>
      <c r="R1" s="2943"/>
      <c r="S1" s="2943"/>
      <c r="T1" s="2943"/>
      <c r="U1" s="2943"/>
      <c r="V1" s="2943"/>
      <c r="W1" s="2943"/>
      <c r="X1" s="2943"/>
      <c r="Y1" s="2943"/>
      <c r="Z1" s="2943"/>
      <c r="AA1" s="2943"/>
      <c r="AB1" s="2943"/>
      <c r="AC1" s="2943"/>
      <c r="AD1" s="2943"/>
      <c r="AE1" s="2943"/>
      <c r="AF1" s="2943"/>
      <c r="AG1" s="2943"/>
    </row>
    <row r="2" spans="1:33" ht="14.45" customHeight="1">
      <c r="M2" s="2943"/>
      <c r="N2" s="2943"/>
      <c r="O2" s="2943"/>
      <c r="P2" s="2943"/>
      <c r="Q2" s="2943"/>
      <c r="R2" s="2943"/>
      <c r="S2" s="2943"/>
      <c r="T2" s="2943"/>
      <c r="U2" s="2943"/>
      <c r="V2" s="2943"/>
      <c r="W2" s="2943"/>
      <c r="X2" s="2943"/>
      <c r="Y2" s="2943"/>
      <c r="Z2" s="2943"/>
      <c r="AA2" s="2943"/>
      <c r="AB2" s="2943"/>
      <c r="AC2" s="2943"/>
      <c r="AD2" s="2943"/>
      <c r="AE2" s="2943"/>
      <c r="AF2" s="2943"/>
      <c r="AG2" s="2943"/>
    </row>
    <row r="3" spans="1:33" ht="15" customHeight="1">
      <c r="A3" s="1336" t="s">
        <v>2006</v>
      </c>
      <c r="B3" s="87"/>
      <c r="C3" s="87"/>
      <c r="D3" s="87"/>
      <c r="E3" s="87"/>
      <c r="F3" s="87"/>
      <c r="G3" s="87"/>
      <c r="H3" s="87"/>
      <c r="I3" s="87"/>
      <c r="J3" s="87"/>
      <c r="K3" s="87"/>
      <c r="N3" s="2993" t="s">
        <v>943</v>
      </c>
      <c r="O3" s="2993"/>
      <c r="P3" s="2993"/>
      <c r="Q3" s="2993"/>
      <c r="R3" s="2993"/>
    </row>
    <row r="4" spans="1:33" ht="15" customHeight="1">
      <c r="A4" s="941"/>
      <c r="B4" s="1336" t="s">
        <v>2007</v>
      </c>
      <c r="D4" s="902"/>
      <c r="E4" s="902"/>
      <c r="F4" s="902"/>
      <c r="G4" s="902"/>
      <c r="H4" s="1907"/>
      <c r="I4" s="1907"/>
    </row>
    <row r="5" spans="1:33" ht="35.1" customHeight="1">
      <c r="C5" s="2806" t="s">
        <v>2008</v>
      </c>
      <c r="D5" s="2806"/>
      <c r="E5" s="2806"/>
      <c r="F5" s="2806"/>
      <c r="G5" s="2806"/>
      <c r="H5" s="2806"/>
      <c r="I5" s="2806"/>
      <c r="J5" s="2806"/>
      <c r="K5" s="2806"/>
      <c r="P5" s="313">
        <v>1</v>
      </c>
    </row>
    <row r="6" spans="1:33" ht="17.45" customHeight="1">
      <c r="B6" s="2961" t="s">
        <v>59</v>
      </c>
      <c r="C6" s="2961"/>
      <c r="D6" s="2961"/>
      <c r="E6" s="2961"/>
      <c r="F6" s="2961"/>
      <c r="G6" s="2961"/>
      <c r="H6" s="2961"/>
      <c r="I6" s="2961"/>
      <c r="J6" s="2961"/>
      <c r="K6" s="2961"/>
    </row>
    <row r="7" spans="1:33" ht="17.45" customHeight="1"/>
    <row r="8" spans="1:33" ht="17.45" customHeight="1">
      <c r="B8" s="1347" t="s">
        <v>2038</v>
      </c>
      <c r="P8" s="313">
        <v>1</v>
      </c>
    </row>
    <row r="9" spans="1:33" ht="10.35" customHeight="1">
      <c r="D9" s="3499"/>
      <c r="E9" s="3499"/>
      <c r="F9" s="3499"/>
      <c r="G9" s="3499"/>
      <c r="H9" s="3499"/>
      <c r="I9" s="3499"/>
      <c r="J9" s="3499"/>
    </row>
    <row r="10" spans="1:33" ht="20.100000000000001" customHeight="1">
      <c r="A10" s="822" t="str">
        <f>IF(DS_ExcelCheckBox_Goal_1=TRUE,"Yes","No")</f>
        <v>No</v>
      </c>
      <c r="C10" s="36"/>
      <c r="D10" s="2806" t="s">
        <v>2417</v>
      </c>
      <c r="E10" s="2806"/>
      <c r="F10" s="2806"/>
      <c r="G10" s="2806"/>
      <c r="H10" s="2806"/>
      <c r="I10" s="1910"/>
      <c r="J10" s="1910"/>
      <c r="K10" s="1911"/>
      <c r="P10" s="3225">
        <v>0</v>
      </c>
    </row>
    <row r="11" spans="1:33" ht="20.100000000000001" customHeight="1">
      <c r="A11" s="822" t="str">
        <f>IF(DS_ExcelCheckBox_Goal_2=TRUE,"Yes","No")</f>
        <v>No</v>
      </c>
      <c r="C11" s="36"/>
      <c r="D11" s="2806" t="s">
        <v>2418</v>
      </c>
      <c r="E11" s="2806"/>
      <c r="F11" s="2806"/>
      <c r="G11" s="2806"/>
      <c r="H11" s="2806"/>
      <c r="I11" s="1910"/>
      <c r="J11" s="1910"/>
      <c r="K11" s="1913"/>
      <c r="M11" s="1342"/>
      <c r="P11" s="3226"/>
    </row>
    <row r="12" spans="1:33" ht="20.100000000000001" customHeight="1">
      <c r="A12" s="822" t="str">
        <f>IF(DS_ExcelCheckBox_Goal_3=TRUE,"Yes","No")</f>
        <v>No</v>
      </c>
      <c r="C12" s="36"/>
      <c r="D12" s="2806" t="s">
        <v>2419</v>
      </c>
      <c r="E12" s="2806"/>
      <c r="F12" s="2806"/>
      <c r="G12" s="2806"/>
      <c r="H12" s="2806"/>
      <c r="I12" s="1910"/>
      <c r="J12" s="1910"/>
      <c r="K12" s="1913"/>
      <c r="L12" s="1329"/>
      <c r="M12" s="1345"/>
    </row>
    <row r="13" spans="1:33" ht="20.100000000000001" customHeight="1">
      <c r="C13" s="36"/>
      <c r="D13" s="2806" t="s">
        <v>2420</v>
      </c>
      <c r="E13" s="2806"/>
      <c r="F13" s="2806"/>
      <c r="G13" s="2806"/>
      <c r="H13" s="2806"/>
      <c r="I13" s="1910"/>
      <c r="J13" s="1910"/>
      <c r="K13" s="341"/>
      <c r="M13" s="1342"/>
    </row>
    <row r="14" spans="1:33" ht="10.35" customHeight="1"/>
  </sheetData>
  <sheetProtection algorithmName="SHA-512" hashValue="KifShOmOTqIvqThB7O6en26Zl0/Zo7X448muPJfGdoE2Nwg3V3fA4HX76Ux5AGT1/jWKNZTHmDVuM1x76pg4lg==" saltValue="C2GDCXrv4B+IocZGbCEOMw==" spinCount="100000" sheet="1" objects="1" scenarios="1"/>
  <mergeCells count="11">
    <mergeCell ref="D12:H12"/>
    <mergeCell ref="D13:H13"/>
    <mergeCell ref="P10:P11"/>
    <mergeCell ref="A1:K1"/>
    <mergeCell ref="M1:AG2"/>
    <mergeCell ref="N3:R3"/>
    <mergeCell ref="C5:K5"/>
    <mergeCell ref="B6:K6"/>
    <mergeCell ref="D9:J9"/>
    <mergeCell ref="D10:H10"/>
    <mergeCell ref="D11:H11"/>
  </mergeCells>
  <conditionalFormatting sqref="C10:D10 I10:K10">
    <cfRule type="expression" dxfId="11" priority="11">
      <formula>DS_ExcelCheckBox_Goal_1=TRUE</formula>
    </cfRule>
  </conditionalFormatting>
  <conditionalFormatting sqref="C11:D11 I11:K11">
    <cfRule type="expression" dxfId="10" priority="14">
      <formula>DS_ExcelCheckBox_Goal_2=TRUE</formula>
    </cfRule>
  </conditionalFormatting>
  <conditionalFormatting sqref="C12:D12 I12:K12">
    <cfRule type="expression" dxfId="9" priority="2">
      <formula>AND(DS_ExcelCheckBox_Goal_3=TRUE,Demographic&lt;&gt;"Family")</formula>
    </cfRule>
    <cfRule type="expression" dxfId="8" priority="15">
      <formula>DS_ExcelCheckBox_Goal_3=TRUE</formula>
    </cfRule>
  </conditionalFormatting>
  <conditionalFormatting sqref="A8:K14">
    <cfRule type="expression" dxfId="7" priority="4">
      <formula>$P$8=0</formula>
    </cfRule>
  </conditionalFormatting>
  <conditionalFormatting sqref="A4:K7">
    <cfRule type="expression" dxfId="6" priority="10">
      <formula>$P$5=0</formula>
    </cfRule>
  </conditionalFormatting>
  <conditionalFormatting sqref="P10">
    <cfRule type="cellIs" dxfId="5" priority="8" operator="greaterThan">
      <formula>0</formula>
    </cfRule>
  </conditionalFormatting>
  <conditionalFormatting sqref="P5 P8">
    <cfRule type="cellIs" dxfId="4" priority="7" operator="equal">
      <formula>0</formula>
    </cfRule>
  </conditionalFormatting>
  <conditionalFormatting sqref="C13:D13 I13:K13">
    <cfRule type="expression" dxfId="3" priority="6">
      <formula>DS_ExcelCheckBox_Goal_4=TRUE</formula>
    </cfRule>
  </conditionalFormatting>
  <conditionalFormatting sqref="K10">
    <cfRule type="expression" dxfId="2" priority="3">
      <formula>AND(Youth_Aging_Out_Goal="Yes",DS_ExcelCheckBox_Goal_1=FALSE)</formula>
    </cfRule>
  </conditionalFormatting>
  <conditionalFormatting sqref="B6:K6">
    <cfRule type="cellIs" dxfId="1" priority="1" operator="notEqual">
      <formula>"&lt;select one&gt;"</formula>
    </cfRule>
  </conditionalFormatting>
  <dataValidations count="1">
    <dataValidation type="list" allowBlank="1" showInputMessage="1" showErrorMessage="1" sqref="B6" xr:uid="{A0DA2997-AA8F-4BB6-9D52-2E8DBE188851}">
      <formula1>DS_Goals_DDMenu</formula1>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19050</xdr:colOff>
                    <xdr:row>9</xdr:row>
                    <xdr:rowOff>9525</xdr:rowOff>
                  </from>
                  <to>
                    <xdr:col>5</xdr:col>
                    <xdr:colOff>85725</xdr:colOff>
                    <xdr:row>9</xdr:row>
                    <xdr:rowOff>238125</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19050</xdr:colOff>
                    <xdr:row>10</xdr:row>
                    <xdr:rowOff>9525</xdr:rowOff>
                  </from>
                  <to>
                    <xdr:col>5</xdr:col>
                    <xdr:colOff>85725</xdr:colOff>
                    <xdr:row>10</xdr:row>
                    <xdr:rowOff>238125</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19050</xdr:colOff>
                    <xdr:row>11</xdr:row>
                    <xdr:rowOff>0</xdr:rowOff>
                  </from>
                  <to>
                    <xdr:col>5</xdr:col>
                    <xdr:colOff>85725</xdr:colOff>
                    <xdr:row>11</xdr:row>
                    <xdr:rowOff>228600</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19050</xdr:colOff>
                    <xdr:row>12</xdr:row>
                    <xdr:rowOff>0</xdr:rowOff>
                  </from>
                  <to>
                    <xdr:col>5</xdr:col>
                    <xdr:colOff>85725</xdr:colOff>
                    <xdr:row>12</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9" id="{C77E9725-D355-420F-89C0-970E10548D12}">
            <xm:f>Data1!$E$829="Yes"</xm:f>
            <x14:dxf>
              <font>
                <color theme="0"/>
              </font>
              <fill>
                <patternFill>
                  <bgColor theme="0"/>
                </patternFill>
              </fill>
              <border>
                <left/>
                <right/>
                <top/>
                <bottom/>
              </border>
            </x14:dxf>
          </x14:cfRule>
          <xm:sqref>P4:P15</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1:Y430"/>
  <sheetViews>
    <sheetView zoomScale="112" zoomScaleNormal="112" workbookViewId="0">
      <pane ySplit="3" topLeftCell="A125" activePane="bottomLeft" state="frozen"/>
      <selection activeCell="B781" sqref="B781:C781"/>
      <selection pane="bottomLeft" activeCell="C140" sqref="C140"/>
    </sheetView>
  </sheetViews>
  <sheetFormatPr defaultRowHeight="15"/>
  <cols>
    <col min="1" max="1" width="11.42578125" customWidth="1"/>
    <col min="3" max="4" width="16.28515625" customWidth="1"/>
    <col min="5" max="5" width="16.28515625" style="106" customWidth="1"/>
    <col min="6" max="12" width="16.28515625" customWidth="1"/>
    <col min="13" max="13" width="18.7109375" customWidth="1"/>
    <col min="14" max="16" width="15" customWidth="1"/>
  </cols>
  <sheetData>
    <row r="1" spans="1:18">
      <c r="A1" s="25" t="str">
        <f>"DS_CountyData is a named range for A"&amp;TEXT(ROW(A5),"0")&amp;": P"&amp;TEXT(ROW(A72),"0")</f>
        <v>DS_CountyData is a named range for A5: P72</v>
      </c>
      <c r="B1" s="114"/>
      <c r="C1" s="114"/>
      <c r="D1" s="114"/>
      <c r="E1" s="2020"/>
      <c r="F1" s="1707"/>
      <c r="G1" s="114"/>
      <c r="L1" s="114"/>
      <c r="M1" s="114"/>
      <c r="N1" s="114"/>
      <c r="O1" s="1707"/>
      <c r="P1" s="1707"/>
    </row>
    <row r="2" spans="1:18">
      <c r="A2" s="25" t="str">
        <f>"DS_ELI_Data is a named range for A"&amp;TEXT(ROW(A5),"0")&amp;": N"&amp;TEXT(ROW(A72),"0")</f>
        <v>DS_ELI_Data is a named range for A5: N72</v>
      </c>
      <c r="E2" s="2020"/>
      <c r="F2" s="1357"/>
      <c r="G2" s="2906" t="s">
        <v>2582</v>
      </c>
      <c r="H2" s="2907"/>
      <c r="I2" s="2907"/>
      <c r="J2" s="2907"/>
      <c r="K2" s="2908"/>
      <c r="L2" s="2901" t="s">
        <v>2583</v>
      </c>
      <c r="M2" s="2902"/>
      <c r="N2" s="284"/>
      <c r="O2" s="1357"/>
      <c r="P2" s="1357"/>
    </row>
    <row r="3" spans="1:18">
      <c r="A3" s="107">
        <v>1</v>
      </c>
      <c r="B3" s="107">
        <v>2</v>
      </c>
      <c r="C3" s="234">
        <v>3</v>
      </c>
      <c r="D3" s="234">
        <v>4</v>
      </c>
      <c r="E3" s="234">
        <v>5</v>
      </c>
      <c r="F3" s="1708">
        <v>6</v>
      </c>
      <c r="G3" s="107">
        <v>7</v>
      </c>
      <c r="H3" s="107">
        <v>8</v>
      </c>
      <c r="I3" s="107">
        <v>9</v>
      </c>
      <c r="J3" s="107">
        <v>10</v>
      </c>
      <c r="K3" s="107">
        <v>11</v>
      </c>
      <c r="L3" s="234">
        <v>12</v>
      </c>
      <c r="M3" s="234">
        <v>13</v>
      </c>
      <c r="N3" s="234">
        <v>14</v>
      </c>
      <c r="O3" s="234">
        <v>15</v>
      </c>
      <c r="P3" s="234">
        <v>16</v>
      </c>
      <c r="R3" s="1708"/>
    </row>
    <row r="4" spans="1:18" ht="30">
      <c r="A4" s="108" t="s">
        <v>0</v>
      </c>
      <c r="B4" s="2030"/>
      <c r="C4" s="1510" t="s">
        <v>752</v>
      </c>
      <c r="D4" s="1194" t="s">
        <v>753</v>
      </c>
      <c r="E4" s="2029"/>
      <c r="F4" s="1705"/>
      <c r="G4" s="111" t="s">
        <v>754</v>
      </c>
      <c r="H4" s="111" t="s">
        <v>755</v>
      </c>
      <c r="I4" s="111" t="s">
        <v>756</v>
      </c>
      <c r="J4" s="110" t="s">
        <v>757</v>
      </c>
      <c r="K4" s="111" t="s">
        <v>758</v>
      </c>
      <c r="L4" s="111" t="s">
        <v>759</v>
      </c>
      <c r="M4" s="111" t="s">
        <v>760</v>
      </c>
      <c r="N4" s="2223" t="s">
        <v>2581</v>
      </c>
      <c r="O4" s="628"/>
      <c r="P4" s="628"/>
    </row>
    <row r="5" spans="1:18" ht="15" customHeight="1">
      <c r="A5" t="s">
        <v>59</v>
      </c>
      <c r="B5" s="628"/>
      <c r="C5" s="286" t="s">
        <v>761</v>
      </c>
      <c r="D5" s="286" t="s">
        <v>761</v>
      </c>
      <c r="E5" s="2029"/>
      <c r="F5" s="628"/>
      <c r="G5" s="628"/>
      <c r="H5" s="628"/>
      <c r="I5" s="628"/>
      <c r="J5" s="628"/>
      <c r="K5" s="628"/>
      <c r="L5" s="628"/>
      <c r="M5" s="628"/>
      <c r="N5" s="628"/>
      <c r="O5" s="2029"/>
      <c r="P5" s="2029"/>
    </row>
    <row r="6" spans="1:18" ht="15" customHeight="1">
      <c r="A6" s="922" t="s">
        <v>297</v>
      </c>
      <c r="B6" s="2031"/>
      <c r="C6" s="109">
        <v>37500</v>
      </c>
      <c r="D6" s="109">
        <v>460000</v>
      </c>
      <c r="E6" s="2029"/>
      <c r="F6" s="1706"/>
      <c r="G6" s="112">
        <v>68400</v>
      </c>
      <c r="H6" s="112">
        <v>68400</v>
      </c>
      <c r="I6" s="112">
        <v>80100</v>
      </c>
      <c r="J6" s="112">
        <v>90400</v>
      </c>
      <c r="K6" s="112">
        <v>90400</v>
      </c>
      <c r="L6" s="112">
        <v>259700</v>
      </c>
      <c r="M6" s="112">
        <v>205000</v>
      </c>
      <c r="N6" s="285">
        <v>0.4</v>
      </c>
      <c r="O6" s="2029"/>
      <c r="P6" s="2029"/>
    </row>
    <row r="7" spans="1:18" ht="15" customHeight="1">
      <c r="A7" s="922" t="s">
        <v>302</v>
      </c>
      <c r="B7" s="2031"/>
      <c r="C7" s="109">
        <v>2500</v>
      </c>
      <c r="D7" s="261" t="s">
        <v>761</v>
      </c>
      <c r="E7" s="2029"/>
      <c r="F7" s="1706"/>
      <c r="G7" s="112">
        <v>61900</v>
      </c>
      <c r="H7" s="112">
        <v>61900</v>
      </c>
      <c r="I7" s="112">
        <v>72600</v>
      </c>
      <c r="J7" s="112">
        <v>82000</v>
      </c>
      <c r="K7" s="112">
        <v>82000</v>
      </c>
      <c r="L7" s="112">
        <v>235600</v>
      </c>
      <c r="M7" s="112">
        <v>186000</v>
      </c>
      <c r="N7" s="285">
        <v>0.4</v>
      </c>
      <c r="O7" s="2029"/>
      <c r="P7" s="2029"/>
    </row>
    <row r="8" spans="1:18" ht="15" customHeight="1">
      <c r="A8" s="922" t="s">
        <v>306</v>
      </c>
      <c r="B8" s="2031"/>
      <c r="C8" s="109">
        <v>20000</v>
      </c>
      <c r="D8" s="109">
        <v>340000</v>
      </c>
      <c r="E8" s="2029"/>
      <c r="F8" s="1706"/>
      <c r="G8" s="112">
        <v>61900</v>
      </c>
      <c r="H8" s="112">
        <v>61900</v>
      </c>
      <c r="I8" s="112">
        <v>72600</v>
      </c>
      <c r="J8" s="112">
        <v>82000</v>
      </c>
      <c r="K8" s="112">
        <v>82000</v>
      </c>
      <c r="L8" s="112">
        <v>235600</v>
      </c>
      <c r="M8" s="112">
        <v>186000</v>
      </c>
      <c r="N8" s="285">
        <v>0.4</v>
      </c>
      <c r="O8" s="2029"/>
      <c r="P8" s="2029"/>
    </row>
    <row r="9" spans="1:18" ht="15" customHeight="1">
      <c r="A9" s="922" t="s">
        <v>308</v>
      </c>
      <c r="B9" s="2031"/>
      <c r="C9" s="109">
        <v>5000</v>
      </c>
      <c r="D9" s="261" t="s">
        <v>761</v>
      </c>
      <c r="E9" s="2029"/>
      <c r="F9" s="1706"/>
      <c r="G9" s="112">
        <v>50700</v>
      </c>
      <c r="H9" s="112">
        <v>50700</v>
      </c>
      <c r="I9" s="112">
        <v>59400</v>
      </c>
      <c r="J9" s="112">
        <v>66900</v>
      </c>
      <c r="K9" s="112">
        <v>66900</v>
      </c>
      <c r="L9" s="112">
        <v>192400</v>
      </c>
      <c r="M9" s="112">
        <v>152000</v>
      </c>
      <c r="N9" s="285">
        <v>0.4</v>
      </c>
      <c r="O9" s="2029"/>
      <c r="P9" s="2029"/>
    </row>
    <row r="10" spans="1:18" ht="15" customHeight="1">
      <c r="A10" s="922" t="s">
        <v>309</v>
      </c>
      <c r="B10" s="2031"/>
      <c r="C10" s="109">
        <v>50000</v>
      </c>
      <c r="D10" s="109">
        <v>460000</v>
      </c>
      <c r="E10" s="2029"/>
      <c r="F10" s="1706"/>
      <c r="G10" s="112">
        <v>67900</v>
      </c>
      <c r="H10" s="112">
        <v>67900</v>
      </c>
      <c r="I10" s="112">
        <v>79500</v>
      </c>
      <c r="J10" s="112">
        <v>89700</v>
      </c>
      <c r="K10" s="112">
        <v>89700</v>
      </c>
      <c r="L10" s="112">
        <v>257700</v>
      </c>
      <c r="M10" s="112">
        <v>203500</v>
      </c>
      <c r="N10" s="285">
        <v>0.4</v>
      </c>
      <c r="O10" s="2029"/>
      <c r="P10" s="2029"/>
    </row>
    <row r="11" spans="1:18" ht="15" customHeight="1">
      <c r="A11" s="922" t="s">
        <v>310</v>
      </c>
      <c r="B11" s="2031"/>
      <c r="C11" s="109">
        <v>100000</v>
      </c>
      <c r="D11" s="109">
        <v>640000</v>
      </c>
      <c r="E11" s="2029"/>
      <c r="F11" s="1706"/>
      <c r="G11" s="112">
        <v>102300</v>
      </c>
      <c r="H11" s="112">
        <v>102300</v>
      </c>
      <c r="I11" s="112">
        <v>119900</v>
      </c>
      <c r="J11" s="112">
        <v>135100</v>
      </c>
      <c r="K11" s="112">
        <v>135100</v>
      </c>
      <c r="L11" s="112">
        <v>287500</v>
      </c>
      <c r="M11" s="112">
        <v>226800</v>
      </c>
      <c r="N11" s="285">
        <v>0.33</v>
      </c>
      <c r="O11" s="2029"/>
      <c r="P11" s="2029"/>
    </row>
    <row r="12" spans="1:18" ht="15" customHeight="1">
      <c r="A12" s="922" t="s">
        <v>313</v>
      </c>
      <c r="B12" s="2031"/>
      <c r="C12" s="109">
        <v>2500</v>
      </c>
      <c r="D12" s="261" t="s">
        <v>761</v>
      </c>
      <c r="E12" s="2029"/>
      <c r="F12" s="1706"/>
      <c r="G12" s="112">
        <v>50100</v>
      </c>
      <c r="H12" s="112">
        <v>50100</v>
      </c>
      <c r="I12" s="112">
        <v>58600</v>
      </c>
      <c r="J12" s="112">
        <v>66200</v>
      </c>
      <c r="K12" s="112">
        <v>66200</v>
      </c>
      <c r="L12" s="112">
        <v>190200</v>
      </c>
      <c r="M12" s="112">
        <v>150100</v>
      </c>
      <c r="N12" s="285">
        <v>0.4</v>
      </c>
      <c r="O12" s="2029"/>
      <c r="P12" s="2029"/>
    </row>
    <row r="13" spans="1:18" ht="15" customHeight="1">
      <c r="A13" s="922" t="s">
        <v>315</v>
      </c>
      <c r="B13" s="2031"/>
      <c r="C13" s="109">
        <v>20000</v>
      </c>
      <c r="D13" s="109">
        <v>340000</v>
      </c>
      <c r="E13" s="2029"/>
      <c r="F13" s="1706"/>
      <c r="G13" s="112">
        <v>57700</v>
      </c>
      <c r="H13" s="112">
        <v>57700</v>
      </c>
      <c r="I13" s="112">
        <v>67600</v>
      </c>
      <c r="J13" s="112">
        <v>76200</v>
      </c>
      <c r="K13" s="112">
        <v>76200</v>
      </c>
      <c r="L13" s="112">
        <v>219200</v>
      </c>
      <c r="M13" s="112">
        <v>173000</v>
      </c>
      <c r="N13" s="285">
        <v>0.4</v>
      </c>
      <c r="O13" s="2029"/>
      <c r="P13" s="2029"/>
    </row>
    <row r="14" spans="1:18" ht="15" customHeight="1">
      <c r="A14" s="922" t="s">
        <v>316</v>
      </c>
      <c r="B14" s="2031"/>
      <c r="C14" s="109">
        <v>20000</v>
      </c>
      <c r="D14" s="109">
        <v>340000</v>
      </c>
      <c r="E14" s="2029"/>
      <c r="F14" s="1706"/>
      <c r="G14" s="112">
        <v>47600</v>
      </c>
      <c r="H14" s="112">
        <v>47600</v>
      </c>
      <c r="I14" s="112">
        <v>55800</v>
      </c>
      <c r="J14" s="112">
        <v>63100</v>
      </c>
      <c r="K14" s="112">
        <v>63100</v>
      </c>
      <c r="L14" s="112">
        <v>181000</v>
      </c>
      <c r="M14" s="112">
        <v>142800</v>
      </c>
      <c r="N14" s="285">
        <v>0.4</v>
      </c>
      <c r="O14" s="2029"/>
      <c r="P14" s="2029"/>
    </row>
    <row r="15" spans="1:18" ht="15" customHeight="1">
      <c r="A15" s="922" t="s">
        <v>317</v>
      </c>
      <c r="B15" s="2031"/>
      <c r="C15" s="109">
        <v>20000</v>
      </c>
      <c r="D15" s="109">
        <v>340000</v>
      </c>
      <c r="E15" s="2029"/>
      <c r="F15" s="1706"/>
      <c r="G15" s="112">
        <v>87200</v>
      </c>
      <c r="H15" s="112">
        <v>87200</v>
      </c>
      <c r="I15" s="112">
        <v>102300</v>
      </c>
      <c r="J15" s="112">
        <v>115400</v>
      </c>
      <c r="K15" s="112">
        <v>115400</v>
      </c>
      <c r="L15" s="112">
        <v>265000</v>
      </c>
      <c r="M15" s="112">
        <v>209200</v>
      </c>
      <c r="N15" s="285">
        <v>0.35</v>
      </c>
      <c r="O15" s="2029"/>
      <c r="P15" s="2029"/>
    </row>
    <row r="16" spans="1:18" ht="15" customHeight="1">
      <c r="A16" s="922" t="s">
        <v>318</v>
      </c>
      <c r="B16" s="2031"/>
      <c r="C16" s="109">
        <v>37500</v>
      </c>
      <c r="D16" s="109">
        <v>460000</v>
      </c>
      <c r="E16" s="2029"/>
      <c r="F16" s="1706"/>
      <c r="G16" s="112">
        <v>101100</v>
      </c>
      <c r="H16" s="112">
        <v>101100</v>
      </c>
      <c r="I16" s="112">
        <v>118400</v>
      </c>
      <c r="J16" s="112">
        <v>133400</v>
      </c>
      <c r="K16" s="112">
        <v>133400</v>
      </c>
      <c r="L16" s="112">
        <v>284100</v>
      </c>
      <c r="M16" s="112">
        <v>224100</v>
      </c>
      <c r="N16" s="285">
        <v>0.33</v>
      </c>
      <c r="O16" s="2029"/>
      <c r="P16" s="2029"/>
    </row>
    <row r="17" spans="1:16" ht="15" customHeight="1">
      <c r="A17" s="922" t="s">
        <v>319</v>
      </c>
      <c r="B17" s="2031"/>
      <c r="C17" s="109">
        <v>10000</v>
      </c>
      <c r="D17" s="261" t="s">
        <v>761</v>
      </c>
      <c r="E17" s="2029"/>
      <c r="F17" s="1706"/>
      <c r="G17" s="112">
        <v>52800</v>
      </c>
      <c r="H17" s="112">
        <v>52800</v>
      </c>
      <c r="I17" s="112">
        <v>61800</v>
      </c>
      <c r="J17" s="112">
        <v>69800</v>
      </c>
      <c r="K17" s="112">
        <v>69800</v>
      </c>
      <c r="L17" s="112">
        <v>200500</v>
      </c>
      <c r="M17" s="112">
        <v>158100</v>
      </c>
      <c r="N17" s="285">
        <v>0.4</v>
      </c>
      <c r="O17" s="2029"/>
      <c r="P17" s="2029"/>
    </row>
    <row r="18" spans="1:16" ht="15" customHeight="1">
      <c r="A18" s="922" t="s">
        <v>321</v>
      </c>
      <c r="B18" s="2031"/>
      <c r="C18" s="109">
        <v>5000</v>
      </c>
      <c r="D18" s="261" t="s">
        <v>761</v>
      </c>
      <c r="E18" s="2029"/>
      <c r="F18" s="1706"/>
      <c r="G18" s="112">
        <v>46800</v>
      </c>
      <c r="H18" s="112">
        <v>46800</v>
      </c>
      <c r="I18" s="112">
        <v>54700</v>
      </c>
      <c r="J18" s="112">
        <v>61800</v>
      </c>
      <c r="K18" s="112">
        <v>61800</v>
      </c>
      <c r="L18" s="112">
        <v>177600</v>
      </c>
      <c r="M18" s="112">
        <v>140100</v>
      </c>
      <c r="N18" s="285">
        <v>0.4</v>
      </c>
      <c r="O18" s="2029"/>
      <c r="P18" s="2029"/>
    </row>
    <row r="19" spans="1:16" ht="15" customHeight="1">
      <c r="A19" s="922" t="s">
        <v>322</v>
      </c>
      <c r="B19" s="2031"/>
      <c r="C19" s="109">
        <v>2500</v>
      </c>
      <c r="D19" s="261" t="s">
        <v>761</v>
      </c>
      <c r="E19" s="2029"/>
      <c r="F19" s="1706"/>
      <c r="G19" s="112">
        <v>46800</v>
      </c>
      <c r="H19" s="112">
        <v>46800</v>
      </c>
      <c r="I19" s="112">
        <v>54700</v>
      </c>
      <c r="J19" s="112">
        <v>61800</v>
      </c>
      <c r="K19" s="112">
        <v>61800</v>
      </c>
      <c r="L19" s="112">
        <v>177600</v>
      </c>
      <c r="M19" s="112">
        <v>140100</v>
      </c>
      <c r="N19" s="285">
        <v>0.4</v>
      </c>
      <c r="O19" s="2029"/>
      <c r="P19" s="2029"/>
    </row>
    <row r="20" spans="1:16" ht="15" customHeight="1">
      <c r="A20" s="922" t="s">
        <v>323</v>
      </c>
      <c r="B20" s="2031"/>
      <c r="C20" s="109">
        <v>75000</v>
      </c>
      <c r="D20" s="109">
        <v>610000</v>
      </c>
      <c r="E20" s="2029"/>
      <c r="F20" s="1706"/>
      <c r="G20" s="112">
        <v>87200</v>
      </c>
      <c r="H20" s="112">
        <v>87200</v>
      </c>
      <c r="I20" s="112">
        <v>102300</v>
      </c>
      <c r="J20" s="112">
        <v>115400</v>
      </c>
      <c r="K20" s="112">
        <v>115400</v>
      </c>
      <c r="L20" s="112">
        <v>265000</v>
      </c>
      <c r="M20" s="112">
        <v>209200</v>
      </c>
      <c r="N20" s="285">
        <v>0.35</v>
      </c>
      <c r="O20" s="2029"/>
      <c r="P20" s="2029"/>
    </row>
    <row r="21" spans="1:16" ht="15" customHeight="1">
      <c r="A21" s="922" t="s">
        <v>325</v>
      </c>
      <c r="B21" s="2031"/>
      <c r="C21" s="109">
        <v>37500</v>
      </c>
      <c r="D21" s="109">
        <v>460000</v>
      </c>
      <c r="E21" s="2029"/>
      <c r="F21" s="1706"/>
      <c r="G21" s="112">
        <v>64400</v>
      </c>
      <c r="H21" s="112">
        <v>64400</v>
      </c>
      <c r="I21" s="112">
        <v>75600</v>
      </c>
      <c r="J21" s="112">
        <v>85100</v>
      </c>
      <c r="K21" s="112">
        <v>85100</v>
      </c>
      <c r="L21" s="112">
        <v>244800</v>
      </c>
      <c r="M21" s="112">
        <v>193200</v>
      </c>
      <c r="N21" s="285">
        <v>0.4</v>
      </c>
      <c r="O21" s="2029"/>
      <c r="P21" s="2029"/>
    </row>
    <row r="22" spans="1:16" ht="15" customHeight="1">
      <c r="A22" s="922" t="s">
        <v>326</v>
      </c>
      <c r="B22" s="2031"/>
      <c r="C22" s="109">
        <v>20000</v>
      </c>
      <c r="D22" s="109">
        <v>340000</v>
      </c>
      <c r="E22" s="2029"/>
      <c r="F22" s="1706"/>
      <c r="G22" s="112">
        <v>62300</v>
      </c>
      <c r="H22" s="112">
        <v>62300</v>
      </c>
      <c r="I22" s="112">
        <v>73000</v>
      </c>
      <c r="J22" s="112">
        <v>82400</v>
      </c>
      <c r="K22" s="112">
        <v>82400</v>
      </c>
      <c r="L22" s="112">
        <v>236700</v>
      </c>
      <c r="M22" s="112">
        <v>186700</v>
      </c>
      <c r="N22" s="285">
        <v>0.4</v>
      </c>
      <c r="O22" s="2029"/>
      <c r="P22" s="2029"/>
    </row>
    <row r="23" spans="1:16" ht="15" customHeight="1">
      <c r="A23" s="922" t="s">
        <v>327</v>
      </c>
      <c r="B23" s="2031"/>
      <c r="C23" s="109">
        <v>2500</v>
      </c>
      <c r="D23" s="261" t="s">
        <v>761</v>
      </c>
      <c r="E23" s="2029"/>
      <c r="F23" s="1706"/>
      <c r="G23" s="112">
        <v>49900</v>
      </c>
      <c r="H23" s="112">
        <v>49900</v>
      </c>
      <c r="I23" s="112">
        <v>58400</v>
      </c>
      <c r="J23" s="112">
        <v>65800</v>
      </c>
      <c r="K23" s="112">
        <v>65800</v>
      </c>
      <c r="L23" s="112">
        <v>189400</v>
      </c>
      <c r="M23" s="112">
        <v>149300</v>
      </c>
      <c r="N23" s="285">
        <v>0.4</v>
      </c>
      <c r="O23" s="2029"/>
      <c r="P23" s="2029"/>
    </row>
    <row r="24" spans="1:16" ht="15" customHeight="1">
      <c r="A24" s="922" t="s">
        <v>328</v>
      </c>
      <c r="B24" s="2031"/>
      <c r="C24" s="109">
        <v>5000</v>
      </c>
      <c r="D24" s="261" t="s">
        <v>761</v>
      </c>
      <c r="E24" s="2029"/>
      <c r="F24" s="1706"/>
      <c r="G24" s="112">
        <v>63700</v>
      </c>
      <c r="H24" s="112">
        <v>63700</v>
      </c>
      <c r="I24" s="112">
        <v>74500</v>
      </c>
      <c r="J24" s="112">
        <v>84000</v>
      </c>
      <c r="K24" s="112">
        <v>84000</v>
      </c>
      <c r="L24" s="112">
        <v>241300</v>
      </c>
      <c r="M24" s="112">
        <v>190500</v>
      </c>
      <c r="N24" s="285">
        <v>0.4</v>
      </c>
      <c r="O24" s="2029"/>
      <c r="P24" s="2029"/>
    </row>
    <row r="25" spans="1:16" ht="15" customHeight="1">
      <c r="A25" s="922" t="s">
        <v>329</v>
      </c>
      <c r="B25" s="2031"/>
      <c r="C25" s="109">
        <v>2500</v>
      </c>
      <c r="D25" s="261" t="s">
        <v>761</v>
      </c>
      <c r="E25" s="2029"/>
      <c r="F25" s="1706"/>
      <c r="G25" s="112">
        <v>68400</v>
      </c>
      <c r="H25" s="112">
        <v>68400</v>
      </c>
      <c r="I25" s="112">
        <v>80100</v>
      </c>
      <c r="J25" s="112">
        <v>90400</v>
      </c>
      <c r="K25" s="112">
        <v>90400</v>
      </c>
      <c r="L25" s="112">
        <v>259700</v>
      </c>
      <c r="M25" s="112">
        <v>205000</v>
      </c>
      <c r="N25" s="285">
        <v>0.4</v>
      </c>
      <c r="O25" s="2029"/>
      <c r="P25" s="2029"/>
    </row>
    <row r="26" spans="1:16" ht="15" customHeight="1">
      <c r="A26" s="922" t="s">
        <v>330</v>
      </c>
      <c r="B26" s="2031"/>
      <c r="C26" s="109">
        <v>2500</v>
      </c>
      <c r="D26" s="261" t="s">
        <v>761</v>
      </c>
      <c r="E26" s="2029"/>
      <c r="F26" s="1706"/>
      <c r="G26" s="112">
        <v>46800</v>
      </c>
      <c r="H26" s="112">
        <v>46800</v>
      </c>
      <c r="I26" s="112">
        <v>54700</v>
      </c>
      <c r="J26" s="112">
        <v>61800</v>
      </c>
      <c r="K26" s="112">
        <v>61800</v>
      </c>
      <c r="L26" s="112">
        <v>177600</v>
      </c>
      <c r="M26" s="112">
        <v>140100</v>
      </c>
      <c r="N26" s="285">
        <v>0.4</v>
      </c>
      <c r="O26" s="2029"/>
      <c r="P26" s="2029"/>
    </row>
    <row r="27" spans="1:16" ht="15" customHeight="1">
      <c r="A27" s="922" t="s">
        <v>331</v>
      </c>
      <c r="B27" s="2031"/>
      <c r="C27" s="109">
        <v>2500</v>
      </c>
      <c r="D27" s="261" t="s">
        <v>761</v>
      </c>
      <c r="E27" s="2029"/>
      <c r="F27" s="1706"/>
      <c r="G27" s="112">
        <v>51400</v>
      </c>
      <c r="H27" s="112">
        <v>51400</v>
      </c>
      <c r="I27" s="112">
        <v>60300</v>
      </c>
      <c r="J27" s="112">
        <v>68000</v>
      </c>
      <c r="K27" s="112">
        <v>68000</v>
      </c>
      <c r="L27" s="112">
        <v>195500</v>
      </c>
      <c r="M27" s="112">
        <v>154300</v>
      </c>
      <c r="N27" s="285">
        <v>0.4</v>
      </c>
      <c r="O27" s="2029"/>
      <c r="P27" s="2029"/>
    </row>
    <row r="28" spans="1:16" ht="15" customHeight="1">
      <c r="A28" s="922" t="s">
        <v>332</v>
      </c>
      <c r="B28" s="2031"/>
      <c r="C28" s="109">
        <v>2500</v>
      </c>
      <c r="D28" s="261" t="s">
        <v>761</v>
      </c>
      <c r="E28" s="2029"/>
      <c r="F28" s="1706"/>
      <c r="G28" s="112">
        <v>46800</v>
      </c>
      <c r="H28" s="112">
        <v>46800</v>
      </c>
      <c r="I28" s="112">
        <v>54700</v>
      </c>
      <c r="J28" s="112">
        <v>61800</v>
      </c>
      <c r="K28" s="112">
        <v>61800</v>
      </c>
      <c r="L28" s="112">
        <v>177600</v>
      </c>
      <c r="M28" s="112">
        <v>140100</v>
      </c>
      <c r="N28" s="285">
        <v>0.4</v>
      </c>
      <c r="O28" s="2029"/>
      <c r="P28" s="2029"/>
    </row>
    <row r="29" spans="1:16" ht="15" customHeight="1">
      <c r="A29" s="922" t="s">
        <v>333</v>
      </c>
      <c r="B29" s="2031"/>
      <c r="C29" s="109">
        <v>5000</v>
      </c>
      <c r="D29" s="261" t="s">
        <v>761</v>
      </c>
      <c r="E29" s="2029"/>
      <c r="F29" s="1706"/>
      <c r="G29" s="112">
        <v>46800</v>
      </c>
      <c r="H29" s="112">
        <v>46800</v>
      </c>
      <c r="I29" s="112">
        <v>54700</v>
      </c>
      <c r="J29" s="112">
        <v>61800</v>
      </c>
      <c r="K29" s="112">
        <v>61800</v>
      </c>
      <c r="L29" s="112">
        <v>177600</v>
      </c>
      <c r="M29" s="112">
        <v>140100</v>
      </c>
      <c r="N29" s="285">
        <v>0.4</v>
      </c>
      <c r="O29" s="2029"/>
      <c r="P29" s="2029"/>
    </row>
    <row r="30" spans="1:16" ht="15" customHeight="1">
      <c r="A30" s="922" t="s">
        <v>334</v>
      </c>
      <c r="B30" s="2031"/>
      <c r="C30" s="109">
        <v>5000</v>
      </c>
      <c r="D30" s="261" t="s">
        <v>761</v>
      </c>
      <c r="E30" s="2029"/>
      <c r="F30" s="1706"/>
      <c r="G30" s="112">
        <v>46800</v>
      </c>
      <c r="H30" s="112">
        <v>46800</v>
      </c>
      <c r="I30" s="112">
        <v>54700</v>
      </c>
      <c r="J30" s="112">
        <v>61800</v>
      </c>
      <c r="K30" s="112">
        <v>61800</v>
      </c>
      <c r="L30" s="112">
        <v>177600</v>
      </c>
      <c r="M30" s="112">
        <v>140100</v>
      </c>
      <c r="N30" s="285">
        <v>0.4</v>
      </c>
      <c r="O30" s="2029"/>
      <c r="P30" s="2029"/>
    </row>
    <row r="31" spans="1:16" ht="15" customHeight="1">
      <c r="A31" s="922" t="s">
        <v>335</v>
      </c>
      <c r="B31" s="2031"/>
      <c r="C31" s="109">
        <v>20000</v>
      </c>
      <c r="D31" s="109">
        <v>340000</v>
      </c>
      <c r="E31" s="2029"/>
      <c r="F31" s="1706"/>
      <c r="G31" s="112">
        <v>68400</v>
      </c>
      <c r="H31" s="112">
        <v>68400</v>
      </c>
      <c r="I31" s="112">
        <v>80300</v>
      </c>
      <c r="J31" s="112">
        <v>90600</v>
      </c>
      <c r="K31" s="112">
        <v>90600</v>
      </c>
      <c r="L31" s="112">
        <v>259700</v>
      </c>
      <c r="M31" s="112">
        <v>205000</v>
      </c>
      <c r="N31" s="285">
        <v>0.4</v>
      </c>
      <c r="O31" s="2029"/>
      <c r="P31" s="2029"/>
    </row>
    <row r="32" spans="1:16" ht="15" customHeight="1">
      <c r="A32" s="922" t="s">
        <v>336</v>
      </c>
      <c r="B32" s="2031"/>
      <c r="C32" s="109">
        <v>20000</v>
      </c>
      <c r="D32" s="109">
        <v>340000</v>
      </c>
      <c r="E32" s="2029"/>
      <c r="F32" s="1706"/>
      <c r="G32" s="112">
        <v>50700</v>
      </c>
      <c r="H32" s="112">
        <v>50700</v>
      </c>
      <c r="I32" s="112">
        <v>59400</v>
      </c>
      <c r="J32" s="112">
        <v>66900</v>
      </c>
      <c r="K32" s="112">
        <v>66900</v>
      </c>
      <c r="L32" s="112">
        <v>192400</v>
      </c>
      <c r="M32" s="112">
        <v>152000</v>
      </c>
      <c r="N32" s="285">
        <v>0.4</v>
      </c>
      <c r="O32" s="2029"/>
      <c r="P32" s="2029"/>
    </row>
    <row r="33" spans="1:16" ht="15" customHeight="1">
      <c r="A33" s="74" t="s">
        <v>337</v>
      </c>
      <c r="B33" s="2031"/>
      <c r="C33" s="109">
        <v>75000</v>
      </c>
      <c r="D33" s="109">
        <v>610000</v>
      </c>
      <c r="E33" s="2029"/>
      <c r="F33" s="1706"/>
      <c r="G33" s="112">
        <v>68400</v>
      </c>
      <c r="H33" s="112">
        <v>68400</v>
      </c>
      <c r="I33" s="112">
        <v>80300</v>
      </c>
      <c r="J33" s="112">
        <v>90600</v>
      </c>
      <c r="K33" s="112">
        <v>90600</v>
      </c>
      <c r="L33" s="112">
        <v>259700</v>
      </c>
      <c r="M33" s="112">
        <v>205000</v>
      </c>
      <c r="N33" s="285">
        <v>0.4</v>
      </c>
      <c r="O33" s="2029"/>
      <c r="P33" s="2029"/>
    </row>
    <row r="34" spans="1:16" ht="15" customHeight="1">
      <c r="A34" s="922" t="s">
        <v>338</v>
      </c>
      <c r="B34" s="2031"/>
      <c r="C34" s="109">
        <v>2500</v>
      </c>
      <c r="D34" s="261" t="s">
        <v>761</v>
      </c>
      <c r="E34" s="2029"/>
      <c r="F34" s="1706"/>
      <c r="G34" s="112">
        <v>46800</v>
      </c>
      <c r="H34" s="112">
        <v>46800</v>
      </c>
      <c r="I34" s="112">
        <v>54700</v>
      </c>
      <c r="J34" s="112">
        <v>61800</v>
      </c>
      <c r="K34" s="112">
        <v>61800</v>
      </c>
      <c r="L34" s="112">
        <v>177600</v>
      </c>
      <c r="M34" s="112">
        <v>140100</v>
      </c>
      <c r="N34" s="285">
        <v>0.4</v>
      </c>
      <c r="O34" s="2029"/>
      <c r="P34" s="2029"/>
    </row>
    <row r="35" spans="1:16" ht="15" customHeight="1">
      <c r="A35" s="74" t="s">
        <v>339</v>
      </c>
      <c r="B35" s="2031"/>
      <c r="C35" s="109">
        <v>20000</v>
      </c>
      <c r="D35" s="109">
        <v>340000</v>
      </c>
      <c r="E35" s="2029"/>
      <c r="F35" s="1706"/>
      <c r="G35" s="112">
        <v>61200</v>
      </c>
      <c r="H35" s="112">
        <v>61200</v>
      </c>
      <c r="I35" s="112">
        <v>71500</v>
      </c>
      <c r="J35" s="112">
        <v>80800</v>
      </c>
      <c r="K35" s="112">
        <v>80800</v>
      </c>
      <c r="L35" s="112">
        <v>232200</v>
      </c>
      <c r="M35" s="112">
        <v>183300</v>
      </c>
      <c r="N35" s="285">
        <v>0.4</v>
      </c>
      <c r="O35" s="2029"/>
      <c r="P35" s="2029"/>
    </row>
    <row r="36" spans="1:16" ht="15" customHeight="1">
      <c r="A36" s="922" t="s">
        <v>340</v>
      </c>
      <c r="B36" s="2031"/>
      <c r="C36" s="109">
        <v>5000</v>
      </c>
      <c r="D36" s="261" t="s">
        <v>761</v>
      </c>
      <c r="E36" s="2029"/>
      <c r="F36" s="1706"/>
      <c r="G36" s="112">
        <v>46800</v>
      </c>
      <c r="H36" s="112">
        <v>46800</v>
      </c>
      <c r="I36" s="112">
        <v>54700</v>
      </c>
      <c r="J36" s="112">
        <v>61800</v>
      </c>
      <c r="K36" s="112">
        <v>61800</v>
      </c>
      <c r="L36" s="112">
        <v>177600</v>
      </c>
      <c r="M36" s="112">
        <v>140100</v>
      </c>
      <c r="N36" s="285">
        <v>0.4</v>
      </c>
      <c r="O36" s="2029"/>
      <c r="P36" s="2029"/>
    </row>
    <row r="37" spans="1:16" ht="15" customHeight="1">
      <c r="A37" s="922" t="s">
        <v>341</v>
      </c>
      <c r="B37" s="2031"/>
      <c r="C37" s="109">
        <v>2500</v>
      </c>
      <c r="D37" s="261" t="s">
        <v>761</v>
      </c>
      <c r="E37" s="2029"/>
      <c r="F37" s="1706"/>
      <c r="G37" s="112">
        <v>63700</v>
      </c>
      <c r="H37" s="112">
        <v>63700</v>
      </c>
      <c r="I37" s="112">
        <v>74500</v>
      </c>
      <c r="J37" s="112">
        <v>84000</v>
      </c>
      <c r="K37" s="112">
        <v>84000</v>
      </c>
      <c r="L37" s="112">
        <v>241300</v>
      </c>
      <c r="M37" s="112">
        <v>190500</v>
      </c>
      <c r="N37" s="285">
        <v>0.4</v>
      </c>
      <c r="O37" s="2029"/>
      <c r="P37" s="2029"/>
    </row>
    <row r="38" spans="1:16" ht="15" customHeight="1">
      <c r="A38" s="922" t="s">
        <v>342</v>
      </c>
      <c r="B38" s="2031"/>
      <c r="C38" s="109">
        <v>2500</v>
      </c>
      <c r="D38" s="261" t="s">
        <v>761</v>
      </c>
      <c r="E38" s="2029"/>
      <c r="F38" s="1706"/>
      <c r="G38" s="112">
        <v>46800</v>
      </c>
      <c r="H38" s="112">
        <v>46800</v>
      </c>
      <c r="I38" s="112">
        <v>54700</v>
      </c>
      <c r="J38" s="112">
        <v>61800</v>
      </c>
      <c r="K38" s="112">
        <v>61800</v>
      </c>
      <c r="L38" s="112">
        <v>177600</v>
      </c>
      <c r="M38" s="112">
        <v>140100</v>
      </c>
      <c r="N38" s="285">
        <v>0.4</v>
      </c>
      <c r="O38" s="2029"/>
      <c r="P38" s="2029"/>
    </row>
    <row r="39" spans="1:16" ht="15" customHeight="1">
      <c r="A39" s="922" t="s">
        <v>343</v>
      </c>
      <c r="B39" s="2031"/>
      <c r="C39" s="109">
        <v>37500</v>
      </c>
      <c r="D39" s="109">
        <v>460000</v>
      </c>
      <c r="E39" s="2029"/>
      <c r="F39" s="1706"/>
      <c r="G39" s="112">
        <v>69200</v>
      </c>
      <c r="H39" s="112">
        <v>69200</v>
      </c>
      <c r="I39" s="112">
        <v>81000</v>
      </c>
      <c r="J39" s="112">
        <v>91500</v>
      </c>
      <c r="K39" s="112">
        <v>91500</v>
      </c>
      <c r="L39" s="112">
        <v>262700</v>
      </c>
      <c r="M39" s="112">
        <v>207300</v>
      </c>
      <c r="N39" s="285">
        <v>0.4</v>
      </c>
      <c r="O39" s="2029"/>
      <c r="P39" s="2029"/>
    </row>
    <row r="40" spans="1:16" ht="15" customHeight="1">
      <c r="A40" s="922" t="s">
        <v>344</v>
      </c>
      <c r="B40" s="2031"/>
      <c r="C40" s="109">
        <v>50000</v>
      </c>
      <c r="D40" s="109">
        <v>460000</v>
      </c>
      <c r="E40" s="2029"/>
      <c r="F40" s="1706"/>
      <c r="G40" s="112">
        <v>67100</v>
      </c>
      <c r="H40" s="112">
        <v>67100</v>
      </c>
      <c r="I40" s="112">
        <v>78600</v>
      </c>
      <c r="J40" s="112">
        <v>88800</v>
      </c>
      <c r="K40" s="112">
        <v>88800</v>
      </c>
      <c r="L40" s="112">
        <v>254700</v>
      </c>
      <c r="M40" s="112">
        <v>201200</v>
      </c>
      <c r="N40" s="285">
        <v>0.4</v>
      </c>
      <c r="O40" s="2029"/>
      <c r="P40" s="2029"/>
    </row>
    <row r="41" spans="1:16" ht="15" customHeight="1">
      <c r="A41" s="922" t="s">
        <v>345</v>
      </c>
      <c r="B41" s="2031"/>
      <c r="C41" s="109">
        <v>37500</v>
      </c>
      <c r="D41" s="109">
        <v>460000</v>
      </c>
      <c r="E41" s="2029"/>
      <c r="F41" s="1706"/>
      <c r="G41" s="112">
        <v>63700</v>
      </c>
      <c r="H41" s="112">
        <v>63700</v>
      </c>
      <c r="I41" s="112">
        <v>74500</v>
      </c>
      <c r="J41" s="112">
        <v>84000</v>
      </c>
      <c r="K41" s="112">
        <v>84000</v>
      </c>
      <c r="L41" s="112">
        <v>241300</v>
      </c>
      <c r="M41" s="112">
        <v>190500</v>
      </c>
      <c r="N41" s="285">
        <v>0.4</v>
      </c>
      <c r="O41" s="2029"/>
      <c r="P41" s="2029"/>
    </row>
    <row r="42" spans="1:16" ht="15" customHeight="1">
      <c r="A42" s="922" t="s">
        <v>346</v>
      </c>
      <c r="B42" s="2031"/>
      <c r="C42" s="109">
        <v>5000</v>
      </c>
      <c r="D42" s="261" t="s">
        <v>761</v>
      </c>
      <c r="E42" s="2029"/>
      <c r="F42" s="1706"/>
      <c r="G42" s="112">
        <v>46800</v>
      </c>
      <c r="H42" s="112">
        <v>46800</v>
      </c>
      <c r="I42" s="112">
        <v>54700</v>
      </c>
      <c r="J42" s="112">
        <v>61800</v>
      </c>
      <c r="K42" s="112">
        <v>61800</v>
      </c>
      <c r="L42" s="112">
        <v>177600</v>
      </c>
      <c r="M42" s="112">
        <v>140100</v>
      </c>
      <c r="N42" s="285">
        <v>0.4</v>
      </c>
      <c r="O42" s="2029"/>
      <c r="P42" s="2029"/>
    </row>
    <row r="43" spans="1:16" ht="15" customHeight="1">
      <c r="A43" s="922" t="s">
        <v>347</v>
      </c>
      <c r="B43" s="2031"/>
      <c r="C43" s="109">
        <v>2500</v>
      </c>
      <c r="D43" s="261" t="s">
        <v>761</v>
      </c>
      <c r="E43" s="2029"/>
      <c r="F43" s="1706"/>
      <c r="G43" s="112">
        <v>46800</v>
      </c>
      <c r="H43" s="112">
        <v>46800</v>
      </c>
      <c r="I43" s="112">
        <v>54700</v>
      </c>
      <c r="J43" s="112">
        <v>61800</v>
      </c>
      <c r="K43" s="112">
        <v>61800</v>
      </c>
      <c r="L43" s="112">
        <v>177600</v>
      </c>
      <c r="M43" s="112">
        <v>140100</v>
      </c>
      <c r="N43" s="285">
        <v>0.4</v>
      </c>
      <c r="O43" s="2029"/>
      <c r="P43" s="2029"/>
    </row>
    <row r="44" spans="1:16" ht="15" customHeight="1">
      <c r="A44" s="922" t="s">
        <v>348</v>
      </c>
      <c r="B44" s="2031"/>
      <c r="C44" s="109">
        <v>2500</v>
      </c>
      <c r="D44" s="261" t="s">
        <v>761</v>
      </c>
      <c r="E44" s="2029"/>
      <c r="F44" s="1706"/>
      <c r="G44" s="112">
        <v>46800</v>
      </c>
      <c r="H44" s="112">
        <v>46800</v>
      </c>
      <c r="I44" s="112">
        <v>54700</v>
      </c>
      <c r="J44" s="112">
        <v>61800</v>
      </c>
      <c r="K44" s="112">
        <v>61800</v>
      </c>
      <c r="L44" s="112">
        <v>177600</v>
      </c>
      <c r="M44" s="112">
        <v>140100</v>
      </c>
      <c r="N44" s="285">
        <v>0.4</v>
      </c>
      <c r="O44" s="2029"/>
      <c r="P44" s="2029"/>
    </row>
    <row r="45" spans="1:16" ht="15" customHeight="1">
      <c r="A45" s="922" t="s">
        <v>349</v>
      </c>
      <c r="B45" s="2031"/>
      <c r="C45" s="109">
        <v>37500</v>
      </c>
      <c r="D45" s="109">
        <v>460000</v>
      </c>
      <c r="E45" s="2029"/>
      <c r="F45" s="1706"/>
      <c r="G45" s="112">
        <v>90200</v>
      </c>
      <c r="H45" s="112">
        <v>90200</v>
      </c>
      <c r="I45" s="112">
        <v>105700</v>
      </c>
      <c r="J45" s="112">
        <v>119200</v>
      </c>
      <c r="K45" s="112">
        <v>119200</v>
      </c>
      <c r="L45" s="112">
        <v>273800</v>
      </c>
      <c r="M45" s="112">
        <v>216100</v>
      </c>
      <c r="N45" s="285">
        <v>0.35</v>
      </c>
      <c r="O45" s="2029"/>
      <c r="P45" s="2029"/>
    </row>
    <row r="46" spans="1:16" ht="15" customHeight="1">
      <c r="A46" s="922" t="s">
        <v>350</v>
      </c>
      <c r="B46" s="2031"/>
      <c r="C46" s="109">
        <v>37500</v>
      </c>
      <c r="D46" s="109">
        <v>460000</v>
      </c>
      <c r="E46" s="2029"/>
      <c r="F46" s="1706"/>
      <c r="G46" s="112">
        <v>51800</v>
      </c>
      <c r="H46" s="112">
        <v>51800</v>
      </c>
      <c r="I46" s="112">
        <v>60700</v>
      </c>
      <c r="J46" s="112">
        <v>68500</v>
      </c>
      <c r="K46" s="112">
        <v>68500</v>
      </c>
      <c r="L46" s="112">
        <v>197000</v>
      </c>
      <c r="M46" s="112">
        <v>155400</v>
      </c>
      <c r="N46" s="285">
        <v>0.4</v>
      </c>
      <c r="O46" s="2029"/>
      <c r="P46" s="2029"/>
    </row>
    <row r="47" spans="1:16" ht="15" customHeight="1">
      <c r="A47" s="922" t="s">
        <v>351</v>
      </c>
      <c r="B47" s="2031"/>
      <c r="C47" s="109">
        <v>20000</v>
      </c>
      <c r="D47" s="109">
        <v>340000</v>
      </c>
      <c r="E47" s="2029"/>
      <c r="F47" s="1706"/>
      <c r="G47" s="112">
        <v>65800</v>
      </c>
      <c r="H47" s="112">
        <v>65800</v>
      </c>
      <c r="I47" s="112">
        <v>77100</v>
      </c>
      <c r="J47" s="112">
        <v>87000</v>
      </c>
      <c r="K47" s="112">
        <v>87000</v>
      </c>
      <c r="L47" s="112">
        <v>249700</v>
      </c>
      <c r="M47" s="112">
        <v>197000</v>
      </c>
      <c r="N47" s="285">
        <v>0.4</v>
      </c>
      <c r="O47" s="2029"/>
      <c r="P47" s="2029"/>
    </row>
    <row r="48" spans="1:16" ht="15" customHeight="1">
      <c r="A48" s="922" t="s">
        <v>352</v>
      </c>
      <c r="B48" s="2031"/>
      <c r="C48" s="109">
        <v>100000</v>
      </c>
      <c r="D48" s="261" t="s">
        <v>761</v>
      </c>
      <c r="E48" s="2029"/>
      <c r="F48" s="1706"/>
      <c r="G48" s="112">
        <v>122200</v>
      </c>
      <c r="H48" s="112">
        <v>122200</v>
      </c>
      <c r="I48" s="112">
        <v>143200</v>
      </c>
      <c r="J48" s="112">
        <v>161300</v>
      </c>
      <c r="K48" s="112">
        <v>161300</v>
      </c>
      <c r="L48" s="112">
        <v>308900</v>
      </c>
      <c r="M48" s="112">
        <v>244000</v>
      </c>
      <c r="N48" s="285">
        <v>0.3</v>
      </c>
      <c r="O48" s="2029"/>
      <c r="P48" s="2029"/>
    </row>
    <row r="49" spans="1:16" ht="15" customHeight="1">
      <c r="A49" s="922" t="s">
        <v>354</v>
      </c>
      <c r="B49" s="2031"/>
      <c r="C49" s="109">
        <v>10000</v>
      </c>
      <c r="D49" s="261" t="s">
        <v>761</v>
      </c>
      <c r="E49" s="2029"/>
      <c r="F49" s="1706"/>
      <c r="G49" s="112">
        <v>128500</v>
      </c>
      <c r="H49" s="112">
        <v>128500</v>
      </c>
      <c r="I49" s="112">
        <v>150500</v>
      </c>
      <c r="J49" s="112">
        <v>169700</v>
      </c>
      <c r="K49" s="112">
        <v>169700</v>
      </c>
      <c r="L49" s="112">
        <v>324900</v>
      </c>
      <c r="M49" s="112">
        <v>256600</v>
      </c>
      <c r="N49" s="285">
        <v>0.3</v>
      </c>
      <c r="O49" s="2029"/>
      <c r="P49" s="2029"/>
    </row>
    <row r="50" spans="1:16" ht="15" customHeight="1">
      <c r="A50" s="922" t="s">
        <v>356</v>
      </c>
      <c r="B50" s="2031"/>
      <c r="C50" s="109">
        <v>10000</v>
      </c>
      <c r="D50" s="261" t="s">
        <v>761</v>
      </c>
      <c r="E50" s="2029"/>
      <c r="F50" s="1706"/>
      <c r="G50" s="112">
        <v>87200</v>
      </c>
      <c r="H50" s="112">
        <v>87200</v>
      </c>
      <c r="I50" s="112">
        <v>102300</v>
      </c>
      <c r="J50" s="112">
        <v>115400</v>
      </c>
      <c r="K50" s="112">
        <v>115400</v>
      </c>
      <c r="L50" s="112">
        <v>265000</v>
      </c>
      <c r="M50" s="112">
        <v>209200</v>
      </c>
      <c r="N50" s="285">
        <v>0.35</v>
      </c>
      <c r="O50" s="2029"/>
      <c r="P50" s="2029"/>
    </row>
    <row r="51" spans="1:16" ht="15" customHeight="1">
      <c r="A51" s="922" t="s">
        <v>357</v>
      </c>
      <c r="B51" s="2031"/>
      <c r="C51" s="109">
        <v>20000</v>
      </c>
      <c r="D51" s="109">
        <v>340000</v>
      </c>
      <c r="E51" s="2029"/>
      <c r="F51" s="1706"/>
      <c r="G51" s="112">
        <v>68600</v>
      </c>
      <c r="H51" s="112">
        <v>68600</v>
      </c>
      <c r="I51" s="112">
        <v>80500</v>
      </c>
      <c r="J51" s="112">
        <v>90800</v>
      </c>
      <c r="K51" s="112">
        <v>90800</v>
      </c>
      <c r="L51" s="112">
        <v>260800</v>
      </c>
      <c r="M51" s="112">
        <v>205800</v>
      </c>
      <c r="N51" s="285">
        <v>0.4</v>
      </c>
      <c r="O51" s="2029"/>
      <c r="P51" s="2029"/>
    </row>
    <row r="52" spans="1:16" ht="15" customHeight="1">
      <c r="A52" s="922" t="s">
        <v>358</v>
      </c>
      <c r="B52" s="2031"/>
      <c r="C52" s="109">
        <v>5000</v>
      </c>
      <c r="D52" s="261" t="s">
        <v>761</v>
      </c>
      <c r="E52" s="2029"/>
      <c r="F52" s="1706"/>
      <c r="G52" s="112">
        <v>46800</v>
      </c>
      <c r="H52" s="112">
        <v>46800</v>
      </c>
      <c r="I52" s="112">
        <v>54700</v>
      </c>
      <c r="J52" s="112">
        <v>61800</v>
      </c>
      <c r="K52" s="112">
        <v>61800</v>
      </c>
      <c r="L52" s="112">
        <v>177600</v>
      </c>
      <c r="M52" s="112">
        <v>140100</v>
      </c>
      <c r="N52" s="285">
        <v>0.4</v>
      </c>
      <c r="O52" s="2029"/>
      <c r="P52" s="2029"/>
    </row>
    <row r="53" spans="1:16" ht="15" customHeight="1">
      <c r="A53" s="922" t="s">
        <v>359</v>
      </c>
      <c r="B53" s="2031"/>
      <c r="C53" s="109">
        <v>75000</v>
      </c>
      <c r="D53" s="109">
        <v>610000</v>
      </c>
      <c r="E53" s="2029"/>
      <c r="F53" s="1706"/>
      <c r="G53" s="112">
        <v>69200</v>
      </c>
      <c r="H53" s="112">
        <v>69200</v>
      </c>
      <c r="I53" s="112">
        <v>81000</v>
      </c>
      <c r="J53" s="112">
        <v>91500</v>
      </c>
      <c r="K53" s="112">
        <v>91500</v>
      </c>
      <c r="L53" s="112">
        <v>262700</v>
      </c>
      <c r="M53" s="112">
        <v>207300</v>
      </c>
      <c r="N53" s="285">
        <v>0.4</v>
      </c>
      <c r="O53" s="2029"/>
      <c r="P53" s="2029"/>
    </row>
    <row r="54" spans="1:16" ht="15" customHeight="1">
      <c r="A54" s="922" t="s">
        <v>360</v>
      </c>
      <c r="B54" s="2031"/>
      <c r="C54" s="109">
        <v>20000</v>
      </c>
      <c r="D54" s="109">
        <v>460000</v>
      </c>
      <c r="E54" s="2029"/>
      <c r="F54" s="1706"/>
      <c r="G54" s="112">
        <v>69200</v>
      </c>
      <c r="H54" s="112">
        <v>69200</v>
      </c>
      <c r="I54" s="112">
        <v>81000</v>
      </c>
      <c r="J54" s="112">
        <v>91500</v>
      </c>
      <c r="K54" s="112">
        <v>91500</v>
      </c>
      <c r="L54" s="112">
        <v>262700</v>
      </c>
      <c r="M54" s="112">
        <v>207300</v>
      </c>
      <c r="N54" s="285">
        <v>0.4</v>
      </c>
      <c r="O54" s="2029"/>
      <c r="P54" s="2029"/>
    </row>
    <row r="55" spans="1:16" ht="15" customHeight="1">
      <c r="A55" s="922" t="s">
        <v>361</v>
      </c>
      <c r="B55" s="2031"/>
      <c r="C55" s="109">
        <v>75000</v>
      </c>
      <c r="D55" s="109">
        <v>640000</v>
      </c>
      <c r="E55" s="2029"/>
      <c r="F55" s="1706"/>
      <c r="G55" s="112">
        <v>103800</v>
      </c>
      <c r="H55" s="112">
        <v>103800</v>
      </c>
      <c r="I55" s="112">
        <v>121600</v>
      </c>
      <c r="J55" s="112">
        <v>137100</v>
      </c>
      <c r="K55" s="112">
        <v>137100</v>
      </c>
      <c r="L55" s="112">
        <v>291700</v>
      </c>
      <c r="M55" s="112">
        <v>230200</v>
      </c>
      <c r="N55" s="285">
        <v>0.33</v>
      </c>
      <c r="O55" s="2029"/>
      <c r="P55" s="2029"/>
    </row>
    <row r="56" spans="1:16" ht="15" customHeight="1">
      <c r="A56" s="922" t="s">
        <v>362</v>
      </c>
      <c r="B56" s="2031"/>
      <c r="C56" s="109">
        <v>50000</v>
      </c>
      <c r="D56" s="109">
        <v>460000</v>
      </c>
      <c r="E56" s="2029"/>
      <c r="F56" s="1706"/>
      <c r="G56" s="112">
        <v>68400</v>
      </c>
      <c r="H56" s="112">
        <v>68400</v>
      </c>
      <c r="I56" s="112">
        <v>80300</v>
      </c>
      <c r="J56" s="112">
        <v>90600</v>
      </c>
      <c r="K56" s="112">
        <v>90600</v>
      </c>
      <c r="L56" s="112">
        <v>259700</v>
      </c>
      <c r="M56" s="112">
        <v>205000</v>
      </c>
      <c r="N56" s="285">
        <v>0.4</v>
      </c>
      <c r="O56" s="2029"/>
      <c r="P56" s="2029"/>
    </row>
    <row r="57" spans="1:16" ht="15" customHeight="1">
      <c r="A57" s="922" t="s">
        <v>363</v>
      </c>
      <c r="B57" s="2031"/>
      <c r="C57" s="109">
        <v>75000</v>
      </c>
      <c r="D57" s="109">
        <v>610000</v>
      </c>
      <c r="E57" s="2029"/>
      <c r="F57" s="1706"/>
      <c r="G57" s="112">
        <v>68400</v>
      </c>
      <c r="H57" s="112">
        <v>68400</v>
      </c>
      <c r="I57" s="112">
        <v>80300</v>
      </c>
      <c r="J57" s="112">
        <v>90600</v>
      </c>
      <c r="K57" s="112">
        <v>90600</v>
      </c>
      <c r="L57" s="112">
        <v>259700</v>
      </c>
      <c r="M57" s="112">
        <v>205000</v>
      </c>
      <c r="N57" s="285">
        <v>0.4</v>
      </c>
      <c r="O57" s="2029"/>
      <c r="P57" s="2029"/>
    </row>
    <row r="58" spans="1:16" ht="15" customHeight="1">
      <c r="A58" s="922" t="s">
        <v>365</v>
      </c>
      <c r="B58" s="2031"/>
      <c r="C58" s="109">
        <v>50000</v>
      </c>
      <c r="D58" s="109">
        <v>460000</v>
      </c>
      <c r="E58" s="2029"/>
      <c r="F58" s="1706"/>
      <c r="G58" s="112">
        <v>54900</v>
      </c>
      <c r="H58" s="112">
        <v>54900</v>
      </c>
      <c r="I58" s="112">
        <v>64200</v>
      </c>
      <c r="J58" s="112">
        <v>72400</v>
      </c>
      <c r="K58" s="112">
        <v>72400</v>
      </c>
      <c r="L58" s="112">
        <v>208100</v>
      </c>
      <c r="M58" s="112">
        <v>164200</v>
      </c>
      <c r="N58" s="285">
        <v>0.4</v>
      </c>
      <c r="O58" s="2029"/>
      <c r="P58" s="2029"/>
    </row>
    <row r="59" spans="1:16" ht="15" customHeight="1">
      <c r="A59" s="922" t="s">
        <v>366</v>
      </c>
      <c r="B59" s="2031"/>
      <c r="C59" s="109">
        <v>10000</v>
      </c>
      <c r="D59" s="261" t="s">
        <v>761</v>
      </c>
      <c r="E59" s="2029"/>
      <c r="F59" s="1706"/>
      <c r="G59" s="112">
        <v>46800</v>
      </c>
      <c r="H59" s="112">
        <v>46800</v>
      </c>
      <c r="I59" s="112">
        <v>54700</v>
      </c>
      <c r="J59" s="112">
        <v>61800</v>
      </c>
      <c r="K59" s="112">
        <v>61800</v>
      </c>
      <c r="L59" s="112">
        <v>177600</v>
      </c>
      <c r="M59" s="112">
        <v>140100</v>
      </c>
      <c r="N59" s="285">
        <v>0.4</v>
      </c>
      <c r="O59" s="2029"/>
      <c r="P59" s="2029"/>
    </row>
    <row r="60" spans="1:16" ht="15" customHeight="1">
      <c r="A60" s="922" t="s">
        <v>367</v>
      </c>
      <c r="B60" s="2031"/>
      <c r="C60" s="109">
        <v>20000</v>
      </c>
      <c r="D60" s="109">
        <v>340000</v>
      </c>
      <c r="E60" s="2029"/>
      <c r="F60" s="1706"/>
      <c r="G60" s="112">
        <v>69800</v>
      </c>
      <c r="H60" s="112">
        <v>69800</v>
      </c>
      <c r="I60" s="112">
        <v>81800</v>
      </c>
      <c r="J60" s="112">
        <v>92200</v>
      </c>
      <c r="K60" s="112">
        <v>92200</v>
      </c>
      <c r="L60" s="112">
        <v>265000</v>
      </c>
      <c r="M60" s="112">
        <v>209200</v>
      </c>
      <c r="N60" s="285">
        <v>0.4</v>
      </c>
      <c r="O60" s="2029"/>
      <c r="P60" s="2029"/>
    </row>
    <row r="61" spans="1:16" ht="15" customHeight="1">
      <c r="A61" s="922" t="s">
        <v>368</v>
      </c>
      <c r="B61" s="2031"/>
      <c r="C61" s="109">
        <v>50000</v>
      </c>
      <c r="D61" s="109">
        <v>460000</v>
      </c>
      <c r="E61" s="2029"/>
      <c r="F61" s="1706"/>
      <c r="G61" s="112">
        <v>82200</v>
      </c>
      <c r="H61" s="112">
        <v>82200</v>
      </c>
      <c r="I61" s="112">
        <v>96500</v>
      </c>
      <c r="J61" s="112">
        <v>108800</v>
      </c>
      <c r="K61" s="112">
        <v>108800</v>
      </c>
      <c r="L61" s="112">
        <v>249700</v>
      </c>
      <c r="M61" s="112">
        <v>197000</v>
      </c>
      <c r="N61" s="285">
        <v>0.35</v>
      </c>
      <c r="O61" s="2029"/>
      <c r="P61" s="2029"/>
    </row>
    <row r="62" spans="1:16" ht="15" customHeight="1">
      <c r="A62" s="922" t="s">
        <v>369</v>
      </c>
      <c r="B62" s="2031"/>
      <c r="C62" s="109">
        <v>50000</v>
      </c>
      <c r="D62" s="109">
        <v>460000</v>
      </c>
      <c r="E62" s="2029"/>
      <c r="F62" s="1706"/>
      <c r="G62" s="112">
        <v>64400</v>
      </c>
      <c r="H62" s="112">
        <v>64400</v>
      </c>
      <c r="I62" s="112">
        <v>75600</v>
      </c>
      <c r="J62" s="112">
        <v>85100</v>
      </c>
      <c r="K62" s="112">
        <v>85100</v>
      </c>
      <c r="L62" s="112">
        <v>244800</v>
      </c>
      <c r="M62" s="112">
        <v>193200</v>
      </c>
      <c r="N62" s="285">
        <v>0.4</v>
      </c>
      <c r="O62" s="2029"/>
      <c r="P62" s="2029"/>
    </row>
    <row r="63" spans="1:16" ht="15" customHeight="1">
      <c r="A63" s="922" t="s">
        <v>370</v>
      </c>
      <c r="B63" s="2031"/>
      <c r="C63" s="109">
        <v>20000</v>
      </c>
      <c r="D63" s="109">
        <v>460000</v>
      </c>
      <c r="E63" s="2029"/>
      <c r="F63" s="1706"/>
      <c r="G63" s="112">
        <v>90200</v>
      </c>
      <c r="H63" s="112">
        <v>90200</v>
      </c>
      <c r="I63" s="112">
        <v>105700</v>
      </c>
      <c r="J63" s="112">
        <v>119200</v>
      </c>
      <c r="K63" s="112">
        <v>119200</v>
      </c>
      <c r="L63" s="112">
        <v>273800</v>
      </c>
      <c r="M63" s="112">
        <v>216100</v>
      </c>
      <c r="N63" s="285">
        <v>0.35</v>
      </c>
      <c r="O63" s="2029"/>
      <c r="P63" s="2029"/>
    </row>
    <row r="64" spans="1:16" ht="15" customHeight="1">
      <c r="A64" s="922" t="s">
        <v>371</v>
      </c>
      <c r="B64" s="2031"/>
      <c r="C64" s="109">
        <v>20000</v>
      </c>
      <c r="D64" s="109">
        <v>460000</v>
      </c>
      <c r="E64" s="2029"/>
      <c r="F64" s="1706"/>
      <c r="G64" s="112">
        <v>69200</v>
      </c>
      <c r="H64" s="112">
        <v>69200</v>
      </c>
      <c r="I64" s="112">
        <v>81000</v>
      </c>
      <c r="J64" s="112">
        <v>91500</v>
      </c>
      <c r="K64" s="112">
        <v>91500</v>
      </c>
      <c r="L64" s="112">
        <v>262700</v>
      </c>
      <c r="M64" s="112">
        <v>207300</v>
      </c>
      <c r="N64" s="285">
        <v>0.4</v>
      </c>
      <c r="O64" s="2029"/>
      <c r="P64" s="2029"/>
    </row>
    <row r="65" spans="1:16" ht="15" customHeight="1">
      <c r="A65" s="922" t="s">
        <v>372</v>
      </c>
      <c r="B65" s="2031"/>
      <c r="C65" s="109">
        <v>10000</v>
      </c>
      <c r="D65" s="109">
        <v>340000</v>
      </c>
      <c r="E65" s="2029"/>
      <c r="F65" s="1706"/>
      <c r="G65" s="112">
        <v>62900</v>
      </c>
      <c r="H65" s="112">
        <v>62900</v>
      </c>
      <c r="I65" s="112">
        <v>73600</v>
      </c>
      <c r="J65" s="112">
        <v>83100</v>
      </c>
      <c r="K65" s="112">
        <v>83100</v>
      </c>
      <c r="L65" s="112">
        <v>238600</v>
      </c>
      <c r="M65" s="112">
        <v>188200</v>
      </c>
      <c r="N65" s="285">
        <v>0.4</v>
      </c>
      <c r="O65" s="2029"/>
      <c r="P65" s="2029"/>
    </row>
    <row r="66" spans="1:16" ht="15" customHeight="1">
      <c r="A66" s="922" t="s">
        <v>373</v>
      </c>
      <c r="B66" s="2031"/>
      <c r="C66" s="109">
        <v>5000</v>
      </c>
      <c r="D66" s="261" t="s">
        <v>761</v>
      </c>
      <c r="E66" s="2029"/>
      <c r="F66" s="1706"/>
      <c r="G66" s="112">
        <v>46800</v>
      </c>
      <c r="H66" s="112">
        <v>46800</v>
      </c>
      <c r="I66" s="112">
        <v>54700</v>
      </c>
      <c r="J66" s="112">
        <v>61800</v>
      </c>
      <c r="K66" s="112">
        <v>61800</v>
      </c>
      <c r="L66" s="112">
        <v>177600</v>
      </c>
      <c r="M66" s="112">
        <v>140100</v>
      </c>
      <c r="N66" s="285">
        <v>0.4</v>
      </c>
      <c r="O66" s="2029"/>
      <c r="P66" s="2029"/>
    </row>
    <row r="67" spans="1:16" ht="15" customHeight="1">
      <c r="A67" s="922" t="s">
        <v>374</v>
      </c>
      <c r="B67" s="2031"/>
      <c r="C67" s="109">
        <v>2500</v>
      </c>
      <c r="D67" s="261" t="s">
        <v>761</v>
      </c>
      <c r="E67" s="2029"/>
      <c r="F67" s="1706"/>
      <c r="G67" s="112">
        <v>46800</v>
      </c>
      <c r="H67" s="112">
        <v>46800</v>
      </c>
      <c r="I67" s="112">
        <v>54700</v>
      </c>
      <c r="J67" s="112">
        <v>61800</v>
      </c>
      <c r="K67" s="112">
        <v>61800</v>
      </c>
      <c r="L67" s="112">
        <v>177600</v>
      </c>
      <c r="M67" s="112">
        <v>140100</v>
      </c>
      <c r="N67" s="285">
        <v>0.4</v>
      </c>
      <c r="O67" s="2029"/>
      <c r="P67" s="2029"/>
    </row>
    <row r="68" spans="1:16" ht="15" customHeight="1">
      <c r="A68" s="922" t="s">
        <v>375</v>
      </c>
      <c r="B68" s="2031"/>
      <c r="C68" s="109">
        <v>2500</v>
      </c>
      <c r="D68" s="261" t="s">
        <v>761</v>
      </c>
      <c r="E68" s="2029"/>
      <c r="F68" s="1706"/>
      <c r="G68" s="112">
        <v>50700</v>
      </c>
      <c r="H68" s="112">
        <v>50700</v>
      </c>
      <c r="I68" s="112">
        <v>59400</v>
      </c>
      <c r="J68" s="112">
        <v>66900</v>
      </c>
      <c r="K68" s="112">
        <v>66900</v>
      </c>
      <c r="L68" s="112">
        <v>192400</v>
      </c>
      <c r="M68" s="112">
        <v>152000</v>
      </c>
      <c r="N68" s="285">
        <v>0.4</v>
      </c>
      <c r="O68" s="2029"/>
      <c r="P68" s="2029"/>
    </row>
    <row r="69" spans="1:16" ht="15" customHeight="1">
      <c r="A69" s="922" t="s">
        <v>376</v>
      </c>
      <c r="B69" s="2031"/>
      <c r="C69" s="109">
        <v>50000</v>
      </c>
      <c r="D69" s="109">
        <v>460000</v>
      </c>
      <c r="E69" s="2029"/>
      <c r="F69" s="1706"/>
      <c r="G69" s="112">
        <v>59500</v>
      </c>
      <c r="H69" s="112">
        <v>59500</v>
      </c>
      <c r="I69" s="112">
        <v>69700</v>
      </c>
      <c r="J69" s="112">
        <v>78600</v>
      </c>
      <c r="K69" s="112">
        <v>78600</v>
      </c>
      <c r="L69" s="112">
        <v>225700</v>
      </c>
      <c r="M69" s="112">
        <v>177900</v>
      </c>
      <c r="N69" s="285">
        <v>0.4</v>
      </c>
      <c r="O69" s="2029"/>
      <c r="P69" s="2029"/>
    </row>
    <row r="70" spans="1:16" ht="15" customHeight="1">
      <c r="A70" s="922" t="s">
        <v>377</v>
      </c>
      <c r="B70" s="2031"/>
      <c r="C70" s="109">
        <v>2500</v>
      </c>
      <c r="D70" s="261" t="s">
        <v>761</v>
      </c>
      <c r="E70" s="2029"/>
      <c r="F70" s="1706"/>
      <c r="G70" s="112">
        <v>64200</v>
      </c>
      <c r="H70" s="112">
        <v>64200</v>
      </c>
      <c r="I70" s="112">
        <v>75300</v>
      </c>
      <c r="J70" s="112">
        <v>84900</v>
      </c>
      <c r="K70" s="112">
        <v>84900</v>
      </c>
      <c r="L70" s="112">
        <v>244000</v>
      </c>
      <c r="M70" s="112">
        <v>192400</v>
      </c>
      <c r="N70" s="285">
        <v>0.4</v>
      </c>
      <c r="O70" s="2029"/>
      <c r="P70" s="2029"/>
    </row>
    <row r="71" spans="1:16" ht="15" customHeight="1">
      <c r="A71" s="922" t="s">
        <v>378</v>
      </c>
      <c r="B71" s="2031"/>
      <c r="C71" s="109">
        <v>5000</v>
      </c>
      <c r="D71" s="261" t="s">
        <v>761</v>
      </c>
      <c r="E71" s="2029"/>
      <c r="F71" s="1706"/>
      <c r="G71" s="112">
        <v>65000</v>
      </c>
      <c r="H71" s="112">
        <v>65000</v>
      </c>
      <c r="I71" s="112">
        <v>76200</v>
      </c>
      <c r="J71" s="112">
        <v>85900</v>
      </c>
      <c r="K71" s="112">
        <v>85900</v>
      </c>
      <c r="L71" s="112">
        <v>246700</v>
      </c>
      <c r="M71" s="112">
        <v>194700</v>
      </c>
      <c r="N71" s="285">
        <v>0.4</v>
      </c>
      <c r="O71" s="2029"/>
      <c r="P71" s="2029"/>
    </row>
    <row r="72" spans="1:16" ht="15" customHeight="1">
      <c r="A72" s="922" t="s">
        <v>762</v>
      </c>
      <c r="B72" s="2031"/>
      <c r="C72" s="109">
        <v>2500</v>
      </c>
      <c r="D72" s="261" t="s">
        <v>761</v>
      </c>
      <c r="E72" s="2029"/>
      <c r="F72" s="1706"/>
      <c r="G72" s="112">
        <v>46800</v>
      </c>
      <c r="H72" s="112">
        <v>46800</v>
      </c>
      <c r="I72" s="112">
        <v>54700</v>
      </c>
      <c r="J72" s="112">
        <v>61800</v>
      </c>
      <c r="K72" s="112">
        <v>61800</v>
      </c>
      <c r="L72" s="112">
        <v>177600</v>
      </c>
      <c r="M72" s="112">
        <v>140100</v>
      </c>
      <c r="N72" s="285">
        <v>0.4</v>
      </c>
      <c r="O72" s="2029"/>
      <c r="P72" s="2029"/>
    </row>
    <row r="74" spans="1:16">
      <c r="A74" s="2903" t="s">
        <v>763</v>
      </c>
      <c r="B74" s="2904"/>
      <c r="C74" s="2904"/>
      <c r="D74" s="2904"/>
      <c r="E74" s="2904"/>
      <c r="F74" s="2904"/>
      <c r="G74" s="2905"/>
      <c r="I74" s="111" t="s">
        <v>764</v>
      </c>
      <c r="J74" s="111" t="s">
        <v>765</v>
      </c>
    </row>
    <row r="75" spans="1:16">
      <c r="N75" s="5" t="s">
        <v>766</v>
      </c>
    </row>
    <row r="76" spans="1:16">
      <c r="A76" s="276" t="s">
        <v>767</v>
      </c>
      <c r="B76" s="276"/>
      <c r="C76" s="270">
        <v>5520000</v>
      </c>
      <c r="D76" s="276" t="s">
        <v>768</v>
      </c>
      <c r="E76" s="385"/>
      <c r="F76" s="276"/>
      <c r="G76" s="276"/>
      <c r="H76" s="276"/>
      <c r="I76" s="385"/>
      <c r="J76" s="277"/>
      <c r="K76" s="277"/>
      <c r="L76" s="277"/>
      <c r="M76" s="255"/>
      <c r="N76" s="64" t="s">
        <v>769</v>
      </c>
    </row>
    <row r="77" spans="1:16">
      <c r="A77" s="277" t="s">
        <v>767</v>
      </c>
      <c r="B77" s="277"/>
      <c r="C77" s="888">
        <v>80000</v>
      </c>
      <c r="D77" s="277" t="s">
        <v>770</v>
      </c>
      <c r="E77" s="403"/>
      <c r="F77" s="277"/>
      <c r="G77" s="277"/>
      <c r="H77" s="277"/>
      <c r="I77" s="403"/>
      <c r="J77" s="277"/>
      <c r="K77" s="277"/>
      <c r="L77" s="277"/>
      <c r="M77" s="255"/>
      <c r="N77" s="64" t="s">
        <v>771</v>
      </c>
    </row>
    <row r="78" spans="1:16">
      <c r="A78" s="277" t="s">
        <v>767</v>
      </c>
      <c r="B78" s="277"/>
      <c r="C78" s="888">
        <v>125000</v>
      </c>
      <c r="D78" s="277" t="s">
        <v>772</v>
      </c>
      <c r="E78" s="403"/>
      <c r="F78" s="277"/>
      <c r="G78" s="277"/>
      <c r="H78" s="277"/>
      <c r="I78" s="403"/>
      <c r="J78" s="277"/>
      <c r="K78" s="277"/>
      <c r="L78" s="277"/>
      <c r="M78" s="277"/>
    </row>
    <row r="79" spans="1:16">
      <c r="A79" s="277" t="s">
        <v>767</v>
      </c>
      <c r="B79" s="277"/>
      <c r="C79" s="888">
        <v>6500000</v>
      </c>
      <c r="D79" s="277" t="s">
        <v>773</v>
      </c>
      <c r="E79" s="403"/>
      <c r="F79" s="277"/>
      <c r="G79" s="277"/>
      <c r="H79" s="277"/>
      <c r="I79" s="403"/>
      <c r="J79" s="277"/>
      <c r="K79" s="277"/>
      <c r="L79" s="277"/>
      <c r="M79" s="277"/>
    </row>
    <row r="80" spans="1:16">
      <c r="A80" s="277" t="s">
        <v>767</v>
      </c>
      <c r="B80" s="277"/>
      <c r="C80" s="888">
        <v>80000</v>
      </c>
      <c r="D80" s="277" t="s">
        <v>774</v>
      </c>
      <c r="E80" s="403"/>
      <c r="F80" s="277"/>
      <c r="G80" s="277"/>
      <c r="H80" s="277"/>
      <c r="I80" s="403"/>
      <c r="J80" s="277"/>
      <c r="K80" s="277"/>
      <c r="L80" s="277"/>
      <c r="M80" s="277"/>
    </row>
    <row r="81" spans="1:15">
      <c r="A81" s="333"/>
      <c r="B81" s="333"/>
      <c r="C81" s="1223"/>
      <c r="D81" s="333"/>
      <c r="E81" s="525"/>
      <c r="F81" s="6"/>
      <c r="G81" s="6"/>
      <c r="H81" s="6"/>
      <c r="I81" s="6"/>
      <c r="J81" s="6"/>
      <c r="K81" s="6"/>
      <c r="L81" s="6"/>
      <c r="M81" s="6"/>
      <c r="N81" s="1269" t="s">
        <v>2453</v>
      </c>
      <c r="O81" s="1269" t="s">
        <v>2454</v>
      </c>
    </row>
    <row r="82" spans="1:15">
      <c r="A82" s="1243" t="s">
        <v>137</v>
      </c>
      <c r="B82" s="1244"/>
      <c r="C82" s="1224">
        <v>6250000</v>
      </c>
      <c r="D82" s="1511" t="s">
        <v>775</v>
      </c>
      <c r="E82" s="1225"/>
      <c r="F82" s="1244"/>
      <c r="G82" s="1225"/>
      <c r="H82" s="1244"/>
      <c r="I82" s="1225" t="s">
        <v>2366</v>
      </c>
      <c r="J82" s="1226" t="s">
        <v>771</v>
      </c>
      <c r="K82" s="2022"/>
      <c r="L82" s="1244"/>
      <c r="M82" s="1244"/>
      <c r="N82" s="1978" t="str">
        <f>IF(N(O82)&gt;0,N(O82)+Eligible_ELI_Request_Amount,"NA  ")</f>
        <v xml:space="preserve">NA  </v>
      </c>
      <c r="O82" s="1978" t="str">
        <f>IF(AND(IFERROR(VLOOKUP(County,DS_County_Sizes,8,FALSE),"")="Large",Funding!O22=1,N(Funding!H22)&gt;0),Funding!H22,"NA  ")</f>
        <v xml:space="preserve">NA  </v>
      </c>
    </row>
    <row r="83" spans="1:15">
      <c r="A83" s="254" t="s">
        <v>137</v>
      </c>
      <c r="B83" s="277"/>
      <c r="C83" s="888">
        <v>6250000</v>
      </c>
      <c r="D83" s="1326" t="s">
        <v>1891</v>
      </c>
      <c r="E83" s="403"/>
      <c r="F83" s="277"/>
      <c r="G83" s="403"/>
      <c r="H83" s="277"/>
      <c r="I83" s="385" t="s">
        <v>2366</v>
      </c>
      <c r="J83" s="1226" t="s">
        <v>771</v>
      </c>
      <c r="K83" s="1326"/>
      <c r="L83" s="277"/>
      <c r="M83" s="277"/>
      <c r="N83" s="1978" t="str">
        <f>IF(N(O83)&gt;0,N(O83)+Eligible_ELI_Request_Amount,"NA  ")</f>
        <v xml:space="preserve">NA  </v>
      </c>
      <c r="O83" s="1979" t="str">
        <f>IF(AND(IFERROR(VLOOKUP(County,DS_County_Sizes,8,FALSE),"")="Medium",Funding!O24=1,N(Funding!H24)&gt;0),Funding!H24,"NA  ")</f>
        <v xml:space="preserve">NA  </v>
      </c>
    </row>
    <row r="84" spans="1:15">
      <c r="A84" s="254" t="s">
        <v>137</v>
      </c>
      <c r="B84" s="277"/>
      <c r="C84" s="888">
        <v>17000000</v>
      </c>
      <c r="D84" s="1326" t="s">
        <v>1892</v>
      </c>
      <c r="E84" s="403"/>
      <c r="F84" s="277"/>
      <c r="G84" s="403"/>
      <c r="H84" s="277"/>
      <c r="I84" s="403">
        <v>205</v>
      </c>
      <c r="J84" s="1226" t="s">
        <v>771</v>
      </c>
      <c r="K84" s="1326"/>
      <c r="L84" s="277"/>
      <c r="M84" s="277"/>
      <c r="N84" s="1978" t="str">
        <f>IF(N(O84)&gt;0,N(O84)+Eligible_ELI_Request_Amount,"NA  ")</f>
        <v xml:space="preserve">NA  </v>
      </c>
      <c r="O84" s="1979" t="str">
        <f>IF(AND(IFERROR(VLOOKUP(County,DS_County_Sizes,8,FALSE),"")="Small",Funding!O26=1,N(Funding!H26)&gt;0),Funding!H26,"NA  ")</f>
        <v xml:space="preserve">NA  </v>
      </c>
    </row>
    <row r="85" spans="1:15">
      <c r="A85" s="254" t="s">
        <v>137</v>
      </c>
      <c r="B85" s="277"/>
      <c r="C85" s="888">
        <v>17000000</v>
      </c>
      <c r="D85" s="1326" t="s">
        <v>777</v>
      </c>
      <c r="E85" s="403"/>
      <c r="F85" s="277"/>
      <c r="G85" s="1525" t="s">
        <v>2172</v>
      </c>
      <c r="H85" s="277"/>
      <c r="I85" s="403">
        <v>205</v>
      </c>
      <c r="J85" s="1245"/>
      <c r="K85" s="277"/>
      <c r="L85" s="277"/>
      <c r="M85" s="277"/>
      <c r="N85" s="1978" t="str">
        <f>IF(N(O85)&gt;0,N(O85)+Eligible_ELI_Request_Amount,"NA  ")</f>
        <v xml:space="preserve">NA  </v>
      </c>
      <c r="O85" s="1979" t="str">
        <f>IF(AND(OR(AND(OR(Development_Category="Rehabilitation",Development_Category="Acquisition and Rehabilitation"),Development_SubCategory="Preservation (w/ or w/o Acquisition)"),Development_Category="Rehabilitation",Development_Category="Acquisition and Rehabilitation"),Funding!O28=1,N(Funding!H28)&gt;0),Funding!H28,"NA  ")</f>
        <v xml:space="preserve">NA  </v>
      </c>
    </row>
    <row r="86" spans="1:15">
      <c r="A86" s="1246" t="s">
        <v>137</v>
      </c>
      <c r="B86" s="1247"/>
      <c r="C86" s="1227">
        <f>IF(RIGHT(Excel_RFA_Number,3)="106",4800000,4000000)</f>
        <v>4000000</v>
      </c>
      <c r="D86" s="1247" t="s">
        <v>778</v>
      </c>
      <c r="E86" s="1228"/>
      <c r="F86" s="1247"/>
      <c r="G86" s="1228"/>
      <c r="H86" s="1247"/>
      <c r="I86" s="1228" t="s">
        <v>779</v>
      </c>
      <c r="J86" s="1248"/>
      <c r="K86" s="1246"/>
      <c r="L86" s="1247"/>
      <c r="M86" s="1247"/>
      <c r="N86" s="1980" t="str">
        <f>IF(N(O86)&gt;0,N(O86)+Eligible_ELI_Request_Amount,"NA  ")</f>
        <v xml:space="preserve">NA  </v>
      </c>
      <c r="O86" s="1980" t="str">
        <f>IF(Funding!O30=1,Funding!H30,"NA  ")</f>
        <v xml:space="preserve">NA  </v>
      </c>
    </row>
    <row r="87" spans="1:15">
      <c r="A87" s="276" t="s">
        <v>137</v>
      </c>
      <c r="B87" s="276"/>
      <c r="C87" s="270">
        <v>3000000</v>
      </c>
      <c r="D87" s="1457" t="s">
        <v>776</v>
      </c>
      <c r="E87" s="385"/>
      <c r="F87" s="276"/>
      <c r="G87" s="1244"/>
      <c r="H87" s="276"/>
      <c r="I87" s="385">
        <v>205</v>
      </c>
      <c r="J87" s="276"/>
      <c r="K87" s="276"/>
      <c r="L87" s="276"/>
      <c r="M87" s="276"/>
    </row>
    <row r="88" spans="1:15">
      <c r="A88" s="1975" t="s">
        <v>137</v>
      </c>
      <c r="B88" s="1975"/>
      <c r="C88" s="1976">
        <v>1500000</v>
      </c>
      <c r="D88" s="1977" t="s">
        <v>2499</v>
      </c>
      <c r="E88" s="1973"/>
      <c r="F88" s="1975"/>
      <c r="G88" s="1975"/>
      <c r="H88" s="1975"/>
      <c r="I88" s="1973"/>
      <c r="J88" s="1975"/>
      <c r="K88" s="1975"/>
      <c r="L88" s="1975"/>
      <c r="M88" s="1975"/>
      <c r="N88" s="1981" t="str">
        <f>IF(N(O88)&gt;0,N(O88)+Eligible_ELI_Request_Amount,"NA  ")</f>
        <v xml:space="preserve">NA  </v>
      </c>
      <c r="O88" s="1980" t="str">
        <f>IF(Funding!O33=1,Funding!H33,"NA  ")</f>
        <v xml:space="preserve">NA  </v>
      </c>
    </row>
    <row r="89" spans="1:15">
      <c r="A89" s="276" t="s">
        <v>137</v>
      </c>
      <c r="B89" s="276"/>
      <c r="C89" s="270">
        <v>110000</v>
      </c>
      <c r="D89" s="276" t="s">
        <v>780</v>
      </c>
      <c r="E89" s="385"/>
      <c r="F89" s="276"/>
      <c r="G89" s="276"/>
      <c r="H89" s="276"/>
      <c r="I89" s="385"/>
      <c r="J89" s="276"/>
      <c r="K89" s="276"/>
      <c r="L89" s="276"/>
      <c r="M89" s="276"/>
      <c r="N89" s="2924" t="str">
        <f>IF(OR(AND(Funding!O35=1,Funding!H35&lt;&gt;"NA"),AND(Funding!O36=1,Funding!H36&lt;&gt;"NA")),ROUNDDOWN(N(SUM('Proposed Development Info'!$H$128:$H$136))*N(Funding!H35),0)+ROUNDDOWN(N(SUM('Proposed Development Info'!$H$137:$H$150))*N(Funding!H36),0),"NA  ")</f>
        <v xml:space="preserve">NA  </v>
      </c>
      <c r="O89" s="2924" t="str">
        <f>IF(N89="NA  ","NA  ",IF(N(N89)&lt;=DS_SAIL_PD_Max_Net,N(N89),DS_SAIL_PD_Max_Net))</f>
        <v xml:space="preserve">NA  </v>
      </c>
    </row>
    <row r="90" spans="1:15">
      <c r="A90" s="1247" t="s">
        <v>137</v>
      </c>
      <c r="B90" s="1247"/>
      <c r="C90" s="1227">
        <v>95000</v>
      </c>
      <c r="D90" s="1247" t="s">
        <v>781</v>
      </c>
      <c r="E90" s="1228"/>
      <c r="F90" s="1247"/>
      <c r="G90" s="1247"/>
      <c r="H90" s="1247"/>
      <c r="I90" s="1228"/>
      <c r="J90" s="1247"/>
      <c r="K90" s="1247"/>
      <c r="L90" s="1247"/>
      <c r="M90" s="1247"/>
      <c r="N90" s="2925"/>
      <c r="O90" s="2925"/>
    </row>
    <row r="91" spans="1:15">
      <c r="A91" s="276" t="s">
        <v>137</v>
      </c>
      <c r="B91" s="276"/>
      <c r="C91" s="270">
        <v>95000</v>
      </c>
      <c r="D91" s="276" t="s">
        <v>2315</v>
      </c>
      <c r="E91" s="385"/>
      <c r="F91" s="276"/>
      <c r="G91" s="276"/>
      <c r="H91" s="276"/>
      <c r="I91" s="385">
        <v>213</v>
      </c>
      <c r="J91" s="1861"/>
      <c r="K91" s="1862" t="s">
        <v>2324</v>
      </c>
      <c r="L91" s="1862" t="s">
        <v>2325</v>
      </c>
      <c r="M91" s="276"/>
      <c r="N91" s="2926" t="str">
        <f>IF(SUM(Funding!O38:O44)&gt;0,IF(Minimum_SetAside_per_Sec_42=DS_IRS_2050,N(Funding!H38)*SUM('Units, Set-Asides, Bldgs'!F52:F59)+N(Funding!H40)*'Units, Set-Asides, Bldgs'!F61+N(Funding!H41)*'Units, Set-Asides, Bldgs'!F62+N(Funding!H42)*'Units, Set-Asides, Bldgs'!F63+N(Funding!H43)*'Units, Set-Asides, Bldgs'!F64+N(Funding!H44)*'Units, Set-Asides, Bldgs'!F65,IF(Minimum_SetAside_per_Sec_42=DS_IRS_4060,N(Funding!H38)*SUM('Units, Set-Asides, Bldgs'!F52:F60)+N(Funding!H40)*'Units, Set-Asides, Bldgs'!F61+N(Funding!H41)*'Units, Set-Asides, Bldgs'!F62+N(Funding!H42)*'Units, Set-Asides, Bldgs'!F63+N(Funding!H43)*'Units, Set-Asides, Bldgs'!F64+N(Funding!H44)*'Units, Set-Asides, Bldgs'!F65,IF(Minimum_SetAside_per_Sec_42=DS_IRS_AIT,N(Funding!H38)*SUM('Units, Set-Asides, Bldgs'!F79:F83)+N(Funding!H39)*SUM('Units, Set-Asides, Bldgs'!F84:F85)+N(Funding!H40)*'Units, Set-Asides, Bldgs'!F86+N(Funding!H41)*'Units, Set-Asides, Bldgs'!F87+N(Funding!H42)*'Units, Set-Asides, Bldgs'!F88+N(Funding!H43)*'Units, Set-Asides, Bldgs'!F89+N(Funding!H44)*'Units, Set-Asides, Bldgs'!F90,"NA  "))),"NA  ")</f>
        <v xml:space="preserve">NA  </v>
      </c>
      <c r="O91" s="2926" t="str">
        <f>IF(N91="NA  ","NA  ",IF(N(N91)&lt;=DS_SAIL_PD_Max_Net,N(N91),DS_SAIL_PD_Max_Net))</f>
        <v xml:space="preserve">NA  </v>
      </c>
    </row>
    <row r="92" spans="1:15">
      <c r="A92" s="277" t="s">
        <v>137</v>
      </c>
      <c r="B92" s="277"/>
      <c r="C92" s="888">
        <v>95000</v>
      </c>
      <c r="D92" s="277" t="s">
        <v>2316</v>
      </c>
      <c r="E92" s="403"/>
      <c r="F92" s="277"/>
      <c r="G92" s="277"/>
      <c r="H92" s="277"/>
      <c r="I92" s="403">
        <v>213</v>
      </c>
      <c r="J92" s="1863" t="s">
        <v>2322</v>
      </c>
      <c r="K92" s="1864">
        <f>IF(Minimum_SetAside_per_Sec_42=DS_IRS_2050,N(DS_SAIL_PU_LL_HC_60)*SUM('Units, Set-Asides, Bldgs'!F52:F59)+N(DS_SAIL_PU_LL_NonHC_80)*'Units, Set-Asides, Bldgs'!F61+N(DS_SAIL_PU_LL_NonHC_90)*'Units, Set-Asides, Bldgs'!F62+N(DS_SAIL_PU_LL_NonHC_100)*'Units, Set-Asides, Bldgs'!F63+N(DS_SAIL_PU_LL_NonHC_110)*'Units, Set-Asides, Bldgs'!F64+N(DS_SAIL_PU_LL_NonHC_120)*'Units, Set-Asides, Bldgs'!F65,IF(Minimum_SetAside_per_Sec_42=DS_IRS_4060,N(DS_SAIL_PU_LL_HC_60)*SUM('Units, Set-Asides, Bldgs'!F52:F60)+N(DS_SAIL_PU_LL_NonHC_80)*'Units, Set-Asides, Bldgs'!F61+N(DS_SAIL_PU_LL_NonHC_90)*'Units, Set-Asides, Bldgs'!F62+N(DS_SAIL_PU_LL_NonHC_100)*'Units, Set-Asides, Bldgs'!F63+N(DS_SAIL_PU_LL_NonHC_110)*'Units, Set-Asides, Bldgs'!F64+N(DS_SAIL_PU_LL_NonHC_120)*'Units, Set-Asides, Bldgs'!F65,IF(Minimum_SetAside_per_Sec_42=DS_IRS_AIT,N(DS_SAIL_PU_LL_HC_60)*SUM('Units, Set-Asides, Bldgs'!F79:F83)+N(DS_SAIL_PU_LL_HC_80)*SUM('Units, Set-Asides, Bldgs'!F84:F85)+N(DS_SAIL_PU_LL_NonHC_80)*'Units, Set-Asides, Bldgs'!F86+N(DS_SAIL_PU_LL_NonHC_90)*'Units, Set-Asides, Bldgs'!F87+N(DS_SAIL_PU_LL_NonHC_100)*'Units, Set-Asides, Bldgs'!F88+N(DS_SAIL_PU_LL_NonHC_110)*'Units, Set-Asides, Bldgs'!F89+N(DS_SAIL_PU_LL_NonHC_120)*'Units, Set-Asides, Bldgs'!F90,0)))</f>
        <v>0</v>
      </c>
      <c r="L92" s="2014">
        <f>K92-IF(AND(K92&gt;0,OR(DS_SAIL_ELI_Inclusive_PD="Yes",DS_SAIL_ELI_Inclusive_PU="Yes")),Eligible_ELI_Request_Amount,0)</f>
        <v>0</v>
      </c>
      <c r="M92" s="277"/>
      <c r="N92" s="2927"/>
      <c r="O92" s="2927"/>
    </row>
    <row r="93" spans="1:15">
      <c r="A93" s="277" t="s">
        <v>137</v>
      </c>
      <c r="B93" s="277"/>
      <c r="C93" s="888">
        <v>220000</v>
      </c>
      <c r="D93" s="277" t="s">
        <v>2317</v>
      </c>
      <c r="E93" s="403"/>
      <c r="F93" s="277"/>
      <c r="G93" s="277"/>
      <c r="H93" s="277"/>
      <c r="I93" s="403">
        <v>213</v>
      </c>
      <c r="J93" s="1863" t="s">
        <v>2326</v>
      </c>
      <c r="K93" s="1865">
        <f>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f>
        <v>0</v>
      </c>
      <c r="L93" s="1865">
        <f>K93</f>
        <v>0</v>
      </c>
      <c r="M93" s="277"/>
      <c r="N93" s="2927"/>
      <c r="O93" s="2927"/>
    </row>
    <row r="94" spans="1:15">
      <c r="A94" s="277" t="s">
        <v>137</v>
      </c>
      <c r="B94" s="277"/>
      <c r="C94" s="888">
        <v>200000</v>
      </c>
      <c r="D94" s="1963" t="s">
        <v>2443</v>
      </c>
      <c r="E94" s="403"/>
      <c r="F94" s="277"/>
      <c r="G94" s="1964"/>
      <c r="H94" s="277"/>
      <c r="I94" s="403">
        <v>213</v>
      </c>
      <c r="J94" s="1863" t="s">
        <v>2323</v>
      </c>
      <c r="K94" s="1864">
        <f>IFERROR(K92/IF(Minimum_SetAside_per_Sec_42=DS_IRS_2050,SUM('Units,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Bldgs'!F79:F90),0))),0)</f>
        <v>0</v>
      </c>
      <c r="L94" s="1864">
        <f>IFERROR(L92/IF(Minimum_SetAside_per_Sec_42=DS_IRS_2050,SUM('Units,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Bldgs'!F79:F90),0))),0)</f>
        <v>0</v>
      </c>
      <c r="M94" s="277"/>
      <c r="N94" s="2927"/>
      <c r="O94" s="2927"/>
    </row>
    <row r="95" spans="1:15">
      <c r="A95" s="277" t="s">
        <v>137</v>
      </c>
      <c r="B95" s="277"/>
      <c r="C95" s="888">
        <v>180000</v>
      </c>
      <c r="D95" s="277" t="s">
        <v>2476</v>
      </c>
      <c r="E95" s="403"/>
      <c r="F95" s="277"/>
      <c r="G95" s="277"/>
      <c r="H95" s="277"/>
      <c r="I95" s="403">
        <v>213</v>
      </c>
      <c r="J95" s="1966" t="s">
        <v>2327</v>
      </c>
      <c r="K95" s="1860">
        <f>IF(K94=0,1,DS_SAIL_PU_LL_HC_60/K94)</f>
        <v>1</v>
      </c>
      <c r="L95" s="1860">
        <f>IF(L94=0,1,(DS_SAIL_PU_LL_HC_60*L93-(K92-L92))/L92)</f>
        <v>1</v>
      </c>
      <c r="M95" s="277"/>
      <c r="N95" s="2927"/>
      <c r="O95" s="2927"/>
    </row>
    <row r="96" spans="1:15">
      <c r="A96" s="333" t="s">
        <v>137</v>
      </c>
      <c r="B96" s="333"/>
      <c r="C96" s="1962">
        <v>160000</v>
      </c>
      <c r="D96" s="1171" t="s">
        <v>2444</v>
      </c>
      <c r="E96" s="525"/>
      <c r="F96" s="333"/>
      <c r="G96" s="1965"/>
      <c r="H96" s="333"/>
      <c r="I96" s="525">
        <v>213</v>
      </c>
      <c r="J96" s="1863"/>
      <c r="K96" s="1864"/>
      <c r="L96" s="1864"/>
      <c r="M96" s="333"/>
      <c r="N96" s="2927"/>
      <c r="O96" s="2927"/>
    </row>
    <row r="97" spans="1:15">
      <c r="A97" s="1247" t="s">
        <v>137</v>
      </c>
      <c r="B97" s="1247"/>
      <c r="C97" s="1227">
        <v>140000</v>
      </c>
      <c r="D97" s="1247" t="s">
        <v>2477</v>
      </c>
      <c r="E97" s="1228"/>
      <c r="F97" s="1247"/>
      <c r="G97" s="1247"/>
      <c r="H97" s="1247"/>
      <c r="I97" s="1228">
        <v>213</v>
      </c>
      <c r="J97" s="1804"/>
      <c r="K97" s="1804"/>
      <c r="L97" s="1804"/>
      <c r="M97" s="1247"/>
      <c r="N97" s="2925"/>
      <c r="O97" s="2925"/>
    </row>
    <row r="98" spans="1:15">
      <c r="A98" s="276" t="s">
        <v>137</v>
      </c>
      <c r="B98" s="276"/>
      <c r="C98" s="270">
        <v>41000</v>
      </c>
      <c r="D98" s="1457" t="s">
        <v>782</v>
      </c>
      <c r="E98" s="385"/>
      <c r="F98" s="276"/>
      <c r="G98" s="276"/>
      <c r="H98" s="276"/>
      <c r="I98" s="385">
        <v>205</v>
      </c>
      <c r="J98" s="276"/>
      <c r="K98" s="1858"/>
      <c r="L98" s="1859"/>
      <c r="M98" s="276"/>
      <c r="N98" s="1978" t="str">
        <f>IF(OR(Funding!O46=0,Self_Sourced_Applicant&lt;&gt;"Yes",Total_Units=0),"NA  ",DS_SAIL_PU_SS-IF(Total_Units=0,0,ROUNDUP((SUMIF('Pro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f>
        <v xml:space="preserve">NA  </v>
      </c>
      <c r="O98" s="1978" t="str">
        <f>IF(N98="NA  ","NA  ",IF(N(N98)&lt;=DS_SAIL_PD_Max_Net,N(N98),DS_SAIL_PD_Max_Net))</f>
        <v xml:space="preserve">NA  </v>
      </c>
    </row>
    <row r="99" spans="1:15">
      <c r="A99" s="1247" t="s">
        <v>137</v>
      </c>
      <c r="B99" s="1247"/>
      <c r="C99" s="1227">
        <v>95000</v>
      </c>
      <c r="D99" s="1982" t="s">
        <v>783</v>
      </c>
      <c r="E99" s="1228"/>
      <c r="F99" s="1247"/>
      <c r="G99" s="1247"/>
      <c r="H99" s="1247"/>
      <c r="I99" s="1228" t="s">
        <v>784</v>
      </c>
      <c r="J99" s="1247"/>
      <c r="K99" s="1247"/>
      <c r="L99" s="1983"/>
      <c r="M99" s="1247"/>
      <c r="N99" s="1980" t="str">
        <f>IF(OR(Funding!O48=0,Self_Sourced_Applicant&lt;&gt;"No",Total_Units=0),"NA  ",DS_SAIL_PU_Not_SS*Total_Units)</f>
        <v xml:space="preserve">NA  </v>
      </c>
      <c r="O99" s="1980" t="str">
        <f>IF(N99="NA  ","NA  ",IF(N(N99)&lt;=DS_SAIL_PD_Max_Net,N(N99),DS_SAIL_PD_Max_Net))</f>
        <v xml:space="preserve">NA  </v>
      </c>
    </row>
    <row r="100" spans="1:15">
      <c r="A100" s="276" t="s">
        <v>137</v>
      </c>
      <c r="B100" s="276"/>
      <c r="C100" s="1978">
        <f>MAX(0,MIN(IF(AND(IFERROR(VLOOKUP(County,DS_County_Sizes,8,FALSE),"")="Large",Funding!O22=1,N(Funding!H22)&gt;0),Funding!H22,IF(AND(IFERROR(VLOOKUP(County,DS_County_Sizes,8,FALSE),"")="Medium",Funding!O24=1,N(Funding!H24)&gt;0),Funding!H24,IF(AND(IFERROR(VLOOKUP(County,DS_County_Sizes,8,FALSE),"")="Small",Funding!O26=1,N(Funding!H26)&gt;0),Funding!H26,DS_Request_Maximum))),IF(AND(OR(AND(OR(Development_Category="Rehabilitation",Development_Category="Acquisition and Rehabilitation"),Development_SubCategory="Preservation (w/ or w/o Acquisition)"),Development_Category="Rehabilitation",Development_Category="Acquisition and Rehabilitation"),Funding!O28=1,N(Funding!H28)&gt;0),Funding!H28,DS_Request_Maximum),IF(Funding!O30=1,Funding!H30,DS_Request_Maximum),IF(Funding!O33=1,Funding!H33,DS_Request_Maximum),IF(OR(AND(Funding!O35=1,Funding!H35&lt;&gt;"NA"),AND(Funding!O36=1,Funding!H36&lt;&gt;"NA")),ROUNDDOWN(N(SUM('Proposed Development Info'!$H$127:$H$135))*N(Funding!H35),0)+ROUNDDOWN(N(SUM('Proposed Development Info'!$H$136:$H$149))*N(Funding!H36),0),DS_Request_Maximum)))+IF(DS_SAIL_ELI_Inclusive_PD&lt;&gt;"Yes",0,Eligible_ELI_Request_Amount)</f>
        <v>24000000</v>
      </c>
      <c r="D100" s="271" t="s">
        <v>2455</v>
      </c>
      <c r="E100" s="385"/>
      <c r="F100" s="276"/>
      <c r="G100" s="276"/>
      <c r="H100" s="276"/>
      <c r="I100" s="385"/>
      <c r="J100" s="276"/>
      <c r="K100" s="276"/>
      <c r="L100" s="1858"/>
      <c r="M100" s="276"/>
      <c r="N100" s="1978"/>
      <c r="O100" s="1978"/>
    </row>
    <row r="101" spans="1:15">
      <c r="A101" s="277" t="s">
        <v>137</v>
      </c>
      <c r="B101" s="277"/>
      <c r="C101" s="1979">
        <f>IFERROR(C100-IF(DS_SAIL_ELI_Inclusive_PD&lt;&gt;"Yes",0,Eligible_ELI_Request_Amount),"NA  ")</f>
        <v>24000000</v>
      </c>
      <c r="D101" s="255" t="s">
        <v>2456</v>
      </c>
      <c r="E101" s="403"/>
      <c r="F101" s="277"/>
      <c r="G101" s="277"/>
      <c r="H101" s="277"/>
      <c r="I101" s="403"/>
      <c r="J101" s="277"/>
      <c r="K101" s="277"/>
      <c r="L101" s="1860"/>
      <c r="M101" s="277"/>
      <c r="N101" s="1979"/>
      <c r="O101" s="1979"/>
    </row>
    <row r="102" spans="1:15">
      <c r="A102" s="277" t="s">
        <v>137</v>
      </c>
      <c r="B102" s="277"/>
      <c r="C102" s="2019" t="str">
        <f>IF(N(SUM('Proposed Development Info'!$H$127:$H$135))+N(SUM('Proposed Development Info'!$H$136:$H$149))=0,"NA  ",MIN(IF(OR(AND(Funding!O35=1,Funding!H35&lt;&gt;"NA"),AND(Funding!O36=1,Funding!H36&lt;&gt;"NA")),ROUNDDOWN(N(SUM('Proposed Development Info'!$H$127:$H$135))*N(Funding!H35),0)+ROUNDDOWN(N(SUM('Proposed Development Info'!$H$136:$H$149))*N(Funding!H36),0),DS_Request_Maximum),IF(SUM(Funding!O38:O44)&gt;0,IF(Minimum_SetAside_per_Sec_42=DS_IRS_2050,N(Funding!H38)*SUM('Units, Set-Asides, Bldgs'!F52:F59)+N(Funding!H40)*'Units, Set-Asides, Bldgs'!F61+N(Funding!H41)*'Units, Set-Asides, Bldgs'!F62+N(Funding!H42)*'Units, Set-Asides, Bldgs'!F63+N(Funding!H43)*'Units, Set-Asides, Bldgs'!F64+N(Funding!H44)*'Units, Set-Asides, Bldgs'!F65,IF(Minimum_SetAside_per_Sec_42=DS_IRS_4060,N(Funding!H38)*SUM('Units, Set-Asides, Bldgs'!F52:F60)+N(Funding!H40)*'Units, Set-Asides, Bldgs'!F61+N(Funding!H41)*'Units, Set-Asides, Bldgs'!F62+N(Funding!H42)*'Units, Set-Asides, Bldgs'!F63+N(Funding!H43)*'Units, Set-Asides, Bldgs'!F64+N(Funding!H44)*'Units, Set-Asides, Bldgs'!F65,IF(Minimum_SetAside_per_Sec_42=DS_IRS_AIT,N(Funding!H38)*SUM('Units, Set-Asides, Bldgs'!F79:F83)+N(Funding!H39)*SUM('Units, Set-Asides, Bldgs'!F84:F85)+N(Funding!H40)*'Units, Set-Asides, Bldgs'!F86+N(Funding!H41)*'Units, Set-Asides, Bldgs'!F87+N(Funding!H42)*'Units, Set-Asides, Bldgs'!F88+N(Funding!H43)*'Units, Set-Asides, Bldgs'!F89+N(Funding!H44)*'Units, Set-Asides, Bldgs'!F90,DS_Request_Maximum))),DS_Request_Maximum),IF(OR(AND(Funding!O46=1,Funding!H46&lt;&gt;"NA"),AND(Funding!O48=1,Funding!H48&lt;&gt;"NA")),ROUNDDOWN(N(Total_Units)*IF(AND(Funding!O46=1,N(Funding!H46)&lt;&gt;0,Self_Sourced_Applicant="Yes"),Funding!H46,IF(AND(Funding!O48=1,N(Funding!H48)&gt;0,Self_Sourced_Applicant="No"),Funding!H48,DS_Request_Maximum)),0),DS_Request_Maximum)))</f>
        <v xml:space="preserve">NA  </v>
      </c>
      <c r="D102" s="255" t="s">
        <v>2457</v>
      </c>
      <c r="E102" s="403"/>
      <c r="F102" s="277"/>
      <c r="G102" s="277"/>
      <c r="H102" s="277"/>
      <c r="I102" s="403"/>
      <c r="J102" s="277"/>
      <c r="K102" s="277">
        <v>12.5</v>
      </c>
      <c r="L102" s="1860"/>
      <c r="M102" s="277"/>
      <c r="N102" s="1979"/>
      <c r="O102" s="1979"/>
    </row>
    <row r="103" spans="1:15">
      <c r="A103" s="277" t="s">
        <v>137</v>
      </c>
      <c r="B103" s="277"/>
      <c r="C103" s="1979" t="str">
        <f>IFERROR(C102-IF(DS_SAIL_ELI_Inclusive_PU&lt;&gt;"Yes",0,Eligible_ELI_Request_Amount),"NA  ")</f>
        <v xml:space="preserve">NA  </v>
      </c>
      <c r="D103" s="255" t="s">
        <v>2458</v>
      </c>
      <c r="E103" s="403"/>
      <c r="F103" s="277"/>
      <c r="G103" s="277"/>
      <c r="H103" s="277"/>
      <c r="I103" s="67"/>
      <c r="J103" s="277"/>
      <c r="K103" s="277"/>
      <c r="L103" s="1860"/>
      <c r="M103" s="277"/>
      <c r="N103" s="1979"/>
      <c r="O103" s="1979"/>
    </row>
    <row r="104" spans="1:15">
      <c r="A104" s="277"/>
      <c r="B104" s="277"/>
      <c r="C104" s="1222"/>
      <c r="D104" s="277"/>
      <c r="E104" s="403"/>
      <c r="F104" s="277"/>
      <c r="G104" s="277"/>
      <c r="H104" s="277"/>
      <c r="I104" s="403"/>
      <c r="J104" s="1974"/>
      <c r="K104" s="1974"/>
      <c r="L104" s="1773"/>
      <c r="M104" s="1974"/>
    </row>
    <row r="105" spans="1:15">
      <c r="A105" s="277" t="s">
        <v>130</v>
      </c>
      <c r="B105" s="277"/>
      <c r="C105" s="888">
        <v>1000000</v>
      </c>
      <c r="D105" s="1326" t="s">
        <v>785</v>
      </c>
      <c r="E105" s="403"/>
      <c r="F105" s="277"/>
      <c r="G105" s="277"/>
      <c r="H105" s="277"/>
      <c r="I105" s="403" t="s">
        <v>786</v>
      </c>
      <c r="J105" s="277"/>
      <c r="K105" s="255"/>
      <c r="L105" s="277"/>
      <c r="M105" s="277"/>
    </row>
    <row r="106" spans="1:15">
      <c r="A106" s="277" t="s">
        <v>130</v>
      </c>
      <c r="B106" s="277"/>
      <c r="C106" s="889" t="s">
        <v>787</v>
      </c>
      <c r="D106" s="277" t="s">
        <v>788</v>
      </c>
      <c r="E106" s="403"/>
      <c r="F106" s="277"/>
      <c r="G106" s="277"/>
      <c r="H106" s="277"/>
      <c r="I106" s="890" t="s">
        <v>786</v>
      </c>
      <c r="J106" s="277"/>
      <c r="K106" s="255"/>
      <c r="L106" s="277"/>
      <c r="M106" s="277"/>
    </row>
    <row r="107" spans="1:15">
      <c r="A107" s="277"/>
      <c r="B107" s="277"/>
      <c r="C107" s="889"/>
      <c r="D107" s="277"/>
      <c r="E107" s="403"/>
      <c r="F107" s="277"/>
      <c r="G107" s="277"/>
      <c r="H107" s="277"/>
      <c r="I107" s="890"/>
      <c r="J107" s="6"/>
      <c r="L107" s="6"/>
      <c r="M107" s="6"/>
    </row>
    <row r="108" spans="1:15">
      <c r="A108" s="277" t="s">
        <v>789</v>
      </c>
      <c r="B108" s="277"/>
      <c r="C108" s="891">
        <v>0.25</v>
      </c>
      <c r="D108" s="1326" t="s">
        <v>790</v>
      </c>
      <c r="E108" s="403"/>
      <c r="F108" s="277"/>
      <c r="G108" s="277"/>
      <c r="H108" s="277"/>
      <c r="I108" s="403">
        <v>205</v>
      </c>
      <c r="J108" s="277"/>
      <c r="K108" s="255"/>
      <c r="L108" s="277"/>
      <c r="M108" s="277"/>
    </row>
    <row r="109" spans="1:15">
      <c r="A109" s="277" t="s">
        <v>789</v>
      </c>
      <c r="B109" s="277"/>
      <c r="C109" s="891">
        <v>0.35</v>
      </c>
      <c r="D109" s="1326" t="s">
        <v>791</v>
      </c>
      <c r="E109" s="403"/>
      <c r="F109" s="277"/>
      <c r="G109" s="277"/>
      <c r="H109" s="277"/>
      <c r="I109" s="403" t="s">
        <v>786</v>
      </c>
      <c r="J109" s="277"/>
      <c r="K109" s="255"/>
      <c r="L109" s="277"/>
      <c r="M109" s="277"/>
    </row>
    <row r="110" spans="1:15">
      <c r="A110" s="277" t="s">
        <v>789</v>
      </c>
      <c r="B110" s="277"/>
      <c r="C110" s="892" t="s">
        <v>301</v>
      </c>
      <c r="D110" s="1326" t="s">
        <v>792</v>
      </c>
      <c r="E110" s="403"/>
      <c r="F110" s="277"/>
      <c r="G110" s="277"/>
      <c r="H110" s="277"/>
      <c r="I110" s="277" t="s">
        <v>2479</v>
      </c>
      <c r="J110" s="277"/>
      <c r="K110" s="255"/>
      <c r="L110" s="277"/>
      <c r="M110" s="277"/>
    </row>
    <row r="111" spans="1:15">
      <c r="A111" s="277" t="s">
        <v>789</v>
      </c>
      <c r="B111" s="277"/>
      <c r="C111" s="892" t="s">
        <v>459</v>
      </c>
      <c r="D111" s="277" t="s">
        <v>2459</v>
      </c>
      <c r="E111" s="403"/>
      <c r="F111" s="277"/>
      <c r="G111" s="277"/>
      <c r="H111" s="277"/>
      <c r="I111" s="277" t="s">
        <v>2481</v>
      </c>
      <c r="J111" s="1696"/>
      <c r="K111" s="1314"/>
      <c r="L111" s="1696"/>
      <c r="M111" s="1696"/>
    </row>
    <row r="112" spans="1:15">
      <c r="A112" s="277" t="s">
        <v>789</v>
      </c>
      <c r="B112" s="277"/>
      <c r="C112" s="2021" t="s">
        <v>301</v>
      </c>
      <c r="D112" s="277" t="s">
        <v>2462</v>
      </c>
      <c r="E112" s="403"/>
      <c r="F112" s="277"/>
      <c r="G112" s="277"/>
      <c r="H112" s="277"/>
      <c r="I112" s="67" t="s">
        <v>2480</v>
      </c>
      <c r="J112" s="1696"/>
      <c r="K112" s="1314"/>
      <c r="L112" s="1696"/>
      <c r="M112" s="1696"/>
    </row>
    <row r="113" spans="1:13">
      <c r="A113" s="277"/>
      <c r="B113" s="277"/>
      <c r="C113" s="277"/>
      <c r="D113" s="277"/>
      <c r="E113" s="403"/>
      <c r="F113" s="277"/>
      <c r="G113" s="277"/>
      <c r="H113" s="277"/>
      <c r="I113" s="403"/>
      <c r="J113" s="6"/>
      <c r="L113" s="6"/>
      <c r="M113" s="6"/>
    </row>
    <row r="114" spans="1:13">
      <c r="A114" s="277" t="s">
        <v>136</v>
      </c>
      <c r="B114" s="277"/>
      <c r="C114" s="888">
        <v>10000000</v>
      </c>
      <c r="D114" s="277" t="s">
        <v>1894</v>
      </c>
      <c r="E114" s="403"/>
      <c r="F114" s="277"/>
      <c r="G114" s="277"/>
      <c r="H114" s="277"/>
      <c r="I114" s="403"/>
      <c r="J114" s="277"/>
      <c r="K114" s="255"/>
      <c r="L114" s="277"/>
      <c r="M114" s="277"/>
    </row>
    <row r="115" spans="1:13">
      <c r="A115" s="277" t="s">
        <v>136</v>
      </c>
      <c r="B115" s="277"/>
      <c r="C115" s="888">
        <v>105000</v>
      </c>
      <c r="D115" s="277" t="s">
        <v>1895</v>
      </c>
      <c r="E115" s="403"/>
      <c r="F115" s="277"/>
      <c r="G115" s="277"/>
      <c r="H115" s="277"/>
      <c r="I115" s="403"/>
      <c r="J115" s="277"/>
      <c r="K115" s="255"/>
      <c r="L115" s="277"/>
      <c r="M115" s="277"/>
    </row>
    <row r="116" spans="1:13">
      <c r="A116" s="277" t="s">
        <v>136</v>
      </c>
      <c r="B116" s="277"/>
      <c r="C116" s="888">
        <v>6500000</v>
      </c>
      <c r="D116" s="277" t="s">
        <v>1896</v>
      </c>
      <c r="E116" s="403"/>
      <c r="F116" s="277"/>
      <c r="G116" s="6"/>
      <c r="H116" s="277"/>
      <c r="I116" s="403"/>
      <c r="J116" s="277"/>
      <c r="K116" s="255"/>
      <c r="L116" s="277"/>
      <c r="M116" s="277"/>
    </row>
    <row r="117" spans="1:13">
      <c r="A117" s="277" t="s">
        <v>136</v>
      </c>
      <c r="B117" s="277"/>
      <c r="C117" s="403" t="s">
        <v>1897</v>
      </c>
      <c r="D117" s="277" t="s">
        <v>1898</v>
      </c>
      <c r="E117" s="403"/>
      <c r="F117" s="277"/>
      <c r="G117" s="277"/>
      <c r="H117" s="277"/>
      <c r="I117" s="403"/>
      <c r="J117" s="277"/>
      <c r="K117" s="255"/>
      <c r="L117" s="277"/>
      <c r="M117" s="277"/>
    </row>
    <row r="118" spans="1:13">
      <c r="A118" s="277" t="s">
        <v>1900</v>
      </c>
      <c r="B118" s="277"/>
      <c r="C118" s="892" t="s">
        <v>301</v>
      </c>
      <c r="D118" s="255" t="s">
        <v>1955</v>
      </c>
      <c r="E118" s="403"/>
      <c r="F118" s="277"/>
      <c r="G118" s="277"/>
      <c r="H118" s="277"/>
      <c r="I118" s="67" t="s">
        <v>2482</v>
      </c>
      <c r="J118" s="277"/>
      <c r="K118" s="255"/>
      <c r="L118" s="277"/>
      <c r="M118" s="277"/>
    </row>
    <row r="119" spans="1:13">
      <c r="A119" s="277" t="s">
        <v>1900</v>
      </c>
      <c r="B119" s="277"/>
      <c r="C119" s="888">
        <v>750000</v>
      </c>
      <c r="D119" s="277" t="s">
        <v>785</v>
      </c>
      <c r="E119" s="403"/>
      <c r="F119" s="277"/>
      <c r="G119" s="277"/>
      <c r="H119" s="277"/>
      <c r="I119" s="403"/>
      <c r="J119" s="277"/>
      <c r="K119" s="277"/>
      <c r="L119" s="277"/>
      <c r="M119" s="277"/>
    </row>
    <row r="120" spans="1:13">
      <c r="A120" s="277" t="s">
        <v>1900</v>
      </c>
      <c r="B120" s="277"/>
      <c r="C120" s="889" t="s">
        <v>787</v>
      </c>
      <c r="D120" s="277" t="s">
        <v>788</v>
      </c>
      <c r="E120" s="403"/>
      <c r="F120" s="277"/>
      <c r="G120" s="277"/>
      <c r="H120" s="277"/>
      <c r="I120" s="403"/>
      <c r="J120" s="277"/>
      <c r="K120" s="277"/>
      <c r="L120" s="277"/>
      <c r="M120" s="277"/>
    </row>
    <row r="121" spans="1:13">
      <c r="A121" s="277"/>
      <c r="B121" s="277"/>
      <c r="C121" s="277"/>
      <c r="D121" s="277"/>
      <c r="E121" s="403"/>
      <c r="F121" s="277"/>
      <c r="G121" s="277"/>
      <c r="H121" s="277"/>
      <c r="I121" s="403"/>
      <c r="J121" s="6"/>
      <c r="K121" s="6"/>
      <c r="L121" s="6"/>
      <c r="M121" s="6"/>
    </row>
    <row r="122" spans="1:13">
      <c r="A122" s="1249" t="s">
        <v>115</v>
      </c>
      <c r="B122" s="277"/>
      <c r="C122" s="888">
        <v>7200000</v>
      </c>
      <c r="D122" s="277" t="s">
        <v>785</v>
      </c>
      <c r="E122" s="403"/>
      <c r="F122" s="893">
        <v>2021</v>
      </c>
      <c r="G122" s="893">
        <v>2022</v>
      </c>
      <c r="H122" s="893">
        <v>2023</v>
      </c>
      <c r="I122" s="403"/>
      <c r="J122" s="255"/>
      <c r="K122" s="255"/>
      <c r="L122" s="255"/>
      <c r="M122" s="255"/>
    </row>
    <row r="123" spans="1:13">
      <c r="A123" s="277" t="str">
        <f>A122</f>
        <v>HOME</v>
      </c>
      <c r="B123" s="277"/>
      <c r="C123" s="888">
        <v>155709</v>
      </c>
      <c r="D123" s="277" t="s">
        <v>793</v>
      </c>
      <c r="E123" s="403"/>
      <c r="F123" s="1232">
        <v>137983</v>
      </c>
      <c r="G123" s="1232">
        <v>143814</v>
      </c>
      <c r="H123" s="894">
        <v>155709</v>
      </c>
      <c r="I123" s="403"/>
      <c r="J123" s="255"/>
      <c r="K123" s="255"/>
      <c r="L123" s="255"/>
      <c r="M123" s="255"/>
    </row>
    <row r="124" spans="1:13">
      <c r="A124" s="277" t="str">
        <f>A123</f>
        <v>HOME</v>
      </c>
      <c r="B124" s="277"/>
      <c r="C124" s="888">
        <v>178497</v>
      </c>
      <c r="D124" s="277" t="s">
        <v>794</v>
      </c>
      <c r="E124" s="403"/>
      <c r="F124" s="1232">
        <v>158177</v>
      </c>
      <c r="G124" s="1232">
        <v>164819</v>
      </c>
      <c r="H124" s="894">
        <v>178497</v>
      </c>
      <c r="I124" s="403"/>
      <c r="J124" s="255"/>
      <c r="K124" s="255"/>
      <c r="L124" s="255"/>
      <c r="M124" s="255"/>
    </row>
    <row r="125" spans="1:13">
      <c r="A125" s="277" t="str">
        <f>A124</f>
        <v>HOME</v>
      </c>
      <c r="B125" s="277"/>
      <c r="C125" s="888">
        <v>217058</v>
      </c>
      <c r="D125" s="277" t="s">
        <v>795</v>
      </c>
      <c r="E125" s="403"/>
      <c r="F125" s="1232">
        <v>192346</v>
      </c>
      <c r="G125" s="1232">
        <v>200424</v>
      </c>
      <c r="H125" s="894">
        <v>217058</v>
      </c>
      <c r="I125" s="403"/>
      <c r="J125" s="255"/>
      <c r="K125" s="255"/>
      <c r="L125" s="255"/>
      <c r="M125" s="255"/>
    </row>
    <row r="126" spans="1:13">
      <c r="A126" s="277" t="str">
        <f>A125</f>
        <v>HOME</v>
      </c>
      <c r="B126" s="277"/>
      <c r="C126" s="888">
        <v>280804</v>
      </c>
      <c r="D126" s="277" t="s">
        <v>796</v>
      </c>
      <c r="E126" s="403"/>
      <c r="F126" s="1232">
        <v>248834</v>
      </c>
      <c r="G126" s="1232">
        <v>259284</v>
      </c>
      <c r="H126" s="894">
        <v>280804</v>
      </c>
      <c r="I126" s="403"/>
      <c r="J126" s="255"/>
      <c r="K126" s="255"/>
      <c r="L126" s="255"/>
      <c r="M126" s="255"/>
    </row>
    <row r="127" spans="1:13">
      <c r="A127" s="277" t="str">
        <f>A126</f>
        <v>HOME</v>
      </c>
      <c r="B127" s="277"/>
      <c r="C127" s="888">
        <v>308233</v>
      </c>
      <c r="D127" s="277" t="s">
        <v>797</v>
      </c>
      <c r="E127" s="403"/>
      <c r="F127" s="1232">
        <v>273141</v>
      </c>
      <c r="G127" s="1232">
        <v>284612</v>
      </c>
      <c r="H127" s="894">
        <v>308233</v>
      </c>
      <c r="I127" s="403"/>
      <c r="J127" s="255"/>
      <c r="K127" s="255"/>
      <c r="L127" s="255"/>
      <c r="M127" s="255"/>
    </row>
    <row r="128" spans="1:13">
      <c r="A128" s="255"/>
      <c r="B128" s="255"/>
      <c r="C128" s="1222"/>
      <c r="D128" s="255"/>
      <c r="E128" s="806"/>
      <c r="F128" s="894"/>
      <c r="G128" s="894"/>
      <c r="H128" s="894"/>
      <c r="I128" s="403"/>
    </row>
    <row r="129" spans="1:15">
      <c r="A129" s="1249" t="s">
        <v>609</v>
      </c>
      <c r="B129" s="277"/>
      <c r="C129" s="888">
        <v>2950000</v>
      </c>
      <c r="D129" s="277" t="s">
        <v>785</v>
      </c>
      <c r="E129" s="403"/>
      <c r="F129" s="277"/>
      <c r="G129" s="895" t="s">
        <v>798</v>
      </c>
      <c r="H129" s="895" t="s">
        <v>799</v>
      </c>
      <c r="I129" s="2577" t="s">
        <v>800</v>
      </c>
      <c r="L129" s="1314"/>
      <c r="M129" s="1679"/>
    </row>
    <row r="130" spans="1:15" ht="15" customHeight="1">
      <c r="A130" s="277" t="str">
        <f>A129</f>
        <v>HOME-ARP</v>
      </c>
      <c r="B130" s="277"/>
      <c r="C130" s="889">
        <f>IF(K$143=M$135,G130,IF(K$143=M$136,H130,I130))</f>
        <v>0</v>
      </c>
      <c r="D130" s="277" t="str">
        <f>"Per Required Unit ("&amp;TEXT(DS_NHTF_AMI_Units_Req,"0%")&amp;" AMI)"</f>
        <v>Per Required Unit (22% AMI)</v>
      </c>
      <c r="E130" s="403"/>
      <c r="F130" s="277"/>
      <c r="G130" s="889">
        <f>VLOOKUP(County,DS_CountyData,12)</f>
        <v>0</v>
      </c>
      <c r="H130" s="889">
        <f>VLOOKUP(County,DS_CountyData,13)</f>
        <v>0</v>
      </c>
      <c r="I130" s="2578">
        <f>Data1!W347</f>
        <v>0</v>
      </c>
      <c r="L130" s="1314"/>
      <c r="M130" s="1680"/>
      <c r="N130" s="1610"/>
      <c r="O130" s="1610"/>
    </row>
    <row r="131" spans="1:15">
      <c r="A131" s="277" t="str">
        <f t="shared" ref="A131:A144" si="0">A130</f>
        <v>HOME-ARP</v>
      </c>
      <c r="B131" s="333"/>
      <c r="C131" s="889">
        <f>IF(L$144=M$135,G130,IF(L$144=M$136,H130,I130))</f>
        <v>0</v>
      </c>
      <c r="D131" s="277" t="str">
        <f>"Per Optional Unit ("&amp;TEXT(DS_ARP_AMI_Units_Opt,"0%")&amp;" AMI)"</f>
        <v>Per Optional Unit (22% AMI)</v>
      </c>
      <c r="E131" s="403"/>
      <c r="F131" s="277"/>
      <c r="G131" s="808"/>
      <c r="H131" s="2564" t="s">
        <v>2289</v>
      </c>
      <c r="J131" s="1091" t="s">
        <v>1753</v>
      </c>
      <c r="K131" s="1314"/>
      <c r="L131" s="1314"/>
      <c r="M131" s="1680"/>
      <c r="N131" s="1610"/>
      <c r="O131" s="1610"/>
    </row>
    <row r="132" spans="1:15">
      <c r="A132" s="277" t="str">
        <f t="shared" si="0"/>
        <v>HOME-ARP</v>
      </c>
      <c r="B132" s="2537">
        <f>ROUNDUP(Total_Units*C132,0)</f>
        <v>0</v>
      </c>
      <c r="C132" s="896">
        <v>0.1</v>
      </c>
      <c r="D132" s="1250" t="s">
        <v>1965</v>
      </c>
      <c r="E132" s="1251"/>
      <c r="F132" s="1250"/>
      <c r="G132" s="889" t="s">
        <v>808</v>
      </c>
      <c r="H132" s="2525" t="s">
        <v>2865</v>
      </c>
      <c r="I132" s="2913" t="str">
        <f>IF(OR(DS_ARP_Max_Percent_Total_Active="Both",DS_ARP_Max_Percent_Total_Active="Yes",DS_ARP_Max_Units_Total_Active="Yes"),"Yes","No")</f>
        <v>Yes</v>
      </c>
      <c r="J132" s="2915">
        <f>IF(DS_ARP_Max_Percent_Total_Active="Yes",ROUNDUP(DS_ARP_Max_Percent_Total*Total_Units,0),IF(DS_ARP_Max_Percent_Total_Active="Both",MIN(ROUNDUP(DS_ARP_Max_Percent_Total*Total_Units,0),DS_ARP_Max_Units_Total),IF(DS_ARP_Max_Units_Total_Active="Yes",DS_ARP_Max_Units_Total,N(Total_Units))))</f>
        <v>0</v>
      </c>
      <c r="K132" s="2531"/>
      <c r="L132" s="1314"/>
      <c r="M132" s="1681" t="s">
        <v>2288</v>
      </c>
      <c r="N132" s="1610"/>
      <c r="O132" s="1610"/>
    </row>
    <row r="133" spans="1:15">
      <c r="A133" s="277" t="str">
        <f t="shared" ref="A133:A140" si="1">A132</f>
        <v>HOME-ARP</v>
      </c>
      <c r="B133" s="2538"/>
      <c r="C133" s="2539">
        <v>10</v>
      </c>
      <c r="D133" s="1252" t="s">
        <v>1966</v>
      </c>
      <c r="E133" s="1253"/>
      <c r="F133" s="1252"/>
      <c r="G133" s="2534" t="s">
        <v>808</v>
      </c>
      <c r="H133" s="2429" t="s">
        <v>301</v>
      </c>
      <c r="I133" s="2914"/>
      <c r="J133" s="2916"/>
      <c r="K133" s="2531"/>
      <c r="L133" s="1314"/>
      <c r="M133" s="1682" t="s">
        <v>2285</v>
      </c>
      <c r="N133" s="1610"/>
      <c r="O133" s="1610"/>
    </row>
    <row r="134" spans="1:15">
      <c r="A134" s="277" t="str">
        <f t="shared" si="1"/>
        <v>HOME-ARP</v>
      </c>
      <c r="B134" s="2540">
        <f>ROUNDUP(Total_Units*C134,0)</f>
        <v>0</v>
      </c>
      <c r="C134" s="2541">
        <v>0.2</v>
      </c>
      <c r="D134" s="2551" t="s">
        <v>2845</v>
      </c>
      <c r="E134" s="2552"/>
      <c r="F134" s="2551"/>
      <c r="G134" s="2535" t="s">
        <v>808</v>
      </c>
      <c r="H134" s="1001" t="s">
        <v>459</v>
      </c>
      <c r="I134" s="2899" t="str">
        <f>IF(AND(OR(DS_ARP_Min_Units_Req_Large_Active="No",DS_ARP_Min_Units_Req_Large_Active="&lt;select one&gt;"),OR(DS_ARP_Min_Units_Req_Medium_Active="No",DS_ARP_Min_Units_Req_Medium_Active="&lt;select one&gt;"),OR(DS_ARP_Min_Units_Req_Small_Active="No",DS_ARP_Min_Units_Req_Small_Active="&lt;select one&gt;"),OR(DS_ARP_Min_Percent_Req_Active="No",DS_ARP_Min_Percent_Req_Active="&lt;select one&gt;")),"No","Yes")</f>
        <v>Yes</v>
      </c>
      <c r="J134" s="2889">
        <f>MIN(MAX(IF(OR(DS_ARP_Min_Percent_Req_Active="Yes",DS_ARP_Min_Percent_Req_Active="Both"),ROUNDUP(DS_ARP_Min_Percent_Required*N(Total_Units),0),0),IF(AND(County_Size="Large",DS_ARP_Min_Units_Req_Large_Active="Yes"),DS_ARP_Min_Units_Req_Large,IF(AND(County_Size="Medium",DS_ARP_Min_Units_Req_Medium_Active="Yes"),DS_ARP_Min_Units_Req_Medium,IF(AND(County_Size="Small",DS_ARP_Min_Units_Req_Small_Active="Yes"),DS_ARP_Min_Units_Req_Small,0)))),DS_Max_ARP_Units)</f>
        <v>0</v>
      </c>
      <c r="L134" s="1314"/>
      <c r="M134" s="1683" t="s">
        <v>59</v>
      </c>
      <c r="N134" s="1610"/>
      <c r="O134" s="1610"/>
    </row>
    <row r="135" spans="1:15">
      <c r="A135" s="277" t="str">
        <f t="shared" si="1"/>
        <v>HOME-ARP</v>
      </c>
      <c r="B135" s="2542"/>
      <c r="C135" s="1241">
        <v>4</v>
      </c>
      <c r="D135" s="2553" t="s">
        <v>1967</v>
      </c>
      <c r="E135" s="2542"/>
      <c r="F135" s="2553"/>
      <c r="G135" s="889" t="s">
        <v>808</v>
      </c>
      <c r="H135" s="2525" t="s">
        <v>301</v>
      </c>
      <c r="I135" s="2899"/>
      <c r="J135" s="2889"/>
      <c r="K135" s="1314"/>
      <c r="L135" s="1314"/>
      <c r="M135" s="1684" t="s">
        <v>806</v>
      </c>
    </row>
    <row r="136" spans="1:15">
      <c r="A136" s="277" t="str">
        <f t="shared" si="1"/>
        <v>HOME-ARP</v>
      </c>
      <c r="B136" s="2543"/>
      <c r="C136" s="1241">
        <v>4</v>
      </c>
      <c r="D136" s="2553" t="s">
        <v>1968</v>
      </c>
      <c r="E136" s="2542"/>
      <c r="F136" s="2553"/>
      <c r="G136" s="889" t="s">
        <v>808</v>
      </c>
      <c r="H136" s="2525" t="s">
        <v>301</v>
      </c>
      <c r="I136" s="2899"/>
      <c r="J136" s="2889"/>
      <c r="L136" s="1314"/>
      <c r="M136" s="1684" t="s">
        <v>809</v>
      </c>
    </row>
    <row r="137" spans="1:15">
      <c r="A137" s="277" t="str">
        <f t="shared" si="1"/>
        <v>HOME-ARP</v>
      </c>
      <c r="B137" s="2544"/>
      <c r="C137" s="2545">
        <v>1</v>
      </c>
      <c r="D137" s="2554" t="s">
        <v>2846</v>
      </c>
      <c r="E137" s="2555"/>
      <c r="F137" s="2554"/>
      <c r="G137" s="2536" t="s">
        <v>808</v>
      </c>
      <c r="H137" s="2565" t="s">
        <v>459</v>
      </c>
      <c r="I137" s="2900"/>
      <c r="J137" s="2890"/>
      <c r="L137" s="1314"/>
      <c r="M137" s="1685" t="s">
        <v>801</v>
      </c>
    </row>
    <row r="138" spans="1:15">
      <c r="A138" s="277" t="str">
        <f t="shared" si="1"/>
        <v>HOME-ARP</v>
      </c>
      <c r="B138" s="2546"/>
      <c r="C138" s="2547">
        <v>4</v>
      </c>
      <c r="D138" s="2556" t="s">
        <v>2847</v>
      </c>
      <c r="E138" s="2557"/>
      <c r="F138" s="2556"/>
      <c r="G138" s="2535" t="s">
        <v>808</v>
      </c>
      <c r="H138" s="1001" t="s">
        <v>301</v>
      </c>
      <c r="I138" s="2891" t="str">
        <f>IF(AND(OR(DS_ARP_Max_Units_Req_Large_Active="No",DS_ARP_Max_Units_Req_Large_Active="&lt;select one&gt;"),OR(DS_ARP_Max_Units_Req_Medium_Active="No",DS_ARP_Max_Units_Req_Medium_Active="&lt;select one&gt;"),OR(DS_ARP_Max_Units_Req_Small_Active="No",DS_ARP_Max_Units_Req_Small_Active="&lt;select one&gt;")),"No","Yes")</f>
        <v>Yes</v>
      </c>
      <c r="J138" s="2894">
        <f>MIN(IF(AND(County_Size="Large",DS_ARP_Max_Units_Req_Large_Active="Yes"),DS_ARP_Max_Units_Req_Large,IF(AND(County_Size="Medium",DS_ARP_Max_Units_Req_Medium_Active="Yes"),DS_ARP_Max_Units_Req_Medium,IF(AND(County_Size="Small",DS_ARP_Max_Units_Req_Small_Active="Yes"),DS_ARP_Max_Units_Req_Small,0))),DS_Max_ARP_Units)</f>
        <v>0</v>
      </c>
      <c r="L138" s="1314"/>
      <c r="M138" s="1679"/>
    </row>
    <row r="139" spans="1:15">
      <c r="A139" s="277" t="str">
        <f t="shared" si="1"/>
        <v>HOME-ARP</v>
      </c>
      <c r="B139" s="2548"/>
      <c r="C139" s="1241">
        <v>4</v>
      </c>
      <c r="D139" s="2558" t="s">
        <v>2848</v>
      </c>
      <c r="E139" s="2559"/>
      <c r="F139" s="2558"/>
      <c r="G139" s="889" t="s">
        <v>808</v>
      </c>
      <c r="H139" s="2525" t="s">
        <v>301</v>
      </c>
      <c r="I139" s="2892"/>
      <c r="J139" s="2895"/>
      <c r="K139" s="567"/>
      <c r="L139" s="1314"/>
      <c r="M139" s="1686" t="s">
        <v>2292</v>
      </c>
    </row>
    <row r="140" spans="1:15">
      <c r="A140" s="277" t="str">
        <f t="shared" si="1"/>
        <v>HOME-ARP</v>
      </c>
      <c r="B140" s="2549"/>
      <c r="C140" s="2545">
        <v>4</v>
      </c>
      <c r="D140" s="2560" t="s">
        <v>2849</v>
      </c>
      <c r="E140" s="2561"/>
      <c r="F140" s="2560"/>
      <c r="G140" s="2536" t="s">
        <v>808</v>
      </c>
      <c r="H140" s="2565" t="s">
        <v>459</v>
      </c>
      <c r="I140" s="2893"/>
      <c r="J140" s="2896"/>
      <c r="K140" s="567"/>
      <c r="L140" s="2566" t="s">
        <v>2292</v>
      </c>
      <c r="M140" s="1683" t="s">
        <v>59</v>
      </c>
    </row>
    <row r="141" spans="1:15">
      <c r="A141" s="277" t="str">
        <f>A136</f>
        <v>HOME-ARP</v>
      </c>
      <c r="B141" s="2550">
        <f>ROUNDUP(Total_Units*C141,0)</f>
        <v>0</v>
      </c>
      <c r="C141" s="2541">
        <v>0.1</v>
      </c>
      <c r="D141" s="1255" t="s">
        <v>1969</v>
      </c>
      <c r="E141" s="1256"/>
      <c r="F141" s="1255"/>
      <c r="G141" s="2535" t="s">
        <v>808</v>
      </c>
      <c r="H141" s="1001" t="s">
        <v>459</v>
      </c>
      <c r="I141" s="2911" t="str">
        <f>IF(OR(DS_ARP_Max_Percent_Opt_Active="Both",DS_ARP_Max_Percent_Opt_Active="Yes",DS_ARP_Max_Units_Opt_Active="Yes"),"Yes","No")</f>
        <v>No</v>
      </c>
      <c r="J141" s="2917">
        <f>MIN(IF(OR(DS_ARP_Max_Percent_Opt_Active="Yes",DS_ARP_Max_Percent_Opt_Active="Both"),ROUNDUP(DS_ARP_Max_Percent_Opt*N(Total_Units),0),N(Total_Units)),IF(OR(DS_ARP_Max_Units_Opt_Active="Yes",DS_ARP_Max_Percent_Opt_Active="Both"),DS_ARP_Max_Units_Opt,N(Total_Units)),N(DS_Max_ARP_Units)-IF(DS_Max_ARP_Req_Units_Active="Yes",N(DS_Max_ARP_Req_Units),IF(DS_Min_ARP_Req_Units_Active="Yes",DS_Min_ARP_Req_Units,0)))</f>
        <v>0</v>
      </c>
      <c r="L141" s="2567" t="s">
        <v>802</v>
      </c>
      <c r="M141" s="1687" t="s">
        <v>807</v>
      </c>
    </row>
    <row r="142" spans="1:15">
      <c r="A142" s="277" t="str">
        <f t="shared" si="0"/>
        <v>HOME-ARP</v>
      </c>
      <c r="B142" s="2584"/>
      <c r="C142" s="2545">
        <v>2</v>
      </c>
      <c r="D142" s="1257" t="s">
        <v>1970</v>
      </c>
      <c r="E142" s="1258"/>
      <c r="F142" s="1257"/>
      <c r="G142" s="2536" t="s">
        <v>808</v>
      </c>
      <c r="H142" s="2565" t="s">
        <v>459</v>
      </c>
      <c r="I142" s="2912"/>
      <c r="J142" s="2918"/>
      <c r="K142" s="2568" t="s">
        <v>2286</v>
      </c>
      <c r="M142" s="1685" t="s">
        <v>802</v>
      </c>
    </row>
    <row r="143" spans="1:15">
      <c r="A143" s="333" t="str">
        <f>A142</f>
        <v>HOME-ARP</v>
      </c>
      <c r="B143" s="2533"/>
      <c r="C143" s="2574">
        <v>0.22</v>
      </c>
      <c r="D143" s="2533" t="s">
        <v>1971</v>
      </c>
      <c r="E143" s="2591"/>
      <c r="F143" s="2592"/>
      <c r="G143" s="2532" t="s">
        <v>1972</v>
      </c>
      <c r="H143" s="2593">
        <f>IF(DS_Max_ARP_Req_Units_Active="Yes",DS_Max_ARP_Req_Units,IF(DS_Min_ARP_Req_Units_Active="Yes",DS_Min_ARP_Req_Units,0))+DS_ARP_Max_Units_Opt_Allowed</f>
        <v>0</v>
      </c>
      <c r="I143" s="1128"/>
      <c r="J143" s="2897">
        <f>Total_Units</f>
        <v>0</v>
      </c>
      <c r="K143" s="2595" t="s">
        <v>806</v>
      </c>
      <c r="L143" s="2569" t="s">
        <v>2287</v>
      </c>
      <c r="M143" s="1679"/>
    </row>
    <row r="144" spans="1:15">
      <c r="A144" s="1247" t="str">
        <f t="shared" si="0"/>
        <v>HOME-ARP</v>
      </c>
      <c r="B144" s="2584"/>
      <c r="C144" s="2587">
        <v>0.22</v>
      </c>
      <c r="D144" s="2584" t="s">
        <v>1973</v>
      </c>
      <c r="E144" s="2585"/>
      <c r="F144" s="2584"/>
      <c r="G144" s="2536" t="s">
        <v>1974</v>
      </c>
      <c r="H144" s="2588">
        <f>MIN(DS_Max_ARP_Opt_Units,HOME_ARP_Additional_Units)</f>
        <v>0</v>
      </c>
      <c r="I144" s="2594"/>
      <c r="J144" s="2898"/>
      <c r="L144" s="2570" t="s">
        <v>806</v>
      </c>
      <c r="M144" s="1686" t="s">
        <v>2284</v>
      </c>
    </row>
    <row r="145" spans="1:13" ht="20.100000000000001" customHeight="1">
      <c r="A145" s="276"/>
      <c r="B145" s="1690"/>
      <c r="C145" s="1126"/>
      <c r="E145" s="385"/>
      <c r="F145" s="276"/>
      <c r="G145" s="2586"/>
      <c r="H145" s="2586"/>
      <c r="I145" s="2586"/>
      <c r="K145" s="1314"/>
      <c r="L145" s="1314"/>
      <c r="M145" s="1683" t="s">
        <v>59</v>
      </c>
    </row>
    <row r="146" spans="1:13">
      <c r="A146" s="1678" t="s">
        <v>117</v>
      </c>
      <c r="B146" s="277"/>
      <c r="C146" s="888">
        <v>2500000</v>
      </c>
      <c r="D146" s="277" t="s">
        <v>785</v>
      </c>
      <c r="E146" s="403"/>
      <c r="F146" s="277"/>
      <c r="G146" s="895" t="s">
        <v>803</v>
      </c>
      <c r="H146" s="895" t="s">
        <v>804</v>
      </c>
      <c r="I146" s="2577" t="s">
        <v>805</v>
      </c>
      <c r="M146" s="1688">
        <v>0.22</v>
      </c>
    </row>
    <row r="147" spans="1:13">
      <c r="A147" s="277" t="str">
        <f>A146</f>
        <v>NHTF</v>
      </c>
      <c r="B147" s="333"/>
      <c r="C147" s="889">
        <f>IF(K$160=M$135,DS_NHTF22_PU,IF(K$160=M$136,DS_NHTF30_PU,DS_NHTFMax_PU))</f>
        <v>0</v>
      </c>
      <c r="D147" s="277" t="str">
        <f>"Per Required Unit ("&amp;TEXT(DS_NHTF_AMI_Units_Req,"0%")&amp;" AMI)"</f>
        <v>Per Required Unit (22% AMI)</v>
      </c>
      <c r="E147" s="403"/>
      <c r="F147" s="277"/>
      <c r="G147" s="889">
        <f>VLOOKUP(County,DS_CountyData,12)</f>
        <v>0</v>
      </c>
      <c r="H147" s="889">
        <f>VLOOKUP(County,DS_CountyData,13)</f>
        <v>0</v>
      </c>
      <c r="I147" s="2578">
        <f>IF(COUNTIF('Proposed Development Info'!H$127:H$142,MAX('Proposed Development Info'!H$127:H$142))=1,VLOOKUP(IF(OR(County="Broward",County="Miami-Dade",County="Palm Beach"),CHOOSE(IFERROR(MATCH(MAX('Proposed Development Info'!H$127:H$142),'Proposed Development Info'!H$127:H$142,0),0)+1," ","SFNCGAE","SFNCGAW","SFNCMRE","SFNCMRW","SFNCHRE","SFNCGAE","SFNCGAW","SFNCGAE","SFNCGAW","SFRCGA","SFRCGA","SFRCNGA","SFRCNGA","SFRCGA","SFRCGA"),CHOOSE(IFERROR(MATCH(MAX('Proposed Development Info'!H$127:H$142),'Proposed Development Info'!H$127:H$142,0),0)+1," ","PFNCGAE","PFNCGAW","PFNCMRE","PFNCMRW","PFNCHRE","PFNCGAE","PFNCGAW","PFNCGAE","PFNCGAW","PFRCGA","PFRCGA","PFRCNGA","PFRCNGA","PFRCGA","PFRCGA")),DS_Max_NHTF,IF(Data3!L$158=Data3!K$278,9,10)),MAX(VLOOKUP(IF(OR(County="Broward",County="Miami-Dade",County="Palm Beach"),CHOOSE(IFERROR(MATCH(MAX('Proposed Development Info'!H$127:H$142),'Proposed Development Info'!H$127:H$142,0),0)+1," ","SFNCGAE","SFNCGAW","SFNCMRE","SFNCMRW","SFNCHRE","SFNCGAE","SFNCGAW","SFNCGAE","SFNCGAW","SFRCGA","SFRCGA","SFRCNGA","SFRCNGA","SFRCGA","SFRCGA"),CHOOSE(IFERROR(MATCH(MAX('Proposed Development Info'!H$127:H$142),'Proposed Development Info'!H$127:H$142,0),0)+1," ","PFNCGAE","PFNCGAW","PFNCMRE","PFNCMRW","PFNCHRE","PFNCGAE","PFNCGAW","PFNCGAE","PFNCGAW","PFRCGA","PFRCGA","PFRCNGA","PFRCNGA","PFRCGA","PFRCGA")),DS_Max_NHTF,IF(Data3!L$158=Data3!K$278,9,10)),VLOOKUP(IF(OR(County="Broward",County="Miami-Dade",County="Palm Beach"),CHOOSE(IFERROR(MAX('Proposed Development Info'!A$127:A$142),0)+1," ","SFNCGAE","SFNCGAW","SFNCMRE","SFNCMRW","SFNCHRE","SFNCGAE","SFNCGAW","SFNCGAE","SFNCGAW","SFRCGA","SFRCGA","SFRCNGA","SFRCNGA","SFRCGA","SFRCGA"),CHOOSE(IFERROR(MAX('Proposed Development Info'!A$127:A$142),0)+1," ","PFNCGAE","PFNCGAW","PFNCMRE","PFNCMRW","PFNCHRE","PFNCGAE","PFNCGAW","PFNCGAE","PFNCGAW","PFRCGA","PFRCGA","PFRCNGA","PFRCNGA","PFRCGA","PFRCGA")),DS_Max_NHTF,IF(Data3!L$158=Data3!K$278,9,10))))</f>
        <v>0</v>
      </c>
      <c r="M147" s="1689">
        <v>0.3</v>
      </c>
    </row>
    <row r="148" spans="1:13">
      <c r="A148" s="277" t="str">
        <f>A147</f>
        <v>NHTF</v>
      </c>
      <c r="B148" s="6"/>
      <c r="C148" s="889">
        <f>IF(L$161=M$135,DS_NHTF22_PU,IF(L$161=M$136,DS_NHTF30_PU,DS_NHTFMax_PU))</f>
        <v>0</v>
      </c>
      <c r="D148" s="277" t="str">
        <f>"Per Optional Unit ("&amp;TEXT(DS_NHTF_AMI_Units_Opt,"0%")&amp;" AMI)"</f>
        <v>Per Optional Unit (30% AMI)</v>
      </c>
      <c r="E148" s="403"/>
      <c r="F148" s="277"/>
      <c r="G148" s="808"/>
      <c r="H148" s="2564" t="s">
        <v>2289</v>
      </c>
      <c r="J148" s="1091" t="s">
        <v>1753</v>
      </c>
      <c r="M148" s="1679"/>
    </row>
    <row r="149" spans="1:13">
      <c r="A149" s="277" t="str">
        <f t="shared" ref="A149:A150" si="2">A148</f>
        <v>NHTF</v>
      </c>
      <c r="B149" s="2537">
        <f>ROUNDUP(Total_Units*C149,0)</f>
        <v>0</v>
      </c>
      <c r="C149" s="896">
        <v>0.1</v>
      </c>
      <c r="D149" s="1250" t="s">
        <v>1740</v>
      </c>
      <c r="E149" s="1251"/>
      <c r="F149" s="1250"/>
      <c r="G149" s="889" t="s">
        <v>808</v>
      </c>
      <c r="H149" s="58" t="s">
        <v>459</v>
      </c>
      <c r="I149" s="2913" t="str">
        <f>IF(OR(DS_NHTF_Max_Percent_Total_Active="Both",DS_NHTF_Max_Percent_Total_Active="Yes",DS_NHTF_Max_Units_Total_Active="Yes"),"Yes","No")</f>
        <v>Yes</v>
      </c>
      <c r="J149" s="2915">
        <f>IF(DS_NHTF_Max_Percent_Total_Active="Yes",ROUNDUP(DS_NHTF_Max_Percent_Total*Total_Units,0),IF(DS_NHTF_Max_Units_Total_Active="Yes",DS_NHTF_Max_Units_Total,IF(DS_NHTF_Max_Percent_Total_Active="Both",MIN(ROUNDUP(DS_NHTF_Max_Percent_Total*Total_Units,0),DS_NHTF_Max_Units_Total),N(Total_Units))))</f>
        <v>7</v>
      </c>
      <c r="M149" s="1679"/>
    </row>
    <row r="150" spans="1:13">
      <c r="A150" s="277" t="str">
        <f t="shared" si="2"/>
        <v>NHTF</v>
      </c>
      <c r="B150" s="2538"/>
      <c r="C150" s="2539">
        <v>7</v>
      </c>
      <c r="D150" s="1252" t="s">
        <v>1741</v>
      </c>
      <c r="E150" s="1253"/>
      <c r="F150" s="1252"/>
      <c r="G150" s="2534" t="s">
        <v>808</v>
      </c>
      <c r="H150" s="1127" t="s">
        <v>301</v>
      </c>
      <c r="I150" s="2914"/>
      <c r="J150" s="2916"/>
      <c r="M150" s="1679"/>
    </row>
    <row r="151" spans="1:13">
      <c r="A151" s="277" t="str">
        <f t="shared" ref="A151:A157" si="3">A150</f>
        <v>NHTF</v>
      </c>
      <c r="B151" s="2540">
        <f>ROUNDUP(Total_Units*C151,0)</f>
        <v>0</v>
      </c>
      <c r="C151" s="2541">
        <v>0.2</v>
      </c>
      <c r="D151" s="2551" t="s">
        <v>2850</v>
      </c>
      <c r="E151" s="2552"/>
      <c r="F151" s="2551"/>
      <c r="G151" s="2535" t="s">
        <v>808</v>
      </c>
      <c r="H151" s="1001" t="s">
        <v>301</v>
      </c>
      <c r="I151" s="2899" t="str">
        <f>IF(AND(OR(DS_NHTF_Min_Units_Req_Large_Active="No",DS_NHTF_Min_Units_Req_Large_Active="&lt;select one&gt;"),OR(DS_NHTF_Min_Units_Req_Medium_Active="No",DS_NHTF_Min_Units_Req_Medium_Active="&lt;select one&gt;"),OR(DS_NHTF_Min_Units_Req_Small_Active="No",DS_NHTF_Min_Units_Req_Small_Active="&lt;select one&gt;"),OR(DS_NHTF_Min_Percent_Req_Active="No",DS_NHTF_Min_Percent_Req_Active="&lt;select one&gt;")),"No","Yes")</f>
        <v>Yes</v>
      </c>
      <c r="J151" s="2889">
        <f>MIN(MAX(IF(OR(DS_NHTF_Min_Percent_Req_Active="Yes",DS_NHTF_Min_Percent_Req_Active="Both"),ROUNDUP(DS_NHTF_Min_Percent_Required*N(Total_Units),0),0),IF(AND(County_Size="Large",DS_NHTF_Min_Units_Req_Large_Active="Yes"),DS_NHTF_Min_Units_Req_Large,IF(AND(County_Size="Medium",DS_NHTF_Min_Units_Req_Medium_Active="Yes"),DS_NHTF_Min_Units_Req_Medium,IF(AND(County_Size="Small",DS_NHTF_Min_Units_Req_Small_Active="Yes"),DS_NHTF_Min_Units_Req_Small,0)))),DS_Max_NHTF_Units)</f>
        <v>0</v>
      </c>
      <c r="M151" s="1679"/>
    </row>
    <row r="152" spans="1:13">
      <c r="A152" s="277" t="str">
        <f t="shared" si="3"/>
        <v>NHTF</v>
      </c>
      <c r="B152" s="2542"/>
      <c r="C152" s="1241">
        <v>1</v>
      </c>
      <c r="D152" s="2553" t="s">
        <v>1744</v>
      </c>
      <c r="E152" s="2542"/>
      <c r="F152" s="2553"/>
      <c r="G152" s="889" t="s">
        <v>808</v>
      </c>
      <c r="H152" s="2525" t="s">
        <v>459</v>
      </c>
      <c r="I152" s="2899"/>
      <c r="J152" s="2889"/>
      <c r="M152" s="1679"/>
    </row>
    <row r="153" spans="1:13">
      <c r="A153" s="277" t="str">
        <f t="shared" si="3"/>
        <v>NHTF</v>
      </c>
      <c r="B153" s="2543"/>
      <c r="C153" s="1241">
        <v>1</v>
      </c>
      <c r="D153" s="2553" t="s">
        <v>1745</v>
      </c>
      <c r="E153" s="2542"/>
      <c r="F153" s="2553"/>
      <c r="G153" s="889" t="s">
        <v>808</v>
      </c>
      <c r="H153" s="2525" t="s">
        <v>459</v>
      </c>
      <c r="I153" s="2899"/>
      <c r="J153" s="2889"/>
      <c r="M153" s="1679"/>
    </row>
    <row r="154" spans="1:13">
      <c r="A154" s="277" t="str">
        <f t="shared" si="3"/>
        <v>NHTF</v>
      </c>
      <c r="B154" s="2544"/>
      <c r="C154" s="2545">
        <v>1</v>
      </c>
      <c r="D154" s="2554" t="s">
        <v>2851</v>
      </c>
      <c r="E154" s="2555"/>
      <c r="F154" s="2554"/>
      <c r="G154" s="2536" t="s">
        <v>808</v>
      </c>
      <c r="H154" s="2565" t="s">
        <v>459</v>
      </c>
      <c r="I154" s="2900"/>
      <c r="J154" s="2890"/>
      <c r="K154" s="567"/>
      <c r="M154" s="1679"/>
    </row>
    <row r="155" spans="1:13">
      <c r="A155" s="277" t="str">
        <f t="shared" si="3"/>
        <v>NHTF</v>
      </c>
      <c r="B155" s="2546"/>
      <c r="C155" s="2547">
        <v>4</v>
      </c>
      <c r="D155" s="2556" t="s">
        <v>2852</v>
      </c>
      <c r="E155" s="2557"/>
      <c r="F155" s="2556"/>
      <c r="G155" s="2535" t="s">
        <v>808</v>
      </c>
      <c r="H155" s="1001" t="s">
        <v>301</v>
      </c>
      <c r="I155" s="2891" t="str">
        <f>IF(AND(OR(DS_NHTF_Max_Units_Req_Large_Active="No",DS_NHTF_Max_Units_Req_Large_Active="&lt;select one&gt;"),OR(DS_NHTF_Max_Units_Req_Medium_Active="No",DS_NHTF_Max_Units_Req_Medium_Active="&lt;select one&gt;"),OR(DS_NHTF_Max_Units_Req_Small_Active="No",DS_NHTF_Max_Units_Req_Small_Active="&lt;select one&gt;")),"No","Yes")</f>
        <v>Yes</v>
      </c>
      <c r="J155" s="2894">
        <f>MIN(IF(AND(County_Size="Large",DS_NHTF_Max_Units_Req_Large_Active="Yes"),DS_NHTF_Max_Units_Req_Large,IF(AND(County_Size="Medium",DS_NHTF_Max_Units_Req_Medium_Active="Yes"),DS_NHTF_Max_Units_Req_Medium,IF(AND(County_Size="Small",DS_NHTF_Max_Units_Req_Small_Active="Yes"),DS_NHTF_Max_Units_Req_Small,0))),DS_Max_NHTF_Units)</f>
        <v>0</v>
      </c>
      <c r="K155" s="567"/>
      <c r="M155" s="1679"/>
    </row>
    <row r="156" spans="1:13">
      <c r="A156" s="277" t="str">
        <f t="shared" si="3"/>
        <v>NHTF</v>
      </c>
      <c r="B156" s="2579"/>
      <c r="C156" s="2539">
        <v>4</v>
      </c>
      <c r="D156" s="2580" t="s">
        <v>2853</v>
      </c>
      <c r="E156" s="2581"/>
      <c r="F156" s="2580"/>
      <c r="G156" s="2534" t="s">
        <v>808</v>
      </c>
      <c r="H156" s="2429" t="s">
        <v>301</v>
      </c>
      <c r="I156" s="2892"/>
      <c r="J156" s="2895"/>
      <c r="K156" s="567"/>
      <c r="M156" s="1679"/>
    </row>
    <row r="157" spans="1:13">
      <c r="A157" s="277" t="str">
        <f t="shared" si="3"/>
        <v>NHTF</v>
      </c>
      <c r="B157" s="2579"/>
      <c r="C157" s="2539">
        <v>4</v>
      </c>
      <c r="D157" s="2580" t="s">
        <v>2854</v>
      </c>
      <c r="E157" s="2581"/>
      <c r="F157" s="2580"/>
      <c r="G157" s="2534" t="s">
        <v>808</v>
      </c>
      <c r="H157" s="2429" t="s">
        <v>301</v>
      </c>
      <c r="I157" s="2893"/>
      <c r="J157" s="2896"/>
      <c r="K157" s="567"/>
      <c r="L157" s="2576" t="s">
        <v>2292</v>
      </c>
      <c r="M157" s="1679"/>
    </row>
    <row r="158" spans="1:13">
      <c r="A158" s="277" t="s">
        <v>117</v>
      </c>
      <c r="B158" s="2550">
        <f>ROUNDUP(Total_Units*C158,0)</f>
        <v>0</v>
      </c>
      <c r="C158" s="2541">
        <v>0.1</v>
      </c>
      <c r="D158" s="2582" t="s">
        <v>1742</v>
      </c>
      <c r="E158" s="2583"/>
      <c r="F158" s="2582"/>
      <c r="G158" s="2535" t="s">
        <v>808</v>
      </c>
      <c r="H158" s="1001" t="s">
        <v>459</v>
      </c>
      <c r="I158" s="2911" t="str">
        <f>IF(OR(DS_NHTF_Max_Percent_Opt_Active="Both",DS_NHTF_Max_Percent_Opt_Active="Yes",DS_NHTF_Max_Units_Opt_Active="Yes"),"Yes","No")</f>
        <v>No</v>
      </c>
      <c r="J158" s="2917" cm="1">
        <f t="array" ref="J158">MIN(IF(OR(DS_NHTF_Max_Percent_Opt_Active="Yes",DS_NHTF_Max_Percent_Opt_Active="Both"),ROUNDUP(DS_NHTF_Max_Percent_Opt*N(Total_Units),0),N(Total_Units)),IF(OR(DS_NHTF_Max_Units_Opt_Active="Yes",DS_NHTF_Max_Percent_Opt_Active="Both"),DS_NHTF_Max_Units_Opt,N(Total_Units)),N(DS_Max_NHTF_Units)-IF(DS_Max_NHTF_Req_Units_Active="Yes",N(DS_Max_NHTF_Req_Units),IF(DS_Min_NHTF_Req_Units_Active="Yes",DS_Min_NHTF_Req_Units,0)))</f>
        <v>0</v>
      </c>
      <c r="L158" s="2570" t="s">
        <v>802</v>
      </c>
      <c r="M158" s="1679"/>
    </row>
    <row r="159" spans="1:13">
      <c r="A159" s="277" t="s">
        <v>117</v>
      </c>
      <c r="B159" s="2584"/>
      <c r="C159" s="2545">
        <v>2</v>
      </c>
      <c r="D159" s="2584" t="s">
        <v>1743</v>
      </c>
      <c r="E159" s="2585"/>
      <c r="F159" s="2584"/>
      <c r="G159" s="2536" t="s">
        <v>808</v>
      </c>
      <c r="H159" s="2565" t="s">
        <v>459</v>
      </c>
      <c r="I159" s="2912"/>
      <c r="J159" s="2918"/>
      <c r="K159" s="2575" t="s">
        <v>2286</v>
      </c>
      <c r="M159" s="1679"/>
    </row>
    <row r="160" spans="1:13">
      <c r="A160" s="277" t="s">
        <v>117</v>
      </c>
      <c r="B160" s="1254"/>
      <c r="C160" s="1090">
        <v>0.22</v>
      </c>
      <c r="D160" s="1254" t="s">
        <v>1746</v>
      </c>
      <c r="E160" s="2562"/>
      <c r="F160" s="2563"/>
      <c r="G160" s="1126" t="s">
        <v>1739</v>
      </c>
      <c r="H160" s="769">
        <f>MIN(IF(DS_NHTF_Max_Percent_Total_Active="Both",MIN(ROUNDUP(DS_NHTF_Max_Percent_Total*Total_Units,0),DS_NHTF_Max_Units_Total),IF(DS_NHTF_Max_Percent_Total_Active="Yes",ROUNDUP(DS_NHTF_Max_Percent_Total*Total_Units,0),IF(DS_NHTF_Max_Units_Total_Active="Yes",DS_NHTF_Max_Units_Total,N(Total_Units)))),IF(I152="Yes",IF(AND(County_Size="Large",DS_NHTF_Min_Units_Req_Large_Active="Yes"),DS_NHTF_Min_Units_Req_Large,IF(AND(County_Size="Medium",DS_NHTF_Min_Units_Req_Medium_Active="Yes"),DS_NHTF_Min_Units_Req_Medium,0))+MIN(IF(Funding!L230&gt;0,N(Funding!I230),N(Total_Units)),IF(DS_NHTF_Max_Percent_Opt_Active="Both",MIN(ROUNDUP(DS_NHTF_Max_Percent_Opt*N(Total_Units),0)),IF(DS_NHTF_Max_Percent_Opt_Active="Yes",ROUNDUP(DS_NHTF_Max_Percent_Opt*N(Total_Units),0),IF(DS_NHTF_Max_Units_Opt_Active="Yes",DS_NHTF_Max_Units_Opt,0)))),Total_Units))</f>
        <v>7</v>
      </c>
      <c r="J160" s="2897">
        <f>Total_Units</f>
        <v>0</v>
      </c>
      <c r="K160" s="2590" t="s">
        <v>806</v>
      </c>
      <c r="L160" s="2575" t="s">
        <v>2287</v>
      </c>
      <c r="M160" s="1679"/>
    </row>
    <row r="161" spans="1:16">
      <c r="A161" s="277" t="s">
        <v>117</v>
      </c>
      <c r="B161" s="2596"/>
      <c r="C161" s="891">
        <v>0.3</v>
      </c>
      <c r="D161" s="1259" t="s">
        <v>1747</v>
      </c>
      <c r="E161" s="1260"/>
      <c r="F161" s="1259"/>
      <c r="G161" s="889" t="s">
        <v>1754</v>
      </c>
      <c r="H161" s="1331">
        <f>IF(AND(County_Size&lt;&gt;"Medium",County_Size&lt;&gt;"Large"),0,IF(Total_Units=0,0,IF(DS_NHTF_Max_Percent_Total_Active="Both",MIN(ROUNDUP(DS_NHTF_Max_Percent_Total*Total_Units,0),DS_NHTF_Max_Units_Total)-IF(AND(County_Size="Large",DS_NHTF_Min_Units_Req_Large_Active="Yes"),DS_NHTF_Min_Units_Req_Large,IF(AND(County_Size="Medium",DS_NHTF_Min_Units_Req_Medium_Active="Yes"),DS_NHTF_Min_Units_Req_Medium,0)),IF(DS_NHTF_Max_Percent_Total_Active="Yes",ROUNDUP(DS_NHTF_Max_Percent_Total*Total_Units,0)-IF(AND(County_Size="Large",DS_NHTF_Min_Units_Req_Large_Active="Yes"),DS_NHTF_Min_Units_Req_Large,IF(AND(County_Size="Medium",DS_NHTF_Min_Units_Req_Medium_Active="Yes"),DS_NHTF_Min_Units_Req_Medium,0)),IF(DS_NHTF_Max_Units_Total_Active="Yes",DS_NHTF_Max_Units_Total-IF(AND(County_Size="Large",DS_NHTF_Min_Units_Req_Large_Active="Yes"),DS_NHTF_Min_Units_Req_Large,IF(AND(County_Size="Medium",DS_NHTF_Min_Units_Req_Medium_Active="Yes"),DS_NHTF_Min_Units_Req_Medium,0)),IF(DS_NHTF_Max_Percent_Opt_Active="Both",MIN(ROUNDUP(DS_NHTF_Max_Percent_Opt*N(Total_Units),0),DS_NHTF_Max_Units_Opt),IF(DS_NHTF_Max_Percent_Opt_Active="Yes",DS_NHTF_Max_Percent_Opt,IF(DS_NHTF_Max_Units_Opt_Active="Yes",DS_NHTF_Max_Units_Opt,0))))))))</f>
        <v>0</v>
      </c>
      <c r="I161" s="2589"/>
      <c r="J161" s="2898"/>
      <c r="L161" s="2570" t="s">
        <v>806</v>
      </c>
      <c r="M161" s="1679"/>
    </row>
    <row r="162" spans="1:16">
      <c r="A162" s="276"/>
      <c r="B162" s="276"/>
      <c r="C162" s="1229"/>
      <c r="D162" s="276"/>
      <c r="E162" s="385"/>
      <c r="F162" s="276"/>
      <c r="G162" s="889"/>
      <c r="H162" s="807"/>
      <c r="I162" s="1126"/>
    </row>
    <row r="163" spans="1:16">
      <c r="A163" s="277" t="s">
        <v>132</v>
      </c>
      <c r="B163" s="277"/>
      <c r="C163" s="888">
        <v>4600000</v>
      </c>
      <c r="D163" s="277" t="s">
        <v>785</v>
      </c>
      <c r="E163" s="403"/>
      <c r="F163" s="277"/>
      <c r="G163" s="255"/>
      <c r="H163" s="255"/>
      <c r="I163" s="403">
        <v>106</v>
      </c>
      <c r="J163" s="1704" t="s">
        <v>810</v>
      </c>
    </row>
    <row r="164" spans="1:16">
      <c r="A164" s="255"/>
      <c r="B164" s="255"/>
      <c r="C164" s="1222"/>
      <c r="D164" s="255"/>
      <c r="E164" s="806"/>
      <c r="F164" s="255"/>
      <c r="G164" s="255"/>
      <c r="H164" s="255"/>
      <c r="I164" s="403"/>
    </row>
    <row r="165" spans="1:16">
      <c r="A165" s="277" t="s">
        <v>116</v>
      </c>
      <c r="B165" s="277"/>
      <c r="C165" s="888">
        <v>5000000</v>
      </c>
      <c r="D165" s="277" t="s">
        <v>1914</v>
      </c>
      <c r="E165" s="403"/>
      <c r="F165" s="277"/>
      <c r="G165" s="277"/>
      <c r="H165" s="277"/>
      <c r="I165" s="403"/>
      <c r="J165" s="2928" t="s">
        <v>1915</v>
      </c>
      <c r="K165" s="2929"/>
      <c r="L165" s="277"/>
      <c r="M165" s="277"/>
      <c r="N165" s="6"/>
      <c r="O165" s="6"/>
      <c r="P165" s="6"/>
    </row>
    <row r="166" spans="1:16">
      <c r="A166" s="277" t="s">
        <v>116</v>
      </c>
      <c r="B166" s="277"/>
      <c r="C166" s="888">
        <v>8000000</v>
      </c>
      <c r="D166" s="277" t="s">
        <v>1913</v>
      </c>
      <c r="E166" s="403"/>
      <c r="F166" s="277"/>
      <c r="G166" s="277"/>
      <c r="H166" s="277"/>
      <c r="I166" s="403"/>
      <c r="J166" s="2930"/>
      <c r="K166" s="2931"/>
      <c r="L166" s="277"/>
      <c r="M166" s="277"/>
      <c r="N166" s="6"/>
      <c r="O166" s="6"/>
      <c r="P166" s="6"/>
    </row>
    <row r="167" spans="1:16">
      <c r="A167" s="277" t="s">
        <v>116</v>
      </c>
      <c r="B167" s="277"/>
      <c r="C167" s="277"/>
      <c r="D167" s="1263" t="s">
        <v>354</v>
      </c>
      <c r="E167" s="1263" t="s">
        <v>1926</v>
      </c>
      <c r="F167" s="277"/>
      <c r="G167" s="277"/>
      <c r="H167" s="277"/>
      <c r="I167" s="403"/>
      <c r="J167" s="2058" t="s">
        <v>354</v>
      </c>
      <c r="K167" s="2058" t="s">
        <v>1926</v>
      </c>
      <c r="L167" s="277"/>
      <c r="M167" s="277"/>
      <c r="N167" s="6"/>
      <c r="O167" s="6"/>
      <c r="P167" s="6"/>
    </row>
    <row r="168" spans="1:16">
      <c r="A168" s="277" t="s">
        <v>116</v>
      </c>
      <c r="B168" s="277"/>
      <c r="C168" s="1262" t="s">
        <v>793</v>
      </c>
      <c r="D168" s="888"/>
      <c r="E168" s="888">
        <v>155709</v>
      </c>
      <c r="F168" s="277"/>
      <c r="G168" s="277"/>
      <c r="H168" s="277"/>
      <c r="I168" s="403"/>
      <c r="J168" s="2059">
        <v>217058</v>
      </c>
      <c r="K168" s="2059">
        <v>149868</v>
      </c>
      <c r="L168" s="277"/>
      <c r="M168" s="277"/>
      <c r="N168" s="6"/>
      <c r="O168" s="6"/>
      <c r="P168" s="6"/>
    </row>
    <row r="169" spans="1:16">
      <c r="A169" s="277" t="s">
        <v>116</v>
      </c>
      <c r="B169" s="277"/>
      <c r="C169" s="1262" t="s">
        <v>794</v>
      </c>
      <c r="D169" s="888"/>
      <c r="E169" s="888">
        <v>178497</v>
      </c>
      <c r="F169" s="277"/>
      <c r="G169" s="277"/>
      <c r="H169" s="277"/>
      <c r="I169" s="403"/>
      <c r="J169" s="2059">
        <v>248828</v>
      </c>
      <c r="K169" s="2059">
        <v>171802</v>
      </c>
      <c r="L169" s="277"/>
      <c r="M169" s="277"/>
      <c r="N169" s="6"/>
      <c r="O169" s="6"/>
      <c r="P169" s="6"/>
    </row>
    <row r="170" spans="1:16">
      <c r="A170" s="277" t="s">
        <v>116</v>
      </c>
      <c r="B170" s="277"/>
      <c r="C170" s="1262" t="s">
        <v>795</v>
      </c>
      <c r="D170" s="888"/>
      <c r="E170" s="888">
        <v>217058</v>
      </c>
      <c r="F170" s="277"/>
      <c r="G170" s="277"/>
      <c r="H170" s="277"/>
      <c r="I170" s="403"/>
      <c r="J170" s="2059">
        <v>302572</v>
      </c>
      <c r="K170" s="2059">
        <v>208913</v>
      </c>
      <c r="L170" s="277"/>
      <c r="M170" s="277"/>
      <c r="N170" s="6"/>
      <c r="O170" s="6"/>
      <c r="P170" s="6"/>
    </row>
    <row r="171" spans="1:16">
      <c r="A171" s="277" t="s">
        <v>116</v>
      </c>
      <c r="B171" s="277"/>
      <c r="C171" s="1262" t="s">
        <v>796</v>
      </c>
      <c r="D171" s="888"/>
      <c r="E171" s="888">
        <v>280804</v>
      </c>
      <c r="F171" s="277"/>
      <c r="G171" s="277"/>
      <c r="H171" s="277"/>
      <c r="I171" s="403"/>
      <c r="J171" s="2059">
        <v>391432</v>
      </c>
      <c r="K171" s="2059">
        <v>270266</v>
      </c>
      <c r="L171" s="277"/>
      <c r="M171" s="277"/>
      <c r="N171" s="6"/>
      <c r="O171" s="6"/>
      <c r="P171" s="6"/>
    </row>
    <row r="172" spans="1:16">
      <c r="A172" s="277" t="s">
        <v>116</v>
      </c>
      <c r="B172" s="277"/>
      <c r="C172" s="1262" t="s">
        <v>797</v>
      </c>
      <c r="D172" s="888"/>
      <c r="E172" s="888">
        <v>308233</v>
      </c>
      <c r="F172" s="277"/>
      <c r="G172" s="277"/>
      <c r="H172" s="277"/>
      <c r="I172" s="403"/>
      <c r="J172" s="2059">
        <v>418592</v>
      </c>
      <c r="K172" s="2059">
        <v>296666</v>
      </c>
      <c r="L172" s="277"/>
      <c r="M172" s="277"/>
      <c r="N172" s="6"/>
      <c r="O172" s="6"/>
      <c r="P172" s="6"/>
    </row>
    <row r="173" spans="1:16">
      <c r="A173" s="255"/>
      <c r="B173" s="255"/>
      <c r="C173" s="1222"/>
      <c r="D173" s="255"/>
      <c r="E173" s="806"/>
      <c r="F173" s="255"/>
      <c r="G173" s="255"/>
      <c r="H173" s="255"/>
      <c r="I173" s="403"/>
    </row>
    <row r="174" spans="1:16">
      <c r="A174" s="277" t="s">
        <v>811</v>
      </c>
      <c r="B174" s="277"/>
      <c r="C174" s="888">
        <v>3458400</v>
      </c>
      <c r="D174" s="1261" t="s">
        <v>812</v>
      </c>
      <c r="E174" s="67"/>
      <c r="F174" s="277"/>
      <c r="G174" s="277"/>
      <c r="H174" s="277"/>
      <c r="I174" s="403" t="s">
        <v>813</v>
      </c>
      <c r="J174" s="277" t="s">
        <v>814</v>
      </c>
      <c r="K174" s="277"/>
      <c r="L174" s="277"/>
      <c r="M174" s="277"/>
    </row>
    <row r="175" spans="1:16">
      <c r="A175" s="277" t="s">
        <v>811</v>
      </c>
      <c r="B175" s="277"/>
      <c r="C175" s="888">
        <v>2850000</v>
      </c>
      <c r="D175" s="1261" t="s">
        <v>815</v>
      </c>
      <c r="E175" s="67"/>
      <c r="F175" s="277"/>
      <c r="G175" s="277"/>
      <c r="H175" s="277"/>
      <c r="I175" s="403">
        <v>202</v>
      </c>
      <c r="J175" s="277" t="s">
        <v>816</v>
      </c>
      <c r="K175" s="277"/>
      <c r="L175" s="277"/>
      <c r="M175" s="277"/>
    </row>
    <row r="176" spans="1:16">
      <c r="A176" s="277" t="s">
        <v>811</v>
      </c>
      <c r="B176" s="277"/>
      <c r="C176" s="888">
        <v>2241600</v>
      </c>
      <c r="D176" s="1261" t="s">
        <v>817</v>
      </c>
      <c r="E176" s="67"/>
      <c r="F176" s="277"/>
      <c r="G176" s="277"/>
      <c r="H176" s="277"/>
      <c r="I176" s="403">
        <v>202</v>
      </c>
      <c r="J176" s="277" t="s">
        <v>323</v>
      </c>
      <c r="K176" s="277"/>
      <c r="L176" s="277"/>
      <c r="M176" s="277"/>
    </row>
    <row r="177" spans="1:13">
      <c r="A177" s="277" t="s">
        <v>811</v>
      </c>
      <c r="B177" s="277"/>
      <c r="C177" s="888">
        <v>1596420</v>
      </c>
      <c r="D177" s="1261" t="s">
        <v>818</v>
      </c>
      <c r="E177" s="67"/>
      <c r="F177" s="277"/>
      <c r="G177" s="277"/>
      <c r="H177" s="277"/>
      <c r="I177" s="403">
        <v>201</v>
      </c>
      <c r="J177" s="277" t="s">
        <v>819</v>
      </c>
      <c r="K177" s="277"/>
      <c r="L177" s="277"/>
      <c r="M177" s="277"/>
    </row>
    <row r="178" spans="1:13">
      <c r="A178" s="277" t="s">
        <v>811</v>
      </c>
      <c r="B178" s="277"/>
      <c r="C178" s="888">
        <v>3200000</v>
      </c>
      <c r="D178" s="1261" t="s">
        <v>820</v>
      </c>
      <c r="E178" s="67"/>
      <c r="F178" s="277"/>
      <c r="G178" s="277"/>
      <c r="H178" s="277"/>
      <c r="I178" s="403" t="s">
        <v>821</v>
      </c>
      <c r="J178" s="277" t="s">
        <v>822</v>
      </c>
      <c r="K178" s="277"/>
      <c r="L178" s="277"/>
      <c r="M178" s="277"/>
    </row>
    <row r="179" spans="1:13">
      <c r="A179" s="277" t="s">
        <v>811</v>
      </c>
      <c r="B179" s="277"/>
      <c r="C179" s="888">
        <v>3300000</v>
      </c>
      <c r="D179" s="1261" t="s">
        <v>823</v>
      </c>
      <c r="E179" s="67"/>
      <c r="F179" s="277"/>
      <c r="G179" s="277"/>
      <c r="H179" s="277"/>
      <c r="I179" s="403"/>
      <c r="J179" s="277" t="s">
        <v>824</v>
      </c>
      <c r="K179" s="277"/>
      <c r="L179" s="277"/>
      <c r="M179" s="277"/>
    </row>
    <row r="180" spans="1:13">
      <c r="A180" s="277" t="s">
        <v>811</v>
      </c>
      <c r="B180" s="277"/>
      <c r="C180" s="888">
        <v>2850000</v>
      </c>
      <c r="D180" s="1261" t="s">
        <v>825</v>
      </c>
      <c r="E180" s="67"/>
      <c r="F180" s="277"/>
      <c r="G180" s="277"/>
      <c r="H180" s="277"/>
      <c r="I180" s="403" t="s">
        <v>779</v>
      </c>
      <c r="J180" s="277" t="s">
        <v>826</v>
      </c>
      <c r="K180" s="277"/>
      <c r="L180" s="277"/>
      <c r="M180" s="277"/>
    </row>
    <row r="181" spans="1:13">
      <c r="A181" s="277" t="s">
        <v>811</v>
      </c>
      <c r="B181" s="277"/>
      <c r="C181" s="888">
        <v>1490000</v>
      </c>
      <c r="D181" s="1261" t="s">
        <v>827</v>
      </c>
      <c r="E181" s="67"/>
      <c r="F181" s="277"/>
      <c r="G181" s="277"/>
      <c r="H181" s="277"/>
      <c r="I181" s="277"/>
      <c r="J181" s="277" t="s">
        <v>828</v>
      </c>
      <c r="K181" s="277"/>
      <c r="L181" s="277"/>
      <c r="M181" s="277"/>
    </row>
    <row r="182" spans="1:13">
      <c r="A182" s="277" t="s">
        <v>811</v>
      </c>
      <c r="B182" s="277"/>
      <c r="C182" s="888">
        <v>2980000</v>
      </c>
      <c r="D182" s="1261" t="s">
        <v>829</v>
      </c>
      <c r="E182" s="67"/>
      <c r="F182" s="277"/>
      <c r="G182" s="277"/>
      <c r="H182" s="277"/>
      <c r="I182" s="277"/>
      <c r="J182" s="277" t="s">
        <v>830</v>
      </c>
      <c r="K182" s="277"/>
      <c r="L182" s="277"/>
      <c r="M182" s="277"/>
    </row>
    <row r="183" spans="1:13">
      <c r="A183" s="277" t="s">
        <v>811</v>
      </c>
      <c r="B183" s="277"/>
      <c r="C183" s="888">
        <v>36000</v>
      </c>
      <c r="D183" s="1261" t="s">
        <v>831</v>
      </c>
      <c r="E183" s="67"/>
      <c r="F183" s="277"/>
      <c r="G183" s="277"/>
      <c r="H183" s="277"/>
      <c r="I183" s="277"/>
      <c r="J183" s="277" t="s">
        <v>828</v>
      </c>
      <c r="K183" s="277"/>
      <c r="L183" s="277"/>
      <c r="M183" s="277"/>
    </row>
    <row r="184" spans="1:13">
      <c r="A184" s="277" t="s">
        <v>811</v>
      </c>
      <c r="B184" s="277"/>
      <c r="C184" s="888">
        <v>25000</v>
      </c>
      <c r="D184" s="1261" t="s">
        <v>832</v>
      </c>
      <c r="E184" s="67"/>
      <c r="F184" s="277"/>
      <c r="G184" s="277"/>
      <c r="H184" s="277"/>
      <c r="I184" s="277"/>
      <c r="J184" s="277" t="s">
        <v>830</v>
      </c>
      <c r="K184" s="277"/>
      <c r="L184" s="277"/>
      <c r="M184" s="277"/>
    </row>
    <row r="187" spans="1:13" ht="15.75" thickBot="1">
      <c r="A187" s="2903" t="s">
        <v>833</v>
      </c>
      <c r="B187" s="2904"/>
      <c r="C187" s="2904"/>
      <c r="D187" s="2904"/>
      <c r="E187" s="2904"/>
      <c r="F187" s="2904"/>
      <c r="G187" s="2905"/>
      <c r="H187" s="2620" t="s">
        <v>834</v>
      </c>
      <c r="I187" s="2321"/>
      <c r="J187" s="2365" t="s">
        <v>2677</v>
      </c>
      <c r="K187" s="2366" t="s">
        <v>2678</v>
      </c>
      <c r="L187" s="2366" t="s">
        <v>2678</v>
      </c>
    </row>
    <row r="188" spans="1:13">
      <c r="H188" s="1329"/>
      <c r="I188" s="1329"/>
      <c r="J188" s="2361" t="s">
        <v>2679</v>
      </c>
      <c r="K188" s="2362">
        <v>0.09</v>
      </c>
      <c r="L188" s="2362">
        <v>0.04</v>
      </c>
    </row>
    <row r="189" spans="1:13">
      <c r="A189" t="s">
        <v>835</v>
      </c>
      <c r="G189" s="321">
        <v>8.5</v>
      </c>
      <c r="H189" s="1329"/>
      <c r="I189" s="1329"/>
      <c r="J189" s="2363"/>
      <c r="K189" s="2363"/>
      <c r="L189" s="2363"/>
    </row>
    <row r="190" spans="1:13">
      <c r="A190" t="s">
        <v>836</v>
      </c>
      <c r="G190" s="322" t="s">
        <v>761</v>
      </c>
      <c r="H190" s="1329" t="s">
        <v>837</v>
      </c>
      <c r="I190" s="1329"/>
      <c r="J190" s="2361" t="s">
        <v>2685</v>
      </c>
      <c r="K190" s="2364" t="s">
        <v>761</v>
      </c>
      <c r="L190" s="2362">
        <v>1.1100000000000001</v>
      </c>
    </row>
    <row r="191" spans="1:13">
      <c r="A191" t="s">
        <v>838</v>
      </c>
      <c r="G191" s="322">
        <v>0.88</v>
      </c>
      <c r="H191" s="1329"/>
      <c r="I191" s="1329"/>
      <c r="J191" s="2361" t="s">
        <v>310</v>
      </c>
      <c r="K191" s="2362">
        <v>0.88</v>
      </c>
      <c r="L191" s="2362">
        <v>0.88</v>
      </c>
    </row>
    <row r="192" spans="1:13">
      <c r="A192" t="s">
        <v>839</v>
      </c>
      <c r="G192" s="322">
        <v>0.93</v>
      </c>
      <c r="H192" s="1329"/>
      <c r="I192" s="1329"/>
      <c r="J192" s="2361" t="s">
        <v>2680</v>
      </c>
      <c r="K192" s="2362">
        <v>0.93</v>
      </c>
      <c r="L192" s="2362">
        <v>0.93</v>
      </c>
    </row>
    <row r="193" spans="1:16">
      <c r="A193" t="s">
        <v>840</v>
      </c>
      <c r="G193" s="322">
        <v>0.93</v>
      </c>
      <c r="H193" s="2374" t="s">
        <v>2692</v>
      </c>
      <c r="I193" s="1329"/>
      <c r="J193" s="2361" t="s">
        <v>2684</v>
      </c>
      <c r="K193" s="2362">
        <v>0.93</v>
      </c>
      <c r="L193" s="2362">
        <v>0.93</v>
      </c>
    </row>
    <row r="194" spans="1:16">
      <c r="A194" t="s">
        <v>841</v>
      </c>
      <c r="G194" s="322">
        <v>0.95</v>
      </c>
      <c r="H194" s="2321">
        <f>DS_Lev_MP_HR*DS_Lev_MP_ESS</f>
        <v>0.88349999999999995</v>
      </c>
      <c r="I194" s="1329"/>
      <c r="J194" s="2361" t="s">
        <v>1502</v>
      </c>
      <c r="K194" s="2362">
        <v>0.95</v>
      </c>
      <c r="L194" s="2362">
        <v>0.86</v>
      </c>
    </row>
    <row r="195" spans="1:16">
      <c r="A195" t="s">
        <v>842</v>
      </c>
      <c r="G195" s="322">
        <v>0.97</v>
      </c>
      <c r="H195" s="2321">
        <f>DS_Lev_MP_MR*DS_Lev_MP_ESS</f>
        <v>0.90210000000000001</v>
      </c>
      <c r="I195" s="1329"/>
      <c r="J195" s="2361" t="s">
        <v>2682</v>
      </c>
      <c r="K195" s="2362">
        <v>0.97</v>
      </c>
      <c r="L195" s="2362">
        <v>0.88</v>
      </c>
    </row>
    <row r="196" spans="1:16">
      <c r="A196" t="s">
        <v>843</v>
      </c>
      <c r="G196" s="322">
        <v>1</v>
      </c>
      <c r="H196" s="2321">
        <f>DS_Lev_MP_GA*DS_Lev_MP_ESS</f>
        <v>0.93</v>
      </c>
      <c r="I196" s="1329"/>
      <c r="J196" s="2361" t="s">
        <v>2681</v>
      </c>
      <c r="K196" s="2362">
        <v>1</v>
      </c>
      <c r="L196" s="2362">
        <v>0.9</v>
      </c>
    </row>
    <row r="197" spans="1:16">
      <c r="A197" t="s">
        <v>844</v>
      </c>
      <c r="G197" s="322">
        <v>1</v>
      </c>
      <c r="H197" s="1329"/>
      <c r="I197" s="1329"/>
      <c r="J197" s="2361" t="s">
        <v>2683</v>
      </c>
      <c r="K197" s="2362">
        <v>1</v>
      </c>
      <c r="L197" s="2362">
        <v>1</v>
      </c>
    </row>
    <row r="198" spans="1:16">
      <c r="H198" s="1329"/>
      <c r="I198" s="1329"/>
    </row>
    <row r="199" spans="1:16">
      <c r="A199" s="2903" t="s">
        <v>845</v>
      </c>
      <c r="B199" s="2904"/>
      <c r="C199" s="2904"/>
      <c r="D199" s="2904"/>
      <c r="E199" s="2904"/>
      <c r="F199" s="2904"/>
      <c r="G199" s="2905"/>
      <c r="H199" s="2620" t="str">
        <f>"DON’T MESS WITH THIS SECTION EXCEPT FOR ROW "&amp;ROW(DS_FLJobs_Min_Score1)</f>
        <v>DON’T MESS WITH THIS SECTION EXCEPT FOR ROW 201</v>
      </c>
      <c r="I199" s="2321"/>
      <c r="J199" s="2321"/>
    </row>
    <row r="200" spans="1:16">
      <c r="H200" s="1329"/>
      <c r="I200" s="1329"/>
      <c r="J200" s="1329"/>
      <c r="L200" s="2516" t="s">
        <v>2678</v>
      </c>
      <c r="M200" s="2517" t="s">
        <v>2841</v>
      </c>
      <c r="N200" s="2517" t="s">
        <v>807</v>
      </c>
      <c r="O200" s="2517" t="s">
        <v>802</v>
      </c>
      <c r="P200" s="2517" t="s">
        <v>2842</v>
      </c>
    </row>
    <row r="201" spans="1:16">
      <c r="A201" t="s">
        <v>846</v>
      </c>
      <c r="F201" s="2321"/>
      <c r="G201" s="2623">
        <v>4.3</v>
      </c>
      <c r="H201" s="1329"/>
      <c r="I201" s="1329"/>
      <c r="J201" s="1329"/>
      <c r="K201" s="1329"/>
    </row>
    <row r="202" spans="1:16">
      <c r="A202" t="s">
        <v>847</v>
      </c>
      <c r="G202" s="322">
        <v>11</v>
      </c>
      <c r="H202" s="1436" t="s">
        <v>848</v>
      </c>
      <c r="I202" s="1329"/>
      <c r="J202" s="1329"/>
      <c r="K202" s="1329"/>
    </row>
    <row r="203" spans="1:16">
      <c r="A203" t="s">
        <v>849</v>
      </c>
      <c r="G203" s="323">
        <v>4.3739999999999997</v>
      </c>
      <c r="H203" s="1329"/>
      <c r="I203" s="1329"/>
      <c r="J203" s="1329"/>
      <c r="K203" s="1329"/>
      <c r="L203" s="323">
        <v>4.3739999999999997</v>
      </c>
      <c r="M203" s="323">
        <v>2.944</v>
      </c>
      <c r="N203" s="323">
        <v>3.1709999999999998</v>
      </c>
      <c r="O203" s="323">
        <v>3.1840000000000002</v>
      </c>
      <c r="P203" s="323">
        <v>3.298</v>
      </c>
    </row>
    <row r="204" spans="1:16">
      <c r="A204" t="s">
        <v>850</v>
      </c>
      <c r="G204" s="323">
        <v>1.5640000000000001</v>
      </c>
      <c r="H204" s="1329"/>
      <c r="I204" s="1329"/>
      <c r="J204" s="1329"/>
      <c r="L204" s="323">
        <v>1.5640000000000001</v>
      </c>
      <c r="M204" s="323">
        <v>1.494</v>
      </c>
      <c r="N204" s="323">
        <v>1.6020000000000001</v>
      </c>
      <c r="O204" s="323">
        <v>1.5720000000000001</v>
      </c>
      <c r="P204" s="323">
        <v>1.58</v>
      </c>
    </row>
    <row r="205" spans="1:16">
      <c r="A205" t="s">
        <v>851</v>
      </c>
      <c r="G205" s="323">
        <v>1.542</v>
      </c>
      <c r="H205" s="1329"/>
      <c r="I205" s="1329"/>
      <c r="J205" s="1329"/>
      <c r="K205" s="1329"/>
      <c r="L205" s="323">
        <v>1.542</v>
      </c>
      <c r="M205" s="323">
        <v>1.7310000000000001</v>
      </c>
      <c r="N205" s="323">
        <v>2.5129999999999999</v>
      </c>
      <c r="O205" s="323">
        <v>2.1539999999999999</v>
      </c>
      <c r="P205" s="323">
        <v>2.157</v>
      </c>
    </row>
    <row r="206" spans="1:16">
      <c r="A206" t="s">
        <v>852</v>
      </c>
      <c r="G206" s="323">
        <v>2.754</v>
      </c>
      <c r="L206" s="323">
        <v>2.754</v>
      </c>
      <c r="M206" s="323">
        <v>2.7690000000000001</v>
      </c>
      <c r="N206" s="323">
        <v>2.9260000000000002</v>
      </c>
      <c r="O206" s="323">
        <v>2.8330000000000002</v>
      </c>
      <c r="P206" s="323">
        <v>2.8650000000000002</v>
      </c>
    </row>
    <row r="207" spans="1:16">
      <c r="A207" t="s">
        <v>835</v>
      </c>
      <c r="G207" s="324">
        <f>G189</f>
        <v>8.5</v>
      </c>
      <c r="L207" s="2518">
        <v>8.5</v>
      </c>
      <c r="M207" s="2518">
        <v>9</v>
      </c>
      <c r="N207" s="2518">
        <v>9</v>
      </c>
      <c r="O207" s="2518">
        <v>9</v>
      </c>
      <c r="P207" s="2519"/>
    </row>
    <row r="208" spans="1:16">
      <c r="A208" s="1329" t="s">
        <v>2550</v>
      </c>
      <c r="B208" s="1329"/>
      <c r="C208" s="1329"/>
      <c r="D208" s="1329"/>
      <c r="G208" s="323" t="s">
        <v>459</v>
      </c>
      <c r="H208" s="106">
        <f>IF(Inclusive_of_ELI="Yes",1,0)</f>
        <v>0</v>
      </c>
      <c r="I208" s="312" t="s">
        <v>2551</v>
      </c>
    </row>
    <row r="209" spans="1:10">
      <c r="A209" t="s">
        <v>853</v>
      </c>
      <c r="G209" s="1350" t="str">
        <f>IF(Funding!L298=0,"No","Yes")</f>
        <v>Yes</v>
      </c>
      <c r="H209" s="899">
        <f>IF(DS_FLJobs_HC="Yes",1,0)</f>
        <v>1</v>
      </c>
    </row>
    <row r="210" spans="1:10">
      <c r="A210" t="s">
        <v>854</v>
      </c>
      <c r="G210" s="1350" t="str">
        <f>IF(Funding!L15=0,"No","Yes")</f>
        <v>No</v>
      </c>
      <c r="H210" s="899">
        <f>IF(DS_FLJobs_Workforce="Yes",1,0)</f>
        <v>0</v>
      </c>
    </row>
    <row r="211" spans="1:10">
      <c r="A211" t="s">
        <v>855</v>
      </c>
      <c r="G211" s="1350" t="str">
        <f>IF(OR(Funding!L55=0,Funding!L55=3),"No","Yes")</f>
        <v>Yes</v>
      </c>
      <c r="H211" s="899">
        <f>IF(DS_FLJobs_SAIL="Yes",1,0)</f>
        <v>1</v>
      </c>
    </row>
    <row r="212" spans="1:10">
      <c r="A212" t="s">
        <v>1899</v>
      </c>
      <c r="G212" s="1350" t="str">
        <f>IF(Funding!L97=0,"No","Yes")</f>
        <v>No</v>
      </c>
      <c r="H212" s="899">
        <f>IF(DS_FLJobs_RRLP="Yes",1,0)</f>
        <v>0</v>
      </c>
    </row>
    <row r="213" spans="1:10">
      <c r="A213" t="s">
        <v>856</v>
      </c>
      <c r="G213" s="1350" t="str">
        <f>IF(Funding!L133=0,"No","Yes")</f>
        <v>No</v>
      </c>
      <c r="H213" s="899">
        <f>IF(DS_FLJobs_HOME="Yes",1,0)</f>
        <v>0</v>
      </c>
    </row>
    <row r="214" spans="1:10">
      <c r="A214" t="s">
        <v>857</v>
      </c>
      <c r="G214" s="1350" t="str">
        <f>IF(Funding!L201=0,"No","Yes")</f>
        <v>No</v>
      </c>
      <c r="H214" s="899">
        <f>IF(DS_FLJobs_HOME_ARP="Yes",1,0)</f>
        <v>0</v>
      </c>
    </row>
    <row r="215" spans="1:10">
      <c r="A215" t="s">
        <v>858</v>
      </c>
      <c r="G215" s="1350" t="str">
        <f>IF(Funding!L209=0,"No","Yes")</f>
        <v>No</v>
      </c>
      <c r="H215" s="899">
        <f>IF(DS_FLJobs_Grant="Yes",1,0)</f>
        <v>0</v>
      </c>
      <c r="I215" s="312" t="s">
        <v>859</v>
      </c>
    </row>
    <row r="216" spans="1:10">
      <c r="A216" t="s">
        <v>1931</v>
      </c>
      <c r="G216" s="1350" t="str">
        <f>IF(Funding!L222+Funding!L228+Funding!L230=0,"No","Yes")</f>
        <v>No</v>
      </c>
      <c r="H216" s="899">
        <f>IF(DS_FLJobs_NHTF="Yes",1,0)</f>
        <v>0</v>
      </c>
      <c r="I216" s="312"/>
    </row>
    <row r="217" spans="1:10">
      <c r="A217" t="s">
        <v>1930</v>
      </c>
      <c r="G217" s="1350" t="str">
        <f>IF(Funding!L244+Funding!L262=0,"No","Yes")</f>
        <v>No</v>
      </c>
      <c r="H217" s="899">
        <f>IF(DS_FLJobs_CDBG_DR="Yes",1,0)</f>
        <v>0</v>
      </c>
      <c r="I217" s="312"/>
    </row>
    <row r="218" spans="1:10">
      <c r="A218" t="s">
        <v>860</v>
      </c>
      <c r="F218" s="1329"/>
      <c r="G218" s="611">
        <f>ROUND(IF(N(Eligible_Competitive_HC_Request_Amount)*DS_FLJobs_MP_HC*H209+N(Eligible_Workforce_Request_Amount)*H210+(N(Eligible_SAIL_Request_Amount)+N(Eligible_ELI_Request_Amount)*N(H208))*H211+(N(Eligible_RRLP_Base_Request_Amount)+N(Eligible_RRLP_ELI_Request_Amount)*N(H208))*H212+N(Eligible_HOME_Request_Amount)*H213+N(Eligible_ARP_Request_Amount)*H214+N(Eligible_Grant_Request_Amount)*H215+N(Eligible_NHTF_Request_Amount)*H216+SUM(N(Eligible_CDBG_DR_Dev_Request_Amount),N(Eligible_CDBG_DR_Land_Request_Amount))*H217=0,0,((SUM('Proposed Development Info'!H127:H135)-SUM('Proposed Development Info'!H132:H133))*DS_FLJobs_MFNC+SUM('Proposed Development Info'!H132:H133)*DS_FLJobs_SFNC+SUM('Proposed Development Info'!H136:H142)*DS_FLJobs_MFAR+SUM('Proposed Development Info'!H143:H149)*DS_FLJobs_MFRO)*1000000/(N(Eligible_Competitive_HC_Request_Amount)*DS_FLJobs_MP_HC*H209+N(Eligible_Workforce_Request_Amount)*H210+(N(Eligible_SAIL_Request_Amount)+N(Eligible_ELI_Request_Amount)*N(H208))*H211+(N(Eligible_RRLP_Base_Request_Amount)+N(Eligible_RRLP_ELI_Request_Amount)*N(H208))*H212+N(Eligible_HOME_Request_Amount)*H213+N(Eligible_ARP_Request_Amount)*H214+N(Eligible_Grant_Request_Amount)*H215+N(Eligible_NHTF_Request_Amount)*H216+SUM(N(Eligible_CDBG_DR_Dev_Request_Amount),N(Eligible_CDBG_DR_Land_Request_Amount))*H217)),2)</f>
        <v>0</v>
      </c>
      <c r="H218" s="1267" t="s">
        <v>1665</v>
      </c>
    </row>
    <row r="220" spans="1:10">
      <c r="A220" s="2903" t="s">
        <v>861</v>
      </c>
      <c r="B220" s="2904"/>
      <c r="C220" s="2904"/>
      <c r="D220" s="2904"/>
      <c r="E220" s="2904"/>
      <c r="F220" s="2904"/>
      <c r="G220" s="2905"/>
      <c r="H220" s="2620" t="s">
        <v>834</v>
      </c>
      <c r="I220" s="2321"/>
      <c r="J220" s="1329"/>
    </row>
    <row r="221" spans="1:10">
      <c r="H221" s="1329"/>
      <c r="I221" s="1329"/>
      <c r="J221" s="1329"/>
    </row>
    <row r="222" spans="1:10">
      <c r="A222" t="s">
        <v>862</v>
      </c>
      <c r="G222" s="294">
        <v>0.14000000000000001</v>
      </c>
      <c r="H222" s="1329"/>
      <c r="I222" s="1329"/>
      <c r="J222" s="1329"/>
    </row>
    <row r="223" spans="1:10">
      <c r="A223" t="s">
        <v>863</v>
      </c>
      <c r="G223" s="294">
        <v>0.05</v>
      </c>
      <c r="H223" s="1329"/>
      <c r="I223" s="1329"/>
      <c r="J223" s="1329"/>
    </row>
    <row r="224" spans="1:10">
      <c r="A224" t="s">
        <v>864</v>
      </c>
      <c r="G224" s="294">
        <v>0.15</v>
      </c>
      <c r="H224" s="1329"/>
      <c r="I224" s="1329"/>
      <c r="J224" s="1329"/>
    </row>
    <row r="225" spans="1:10">
      <c r="A225" t="s">
        <v>865</v>
      </c>
      <c r="G225" s="294">
        <v>0.05</v>
      </c>
      <c r="H225" s="1329"/>
      <c r="I225" s="1329"/>
      <c r="J225" s="1329"/>
    </row>
    <row r="226" spans="1:10">
      <c r="A226" t="s">
        <v>866</v>
      </c>
      <c r="F226" s="2321"/>
      <c r="G226" s="294">
        <v>0.16</v>
      </c>
      <c r="H226" s="1329"/>
      <c r="I226" s="1329"/>
      <c r="J226" s="1329"/>
    </row>
    <row r="227" spans="1:10">
      <c r="A227" t="s">
        <v>867</v>
      </c>
      <c r="F227" s="2321"/>
      <c r="G227" s="294">
        <v>0.16</v>
      </c>
      <c r="H227" s="1329"/>
      <c r="I227" s="1329"/>
      <c r="J227" s="1329"/>
    </row>
    <row r="228" spans="1:10">
      <c r="A228" t="s">
        <v>1964</v>
      </c>
      <c r="F228" s="2321"/>
      <c r="G228" s="294">
        <v>0.05</v>
      </c>
      <c r="H228" s="2199" t="s">
        <v>868</v>
      </c>
      <c r="I228" s="1329"/>
      <c r="J228" s="1329"/>
    </row>
    <row r="229" spans="1:10">
      <c r="A229" t="s">
        <v>869</v>
      </c>
      <c r="G229" s="294">
        <v>0</v>
      </c>
      <c r="H229" s="2199" t="s">
        <v>868</v>
      </c>
      <c r="I229" s="1796"/>
      <c r="J229" s="1329"/>
    </row>
    <row r="230" spans="1:10">
      <c r="A230" t="s">
        <v>2071</v>
      </c>
      <c r="G230" s="1435">
        <v>3500</v>
      </c>
      <c r="H230" s="2200" t="s">
        <v>2072</v>
      </c>
      <c r="I230" s="1512" t="s">
        <v>301</v>
      </c>
      <c r="J230" s="1329"/>
    </row>
    <row r="231" spans="1:10">
      <c r="G231" s="760"/>
    </row>
    <row r="232" spans="1:10">
      <c r="A232" s="512" t="s">
        <v>870</v>
      </c>
      <c r="B232" s="513"/>
      <c r="C232" s="513"/>
      <c r="D232" s="513"/>
      <c r="E232" s="514"/>
      <c r="F232" s="2621" t="s">
        <v>55</v>
      </c>
      <c r="G232" s="2622" t="s">
        <v>56</v>
      </c>
      <c r="H232" s="2622" t="s">
        <v>57</v>
      </c>
      <c r="I232" s="1329"/>
      <c r="J232" s="515" t="s">
        <v>697</v>
      </c>
    </row>
    <row r="233" spans="1:10">
      <c r="A233" s="64" t="s">
        <v>871</v>
      </c>
      <c r="B233" s="64"/>
      <c r="C233" s="64"/>
      <c r="F233" s="57">
        <v>0</v>
      </c>
      <c r="G233" s="60" t="str">
        <f>IF(F233&lt;&gt;1,"",SUM(F$233:F233))</f>
        <v/>
      </c>
      <c r="H233" s="57">
        <v>1</v>
      </c>
      <c r="J233" s="84" t="str">
        <f>IF(COUNTA($A233:$A$233)&lt;=MAX(DS_ProAppSource_Sequence)=TRUE,LOOKUP(COUNTA($A233:$A$233),DS_ProAppSource_Sequence,DS_ProAppSource_Name),"")</f>
        <v>Regulated Mortgage Lender</v>
      </c>
    </row>
    <row r="234" spans="1:10">
      <c r="A234" s="64" t="s">
        <v>872</v>
      </c>
      <c r="B234" s="64"/>
      <c r="C234" s="64"/>
      <c r="F234" s="57">
        <v>0</v>
      </c>
      <c r="G234" s="60" t="str">
        <f>IF(F234&lt;&gt;1,"",SUM(F$233:F234))</f>
        <v/>
      </c>
      <c r="H234" s="57">
        <v>2</v>
      </c>
      <c r="J234" s="84" t="str">
        <f>IF(COUNTA($A$233:$A234)&lt;=MAX(DS_ProAppSource_Sequence)=TRUE,LOOKUP(COUNTA($A$233:$A234),DS_ProAppSource_Sequence,DS_ProAppSource_Name),"")</f>
        <v>Local Government Subsidy</v>
      </c>
    </row>
    <row r="235" spans="1:10">
      <c r="A235" s="64" t="s">
        <v>873</v>
      </c>
      <c r="B235" s="64"/>
      <c r="C235" s="64"/>
      <c r="F235" s="57">
        <v>1</v>
      </c>
      <c r="G235" s="60">
        <f>IF(F235&lt;&gt;1,"",SUM(F$233:F235))</f>
        <v>1</v>
      </c>
      <c r="H235" s="57">
        <v>3</v>
      </c>
      <c r="J235" s="84" t="str">
        <f>IF(COUNTA($A$233:$A235)&lt;=MAX(DS_ProAppSource_Sequence)=TRUE,LOOKUP(COUNTA($A$233:$A235),DS_ProAppSource_Sequence,DS_ProAppSource_Name),"")</f>
        <v>Grant</v>
      </c>
    </row>
    <row r="236" spans="1:10">
      <c r="A236" s="64" t="s">
        <v>874</v>
      </c>
      <c r="B236" s="64"/>
      <c r="C236" s="64"/>
      <c r="F236" s="57">
        <v>1</v>
      </c>
      <c r="G236" s="60">
        <f>IF(F236&lt;&gt;1,"",SUM(F$233:F236))</f>
        <v>2</v>
      </c>
      <c r="H236" s="57">
        <v>4</v>
      </c>
      <c r="J236" s="84" t="str">
        <f>IF(COUNTA($A$233:$A236)&lt;=MAX(DS_ProAppSource_Sequence)=TRUE,LOOKUP(COUNTA($A$233:$A236),DS_ProAppSource_Sequence,DS_ProAppSource_Name),"")</f>
        <v>Seller Financing</v>
      </c>
    </row>
    <row r="237" spans="1:10">
      <c r="A237" s="64" t="s">
        <v>132</v>
      </c>
      <c r="B237" s="64"/>
      <c r="C237" s="64"/>
      <c r="F237" s="57">
        <v>1</v>
      </c>
      <c r="G237" s="60">
        <f>IF(F237&lt;&gt;1,"",SUM(F$233:F237))</f>
        <v>3</v>
      </c>
      <c r="H237" s="57">
        <v>5</v>
      </c>
      <c r="J237" s="84" t="str">
        <f>IF(COUNTA($A$233:$A237)&lt;=MAX(DS_ProAppSource_Sequence)=TRUE,LOOKUP(COUNTA($A$233:$A237),DS_ProAppSource_Sequence,DS_ProAppSource_Name),"")</f>
        <v>State Legislation</v>
      </c>
    </row>
    <row r="238" spans="1:10">
      <c r="A238" s="64" t="s">
        <v>875</v>
      </c>
      <c r="B238" s="64"/>
      <c r="C238" s="64"/>
      <c r="F238" s="57">
        <v>0</v>
      </c>
      <c r="G238" s="60" t="str">
        <f>IF(F238&lt;&gt;1,"",SUM(F$233:F238))</f>
        <v/>
      </c>
      <c r="H238" s="57">
        <v>6</v>
      </c>
      <c r="J238" s="84" t="str">
        <f>IF(COUNTA($A$233:$A238)&lt;=MAX(DS_ProAppSource_Sequence)=TRUE,LOOKUP(COUNTA($A$233:$A238),DS_ProAppSource_Sequence,DS_ProAppSource_Name),"")</f>
        <v>Other</v>
      </c>
    </row>
    <row r="239" spans="1:10">
      <c r="A239" s="64" t="s">
        <v>876</v>
      </c>
      <c r="B239" s="64"/>
      <c r="C239" s="64"/>
      <c r="F239" s="57">
        <v>0</v>
      </c>
      <c r="G239" s="60" t="str">
        <f>IF(F239&lt;&gt;1,"",SUM(F$233:F239))</f>
        <v/>
      </c>
      <c r="H239" s="57">
        <v>7</v>
      </c>
      <c r="J239" s="84" t="str">
        <f>IF(COUNTA($A$233:$A239)&lt;=MAX(DS_ProAppSource_Sequence)=TRUE,LOOKUP(COUNTA($A$233:$A239),DS_ProAppSource_Sequence,DS_ProAppSource_Name),"")</f>
        <v/>
      </c>
    </row>
    <row r="240" spans="1:10">
      <c r="A240" s="64" t="s">
        <v>877</v>
      </c>
      <c r="B240" s="64"/>
      <c r="C240" s="64"/>
      <c r="F240" s="57">
        <v>1</v>
      </c>
      <c r="G240" s="60">
        <f>IF(F240&lt;&gt;1,"",SUM(F$233:F240))</f>
        <v>4</v>
      </c>
      <c r="H240" s="57">
        <v>8</v>
      </c>
      <c r="J240" s="84" t="str">
        <f>IF(COUNTA($A$233:$A240)&lt;=MAX(DS_ProAppSource_Sequence)=TRUE,LOOKUP(COUNTA($A$233:$A240),DS_ProAppSource_Sequence,DS_ProAppSource_Name),"")</f>
        <v/>
      </c>
    </row>
    <row r="241" spans="1:13">
      <c r="A241" s="64" t="s">
        <v>878</v>
      </c>
      <c r="B241" s="64"/>
      <c r="C241" s="64"/>
      <c r="F241" s="57">
        <v>1</v>
      </c>
      <c r="G241" s="60">
        <f>IF(F241&lt;&gt;1,"",SUM(F$233:F241))</f>
        <v>5</v>
      </c>
      <c r="H241" s="57">
        <v>9</v>
      </c>
      <c r="J241" s="84" t="str">
        <f>IF(COUNTA($A$233:$A241)&lt;=MAX(DS_ProAppSource_Sequence)=TRUE,LOOKUP(COUNTA($A$233:$A241),DS_ProAppSource_Sequence,DS_ProAppSource_Name),"")</f>
        <v/>
      </c>
    </row>
    <row r="242" spans="1:13">
      <c r="A242" s="64" t="s">
        <v>124</v>
      </c>
      <c r="B242" s="64"/>
      <c r="C242" s="64"/>
      <c r="F242" s="57">
        <v>0</v>
      </c>
      <c r="G242" s="60" t="str">
        <f>IF(F242&lt;&gt;1,"",SUM(F$233:F242))</f>
        <v/>
      </c>
      <c r="H242" s="57">
        <v>10</v>
      </c>
      <c r="J242" s="84" t="str">
        <f>IF(COUNTA($A$233:$A242)&lt;=MAX(DS_ProAppSource_Sequence)=TRUE,LOOKUP(COUNTA($A$233:$A242),DS_ProAppSource_Sequence,DS_ProAppSource_Name),"")</f>
        <v/>
      </c>
    </row>
    <row r="243" spans="1:13">
      <c r="A243" s="64" t="s">
        <v>125</v>
      </c>
      <c r="B243" s="64"/>
      <c r="C243" s="64"/>
      <c r="F243" s="57">
        <v>0</v>
      </c>
      <c r="G243" s="60" t="str">
        <f>IF(F243&lt;&gt;1,"",SUM(F$233:F243))</f>
        <v/>
      </c>
      <c r="H243" s="57">
        <v>11</v>
      </c>
      <c r="J243" s="84" t="str">
        <f>IF(COUNTA($A$233:$A243)&lt;=MAX(DS_ProAppSource_Sequence)=TRUE,LOOKUP(COUNTA($A$233:$A243),DS_ProAppSource_Sequence,DS_ProAppSource_Name),"")</f>
        <v/>
      </c>
    </row>
    <row r="244" spans="1:13">
      <c r="A244" s="64" t="s">
        <v>126</v>
      </c>
      <c r="B244" s="64"/>
      <c r="C244" s="64"/>
      <c r="F244" s="57">
        <v>0</v>
      </c>
      <c r="G244" s="60" t="str">
        <f>IF(F244&lt;&gt;1,"",SUM(F$233:F244))</f>
        <v/>
      </c>
      <c r="H244" s="57">
        <v>12</v>
      </c>
      <c r="J244" s="84" t="str">
        <f>IF(COUNTA($A$233:$A244)&lt;=MAX(DS_ProAppSource_Sequence)=TRUE,LOOKUP(COUNTA($A$233:$A244),DS_ProAppSource_Sequence,DS_ProAppSource_Name),"")</f>
        <v/>
      </c>
    </row>
    <row r="245" spans="1:13">
      <c r="A245" s="1918" t="s">
        <v>879</v>
      </c>
      <c r="B245" s="1918"/>
      <c r="C245" s="1918"/>
      <c r="F245" s="57">
        <v>0</v>
      </c>
      <c r="G245" s="1917"/>
      <c r="H245" s="57">
        <v>13</v>
      </c>
      <c r="J245" s="84" t="str">
        <f>IF(COUNTA($A$233:$A245)&lt;=MAX(DS_ProAppSource_Sequence)=TRUE,LOOKUP(COUNTA($A$233:$A245),DS_ProAppSource_Sequence,DS_ProAppSource_Name),"")</f>
        <v/>
      </c>
    </row>
    <row r="246" spans="1:13">
      <c r="A246" s="64" t="s">
        <v>142</v>
      </c>
      <c r="B246" s="64"/>
      <c r="C246" s="64"/>
      <c r="F246" s="57">
        <v>1</v>
      </c>
      <c r="G246" s="60">
        <f>IF(F246&lt;&gt;1,"",SUM(F$233:F246))</f>
        <v>6</v>
      </c>
      <c r="H246" s="57">
        <v>14</v>
      </c>
      <c r="J246" s="84" t="str">
        <f>IF(COUNTA($A$233:$A246)&lt;=MAX(DS_ProAppSource_Sequence)=TRUE,LOOKUP(COUNTA($A$233:$A246),DS_ProAppSource_Sequence,DS_ProAppSource_Name),"")</f>
        <v/>
      </c>
    </row>
    <row r="248" spans="1:13">
      <c r="A248" s="512" t="s">
        <v>1940</v>
      </c>
      <c r="B248" s="513"/>
      <c r="C248" s="513"/>
      <c r="D248" s="513"/>
      <c r="E248" s="514"/>
      <c r="F248" s="2620" t="s">
        <v>834</v>
      </c>
      <c r="G248" s="2321"/>
      <c r="H248" s="1329"/>
    </row>
    <row r="249" spans="1:13">
      <c r="A249" s="408" t="s">
        <v>1941</v>
      </c>
      <c r="C249" s="1269" t="s">
        <v>1946</v>
      </c>
      <c r="D249" s="1269" t="s">
        <v>1947</v>
      </c>
      <c r="E249" s="1269" t="s">
        <v>1948</v>
      </c>
      <c r="F249" s="567" t="s">
        <v>1489</v>
      </c>
      <c r="G249" s="567" t="s">
        <v>1949</v>
      </c>
      <c r="H249" s="1270" t="s">
        <v>1950</v>
      </c>
      <c r="I249" s="567" t="s">
        <v>1951</v>
      </c>
      <c r="J249" s="421" t="s">
        <v>1952</v>
      </c>
    </row>
    <row r="250" spans="1:13">
      <c r="A250" s="1279" t="s">
        <v>1942</v>
      </c>
      <c r="C250" s="1283">
        <f>N(SAIL_Request_Amount)+N(ELI_Request_Amount)</f>
        <v>0</v>
      </c>
      <c r="D250" s="1283">
        <f>N(Max_SAIL)+N(Max_ELI)</f>
        <v>0</v>
      </c>
      <c r="E250" s="1283">
        <f>N(Eligible_SAIL_Request_Amount)+N(Eligible_ELI_Request_Amount)</f>
        <v>0</v>
      </c>
      <c r="F250" s="1278">
        <f>IF(E250&gt;0,1,0)</f>
        <v>0</v>
      </c>
      <c r="G250" s="2241">
        <f>IF($F250=0,0,COUNTIF($F$250:$F250,$F250))</f>
        <v>0</v>
      </c>
      <c r="H250" s="2242" t="s">
        <v>137</v>
      </c>
      <c r="I250" s="1278">
        <v>1</v>
      </c>
      <c r="J250" s="1271" t="str">
        <f>IFERROR(VLOOKUP(1,Track_Funding,2,FALSE),"")</f>
        <v/>
      </c>
    </row>
    <row r="251" spans="1:13">
      <c r="A251" s="1279" t="s">
        <v>1943</v>
      </c>
      <c r="C251" s="1283">
        <f>IF(AND(Funding!N214=1,N(Eligible_NHTF_Request_Amount)&gt;0),N(NHTF_Request_Amount),IF(AND(OR(Funding!L228&gt;0,Funding!L221&gt;0),N(NHTF_Funding_Combined_Units)&gt;0),N(NHTF_Funding_Combined_Units),0))</f>
        <v>0</v>
      </c>
      <c r="D251" s="1283">
        <f>IF(AND(Funding!N214=1,N(Eligible_NHTF_Request_Amount)&gt;0),N(Max_NHTF),IF(AND(OR(Funding!L228&gt;0,Funding!L221&gt;0),N(NHTF_Funding_Combined_Units)&gt;0),N(NHTF_Funding_Combined_Units),0))</f>
        <v>0</v>
      </c>
      <c r="E251" s="1283">
        <f>IF(AND(Funding!N214=1,N(Eligible_NHTF_Request_Amount)&gt;0),N(Eligible_NHTF_Request_Amount),IF(AND(OR(Funding!L228&gt;0,Funding!L221&gt;0),N(NHTF_Funding_Combined_Units)&gt;0),N(NHTF_Funding_Combined_Units),0))</f>
        <v>0</v>
      </c>
      <c r="F251" s="1278">
        <f t="shared" ref="F251:F257" si="4">IF(E251&gt;0,1,0)</f>
        <v>0</v>
      </c>
      <c r="G251" s="2243">
        <f>IF($F251=0,0,COUNTIF($F$250:$F251,$F251))</f>
        <v>0</v>
      </c>
      <c r="H251" s="2244" t="s">
        <v>117</v>
      </c>
      <c r="I251" s="1278">
        <v>2</v>
      </c>
      <c r="J251" s="1272" t="str">
        <f>IFERROR(VLOOKUP(2,Track_Funding,2,FALSE),"")</f>
        <v/>
      </c>
      <c r="M251" s="2624"/>
    </row>
    <row r="252" spans="1:13">
      <c r="A252" s="1279" t="s">
        <v>115</v>
      </c>
      <c r="C252" s="1283">
        <f>N(HOME_Request_Amount)</f>
        <v>0</v>
      </c>
      <c r="D252" s="1283">
        <f>N(Max_HOME)</f>
        <v>0</v>
      </c>
      <c r="E252" s="1283">
        <f>N(Eligible_HOME_Request_Amount)</f>
        <v>0</v>
      </c>
      <c r="F252" s="1278">
        <f t="shared" si="4"/>
        <v>0</v>
      </c>
      <c r="G252" s="2243">
        <f>IF($F252=0,0,COUNTIF($F$250:$F252,$F252))</f>
        <v>0</v>
      </c>
      <c r="H252" s="2244" t="s">
        <v>115</v>
      </c>
      <c r="I252" s="1278">
        <v>3</v>
      </c>
      <c r="J252" s="1272" t="str">
        <f>IFERROR(VLOOKUP(3,Track_Funding,2,FALSE),"")</f>
        <v/>
      </c>
    </row>
    <row r="253" spans="1:13">
      <c r="A253" s="1279" t="s">
        <v>1944</v>
      </c>
      <c r="C253" s="1283" cm="1">
        <f t="array" ref="C253">N(RRLP_Base_Request_Amount)+N(RRLP_ELI_Request_Amount)</f>
        <v>0</v>
      </c>
      <c r="D253" s="1283" cm="1">
        <f t="array" ref="D253">N(Max_RRLP_Base)+N(Max_RRLP_ELI)</f>
        <v>0</v>
      </c>
      <c r="E253" s="1283" cm="1">
        <f t="array" ref="E253">N(Eligible_RRLP_Base_Request_Amount)+N(Eligible_RRLP_ELI_Request_Amount)</f>
        <v>0</v>
      </c>
      <c r="F253" s="1278">
        <f t="shared" si="4"/>
        <v>0</v>
      </c>
      <c r="G253" s="2243">
        <f>IF($F253=0,0,COUNTIF($F$250:$F253,$F253))</f>
        <v>0</v>
      </c>
      <c r="H253" s="2244" t="s">
        <v>136</v>
      </c>
      <c r="I253" s="1278">
        <v>4</v>
      </c>
      <c r="J253" s="1272" t="str">
        <f>IFERROR(VLOOKUP(4,Track_Funding,2,FALSE),"")</f>
        <v/>
      </c>
    </row>
    <row r="254" spans="1:13">
      <c r="A254" s="1279" t="s">
        <v>609</v>
      </c>
      <c r="C254" s="1283">
        <f>IF(AND(Funding!N167=1,N(Eligible_HOME_ARP_Request_Amount)&gt;0),N(Eligible_HOME_ARP_Request_Amount),IF(AND(OR(Funding!L181&gt;0,Funding!L183&gt;0),N(HOME_ARP_Funding_Combined_Units)&gt;0),N(HOME_ARP_Funding_Combined_Units),IF(AND(Funding!N192&gt;0,N(ARP_Request_Amount)&gt;0),N(ARP_Request_Amount),0)))</f>
        <v>0</v>
      </c>
      <c r="D254" s="1283">
        <f>IF(AND(Funding!N167=1,N(Eligible_HOME_ARP_Request_Amount)&gt;0),N(Max_HOME_ARP),IF(AND(OR(Funding!L181&gt;0,Funding!L183&gt;0),N(HOME_ARP_Funding_Combined_Units)&gt;0),N(HOME_ARP_Funding_Combined_Units),IF(AND(Funding!N192&gt;0,N(ARP_Request_Amount)&gt;0),N(Max_ARP),0)))</f>
        <v>0</v>
      </c>
      <c r="E254" s="1283">
        <f>IF(AND(Funding!N167=1,N(Eligible_HOME_ARP_Request_Amount)&gt;0),N(Eligible_HOME_ARP_Request_Amount),IF(AND(OR(Funding!L181&gt;0,Funding!L183&gt;0),N(HOME_ARP_Funding_Combined_Units)&gt;0),N(HOME_ARP_Funding_Combined_Units),IF(AND(Funding!N192&gt;0,N(ARP_Request_Amount)&gt;0),N(Eligible_ARP_Request_Amount),0)))</f>
        <v>0</v>
      </c>
      <c r="F254" s="1278">
        <f t="shared" si="4"/>
        <v>0</v>
      </c>
      <c r="G254" s="2243">
        <f>IF($F254=0,0,COUNTIF($F$250:$F254,$F254))</f>
        <v>0</v>
      </c>
      <c r="H254" s="2244" t="s">
        <v>609</v>
      </c>
      <c r="I254" s="1278">
        <v>5</v>
      </c>
      <c r="J254" s="1273" t="str">
        <f>IFERROR(VLOOKUP(5,Track_Funding,2,FALSE),"")</f>
        <v/>
      </c>
    </row>
    <row r="255" spans="1:13">
      <c r="A255" s="1279" t="s">
        <v>132</v>
      </c>
      <c r="C255" s="1283">
        <f>N(Grant_Request_Amount)</f>
        <v>0</v>
      </c>
      <c r="D255" s="1283">
        <f>N(Max_Grant)</f>
        <v>0</v>
      </c>
      <c r="E255" s="1283">
        <f>N(Eligible_Grant_Request_Amount)</f>
        <v>0</v>
      </c>
      <c r="F255" s="1278">
        <f t="shared" si="4"/>
        <v>0</v>
      </c>
      <c r="G255" s="2243">
        <f>IF($F255=0,0,COUNTIF($F$250:$F255,$F255))</f>
        <v>0</v>
      </c>
      <c r="H255" s="2244" t="s">
        <v>132</v>
      </c>
      <c r="I255" s="1278">
        <v>6</v>
      </c>
    </row>
    <row r="256" spans="1:13">
      <c r="A256" s="1279" t="s">
        <v>1945</v>
      </c>
      <c r="C256" s="1724">
        <f>N(CDBG_DR_Dev_Request_Amount)+N(CDBG_DR_Land_Request_Amount)</f>
        <v>0</v>
      </c>
      <c r="D256" s="1724">
        <f>N(Max_CDBG_DR_Land)+N(Max_CDBG_DR_Dev)</f>
        <v>0</v>
      </c>
      <c r="E256" s="1724">
        <f>N(Eligible_CDBG_DR_Land_Request_Amount)+N(Eligible_CDBG_DR_Dev_Request_Amount)</f>
        <v>0</v>
      </c>
      <c r="F256" s="1278">
        <f t="shared" si="4"/>
        <v>0</v>
      </c>
      <c r="G256" s="2243">
        <f>IF($F256=0,0,COUNTIF($F$250:$F256,$F256))</f>
        <v>0</v>
      </c>
      <c r="H256" s="2244" t="s">
        <v>116</v>
      </c>
      <c r="I256" s="1278">
        <v>7</v>
      </c>
    </row>
    <row r="257" spans="1:25">
      <c r="A257" s="1279" t="s">
        <v>85</v>
      </c>
      <c r="C257" s="1283">
        <f>N(Workforce_Request_Amount)</f>
        <v>0</v>
      </c>
      <c r="D257" s="1283">
        <f>N(Max_Workforce)</f>
        <v>0</v>
      </c>
      <c r="E257" s="1283">
        <f>N(Eligible_Workforce_Request_Amount)</f>
        <v>0</v>
      </c>
      <c r="F257" s="1278">
        <f t="shared" si="4"/>
        <v>0</v>
      </c>
      <c r="G257" s="2245">
        <f>IF($F257=0,0,COUNTIF($F$250:$F257,$F257))</f>
        <v>0</v>
      </c>
      <c r="H257" s="2246" t="s">
        <v>85</v>
      </c>
      <c r="I257" s="1278">
        <v>8</v>
      </c>
    </row>
    <row r="258" spans="1:25">
      <c r="O258" s="857"/>
      <c r="P258" s="312"/>
    </row>
    <row r="259" spans="1:25">
      <c r="O259" s="857"/>
      <c r="P259" s="312"/>
    </row>
    <row r="260" spans="1:25">
      <c r="A260" s="2933" t="s">
        <v>657</v>
      </c>
      <c r="B260" s="2934"/>
      <c r="C260" s="2934"/>
      <c r="D260" s="2934"/>
      <c r="E260" s="2934"/>
      <c r="F260" s="2934"/>
      <c r="G260" s="2934"/>
      <c r="H260" s="2934"/>
      <c r="I260" s="2934"/>
      <c r="J260" s="2934"/>
      <c r="K260" s="2934"/>
      <c r="L260" s="2934"/>
      <c r="M260" s="2934"/>
      <c r="N260" s="2253"/>
      <c r="O260" s="2253"/>
      <c r="P260" s="2253"/>
      <c r="Q260" s="2253"/>
    </row>
    <row r="261" spans="1:25" s="2057" customFormat="1" ht="25.5">
      <c r="A261" s="2234"/>
      <c r="B261" s="2235" t="s">
        <v>658</v>
      </c>
      <c r="C261" s="2235" t="s">
        <v>659</v>
      </c>
      <c r="D261" s="2235" t="s">
        <v>660</v>
      </c>
      <c r="E261" s="2236" t="s">
        <v>661</v>
      </c>
      <c r="F261" s="2919" t="s">
        <v>662</v>
      </c>
      <c r="G261" s="2920"/>
      <c r="H261" s="2920"/>
      <c r="I261" s="2920"/>
      <c r="J261" s="2920"/>
      <c r="K261" s="2920"/>
      <c r="L261" s="2921"/>
      <c r="M261" s="2235" t="s">
        <v>663</v>
      </c>
      <c r="T261" s="2237"/>
      <c r="U261" s="2237"/>
      <c r="V261" s="2237"/>
      <c r="W261" s="2237"/>
      <c r="X261" s="2237"/>
      <c r="Y261" s="2237"/>
    </row>
    <row r="262" spans="1:25" s="879" customFormat="1" ht="12.75">
      <c r="A262" s="2229" t="str">
        <f>IF(B262="Workforce",1,IF(B262="SAIL",2,IF(B262="HOME",3,IF(B262="HOME-ARP",4,IF(B262="Grant",5,IF(B262="NHTF",6,IF(B262="TBD",7,IF(B262="RRLP",8,IF(B262="CDBG-DR",9,"")))))))))</f>
        <v/>
      </c>
      <c r="B262" s="2230" t="str">
        <f>IFERROR(VLOOKUP(1,Track_Funding,2,FALSE),"")</f>
        <v/>
      </c>
      <c r="C262" s="2250" t="str">
        <f>CHOOSE(N(A262)+1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2" s="2229" t="str">
        <f>CHOOSE(N(A262)+1,"Enter request on Funding Tab","FHFC - Workforce","FHFC - SAIL","FHFC - HOME","FHFC - HOME-ARP","FHFC - Grant","FHFC - NHTF","FHFC - TBD","FHFC - RRLP","FHFC - CDBG-DR","")</f>
        <v>Enter request on Funding Tab</v>
      </c>
      <c r="E262" s="2238" t="str" cm="1">
        <f t="array" ref="E262">CHOOSE(N(A262)+1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f>
        <v/>
      </c>
      <c r="F262" s="2922" t="str">
        <f>IF(N(DS_FHFC_Source_1_Amt)&gt;N(DS_FHFC_Source_1_Max_Amt),"The "&amp;TEXT(DS_FHFC_Source_1_Name,"0")&amp;" request amount has been adjusted to the Maximum of "&amp;TEXT(N(DS_FHFC_Source_1_Max_Amt),"$#,##0")&amp;".","")</f>
        <v/>
      </c>
      <c r="G262" s="2923"/>
      <c r="H262" s="2923"/>
      <c r="I262" s="2923"/>
      <c r="J262" s="2923"/>
      <c r="K262" s="2923"/>
      <c r="L262" s="2923"/>
      <c r="M262" s="2231" t="str">
        <f>IF(N(DS_FHFC_Source_1_Amt)&gt;N(DS_FHFC_Source_1_Max_Amt),DS_FHFC_Source_1_Label,"")</f>
        <v/>
      </c>
      <c r="T262" s="2228"/>
      <c r="U262" s="2228"/>
      <c r="V262" s="2228"/>
      <c r="W262" s="2228"/>
      <c r="X262" s="2228"/>
      <c r="Y262" s="2228"/>
    </row>
    <row r="263" spans="1:25" s="879" customFormat="1" ht="12.75">
      <c r="A263" s="2229" t="str">
        <f>IF(B263="Workforce",1,IF(B263="SAIL",2,IF(B263="HOME",3,IF(B263="HOME-ARP",4,IF(B263="Grant",5,IF(B263="NHTF",6,IF(B263="TBD",7,IF(B263="RRLP",8,IF(B263="CDBG-DR",9,"")))))))))</f>
        <v/>
      </c>
      <c r="B263" s="2230" t="str">
        <f>IFERROR(VLOOKUP(2,Track_Funding,2,FALSE),"")</f>
        <v/>
      </c>
      <c r="C263" s="2250" t="str">
        <f>CHOOSE(N(A263)+1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3" s="2229" t="str">
        <f>CHOOSE(N(A263)+1,"Enter request on Funding Tab","FHFC - Workforce","FHFC - SAIL","FHFC - HOME","FHFC - HOME-ARP","FHFC - Grant","FHFC - NHTF","FHFC - TBD","FHFC - RRLP","FHFC - CDBG-DR","")</f>
        <v>Enter request on Funding Tab</v>
      </c>
      <c r="E263" s="2238" t="str" cm="1">
        <f t="array" ref="E263">CHOOSE(N(A263)+1,"",N(Max_Workforce),MIN(N(Max_SAIL),N(SAIL_Request_Amount))+MIN(N(Max_ELI),N(ELI_Request_Amount)),N(Max_HOME),N(DS_HOMEARPMAX),N(Max_Grant),IF(Funding!N223&gt;0,N(Max_NHTF),N(NHTF_Funding_Combined_Units)),N(Max_TBD),MIN(N(Max_RRLP_Base),N(RRLP_Base_Request_Amount))+MIN(N(Max_RRLP_ELI),N(RRLP_ELI_Request_Amount)),MIN(N(Max_CDBG_DR_Land),N(CDBG_DR_Land_Request_Amount))+MIN(N(Max_CDBG_DR_Dev),N(CDBG_DR_Dev_Request_Amount)),"")</f>
        <v/>
      </c>
      <c r="F263" s="2922" t="str">
        <f>IF(N(DS_FHFC_Source_2_Amt)&gt;N(DS_FHFC_Source_2_Max_Amt),"The "&amp;TEXT(DS_FHFC_Source_2_Name,"0")&amp;" request amount has been adjusted to the Maximum of "&amp;TEXT(N(DS_FHFC_Source_2_Max_Amt),"$#,##0")&amp;".","")</f>
        <v/>
      </c>
      <c r="G263" s="2923"/>
      <c r="H263" s="2923"/>
      <c r="I263" s="2923"/>
      <c r="J263" s="2923"/>
      <c r="K263" s="2923"/>
      <c r="L263" s="2923"/>
      <c r="M263" s="2231" t="str">
        <f>IF(N(DS_FHFC_Source_2_Amt)&gt;N(DS_FHFC_Source_2_Max_Amt),DS_FHFC_Source_2_Label,"")</f>
        <v/>
      </c>
      <c r="T263" s="2232" t="s">
        <v>1954</v>
      </c>
      <c r="U263" s="2228"/>
      <c r="V263" s="2228"/>
      <c r="W263" s="2228"/>
      <c r="X263" s="2228"/>
      <c r="Y263" s="2228"/>
    </row>
    <row r="264" spans="1:25" s="879" customFormat="1" ht="12.75">
      <c r="A264" s="2229" t="str">
        <f>IF(B264="Workforce",1,IF(B264="SAIL",2,IF(B264="HOME",3,IF(B264="HOME-ARP",4,IF(B264="Grant",5,IF(B264="NHTF",6,IF(B264="TBD",7,IF(B264="RRLP",8,IF(B264="CDBG-DR",9,"")))))))))</f>
        <v/>
      </c>
      <c r="B264" s="2230" t="str">
        <f>IFERROR(VLOOKUP(3,Track_Funding,2,FALSE),"")</f>
        <v/>
      </c>
      <c r="C264" s="2250" t="str">
        <f>CHOOSE(N(A264)+1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4" s="2229" t="str">
        <f>CHOOSE(N(A264)+1,"Enter request on Funding Tab","FHFC - Workforce","FHFC - SAIL","FHFC - HOME","FHFC - HOME-ARP","FHFC - Grant","FHFC - NHTF","FHFC - TBD","FHFC - RRLP","FHFC - CDBG-DR","")</f>
        <v>Enter request on Funding Tab</v>
      </c>
      <c r="E264" s="2238" t="str" cm="1">
        <f t="array" ref="E264">CHOOSE(N(A264)+1,"",N(Max_Workforce),MIN(N(Max_SAIL),N(SAIL_Request_Amount))+MIN(N(Max_ELI),N(ELI_Request_Amount)),N(Max_HOME),N(DS_HOMEARPMAX),N(Max_Grant),IF(Funding!N224&gt;0,N(Max_NHTF),N(NHTF_Funding_Combined_Units)),N(Max_TBD),MIN(N(Max_RRLP_Base),N(RRLP_Base_Request_Amount))+MIN(N(Max_RRLP_ELI),N(RRLP_ELI_Request_Amount)),MIN(N(Max_CDBG_DR_Land),N(CDBG_DR_Land_Request_Amount))+MIN(N(Max_CDBG_DR_Dev),N(CDBG_DR_Dev_Request_Amount)),"")</f>
        <v/>
      </c>
      <c r="F264" s="2922" t="str">
        <f>IF(N(DS_FHFC_Source_3_Amt)&gt;N(DS_FHFC_Source_3_Max_Amt),"The "&amp;TEXT(DS_FHFC_Source_3_Name,"0")&amp;" request amount has been adjusted to the Maximum of "&amp;TEXT(N(DS_FHFC_Source_3_Max_Amt),"$#,##0")&amp;".","")</f>
        <v/>
      </c>
      <c r="G264" s="2923"/>
      <c r="H264" s="2923"/>
      <c r="I264" s="2923"/>
      <c r="J264" s="2923"/>
      <c r="K264" s="2923"/>
      <c r="L264" s="2923"/>
      <c r="M264" s="2231" t="str">
        <f>IF(N(DS_FHFC_Source_3_Amt)&gt;N(DS_FHFC_Source_3_Max_Amt),DS_FHFC_Source_3_Label,"")</f>
        <v/>
      </c>
      <c r="T264" s="2228"/>
      <c r="U264" s="2228"/>
      <c r="V264" s="2228"/>
      <c r="W264" s="2228"/>
      <c r="X264" s="2228"/>
      <c r="Y264" s="2228"/>
    </row>
    <row r="265" spans="1:25" s="879" customFormat="1" ht="12.75">
      <c r="A265" s="2229" t="str">
        <f>IF(B265="Workforce",1,IF(B265="SAIL",2,IF(B265="HOME",3,IF(B265="HOME-ARP",4,IF(B265="Grant",5,IF(B265="NHTF",6,IF(B265="TBD",7,IF(B265="RRLP",8,IF(B265="CDBG-DR",9,"")))))))))</f>
        <v/>
      </c>
      <c r="B265" s="2230" t="str">
        <f>IFERROR(VLOOKUP(4,Track_Funding,2,FALSE),"")</f>
        <v/>
      </c>
      <c r="C265" s="2250" t="str">
        <f>CHOOSE(N(A265)+1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5" s="2229" t="str">
        <f>CHOOSE(N(A265)+1,"Enter request on Funding Tab","FHFC - Workforce","FHFC - SAIL","FHFC - HOME","FHFC - HOME-ARP","FHFC - Grant","FHFC - NHTF","FHFC - TBD","FHFC - RRLP","FHFC - CDBG-DR","")</f>
        <v>Enter request on Funding Tab</v>
      </c>
      <c r="E265" s="2238" t="str" cm="1">
        <f t="array" ref="E265">CHOOSE(N(A265)+1,"",N(Max_Workforce),MIN(N(Max_SAIL),N(SAIL_Request_Amount))+MIN(N(Max_ELI),N(ELI_Request_Amount)),N(Max_HOME),N(DS_HOMEARPMAX),N(Max_Grant),IF(Funding!N225&gt;0,N(Max_NHTF),N(NHTF_Funding_Combined_Units)),N(Max_TBD),MIN(N(Max_RRLP_Base),N(RRLP_Base_Request_Amount))+MIN(N(Max_RRLP_ELI),N(RRLP_ELI_Request_Amount)),MIN(N(Max_CDBG_DR_Land),N(CDBG_DR_Land_Request_Amount))+MIN(N(Max_CDBG_DR_Dev),N(CDBG_DR_Dev_Request_Amount)),"")</f>
        <v/>
      </c>
      <c r="F265" s="2922" t="str">
        <f>IF(N(DS_FHFC_Source_4_Amt)&gt;N(DS_FHFC_Source_4_Max_Amt),"The "&amp;TEXT(DS_FHFC_Source_4_Name,"0")&amp;" request amount has been adjusted to the Maximum of "&amp;TEXT(N(DS_FHFC_Source_4_Max_Amt),"$#,##0")&amp;".","")</f>
        <v/>
      </c>
      <c r="G265" s="2923"/>
      <c r="H265" s="2923"/>
      <c r="I265" s="2923"/>
      <c r="J265" s="2923"/>
      <c r="K265" s="2923"/>
      <c r="L265" s="2923"/>
      <c r="M265" s="2231" t="str">
        <f>IF(N(DS_FHFC_Source_4_Amt)&gt;N(DS_FHFC_Source_4_Max_Amt),DS_FHFC_Source_4_Label,"")</f>
        <v/>
      </c>
      <c r="T265" s="2228"/>
      <c r="U265" s="2228"/>
      <c r="V265" s="2228"/>
      <c r="W265" s="2228"/>
      <c r="X265" s="2228"/>
      <c r="Y265" s="2228"/>
    </row>
    <row r="266" spans="1:25" s="879" customFormat="1" ht="12.75">
      <c r="C266" s="2251"/>
      <c r="E266" s="2239"/>
    </row>
    <row r="267" spans="1:25" s="879" customFormat="1" ht="12.75">
      <c r="A267" s="2233" t="s">
        <v>664</v>
      </c>
      <c r="B267" s="2233" t="str">
        <f>IF(N(Competitive_HC_Request_Amount)&gt;0,"Competitive HC","")</f>
        <v/>
      </c>
      <c r="C267" s="2252" t="str">
        <f>IF(B267="Competitive HC",N(Competitive_HC_Request_Amount),"")</f>
        <v/>
      </c>
      <c r="D267" s="2233" t="str">
        <f>IF(B267="Competitive HC","FHFC - 9% HC","Enter Request on Funding Tab")</f>
        <v>Enter Request on Funding Tab</v>
      </c>
      <c r="E267" s="2240" t="str">
        <f>IF(B267="Competitive HC",N(Max_Competitive_HC),"")</f>
        <v/>
      </c>
      <c r="F267" s="2932" t="str">
        <f>IF(N(DS_FHFC_9HC_Amt)&gt;N(DS_FHFC_9HC_Max_Amt),"The Competitve HC request amount has been adjusted to the Maximum of "&amp;TEXT(N(DS_FHFC_9HC_Max_Amt),"$#,##0")&amp;".","")</f>
        <v/>
      </c>
      <c r="G267" s="2932"/>
      <c r="H267" s="2932"/>
      <c r="I267" s="2932"/>
      <c r="J267" s="2932"/>
      <c r="K267" s="2932"/>
      <c r="L267" s="2932"/>
      <c r="M267" s="2233" t="str">
        <f>IF(N(DS_FHFC_9HC_Amt)&gt;N(DS_FHFC_9HC_Max_Amt),DS_FHFC_9HC_Label,"")</f>
        <v/>
      </c>
    </row>
    <row r="268" spans="1:25" s="2247" customFormat="1" ht="12.75">
      <c r="C268" s="2248"/>
      <c r="F268" s="2249"/>
      <c r="G268" s="2249"/>
      <c r="H268" s="2249"/>
      <c r="I268" s="2249"/>
      <c r="J268" s="2249"/>
      <c r="K268" s="2249"/>
      <c r="L268" s="2249"/>
    </row>
    <row r="269" spans="1:25" s="2247" customFormat="1" ht="12.75">
      <c r="C269" s="2248"/>
      <c r="F269" s="2249"/>
      <c r="G269" s="2249"/>
      <c r="H269" s="2249"/>
      <c r="I269" s="2249"/>
      <c r="J269" s="2249"/>
      <c r="K269" s="2249"/>
      <c r="L269" s="2249"/>
    </row>
    <row r="270" spans="1:25" s="2247" customFormat="1" ht="12.75">
      <c r="C270" s="2248"/>
      <c r="F270" s="2249"/>
      <c r="G270" s="2249"/>
      <c r="H270" s="2249"/>
      <c r="I270" s="2249"/>
      <c r="J270" s="2249"/>
      <c r="K270" s="2249"/>
      <c r="L270" s="2249"/>
    </row>
    <row r="271" spans="1:25" s="2247" customFormat="1" ht="12.75">
      <c r="C271" s="2248"/>
      <c r="F271" s="2249"/>
      <c r="G271" s="2249"/>
      <c r="H271" s="2249"/>
      <c r="I271" s="2249"/>
      <c r="J271" s="2249"/>
      <c r="K271" s="2249"/>
      <c r="L271" s="2249"/>
    </row>
    <row r="272" spans="1:25">
      <c r="A272" s="2491" t="s">
        <v>2593</v>
      </c>
      <c r="B272" s="2492"/>
      <c r="C272" s="2492"/>
      <c r="D272" s="2492"/>
      <c r="E272" s="2492"/>
      <c r="F272" s="2492"/>
      <c r="G272" s="2492"/>
      <c r="H272" s="573" t="s">
        <v>459</v>
      </c>
      <c r="I272" s="2620" t="s">
        <v>834</v>
      </c>
      <c r="J272" s="2321"/>
      <c r="O272" s="857"/>
      <c r="P272" s="312"/>
    </row>
    <row r="273" spans="1:16">
      <c r="A273" s="2493" t="s">
        <v>1893</v>
      </c>
      <c r="B273" s="2494"/>
      <c r="C273" s="2494"/>
      <c r="D273" s="2494"/>
      <c r="E273" s="2494"/>
      <c r="F273" s="2494"/>
      <c r="G273" s="2494"/>
      <c r="H273" s="2495" t="s">
        <v>459</v>
      </c>
      <c r="I273" s="2620" t="s">
        <v>834</v>
      </c>
      <c r="J273" s="2321"/>
      <c r="K273" s="1329"/>
    </row>
    <row r="274" spans="1:16">
      <c r="A274" s="2493" t="s">
        <v>2299</v>
      </c>
      <c r="B274" s="2494"/>
      <c r="C274" s="2494"/>
      <c r="D274" s="2494"/>
      <c r="E274" s="2494"/>
      <c r="F274" s="2494"/>
      <c r="G274" s="2494"/>
      <c r="H274" s="2495" t="s">
        <v>459</v>
      </c>
      <c r="I274" s="2620" t="s">
        <v>834</v>
      </c>
      <c r="J274" s="2321"/>
      <c r="K274" s="1329"/>
    </row>
    <row r="275" spans="1:16">
      <c r="A275" s="2493" t="s">
        <v>1960</v>
      </c>
      <c r="B275" s="2494"/>
      <c r="C275" s="2494"/>
      <c r="D275" s="2494"/>
      <c r="E275" s="2494"/>
      <c r="F275" s="2494"/>
      <c r="G275" s="2494"/>
      <c r="H275" s="2495" t="s">
        <v>459</v>
      </c>
      <c r="I275" s="2620" t="s">
        <v>834</v>
      </c>
      <c r="J275" s="2321"/>
      <c r="K275" s="1329"/>
    </row>
    <row r="276" spans="1:16" ht="15.75" thickBot="1"/>
    <row r="277" spans="1:16">
      <c r="A277" s="2903" t="s">
        <v>880</v>
      </c>
      <c r="B277" s="2904"/>
      <c r="C277" s="2904"/>
      <c r="D277" s="2904"/>
      <c r="E277" s="2904"/>
      <c r="F277" s="2904"/>
      <c r="G277" s="2905"/>
      <c r="H277" s="2312"/>
      <c r="K277" s="2909" t="s">
        <v>881</v>
      </c>
      <c r="L277" s="2910"/>
      <c r="M277" s="2620" t="s">
        <v>834</v>
      </c>
      <c r="N277" s="2321"/>
      <c r="O277" s="2321"/>
    </row>
    <row r="278" spans="1:16">
      <c r="D278" s="1329"/>
      <c r="E278" s="1500"/>
      <c r="F278" s="1527" t="s">
        <v>2662</v>
      </c>
      <c r="G278" s="1527" t="s">
        <v>1976</v>
      </c>
      <c r="H278" s="389" t="s">
        <v>2669</v>
      </c>
      <c r="I278" s="390" t="s">
        <v>2669</v>
      </c>
      <c r="J278" s="390" t="s">
        <v>2670</v>
      </c>
      <c r="K278" s="2322" t="s">
        <v>807</v>
      </c>
      <c r="L278" s="2323" t="s">
        <v>802</v>
      </c>
      <c r="M278" s="1329"/>
      <c r="N278" s="1329"/>
    </row>
    <row r="279" spans="1:16">
      <c r="C279" t="s">
        <v>735</v>
      </c>
      <c r="F279" s="322">
        <v>0</v>
      </c>
      <c r="G279" s="322">
        <v>0</v>
      </c>
      <c r="H279" s="322">
        <v>0</v>
      </c>
      <c r="I279" s="388">
        <v>0</v>
      </c>
      <c r="J279" s="388">
        <v>0</v>
      </c>
      <c r="K279" s="2324"/>
      <c r="L279" s="2325">
        <v>0</v>
      </c>
    </row>
    <row r="280" spans="1:16">
      <c r="A280" t="s">
        <v>882</v>
      </c>
      <c r="C280" t="s">
        <v>883</v>
      </c>
      <c r="F280" s="322">
        <v>258000</v>
      </c>
      <c r="G280" s="322">
        <v>240000</v>
      </c>
      <c r="H280" s="322">
        <v>370000</v>
      </c>
      <c r="I280" s="388">
        <v>370000</v>
      </c>
      <c r="J280" s="388">
        <v>311900</v>
      </c>
      <c r="K280" s="2324"/>
      <c r="L280" s="2325">
        <f>275000+IF(L$294="Yes",5000,0)</f>
        <v>275000</v>
      </c>
    </row>
    <row r="281" spans="1:16">
      <c r="A281" t="s">
        <v>884</v>
      </c>
      <c r="C281" t="s">
        <v>885</v>
      </c>
      <c r="F281" s="322">
        <v>233000</v>
      </c>
      <c r="G281" s="322">
        <v>220000</v>
      </c>
      <c r="H281" s="322">
        <v>320000</v>
      </c>
      <c r="I281" s="388">
        <v>320000</v>
      </c>
      <c r="J281" s="388">
        <v>270100</v>
      </c>
      <c r="K281" s="2324"/>
      <c r="L281" s="2325">
        <f>260000+IF(L$294="Yes",5000,0)</f>
        <v>260000</v>
      </c>
    </row>
    <row r="282" spans="1:16">
      <c r="A282" t="s">
        <v>886</v>
      </c>
      <c r="C282" t="s">
        <v>887</v>
      </c>
      <c r="F282" s="322">
        <v>310000</v>
      </c>
      <c r="G282" s="322">
        <v>290000</v>
      </c>
      <c r="H282" s="322">
        <v>420000</v>
      </c>
      <c r="I282" s="388">
        <v>420000</v>
      </c>
      <c r="J282" s="388">
        <v>358000</v>
      </c>
      <c r="K282" s="2324"/>
      <c r="L282" s="2325">
        <f>335000+IF(L$294="Yes",5000,0)</f>
        <v>335000</v>
      </c>
    </row>
    <row r="283" spans="1:16">
      <c r="A283" t="s">
        <v>888</v>
      </c>
      <c r="C283" t="s">
        <v>889</v>
      </c>
      <c r="F283" s="322">
        <v>285000</v>
      </c>
      <c r="G283" s="322">
        <v>270000</v>
      </c>
      <c r="H283" s="322">
        <v>410000</v>
      </c>
      <c r="I283" s="388">
        <v>410000</v>
      </c>
      <c r="J283" s="388">
        <v>344700</v>
      </c>
      <c r="K283" s="2324"/>
      <c r="L283" s="2325">
        <f>290000+IF(L$294="Yes",5000,0)</f>
        <v>290000</v>
      </c>
    </row>
    <row r="284" spans="1:16">
      <c r="A284" t="s">
        <v>890</v>
      </c>
      <c r="C284" t="s">
        <v>891</v>
      </c>
      <c r="F284" s="322">
        <v>258000</v>
      </c>
      <c r="G284" s="322">
        <v>240000</v>
      </c>
      <c r="H284" s="322">
        <v>370000</v>
      </c>
      <c r="I284" s="388">
        <v>370000</v>
      </c>
      <c r="J284" s="388">
        <v>311900</v>
      </c>
      <c r="K284" s="2324"/>
      <c r="L284" s="2325">
        <f>275000+IF(L$294="Yes",5000,0)</f>
        <v>275000</v>
      </c>
    </row>
    <row r="285" spans="1:16">
      <c r="A285" t="s">
        <v>892</v>
      </c>
      <c r="C285" t="s">
        <v>893</v>
      </c>
      <c r="F285" s="322">
        <v>106000</v>
      </c>
      <c r="G285" s="322">
        <v>100000</v>
      </c>
      <c r="H285" s="322">
        <v>170000</v>
      </c>
      <c r="I285" s="388">
        <v>170000</v>
      </c>
      <c r="J285" s="388">
        <v>146900</v>
      </c>
      <c r="K285" s="2326"/>
      <c r="L285" s="2327"/>
    </row>
    <row r="286" spans="1:16">
      <c r="A286" s="955" t="s">
        <v>894</v>
      </c>
      <c r="B286" s="955"/>
      <c r="C286" s="955" t="s">
        <v>895</v>
      </c>
      <c r="D286" s="955"/>
      <c r="E286" s="967"/>
      <c r="F286" s="1526">
        <v>146000</v>
      </c>
      <c r="G286" s="1526">
        <v>130000</v>
      </c>
      <c r="H286" s="1526">
        <v>260000</v>
      </c>
      <c r="I286" s="968">
        <v>260000</v>
      </c>
      <c r="J286" s="968">
        <v>221600</v>
      </c>
      <c r="K286" s="2328"/>
      <c r="L286" s="2329"/>
    </row>
    <row r="287" spans="1:16">
      <c r="A287" t="s">
        <v>896</v>
      </c>
      <c r="C287" t="s">
        <v>897</v>
      </c>
      <c r="F287" s="322">
        <v>283000</v>
      </c>
      <c r="G287" s="322">
        <v>260000</v>
      </c>
      <c r="H287" s="322">
        <v>390000</v>
      </c>
      <c r="I287" s="388">
        <v>390000</v>
      </c>
      <c r="J287" s="388">
        <v>327100</v>
      </c>
      <c r="K287" s="2324"/>
      <c r="L287" s="2325">
        <f>295000+IF(L$294="Yes",5000,0)</f>
        <v>295000</v>
      </c>
      <c r="O287" s="535"/>
      <c r="P287" s="535"/>
    </row>
    <row r="288" spans="1:16">
      <c r="A288" t="s">
        <v>898</v>
      </c>
      <c r="C288" t="s">
        <v>899</v>
      </c>
      <c r="F288" s="322">
        <v>258000</v>
      </c>
      <c r="G288" s="322">
        <v>240000</v>
      </c>
      <c r="H288" s="322">
        <v>340000</v>
      </c>
      <c r="I288" s="388">
        <v>340000</v>
      </c>
      <c r="J288" s="388">
        <v>284500</v>
      </c>
      <c r="K288" s="2326"/>
      <c r="L288" s="2327"/>
    </row>
    <row r="289" spans="1:14">
      <c r="A289" t="s">
        <v>900</v>
      </c>
      <c r="C289" t="s">
        <v>901</v>
      </c>
      <c r="F289" s="322">
        <v>335000</v>
      </c>
      <c r="G289" s="322">
        <v>310000</v>
      </c>
      <c r="H289" s="322">
        <v>440000</v>
      </c>
      <c r="I289" s="388">
        <v>440000</v>
      </c>
      <c r="J289" s="388">
        <v>374700</v>
      </c>
      <c r="K289" s="2324"/>
      <c r="L289" s="2325">
        <f>370000+IF(L$294="Yes",5000,0)</f>
        <v>370000</v>
      </c>
    </row>
    <row r="290" spans="1:14">
      <c r="A290" t="s">
        <v>902</v>
      </c>
      <c r="C290" t="s">
        <v>903</v>
      </c>
      <c r="F290" s="322">
        <v>310000</v>
      </c>
      <c r="G290" s="322">
        <v>290000</v>
      </c>
      <c r="H290" s="322">
        <v>430000</v>
      </c>
      <c r="I290" s="388">
        <v>430000</v>
      </c>
      <c r="J290" s="388">
        <v>361000</v>
      </c>
      <c r="K290" s="2324"/>
      <c r="L290" s="2325">
        <f>315000+IF(L$294="Yes",5000,0)</f>
        <v>315000</v>
      </c>
    </row>
    <row r="291" spans="1:14">
      <c r="A291" t="s">
        <v>904</v>
      </c>
      <c r="C291" t="s">
        <v>905</v>
      </c>
      <c r="F291" s="322">
        <v>283000</v>
      </c>
      <c r="G291" s="322">
        <v>260000</v>
      </c>
      <c r="H291" s="322">
        <v>390000</v>
      </c>
      <c r="I291" s="388">
        <v>390000</v>
      </c>
      <c r="J291" s="388">
        <v>327100</v>
      </c>
      <c r="K291" s="2326"/>
      <c r="L291" s="2327"/>
    </row>
    <row r="292" spans="1:14">
      <c r="A292" t="s">
        <v>906</v>
      </c>
      <c r="C292" t="s">
        <v>907</v>
      </c>
      <c r="F292" s="322">
        <v>121000</v>
      </c>
      <c r="G292" s="322">
        <v>110000</v>
      </c>
      <c r="H292" s="322">
        <v>180000</v>
      </c>
      <c r="I292" s="388">
        <v>180000</v>
      </c>
      <c r="J292" s="388">
        <v>153600</v>
      </c>
      <c r="K292" s="2326"/>
      <c r="L292" s="2327"/>
    </row>
    <row r="293" spans="1:14" ht="15.75" thickBot="1">
      <c r="A293" t="s">
        <v>908</v>
      </c>
      <c r="C293" t="s">
        <v>909</v>
      </c>
      <c r="F293" s="322">
        <v>161000</v>
      </c>
      <c r="G293" s="322">
        <v>140000</v>
      </c>
      <c r="H293" s="322">
        <v>270000</v>
      </c>
      <c r="I293" s="388">
        <v>270000</v>
      </c>
      <c r="J293" s="388">
        <v>232600</v>
      </c>
      <c r="K293" s="2330"/>
      <c r="L293" s="2331"/>
    </row>
    <row r="294" spans="1:14">
      <c r="K294" s="925" t="s">
        <v>910</v>
      </c>
      <c r="L294" s="2309" t="str">
        <f>IF(AND(DS_Add_On_1_Y=1,OR(PHA_land_lease="Yes",PHA_as_Principal="Yes",AND(OR(HOME_Request_Amount&gt;0,ARP_Request_Amount&gt;0),Total_Units&gt;11))),"Yes","No")</f>
        <v>No</v>
      </c>
    </row>
    <row r="295" spans="1:14">
      <c r="A295" s="268"/>
      <c r="K295" t="s">
        <v>911</v>
      </c>
    </row>
    <row r="297" spans="1:14">
      <c r="L297" s="106" t="s">
        <v>2592</v>
      </c>
      <c r="M297" s="106" t="s">
        <v>2592</v>
      </c>
    </row>
    <row r="298" spans="1:14">
      <c r="A298" s="2903" t="s">
        <v>912</v>
      </c>
      <c r="B298" s="2904"/>
      <c r="C298" s="2904"/>
      <c r="D298" s="2904"/>
      <c r="E298" s="2904"/>
      <c r="F298" s="2904"/>
      <c r="G298" s="2905"/>
      <c r="H298" s="2620" t="s">
        <v>834</v>
      </c>
      <c r="I298" s="2321"/>
      <c r="L298" s="106" t="s">
        <v>1507</v>
      </c>
      <c r="M298" s="106" t="s">
        <v>1507</v>
      </c>
    </row>
    <row r="299" spans="1:14" ht="15.75" thickBot="1">
      <c r="F299" s="2257" t="s">
        <v>55</v>
      </c>
      <c r="G299" s="2258" t="s">
        <v>2586</v>
      </c>
      <c r="H299" s="2259" t="s">
        <v>2589</v>
      </c>
      <c r="I299" s="2266" t="s">
        <v>56</v>
      </c>
      <c r="J299" s="732"/>
      <c r="K299" s="732"/>
      <c r="L299" s="2266" t="s">
        <v>2590</v>
      </c>
      <c r="M299" s="2266" t="s">
        <v>2591</v>
      </c>
      <c r="N299" s="732"/>
    </row>
    <row r="300" spans="1:14">
      <c r="A300" t="s">
        <v>913</v>
      </c>
      <c r="F300" s="57">
        <v>0</v>
      </c>
      <c r="G300" s="2224">
        <v>7500</v>
      </c>
      <c r="H300" s="2263"/>
      <c r="I300" s="2263"/>
      <c r="J300" s="2263"/>
      <c r="K300" s="2263"/>
      <c r="L300" s="2263"/>
      <c r="M300" s="2263"/>
      <c r="N300" s="2263"/>
    </row>
    <row r="301" spans="1:14" s="1329" customFormat="1">
      <c r="A301" s="2267" t="s">
        <v>914</v>
      </c>
      <c r="B301" s="2274"/>
      <c r="C301" s="2274"/>
      <c r="D301" s="2274"/>
      <c r="E301" s="2268"/>
      <c r="F301" s="2275">
        <v>0</v>
      </c>
      <c r="G301" s="2275">
        <v>0.95</v>
      </c>
      <c r="H301" s="2268">
        <f>IF(AND(DS_Multiplier_1_Y=1,Demographic="Elderly ALF"),1,0)</f>
        <v>0</v>
      </c>
      <c r="I301" s="2268">
        <f>SUM($H$301:$H301)</f>
        <v>0</v>
      </c>
      <c r="J301" s="2270" t="s">
        <v>2587</v>
      </c>
      <c r="K301" s="2271">
        <v>0.95</v>
      </c>
      <c r="L301" s="1329" t="str">
        <f>IFERROR(VLOOKUP(1,I$301:J$309,2,FALSE),"No Applicable Multipliers")</f>
        <v>Demographic Multiplier</v>
      </c>
      <c r="M301" s="2287">
        <f>IFERROR(VLOOKUP(1,I$301:K$309,3,FALSE),"")</f>
        <v>0.85</v>
      </c>
    </row>
    <row r="302" spans="1:14">
      <c r="A302" s="1357" t="s">
        <v>915</v>
      </c>
      <c r="E302" s="2198"/>
      <c r="F302" s="57">
        <v>1</v>
      </c>
      <c r="G302" s="2224">
        <v>0.85</v>
      </c>
      <c r="H302" s="2264">
        <f>IF(AND(DS_Multiplier_2_Y=1,H305=0,OR(Demographic="Homeless",Demographic="Persons with a Disabling Condition",Demographic="Persons with Developmental Disabilities",Demographic="Persons with Special Needs")),1,0)</f>
        <v>1</v>
      </c>
      <c r="I302" s="2198">
        <f>SUM($H$301:$H302)</f>
        <v>1</v>
      </c>
      <c r="J302" s="2265" t="s">
        <v>2588</v>
      </c>
      <c r="K302" s="2262">
        <v>0.85</v>
      </c>
      <c r="L302" s="1329" t="str">
        <f>IFERROR(VLOOKUP(2,I$301:J$309,2,FALSE),"")</f>
        <v>PDD/PDC/HH Unit Multiplier (1)(&lt;51 Units)</v>
      </c>
      <c r="M302" s="2287">
        <f>IFERROR(VLOOKUP(2,I$301:K$309,3,FALSE),"")</f>
        <v>0.85</v>
      </c>
    </row>
    <row r="303" spans="1:14">
      <c r="A303" s="1357" t="s">
        <v>916</v>
      </c>
      <c r="B303" s="7"/>
      <c r="C303" s="7"/>
      <c r="D303" s="7"/>
      <c r="E303" s="2198"/>
      <c r="F303" s="57">
        <v>1</v>
      </c>
      <c r="G303" s="2224">
        <v>0.85</v>
      </c>
      <c r="H303" s="2264">
        <f>IF(AND(DS_Multiplier_3_Y=1,H305=0,County&lt;&gt;"Monroe",Total_Units&lt;51,OR(Demographic="Persons with a Disabling Condition",Demographic="Persons with Developmental Disabilities",Demographic="Homeless")),1,0)</f>
        <v>1</v>
      </c>
      <c r="I303" s="2198">
        <f>SUM($H$301:$H303)</f>
        <v>2</v>
      </c>
      <c r="J303" s="2283" t="s">
        <v>2873</v>
      </c>
      <c r="K303" s="2262">
        <v>0.85</v>
      </c>
      <c r="L303" s="1329" t="str">
        <f>IFERROR(VLOOKUP(3,I$301:J$309,2,FALSE),"")</f>
        <v/>
      </c>
      <c r="M303" s="2287" t="str">
        <f>IFERROR(VLOOKUP(3,I$301:K$309,3,FALSE),"")</f>
        <v/>
      </c>
    </row>
    <row r="304" spans="1:14">
      <c r="A304" s="2267" t="s">
        <v>917</v>
      </c>
      <c r="B304" s="2276"/>
      <c r="C304" s="2276"/>
      <c r="D304" s="2276"/>
      <c r="E304" s="2268"/>
      <c r="F304" s="2269">
        <v>1</v>
      </c>
      <c r="G304" s="2269">
        <v>0.9</v>
      </c>
      <c r="H304" s="2277">
        <f>IF(AND(DS_Multiplier_4_Y=1,H305=0,County&lt;&gt;"Monroe",Total_Units&gt;50,Total_Units&lt;81,OR(Demographic="Persons with a Disabling Condition",Demographic="Persons with Developmental Disabilities",Demographic="Homeless")),1,0)</f>
        <v>0</v>
      </c>
      <c r="I304" s="2268">
        <f>SUM($H$301:$H304)</f>
        <v>2</v>
      </c>
      <c r="J304" s="2284" t="s">
        <v>2872</v>
      </c>
      <c r="K304" s="2285">
        <v>0.9</v>
      </c>
      <c r="L304" s="1329" t="str">
        <f>IFERROR(VLOOKUP(4,I$301:J$309,2,FALSE),"")</f>
        <v/>
      </c>
      <c r="M304" s="2287" t="str">
        <f>IFERROR(VLOOKUP(4,I$301:K$309,3,FALSE),"")</f>
        <v/>
      </c>
    </row>
    <row r="305" spans="1:14">
      <c r="A305" s="2278" t="s">
        <v>918</v>
      </c>
      <c r="B305" s="2227"/>
      <c r="C305" s="2227"/>
      <c r="D305" s="2279"/>
      <c r="E305" s="2280"/>
      <c r="F305" s="2281">
        <v>0</v>
      </c>
      <c r="G305" s="2281">
        <v>0.6</v>
      </c>
      <c r="H305" s="2280">
        <f>IF(AND(DS_Multiplier_5_Y=1,ConstrFeaturesMultiplier="Yes",OR(Demographic="Persons with Developmental Disabilities",Demographic="Persons with a Disabling Condition")),1,0)</f>
        <v>0</v>
      </c>
      <c r="I305" s="2280">
        <f>SUM($H$301:$H305)</f>
        <v>2</v>
      </c>
      <c r="J305" s="2282" t="s">
        <v>918</v>
      </c>
      <c r="K305" s="2286">
        <v>0.6</v>
      </c>
      <c r="L305" s="1329" t="str">
        <f>IFERROR(VLOOKUP(5,I$301:J$309,2,FALSE),"")</f>
        <v/>
      </c>
      <c r="M305" s="1355" t="str">
        <f>IFERROR(VLOOKUP(5,I$301:K$309,3,FALSE),"")</f>
        <v/>
      </c>
    </row>
    <row r="306" spans="1:14">
      <c r="A306" s="1775" t="s">
        <v>2584</v>
      </c>
      <c r="B306" s="1314"/>
      <c r="C306" s="1314"/>
      <c r="D306" s="1314"/>
      <c r="E306" s="2272"/>
      <c r="F306" s="2224">
        <v>1</v>
      </c>
      <c r="G306" s="2224">
        <v>0.89</v>
      </c>
      <c r="H306" s="2272">
        <f>IF(AND(DS_Multiplier_6_Y=1,OR(PHA_land_lease="Yes",PHA_as_Principal="Yes")),1,0)</f>
        <v>0</v>
      </c>
      <c r="I306" s="2272">
        <f>SUM($H$301:$H306)</f>
        <v>2</v>
      </c>
      <c r="J306" s="2273" t="s">
        <v>2584</v>
      </c>
      <c r="K306" s="1355">
        <v>0.89</v>
      </c>
      <c r="L306" s="1329" t="str">
        <f>IFERROR(VLOOKUP(6,I$301:J$309,2,FALSE),"")</f>
        <v/>
      </c>
      <c r="M306" s="1355" t="str">
        <f>IFERROR(VLOOKUP(6,I$301:K$309,3,FALSE),"")</f>
        <v/>
      </c>
    </row>
    <row r="307" spans="1:14">
      <c r="A307" s="2267" t="s">
        <v>2659</v>
      </c>
      <c r="B307" s="2226"/>
      <c r="C307" s="2226"/>
      <c r="D307" s="2226"/>
      <c r="E307" s="2268"/>
      <c r="F307" s="2269">
        <v>0</v>
      </c>
      <c r="G307" s="2269">
        <v>0.89</v>
      </c>
      <c r="H307" s="2268">
        <f>IF(AND(H306=0,DS_Multiplier_7_Y=1,OR(Total_HOME_Assisted_Units&gt;11,Total_CDBG_DR_Assisted_Units&gt;11)),1,0)</f>
        <v>0</v>
      </c>
      <c r="I307" s="2268">
        <f>SUM($H$301:$H307)</f>
        <v>2</v>
      </c>
      <c r="J307" s="2270" t="s">
        <v>2585</v>
      </c>
      <c r="K307" s="2225">
        <v>0.89</v>
      </c>
      <c r="L307" s="1329" t="str">
        <f>IFERROR(VLOOKUP(7,I$301:J$309,2,FALSE),"")</f>
        <v/>
      </c>
      <c r="M307" s="1355" t="str">
        <f>IFERROR(VLOOKUP(7,I$301:K$309,3,FALSE),"")</f>
        <v/>
      </c>
    </row>
    <row r="308" spans="1:14">
      <c r="A308" s="1357" t="s">
        <v>919</v>
      </c>
      <c r="E308" s="2198"/>
      <c r="F308" s="57">
        <v>0</v>
      </c>
      <c r="G308" s="2224">
        <v>0.65</v>
      </c>
      <c r="H308" s="2198">
        <f>IF(AND(DS_Multiplier_8_Y=1,County="Monroe",FLKeys_N_S="North Florida Keys Area"),1,0)</f>
        <v>0</v>
      </c>
      <c r="I308" s="2198">
        <f>SUM($H$301:$H308)</f>
        <v>2</v>
      </c>
      <c r="J308" s="2265" t="s">
        <v>919</v>
      </c>
      <c r="K308" s="2262">
        <v>0.65</v>
      </c>
      <c r="L308" s="1329" t="str">
        <f>IFERROR(VLOOKUP(8,I$301:J$309,2,FALSE),"")</f>
        <v/>
      </c>
      <c r="M308" s="2256" t="str">
        <f>IFERROR(VLOOKUP(8,I$301:K$309,3,FALSE),"")</f>
        <v/>
      </c>
    </row>
    <row r="309" spans="1:14">
      <c r="A309" s="2267" t="s">
        <v>920</v>
      </c>
      <c r="B309" s="2226"/>
      <c r="C309" s="2226"/>
      <c r="D309" s="2226"/>
      <c r="E309" s="2268"/>
      <c r="F309" s="2269">
        <v>0</v>
      </c>
      <c r="G309" s="2269">
        <v>0.5</v>
      </c>
      <c r="H309" s="2268">
        <f>IF(AND(DS_Multiplier_9_Y=1,County="Monroe",FLKeys_N_S="South Florida Keys Area"),1,0)</f>
        <v>0</v>
      </c>
      <c r="I309" s="2268">
        <f>SUM($H$301:$H309)</f>
        <v>2</v>
      </c>
      <c r="J309" s="2270" t="s">
        <v>920</v>
      </c>
      <c r="K309" s="2285">
        <v>0.5</v>
      </c>
      <c r="L309" s="1329" t="str">
        <f>IFERROR(VLOOKUP(9,I$301:J$309,2,FALSE),"")</f>
        <v/>
      </c>
      <c r="M309" s="2256" t="str">
        <f>IFERROR(VLOOKUP(9,I$301:K$309,3,FALSE),"")</f>
        <v/>
      </c>
    </row>
    <row r="310" spans="1:14">
      <c r="N310" s="1314"/>
    </row>
    <row r="311" spans="1:14">
      <c r="A311" s="2903" t="s">
        <v>2041</v>
      </c>
      <c r="B311" s="2904"/>
      <c r="C311" s="2904"/>
      <c r="D311" s="2904"/>
      <c r="E311" s="2904"/>
      <c r="F311" s="2904"/>
      <c r="G311" s="2905"/>
      <c r="H311" s="2620" t="s">
        <v>834</v>
      </c>
      <c r="I311" s="2321"/>
      <c r="J311" s="1329"/>
    </row>
    <row r="312" spans="1:14">
      <c r="A312" s="7" t="s">
        <v>2041</v>
      </c>
      <c r="F312" s="1382">
        <v>1</v>
      </c>
      <c r="G312" s="1420">
        <v>0.06</v>
      </c>
    </row>
    <row r="314" spans="1:14">
      <c r="A314" t="s">
        <v>921</v>
      </c>
    </row>
    <row r="316" spans="1:14">
      <c r="H316" s="336" t="s">
        <v>922</v>
      </c>
    </row>
    <row r="318" spans="1:14">
      <c r="A318" s="2903" t="s">
        <v>923</v>
      </c>
      <c r="B318" s="2904"/>
      <c r="C318" s="2904"/>
      <c r="D318" s="2904"/>
      <c r="E318" s="2904"/>
      <c r="F318" s="2904"/>
      <c r="G318" s="2905"/>
      <c r="H318" s="911" t="s">
        <v>55</v>
      </c>
      <c r="I318" s="617" t="s">
        <v>924</v>
      </c>
      <c r="J318" s="900" t="s">
        <v>925</v>
      </c>
      <c r="K318" s="2620" t="s">
        <v>834</v>
      </c>
      <c r="L318" s="2321"/>
    </row>
    <row r="319" spans="1:14">
      <c r="A319" t="s">
        <v>926</v>
      </c>
      <c r="B319" s="616" t="s">
        <v>927</v>
      </c>
      <c r="C319" s="564"/>
      <c r="D319" s="564"/>
      <c r="E319" s="564"/>
      <c r="F319" s="564"/>
      <c r="G319" s="564"/>
      <c r="H319" s="953">
        <v>1</v>
      </c>
      <c r="I319" s="57">
        <v>3</v>
      </c>
      <c r="J319" s="588" t="str">
        <f>IF(N(FLJobs_Score)&gt;=N(DS_FLJobs_Min_Score1),"Yes",IF(N(FLJobs_Score)&lt;N(DS_FLJobs_Min_Score1),"No","NA"))</f>
        <v>No</v>
      </c>
      <c r="K319" s="6" t="str">
        <f t="shared" ref="K319:K329" si="5">IF(H319="","",IF(H319=0,"Not ","")&amp;"Applicable to this RFA")</f>
        <v>Applicable to this RFA</v>
      </c>
    </row>
    <row r="320" spans="1:14">
      <c r="A320" t="s">
        <v>926</v>
      </c>
      <c r="B320" s="287" t="s">
        <v>928</v>
      </c>
      <c r="C320" s="288"/>
      <c r="D320" s="288"/>
      <c r="E320" s="288"/>
      <c r="F320" s="288"/>
      <c r="G320" s="288"/>
      <c r="H320" s="953">
        <v>1</v>
      </c>
      <c r="I320" s="57">
        <v>1</v>
      </c>
      <c r="J320" s="588" t="str">
        <f>IF(Qualified_Fin_Assist_Pref_Met="TBD","",Qualified_Fin_Assist_Pref_Met)</f>
        <v/>
      </c>
      <c r="K320" s="6" t="str">
        <f t="shared" si="5"/>
        <v>Applicable to this RFA</v>
      </c>
    </row>
    <row r="321" spans="1:14">
      <c r="A321" t="s">
        <v>926</v>
      </c>
      <c r="B321" s="287" t="s">
        <v>929</v>
      </c>
      <c r="C321" s="288"/>
      <c r="D321" s="288"/>
      <c r="E321" s="288"/>
      <c r="F321" s="288"/>
      <c r="G321" s="288"/>
      <c r="H321" s="953">
        <v>0</v>
      </c>
      <c r="I321" s="57"/>
      <c r="J321" s="106" t="str">
        <f>PerUnitConstFundingPref</f>
        <v/>
      </c>
      <c r="K321" s="6" t="str">
        <f t="shared" si="5"/>
        <v>Not Applicable to this RFA</v>
      </c>
    </row>
    <row r="322" spans="1:14">
      <c r="A322" t="s">
        <v>926</v>
      </c>
      <c r="B322" s="287" t="s">
        <v>930</v>
      </c>
      <c r="C322" s="288"/>
      <c r="D322" s="288"/>
      <c r="E322" s="288"/>
      <c r="F322" s="288"/>
      <c r="G322" s="288"/>
      <c r="H322" s="953">
        <v>0</v>
      </c>
      <c r="I322" s="57"/>
      <c r="J322" s="106"/>
      <c r="K322" s="6" t="str">
        <f t="shared" si="5"/>
        <v>Not Applicable to this RFA</v>
      </c>
    </row>
    <row r="323" spans="1:14">
      <c r="A323" t="s">
        <v>926</v>
      </c>
      <c r="B323" s="287" t="s">
        <v>931</v>
      </c>
      <c r="C323" s="288"/>
      <c r="D323" s="288"/>
      <c r="E323" s="288"/>
      <c r="F323" s="288"/>
      <c r="G323" s="288"/>
      <c r="H323" s="953">
        <v>0</v>
      </c>
      <c r="I323" s="57"/>
      <c r="J323" s="106"/>
      <c r="K323" s="6" t="str">
        <f t="shared" si="5"/>
        <v>Not Applicable to this RFA</v>
      </c>
    </row>
    <row r="324" spans="1:14">
      <c r="A324" t="s">
        <v>926</v>
      </c>
      <c r="B324" s="287" t="s">
        <v>932</v>
      </c>
      <c r="C324" s="288"/>
      <c r="D324" s="288"/>
      <c r="E324" s="288"/>
      <c r="F324" s="288"/>
      <c r="G324" s="288"/>
      <c r="H324" s="953">
        <v>1</v>
      </c>
      <c r="I324" s="57">
        <v>2</v>
      </c>
      <c r="J324" s="832">
        <f>Total_Corp_Funding_PSAU</f>
        <v>0</v>
      </c>
      <c r="K324" s="6" t="str">
        <f t="shared" si="5"/>
        <v>Applicable to this RFA</v>
      </c>
    </row>
    <row r="325" spans="1:14">
      <c r="A325" t="s">
        <v>926</v>
      </c>
      <c r="B325" s="287" t="s">
        <v>933</v>
      </c>
      <c r="C325" s="288"/>
      <c r="D325" s="288"/>
      <c r="E325" s="288"/>
      <c r="F325" s="288"/>
      <c r="G325" s="288"/>
      <c r="H325" s="953">
        <v>0</v>
      </c>
      <c r="I325" s="57"/>
      <c r="J325" s="830" t="str">
        <f>IF(H325=0,"",IFERROR((MIN(N(Max_SAIL),N(SAIL_Request_Amount))+MIN(N(Max_ARP),N(ARP_Request_Amount)))/IF(Minimum_SetAside_per_Sec_42&lt;&gt;"Average Income Test",SUM('Units, Set-Asides, Bldgs'!F52:F60),IF(Minimum_SetAside_per_Sec_42="Average Income Test",SUM('Units, Set-Asides, Bldgs'!F79:F85),0)),"TBD"))</f>
        <v/>
      </c>
      <c r="K325" s="6" t="str">
        <f t="shared" si="5"/>
        <v>Not Applicable to this RFA</v>
      </c>
    </row>
    <row r="326" spans="1:14">
      <c r="A326" t="s">
        <v>926</v>
      </c>
      <c r="B326" s="287" t="s">
        <v>934</v>
      </c>
      <c r="C326" s="288"/>
      <c r="D326" s="288"/>
      <c r="E326" s="288"/>
      <c r="F326" s="288"/>
      <c r="G326" s="288"/>
      <c r="H326" s="953">
        <v>0</v>
      </c>
      <c r="I326" s="57"/>
      <c r="J326" s="831" t="str">
        <f>IF(H326=0,"",IFERROR(IF(MIN(N(Max_ARP),N(ARP_Request_Amount))/N(TDC_total)&lt;=0.9,"Yes","No"),"TBD"))</f>
        <v/>
      </c>
      <c r="K326" s="6" t="str">
        <f t="shared" si="5"/>
        <v>Not Applicable to this RFA</v>
      </c>
    </row>
    <row r="327" spans="1:14">
      <c r="A327" t="s">
        <v>926</v>
      </c>
      <c r="B327" s="287" t="s">
        <v>935</v>
      </c>
      <c r="C327" s="288"/>
      <c r="D327" s="288"/>
      <c r="E327" s="288"/>
      <c r="F327" s="288"/>
      <c r="G327" s="288"/>
      <c r="H327" s="953">
        <v>0</v>
      </c>
      <c r="I327" s="57"/>
      <c r="J327" s="106"/>
      <c r="K327" s="6" t="str">
        <f t="shared" si="5"/>
        <v>Not Applicable to this RFA</v>
      </c>
    </row>
    <row r="328" spans="1:14">
      <c r="A328" t="s">
        <v>926</v>
      </c>
      <c r="B328" s="287" t="s">
        <v>936</v>
      </c>
      <c r="C328" s="288"/>
      <c r="D328" s="288"/>
      <c r="E328" s="288"/>
      <c r="F328" s="288"/>
      <c r="G328" s="288"/>
      <c r="H328" s="953">
        <v>0</v>
      </c>
      <c r="I328" s="57"/>
      <c r="J328" s="106"/>
      <c r="K328" s="6" t="str">
        <f t="shared" si="5"/>
        <v>Not Applicable to this RFA</v>
      </c>
    </row>
    <row r="329" spans="1:14">
      <c r="A329" t="s">
        <v>926</v>
      </c>
      <c r="B329" s="287" t="s">
        <v>937</v>
      </c>
      <c r="C329" s="288"/>
      <c r="D329" s="288"/>
      <c r="E329" s="288"/>
      <c r="F329" s="288"/>
      <c r="G329" s="288"/>
      <c r="H329" s="953">
        <v>0</v>
      </c>
      <c r="I329" s="57"/>
      <c r="J329" s="106"/>
      <c r="K329" s="6" t="str">
        <f t="shared" si="5"/>
        <v>Not Applicable to this RFA</v>
      </c>
    </row>
    <row r="330" spans="1:14">
      <c r="A330" s="712" t="s">
        <v>926</v>
      </c>
      <c r="B330" s="713"/>
      <c r="C330" s="713"/>
      <c r="D330" s="713"/>
      <c r="E330" s="713"/>
      <c r="F330" s="713"/>
      <c r="G330" s="713"/>
      <c r="H330" s="714"/>
      <c r="I330" s="714"/>
      <c r="J330" s="715"/>
      <c r="K330" s="716" t="s">
        <v>938</v>
      </c>
      <c r="L330" s="717"/>
      <c r="N330" s="6"/>
    </row>
    <row r="331" spans="1:14">
      <c r="A331" s="712" t="s">
        <v>926</v>
      </c>
      <c r="B331" s="718"/>
      <c r="C331" s="718"/>
      <c r="D331" s="718"/>
      <c r="E331" s="718"/>
      <c r="F331" s="718"/>
      <c r="G331" s="718"/>
      <c r="H331" s="712"/>
      <c r="I331" s="712"/>
      <c r="J331" s="712"/>
      <c r="K331" s="716" t="s">
        <v>938</v>
      </c>
      <c r="L331" s="717"/>
      <c r="N331" s="6"/>
    </row>
    <row r="332" spans="1:14">
      <c r="A332" s="712" t="s">
        <v>926</v>
      </c>
      <c r="B332" s="718"/>
      <c r="C332" s="718"/>
      <c r="D332" s="718"/>
      <c r="E332" s="718"/>
      <c r="F332" s="718"/>
      <c r="G332" s="718"/>
      <c r="H332" s="718"/>
      <c r="I332" s="718"/>
      <c r="J332" s="712"/>
      <c r="K332" s="716" t="s">
        <v>938</v>
      </c>
      <c r="L332" s="712"/>
    </row>
    <row r="333" spans="1:14">
      <c r="A333" s="712" t="s">
        <v>926</v>
      </c>
      <c r="B333" s="718"/>
      <c r="C333" s="718"/>
      <c r="D333" s="718"/>
      <c r="E333" s="718"/>
      <c r="F333" s="718"/>
      <c r="G333" s="718"/>
      <c r="H333" s="718"/>
      <c r="I333" s="718"/>
      <c r="J333" s="712"/>
      <c r="K333" s="716" t="s">
        <v>938</v>
      </c>
      <c r="L333" s="712"/>
    </row>
    <row r="334" spans="1:14">
      <c r="A334" s="712" t="s">
        <v>926</v>
      </c>
      <c r="B334" s="718"/>
      <c r="C334" s="718"/>
      <c r="D334" s="718"/>
      <c r="E334" s="718"/>
      <c r="F334" s="718"/>
      <c r="G334" s="718"/>
      <c r="H334" s="718"/>
      <c r="I334" s="718"/>
      <c r="J334" s="712"/>
      <c r="K334" s="716" t="s">
        <v>938</v>
      </c>
      <c r="L334" s="712"/>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5:5">
      <c r="E369"/>
    </row>
    <row r="370" spans="5:5">
      <c r="E370"/>
    </row>
    <row r="371" spans="5:5">
      <c r="E371"/>
    </row>
    <row r="372" spans="5:5">
      <c r="E372"/>
    </row>
    <row r="373" spans="5:5">
      <c r="E373"/>
    </row>
    <row r="374" spans="5:5">
      <c r="E374"/>
    </row>
    <row r="375" spans="5:5">
      <c r="E375"/>
    </row>
    <row r="376" spans="5:5">
      <c r="E376"/>
    </row>
    <row r="377" spans="5:5">
      <c r="E377"/>
    </row>
    <row r="378" spans="5:5">
      <c r="E378"/>
    </row>
    <row r="379" spans="5:5">
      <c r="E379"/>
    </row>
    <row r="380" spans="5:5">
      <c r="E380"/>
    </row>
    <row r="381" spans="5:5">
      <c r="E381"/>
    </row>
    <row r="382" spans="5:5">
      <c r="E382"/>
    </row>
    <row r="383" spans="5:5">
      <c r="E383"/>
    </row>
    <row r="384" spans="5:5">
      <c r="E384"/>
    </row>
    <row r="385" spans="5:5">
      <c r="E385"/>
    </row>
    <row r="386" spans="5:5">
      <c r="E386"/>
    </row>
    <row r="387" spans="5:5">
      <c r="E387"/>
    </row>
    <row r="388" spans="5:5">
      <c r="E388"/>
    </row>
    <row r="389" spans="5:5">
      <c r="E389"/>
    </row>
    <row r="390" spans="5:5">
      <c r="E390"/>
    </row>
    <row r="391" spans="5:5">
      <c r="E391"/>
    </row>
    <row r="392" spans="5:5">
      <c r="E392"/>
    </row>
    <row r="393" spans="5:5">
      <c r="E393"/>
    </row>
    <row r="394" spans="5:5">
      <c r="E394"/>
    </row>
    <row r="395" spans="5:5">
      <c r="E395"/>
    </row>
    <row r="396" spans="5:5">
      <c r="E396"/>
    </row>
    <row r="397" spans="5:5">
      <c r="E397"/>
    </row>
    <row r="398" spans="5:5">
      <c r="E398"/>
    </row>
    <row r="399" spans="5:5">
      <c r="E399"/>
    </row>
    <row r="400" spans="5:5">
      <c r="E400"/>
    </row>
    <row r="401" spans="4:6">
      <c r="E401"/>
    </row>
    <row r="402" spans="4:6">
      <c r="E402"/>
    </row>
    <row r="403" spans="4:6">
      <c r="E403"/>
    </row>
    <row r="404" spans="4:6">
      <c r="E404"/>
    </row>
    <row r="405" spans="4:6">
      <c r="D405" s="51"/>
      <c r="E405" s="50"/>
      <c r="F405" s="50"/>
    </row>
    <row r="406" spans="4:6">
      <c r="D406" s="51"/>
      <c r="E406" s="50"/>
      <c r="F406" s="50"/>
    </row>
    <row r="407" spans="4:6">
      <c r="D407" s="51"/>
      <c r="E407" s="50"/>
      <c r="F407" s="50"/>
    </row>
    <row r="408" spans="4:6">
      <c r="D408" s="51"/>
      <c r="E408" s="50"/>
      <c r="F408" s="50"/>
    </row>
    <row r="409" spans="4:6">
      <c r="D409" s="51"/>
      <c r="E409" s="50"/>
      <c r="F409" s="50"/>
    </row>
    <row r="410" spans="4:6">
      <c r="D410" s="51"/>
      <c r="E410" s="50"/>
      <c r="F410" s="50"/>
    </row>
    <row r="411" spans="4:6">
      <c r="D411" s="51"/>
      <c r="E411" s="50"/>
      <c r="F411" s="50"/>
    </row>
    <row r="412" spans="4:6">
      <c r="D412" s="51"/>
      <c r="E412" s="50"/>
      <c r="F412" s="50"/>
    </row>
    <row r="413" spans="4:6">
      <c r="D413" s="51"/>
      <c r="E413" s="50"/>
      <c r="F413" s="50"/>
    </row>
    <row r="414" spans="4:6">
      <c r="D414" s="51"/>
      <c r="E414" s="50"/>
      <c r="F414" s="50"/>
    </row>
    <row r="415" spans="4:6">
      <c r="D415" s="51"/>
      <c r="E415" s="50"/>
      <c r="F415" s="50"/>
    </row>
    <row r="416" spans="4:6">
      <c r="D416" s="51"/>
      <c r="E416" s="50"/>
      <c r="F416" s="50"/>
    </row>
    <row r="417" spans="4:6">
      <c r="D417" s="51"/>
      <c r="E417" s="50"/>
      <c r="F417" s="50"/>
    </row>
    <row r="418" spans="4:6">
      <c r="D418" s="51"/>
      <c r="E418" s="50"/>
      <c r="F418" s="50"/>
    </row>
    <row r="419" spans="4:6">
      <c r="D419" s="51"/>
      <c r="E419" s="50"/>
      <c r="F419" s="50"/>
    </row>
    <row r="420" spans="4:6">
      <c r="D420" s="51"/>
      <c r="E420" s="50"/>
      <c r="F420" s="50"/>
    </row>
    <row r="421" spans="4:6">
      <c r="D421" s="51"/>
      <c r="E421" s="50"/>
      <c r="F421" s="50"/>
    </row>
    <row r="422" spans="4:6">
      <c r="D422" s="51"/>
      <c r="E422" s="50"/>
      <c r="F422" s="50"/>
    </row>
    <row r="423" spans="4:6">
      <c r="D423" s="51"/>
      <c r="E423" s="50"/>
      <c r="F423" s="50"/>
    </row>
    <row r="424" spans="4:6">
      <c r="D424" s="51"/>
      <c r="E424" s="50"/>
      <c r="F424" s="50"/>
    </row>
    <row r="425" spans="4:6">
      <c r="D425" s="51"/>
      <c r="E425" s="50"/>
      <c r="F425" s="50"/>
    </row>
    <row r="426" spans="4:6">
      <c r="D426" s="51"/>
      <c r="E426" s="50"/>
      <c r="F426" s="50"/>
    </row>
    <row r="427" spans="4:6">
      <c r="D427" s="51"/>
      <c r="E427" s="50"/>
      <c r="F427" s="50"/>
    </row>
    <row r="428" spans="4:6">
      <c r="D428" s="51"/>
      <c r="E428" s="50"/>
      <c r="F428" s="50"/>
    </row>
    <row r="429" spans="4:6">
      <c r="D429" s="51"/>
      <c r="E429" s="50"/>
      <c r="F429" s="50"/>
    </row>
    <row r="430" spans="4:6">
      <c r="D430" s="51"/>
      <c r="E430" s="50"/>
      <c r="F430" s="50"/>
    </row>
  </sheetData>
  <sheetProtection algorithmName="SHA-512" hashValue="rIdTWDgbOmEiyx9ZKGL8fcTJy15hLBSTwi4UbzpHnQ3s/RAMIXFgqI/dXiQv3LD1SQiO0iVpUA9wTip4VJ6oww==" saltValue="dDe8WLAo3s5sH230OmntEA==" spinCount="100000" sheet="1" objects="1" scenarios="1" formatRows="0" selectLockedCells="1"/>
  <sortState xmlns:xlrd2="http://schemas.microsoft.com/office/spreadsheetml/2017/richdata2" ref="M82:M90">
    <sortCondition ref="M82:M90"/>
  </sortState>
  <mergeCells count="41">
    <mergeCell ref="N89:N90"/>
    <mergeCell ref="O89:O90"/>
    <mergeCell ref="N91:N97"/>
    <mergeCell ref="O91:O97"/>
    <mergeCell ref="A318:G318"/>
    <mergeCell ref="A298:G298"/>
    <mergeCell ref="I132:I133"/>
    <mergeCell ref="I141:I142"/>
    <mergeCell ref="J132:J133"/>
    <mergeCell ref="J141:J142"/>
    <mergeCell ref="A311:G311"/>
    <mergeCell ref="J165:K166"/>
    <mergeCell ref="F267:L267"/>
    <mergeCell ref="A260:M260"/>
    <mergeCell ref="F262:L262"/>
    <mergeCell ref="F263:L263"/>
    <mergeCell ref="L2:M2"/>
    <mergeCell ref="A187:G187"/>
    <mergeCell ref="A277:G277"/>
    <mergeCell ref="A199:G199"/>
    <mergeCell ref="A74:G74"/>
    <mergeCell ref="G2:K2"/>
    <mergeCell ref="A220:G220"/>
    <mergeCell ref="K277:L277"/>
    <mergeCell ref="I158:I159"/>
    <mergeCell ref="I149:I150"/>
    <mergeCell ref="J149:J150"/>
    <mergeCell ref="J158:J159"/>
    <mergeCell ref="F261:L261"/>
    <mergeCell ref="F264:L264"/>
    <mergeCell ref="F265:L265"/>
    <mergeCell ref="I134:I137"/>
    <mergeCell ref="J134:J137"/>
    <mergeCell ref="I138:I140"/>
    <mergeCell ref="J138:J140"/>
    <mergeCell ref="J143:J144"/>
    <mergeCell ref="J160:J161"/>
    <mergeCell ref="I151:I154"/>
    <mergeCell ref="I155:I157"/>
    <mergeCell ref="J151:J154"/>
    <mergeCell ref="J155:J157"/>
  </mergeCells>
  <conditionalFormatting sqref="A6:C72 F6:K72">
    <cfRule type="expression" dxfId="1447" priority="219">
      <formula>$G6="Small"</formula>
    </cfRule>
  </conditionalFormatting>
  <conditionalFormatting sqref="D6:D72">
    <cfRule type="expression" dxfId="1446" priority="215">
      <formula>$G6="Small"</formula>
    </cfRule>
  </conditionalFormatting>
  <conditionalFormatting sqref="M6:N72">
    <cfRule type="expression" dxfId="1445" priority="210">
      <formula>$G6="Small"</formula>
    </cfRule>
  </conditionalFormatting>
  <conditionalFormatting sqref="H319:I329 F233:H246">
    <cfRule type="expression" dxfId="1444" priority="175">
      <formula>ROUND(COUNTA(#REF!)/2,0)=COUNTA(#REF!)/2</formula>
    </cfRule>
  </conditionalFormatting>
  <conditionalFormatting sqref="A233:A246">
    <cfRule type="expression" dxfId="1443" priority="1019">
      <formula>ROUND(COUNTA(#REF!)/2,0)=COUNTA(#REF!)/2</formula>
    </cfRule>
  </conditionalFormatting>
  <conditionalFormatting sqref="B319:G324 I319:J329 B327:G329 C325:G326">
    <cfRule type="expression" dxfId="1442" priority="1098">
      <formula>$H319=0</formula>
    </cfRule>
  </conditionalFormatting>
  <conditionalFormatting sqref="B325:B326">
    <cfRule type="expression" dxfId="1441" priority="128">
      <formula>$H325=0</formula>
    </cfRule>
  </conditionalFormatting>
  <conditionalFormatting sqref="L6:L72">
    <cfRule type="expression" dxfId="1440" priority="111">
      <formula>$G6="Small"</formula>
    </cfRule>
  </conditionalFormatting>
  <conditionalFormatting sqref="A163:I163">
    <cfRule type="expression" dxfId="1439" priority="3583">
      <formula>$A163&lt;&gt;$A174</formula>
    </cfRule>
    <cfRule type="expression" dxfId="1438" priority="3584">
      <formula>ROUND(COUNTA($A$76:$A163)/2,0)=COUNTA($A$76:$A163)/2</formula>
    </cfRule>
  </conditionalFormatting>
  <conditionalFormatting sqref="A249">
    <cfRule type="expression" dxfId="1437" priority="105">
      <formula>ROUND(COUNTA(#REF!)/2,0)=COUNTA(#REF!)/2</formula>
    </cfRule>
  </conditionalFormatting>
  <conditionalFormatting sqref="G209:G217">
    <cfRule type="cellIs" dxfId="1436" priority="78" operator="equal">
      <formula>"Yes"</formula>
    </cfRule>
  </conditionalFormatting>
  <conditionalFormatting sqref="A209:H217">
    <cfRule type="expression" dxfId="1435" priority="77">
      <formula>$G209="No"</formula>
    </cfRule>
  </conditionalFormatting>
  <conditionalFormatting sqref="A174:M184">
    <cfRule type="expression" dxfId="1434" priority="116">
      <formula>$A174&lt;&gt;$A175</formula>
    </cfRule>
    <cfRule type="expression" dxfId="1433" priority="117">
      <formula>ROUND(COUNTA($A$76:$A174)/2,0)=COUNTA($A$76:$A174)/2</formula>
    </cfRule>
  </conditionalFormatting>
  <conditionalFormatting sqref="H150">
    <cfRule type="expression" dxfId="1432" priority="74" stopIfTrue="1">
      <formula>$H149="Both"</formula>
    </cfRule>
  </conditionalFormatting>
  <conditionalFormatting sqref="H149:H150">
    <cfRule type="cellIs" dxfId="1431" priority="75" operator="equal">
      <formula>"Both"</formula>
    </cfRule>
    <cfRule type="cellIs" dxfId="1430" priority="76" operator="equal">
      <formula>"Yes"</formula>
    </cfRule>
  </conditionalFormatting>
  <conditionalFormatting sqref="D135 D138">
    <cfRule type="expression" dxfId="1429" priority="52">
      <formula>County_Size="Large"</formula>
    </cfRule>
  </conditionalFormatting>
  <conditionalFormatting sqref="D136 D139">
    <cfRule type="expression" dxfId="1428" priority="51">
      <formula>County_Size="Medium"</formula>
    </cfRule>
  </conditionalFormatting>
  <conditionalFormatting sqref="D137 D140">
    <cfRule type="expression" dxfId="1427" priority="50">
      <formula>County_Size="Small"</formula>
    </cfRule>
  </conditionalFormatting>
  <conditionalFormatting sqref="H133:H134 H142">
    <cfRule type="expression" dxfId="1426" priority="47" stopIfTrue="1">
      <formula>$H132="Both"</formula>
    </cfRule>
  </conditionalFormatting>
  <conditionalFormatting sqref="H132:H142">
    <cfRule type="cellIs" dxfId="1425" priority="48" operator="equal">
      <formula>"Both"</formula>
    </cfRule>
    <cfRule type="cellIs" dxfId="1424" priority="49" operator="equal">
      <formula>"Yes"</formula>
    </cfRule>
  </conditionalFormatting>
  <conditionalFormatting sqref="H135:H137">
    <cfRule type="expression" dxfId="1423" priority="46">
      <formula>AND($H$134="Both",$H$135&lt;&gt;"Yes",$H$136&lt;&gt;"Yes",$H$137&lt;&gt;"Yes")</formula>
    </cfRule>
  </conditionalFormatting>
  <conditionalFormatting sqref="J138">
    <cfRule type="expression" dxfId="1422" priority="41">
      <formula>$I138="No"</formula>
    </cfRule>
  </conditionalFormatting>
  <conditionalFormatting sqref="I138 I134">
    <cfRule type="cellIs" dxfId="1421" priority="40" operator="equal">
      <formula>"No"</formula>
    </cfRule>
  </conditionalFormatting>
  <conditionalFormatting sqref="J134">
    <cfRule type="expression" dxfId="1420" priority="42">
      <formula>$I134="No"</formula>
    </cfRule>
  </conditionalFormatting>
  <conditionalFormatting sqref="C143">
    <cfRule type="expression" dxfId="1419" priority="28">
      <formula>AND($C$143=22%,OR($K$143=$M$134,$K$143=$M$136))</formula>
    </cfRule>
    <cfRule type="expression" dxfId="1418" priority="29">
      <formula>AND($C$143=30%,OR($K$143=$M$134,$K$143=$M$135))</formula>
    </cfRule>
  </conditionalFormatting>
  <conditionalFormatting sqref="C144">
    <cfRule type="expression" dxfId="1417" priority="30">
      <formula>AND($C$144=22%,OR($L$144=$M$134,$L$144=$M$136))</formula>
    </cfRule>
    <cfRule type="expression" dxfId="1416" priority="31">
      <formula>AND($C$144=30%,OR($L$144=$M$134,$L$144=$M$135))</formula>
    </cfRule>
  </conditionalFormatting>
  <conditionalFormatting sqref="K142:K143">
    <cfRule type="expression" dxfId="1415" priority="24">
      <formula>AND($C$143=22%,OR($K$143=$M$134,$K$143=$M$136))</formula>
    </cfRule>
    <cfRule type="expression" dxfId="1414" priority="27">
      <formula>AND($C$143=30%,OR($K$143=$M$134,$K$143=$M$135))</formula>
    </cfRule>
  </conditionalFormatting>
  <conditionalFormatting sqref="L143:L144">
    <cfRule type="expression" dxfId="1413" priority="25">
      <formula>AND($C$144=22%,OR($L$144=$M$134,$L$144=$M$136))</formula>
    </cfRule>
    <cfRule type="expression" dxfId="1412" priority="26">
      <formula>AND($C$144=30%,OR($L$144=$M$134,$L$144=$M$135))</formula>
    </cfRule>
  </conditionalFormatting>
  <conditionalFormatting sqref="D152 D155">
    <cfRule type="expression" dxfId="1411" priority="19">
      <formula>County_Size="Large"</formula>
    </cfRule>
  </conditionalFormatting>
  <conditionalFormatting sqref="D153 D156">
    <cfRule type="expression" dxfId="1410" priority="18">
      <formula>County_Size="Medium"</formula>
    </cfRule>
  </conditionalFormatting>
  <conditionalFormatting sqref="D154 D157">
    <cfRule type="expression" dxfId="1409" priority="17">
      <formula>County_Size="Small"</formula>
    </cfRule>
  </conditionalFormatting>
  <conditionalFormatting sqref="C160">
    <cfRule type="expression" dxfId="1408" priority="13">
      <formula>AND($C$143=22%,OR($K$143=$M$134,$K$143=$M$136))</formula>
    </cfRule>
    <cfRule type="expression" dxfId="1407" priority="14">
      <formula>AND($C$143=30%,OR($K$143=$M$134,$K$143=$M$135))</formula>
    </cfRule>
  </conditionalFormatting>
  <conditionalFormatting sqref="C161">
    <cfRule type="expression" dxfId="1406" priority="15">
      <formula>AND($C$144=22%,OR($L$144=$M$134,$L$144=$M$136))</formula>
    </cfRule>
    <cfRule type="expression" dxfId="1405" priority="16">
      <formula>AND($C$144=30%,OR($L$144=$M$134,$L$144=$M$135))</formula>
    </cfRule>
  </conditionalFormatting>
  <conditionalFormatting sqref="H151">
    <cfRule type="expression" dxfId="1404" priority="10" stopIfTrue="1">
      <formula>$H150="Both"</formula>
    </cfRule>
  </conditionalFormatting>
  <conditionalFormatting sqref="H151">
    <cfRule type="cellIs" dxfId="1403" priority="11" operator="equal">
      <formula>"Both"</formula>
    </cfRule>
    <cfRule type="cellIs" dxfId="1402" priority="12" operator="equal">
      <formula>"Yes"</formula>
    </cfRule>
  </conditionalFormatting>
  <conditionalFormatting sqref="H159">
    <cfRule type="expression" dxfId="1401" priority="7" stopIfTrue="1">
      <formula>$H158="Both"</formula>
    </cfRule>
  </conditionalFormatting>
  <conditionalFormatting sqref="H152:H159">
    <cfRule type="cellIs" dxfId="1400" priority="8" operator="equal">
      <formula>"Both"</formula>
    </cfRule>
    <cfRule type="cellIs" dxfId="1399" priority="9" operator="equal">
      <formula>"Yes"</formula>
    </cfRule>
  </conditionalFormatting>
  <conditionalFormatting sqref="H152:H154">
    <cfRule type="expression" dxfId="1398" priority="6">
      <formula>AND($H$134="Both",$H$135&lt;&gt;"Yes",$H$136&lt;&gt;"Yes",$H$137&lt;&gt;"Yes")</formula>
    </cfRule>
  </conditionalFormatting>
  <conditionalFormatting sqref="I155 I151">
    <cfRule type="cellIs" dxfId="1397" priority="5" operator="equal">
      <formula>"No"</formula>
    </cfRule>
  </conditionalFormatting>
  <conditionalFormatting sqref="J155">
    <cfRule type="expression" dxfId="1396" priority="1">
      <formula>$I155="No"</formula>
    </cfRule>
  </conditionalFormatting>
  <conditionalFormatting sqref="J151">
    <cfRule type="expression" dxfId="1395" priority="2">
      <formula>$I151="No"</formula>
    </cfRule>
  </conditionalFormatting>
  <conditionalFormatting sqref="A129:A143 B129:H132 B134:H136 B138:H139 B141:H141 B143:H143">
    <cfRule type="expression" dxfId="1394" priority="100">
      <formula>ROUND(COUNTA($A$129:$A129)/2,0)=COUNTA($A$129:$A129)/2</formula>
    </cfRule>
    <cfRule type="expression" dxfId="1393" priority="101">
      <formula>$A129&lt;&gt;$A130</formula>
    </cfRule>
  </conditionalFormatting>
  <conditionalFormatting sqref="A146:A161 B146:H149 B151:H153 B155:H156 B158:H158 B160:H161">
    <cfRule type="expression" dxfId="1392" priority="3388">
      <formula>$A146&lt;&gt;$A147</formula>
    </cfRule>
    <cfRule type="expression" dxfId="1391" priority="3389">
      <formula>ROUND(COUNTA($A$146:$A146)/2,0)=COUNTA($A$146:$A146)/2</formula>
    </cfRule>
  </conditionalFormatting>
  <dataValidations disablePrompts="1" count="6">
    <dataValidation type="list" allowBlank="1" showInputMessage="1" showErrorMessage="1" sqref="H272:H275 H150 C118 I230 G208 C110:C111 H135:H140 H142 H133 H152:H157 H159" xr:uid="{4D4503F3-E7F5-4330-B713-A61C75F4DF4F}">
      <formula1>"&lt;select one&gt;, Yes, No"</formula1>
    </dataValidation>
    <dataValidation type="list" allowBlank="1" showInputMessage="1" showErrorMessage="1" sqref="J82:J84" xr:uid="{1C5BE22F-F565-405A-86FC-D9E9E365EE86}">
      <formula1>DS_Limiting_DevCat_Menu</formula1>
    </dataValidation>
    <dataValidation type="list" allowBlank="1" showInputMessage="1" showErrorMessage="1" sqref="H134 H151 H141 H132 H149 H158" xr:uid="{DF505602-0E6E-4611-88FA-2E13AE9E3E7B}">
      <formula1>"&lt;select one&gt;, Yes, No, Both"</formula1>
    </dataValidation>
    <dataValidation type="list" allowBlank="1" showInputMessage="1" showErrorMessage="1" sqref="L158 L141" xr:uid="{71FF403A-7E6D-4699-8F54-102FBA77D328}">
      <formula1>$M$140:$M$142</formula1>
    </dataValidation>
    <dataValidation type="list" allowBlank="1" showInputMessage="1" showErrorMessage="1" sqref="C160:C162 C143:C144" xr:uid="{B288BAB4-DA5F-4784-8B7D-E07CBD1EAB6E}">
      <formula1>$M$145:$M$147</formula1>
    </dataValidation>
    <dataValidation type="list" allowBlank="1" showInputMessage="1" showErrorMessage="1" sqref="K143 L144 K160 C143:C144 L161" xr:uid="{AA509987-C050-44BB-9DDA-A3ED9823FEC9}">
      <formula1>$M$134:$M$137</formula1>
    </dataValidation>
  </dataValidations>
  <pageMargins left="0.7" right="0.7" top="0.75" bottom="0.75" header="0.3" footer="0.3"/>
  <pageSetup scale="8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18" id="{4721F7E3-F699-473C-81F1-6A3C6AE215EF}">
            <xm:f>Funding!$O7=0</xm:f>
            <x14:dxf>
              <fill>
                <patternFill patternType="darkUp">
                  <fgColor theme="0" tint="-0.24994659260841701"/>
                </patternFill>
              </fill>
            </x14:dxf>
          </x14:cfRule>
          <x14:cfRule type="expression" priority="119" id="{E3B4CAA6-9D75-444A-9E4C-D7F9A96D9603}">
            <xm:f>Funding!$L$15=0</xm:f>
            <x14:dxf>
              <fill>
                <patternFill patternType="darkUp">
                  <fgColor theme="0" tint="-0.24994659260841701"/>
                </patternFill>
              </fill>
            </x14:dxf>
          </x14:cfRule>
          <xm:sqref>A76:B80 D76:M80</xm:sqref>
        </x14:conditionalFormatting>
        <x14:conditionalFormatting xmlns:xm="http://schemas.microsoft.com/office/excel/2006/main">
          <x14:cfRule type="expression" priority="4451" id="{1F4B23C8-798B-490B-91FD-1D5A0130D2D1}">
            <xm:f>Funding!$L$55=0</xm:f>
            <x14:dxf>
              <fill>
                <patternFill patternType="darkUp">
                  <fgColor theme="0" tint="-0.24994659260841701"/>
                </patternFill>
              </fill>
            </x14:dxf>
          </x14:cfRule>
          <xm:sqref>A82:B103 D82:M90 D91:I97 M91:M97 D98:M103 J96:L97</xm:sqref>
        </x14:conditionalFormatting>
        <x14:conditionalFormatting xmlns:xm="http://schemas.microsoft.com/office/excel/2006/main">
          <x14:cfRule type="expression" priority="60" id="{E20FBB53-0291-4F9D-8764-D03093009955}">
            <xm:f>Funding!$O$22=0</xm:f>
            <x14:dxf>
              <fill>
                <patternFill patternType="darkUp">
                  <fgColor theme="0" tint="-0.24994659260841701"/>
                </patternFill>
              </fill>
            </x14:dxf>
          </x14:cfRule>
          <xm:sqref>D82:M82 A82:B82</xm:sqref>
        </x14:conditionalFormatting>
        <x14:conditionalFormatting xmlns:xm="http://schemas.microsoft.com/office/excel/2006/main">
          <x14:cfRule type="expression" priority="166" id="{4A9B7885-092F-4CC2-8DAD-27B5E3C1F0C4}">
            <xm:f>Funding!$O$50=0</xm:f>
            <x14:dxf>
              <fill>
                <patternFill patternType="darkUp">
                  <fgColor theme="0" tint="-0.24994659260841701"/>
                </patternFill>
              </fill>
            </x14:dxf>
          </x14:cfRule>
          <xm:sqref>J108:J112</xm:sqref>
        </x14:conditionalFormatting>
        <x14:conditionalFormatting xmlns:xm="http://schemas.microsoft.com/office/excel/2006/main">
          <x14:cfRule type="expression" priority="126" id="{CF3BC589-C663-4DE9-B577-040FCBD0544A}">
            <xm:f>Funding!$L$65=0</xm:f>
            <x14:dxf>
              <fill>
                <patternFill patternType="darkUp">
                  <fgColor theme="0" tint="-0.24994659260841701"/>
                </patternFill>
              </fill>
            </x14:dxf>
          </x14:cfRule>
          <xm:sqref>A105:B106 D105:M106</xm:sqref>
        </x14:conditionalFormatting>
        <x14:conditionalFormatting xmlns:xm="http://schemas.microsoft.com/office/excel/2006/main">
          <x14:cfRule type="expression" priority="167" id="{721C3AA3-1B1E-470C-B94B-222782F73F63}">
            <xm:f>Funding!$L$133=0</xm:f>
            <x14:dxf>
              <fill>
                <patternFill patternType="darkUp">
                  <fgColor theme="0" tint="-0.24994659260841701"/>
                </patternFill>
              </fill>
            </x14:dxf>
          </x14:cfRule>
          <xm:sqref>A122:B127 D122:M127</xm:sqref>
        </x14:conditionalFormatting>
        <x14:conditionalFormatting xmlns:xm="http://schemas.microsoft.com/office/excel/2006/main">
          <x14:cfRule type="expression" priority="168" id="{6B68BD9A-36BF-4C89-B178-FBB44E6A066F}">
            <xm:f>Funding!$O121=0</xm:f>
            <x14:dxf>
              <fill>
                <patternFill patternType="darkUp">
                  <fgColor theme="0" tint="-0.24994659260841701"/>
                </patternFill>
              </fill>
            </x14:dxf>
          </x14:cfRule>
          <xm:sqref>A123:B127 D123:M127</xm:sqref>
        </x14:conditionalFormatting>
        <x14:conditionalFormatting xmlns:xm="http://schemas.microsoft.com/office/excel/2006/main">
          <x14:cfRule type="expression" priority="2086" id="{1A3F739D-68B5-4232-88B8-4C239A6894F4}">
            <xm:f>Funding!$L$209=0</xm:f>
            <x14:dxf>
              <fill>
                <patternFill patternType="darkUp">
                  <fgColor theme="0" tint="-0.24994659260841701"/>
                </patternFill>
              </fill>
            </x14:dxf>
          </x14:cfRule>
          <xm:sqref>A163 D163:M163</xm:sqref>
        </x14:conditionalFormatting>
        <x14:conditionalFormatting xmlns:xm="http://schemas.microsoft.com/office/excel/2006/main">
          <x14:cfRule type="expression" priority="170" id="{2AE9E148-7443-41FB-9593-C46977F9409F}">
            <xm:f>Funding!$L$201=0</xm:f>
            <x14:dxf>
              <fill>
                <patternFill patternType="darkUp">
                  <fgColor theme="0" tint="-0.24994659260841701"/>
                </patternFill>
              </fill>
            </x14:dxf>
          </x14:cfRule>
          <xm:sqref>A129:A144</xm:sqref>
        </x14:conditionalFormatting>
        <x14:conditionalFormatting xmlns:xm="http://schemas.microsoft.com/office/excel/2006/main">
          <x14:cfRule type="expression" priority="171" id="{0421B522-1729-4075-B050-8F896731FDAF}">
            <xm:f>Funding!$N$214+SUM(Funding!$L$226:$L$230)=0</xm:f>
            <x14:dxf>
              <fill>
                <patternFill patternType="darkUp">
                  <fgColor theme="0" tint="-0.24994659260841701"/>
                </patternFill>
              </fill>
            </x14:dxf>
          </x14:cfRule>
          <xm:sqref>A146:A161</xm:sqref>
        </x14:conditionalFormatting>
        <x14:conditionalFormatting xmlns:xm="http://schemas.microsoft.com/office/excel/2006/main">
          <x14:cfRule type="expression" priority="120" id="{61839EE1-97A8-43A4-85BD-A8F21834800C}">
            <xm:f>Funding!$O$32=0</xm:f>
            <x14:dxf>
              <fill>
                <patternFill patternType="darkUp">
                  <fgColor theme="0" tint="-0.24994659260841701"/>
                </patternFill>
              </fill>
            </x14:dxf>
          </x14:cfRule>
          <xm:sqref>A87:B87 D87:M87</xm:sqref>
        </x14:conditionalFormatting>
        <x14:conditionalFormatting xmlns:xm="http://schemas.microsoft.com/office/excel/2006/main">
          <x14:cfRule type="expression" priority="79" id="{E20FBB53-0291-4F9D-8764-D03093009955}">
            <xm:f>Funding!$O$28=0</xm:f>
            <x14:dxf>
              <fill>
                <patternFill patternType="darkUp">
                  <fgColor theme="0" tint="-0.24994659260841701"/>
                </patternFill>
              </fill>
            </x14:dxf>
          </x14:cfRule>
          <xm:sqref>D85:M85 A85:B85</xm:sqref>
        </x14:conditionalFormatting>
        <x14:conditionalFormatting xmlns:xm="http://schemas.microsoft.com/office/excel/2006/main">
          <x14:cfRule type="expression" priority="160" id="{6F9881CF-78F7-4D5D-B169-A67F95152158}">
            <xm:f>AND(Funding!$L$55=0,Funding!$L$65=0)</xm:f>
            <x14:dxf>
              <fill>
                <patternFill patternType="darkUp">
                  <fgColor theme="0" tint="-0.24994659260841701"/>
                </patternFill>
              </fill>
            </x14:dxf>
          </x14:cfRule>
          <xm:sqref>A108:B112 D108:M112</xm:sqref>
        </x14:conditionalFormatting>
        <x14:conditionalFormatting xmlns:xm="http://schemas.microsoft.com/office/excel/2006/main">
          <x14:cfRule type="expression" priority="80" id="{E20FBB53-0291-4F9D-8764-D03093009955}">
            <xm:f>Funding!$O$30=0</xm:f>
            <x14:dxf>
              <fill>
                <patternFill patternType="darkUp">
                  <fgColor theme="0" tint="-0.24994659260841701"/>
                </patternFill>
              </fill>
            </x14:dxf>
          </x14:cfRule>
          <xm:sqref>A86:B86 D86:M86</xm:sqref>
        </x14:conditionalFormatting>
        <x14:conditionalFormatting xmlns:xm="http://schemas.microsoft.com/office/excel/2006/main">
          <x14:cfRule type="expression" priority="2346" id="{C4D4A245-EBCC-4167-B3C6-54B465DD2257}">
            <xm:f>Funding!$L$298=0</xm:f>
            <x14:dxf>
              <fill>
                <patternFill patternType="darkUp">
                  <fgColor theme="0" tint="-0.24994659260841701"/>
                </patternFill>
              </fill>
            </x14:dxf>
          </x14:cfRule>
          <xm:sqref>A174:A184 G174:M184</xm:sqref>
        </x14:conditionalFormatting>
        <x14:conditionalFormatting xmlns:xm="http://schemas.microsoft.com/office/excel/2006/main">
          <x14:cfRule type="expression" priority="3395" id="{E20FBB53-0291-4F9D-8764-D03093009955}">
            <xm:f>Funding!$O$48=0</xm:f>
            <x14:dxf>
              <fill>
                <patternFill patternType="darkUp">
                  <fgColor theme="0" tint="-0.24994659260841701"/>
                </patternFill>
              </fill>
            </x14:dxf>
          </x14:cfRule>
          <xm:sqref>A99:B99 D99:M99</xm:sqref>
        </x14:conditionalFormatting>
        <x14:conditionalFormatting xmlns:xm="http://schemas.microsoft.com/office/excel/2006/main">
          <x14:cfRule type="expression" priority="3383" id="{E20FBB53-0291-4F9D-8764-D03093009955}">
            <xm:f>Funding!$O$46=0</xm:f>
            <x14:dxf>
              <fill>
                <patternFill patternType="darkUp">
                  <fgColor theme="0" tint="-0.24994659260841701"/>
                </patternFill>
              </fill>
            </x14:dxf>
          </x14:cfRule>
          <xm:sqref>A98:B98 D98:M98</xm:sqref>
        </x14:conditionalFormatting>
        <x14:conditionalFormatting xmlns:xm="http://schemas.microsoft.com/office/excel/2006/main">
          <x14:cfRule type="expression" priority="104" id="{56632A1C-3499-48B0-BFEC-984022BE044E}">
            <xm:f>Funding!$N$101=0</xm:f>
            <x14:dxf>
              <fill>
                <patternFill patternType="darkUp">
                  <fgColor theme="0" tint="-0.24994659260841701"/>
                </patternFill>
              </fill>
            </x14:dxf>
          </x14:cfRule>
          <xm:sqref>A118:B120 D118:M120</xm:sqref>
        </x14:conditionalFormatting>
        <x14:conditionalFormatting xmlns:xm="http://schemas.microsoft.com/office/excel/2006/main">
          <x14:cfRule type="expression" priority="61" id="{305CA461-0C02-44DF-BBF1-E913F6327B11}">
            <xm:f>Funding!$O$24=0</xm:f>
            <x14:dxf>
              <fill>
                <patternFill patternType="darkUp">
                  <fgColor theme="0" tint="-0.24994659260841701"/>
                </patternFill>
              </fill>
            </x14:dxf>
          </x14:cfRule>
          <xm:sqref>D83:M83 A83:B83</xm:sqref>
        </x14:conditionalFormatting>
        <x14:conditionalFormatting xmlns:xm="http://schemas.microsoft.com/office/excel/2006/main">
          <x14:cfRule type="expression" priority="62" id="{A8437313-DF16-4ACC-B3E5-11CFF2D42DEC}">
            <xm:f>Funding!$O$26=0</xm:f>
            <x14:dxf>
              <fill>
                <patternFill patternType="darkUp">
                  <fgColor theme="0" tint="-0.24994659260841701"/>
                </patternFill>
              </fill>
            </x14:dxf>
          </x14:cfRule>
          <xm:sqref>D84:M84 A84:B84</xm:sqref>
        </x14:conditionalFormatting>
        <x14:conditionalFormatting xmlns:xm="http://schemas.microsoft.com/office/excel/2006/main">
          <x14:cfRule type="expression" priority="64" id="{2256706B-B76A-4AD4-9F09-1D8B771F35EF}">
            <xm:f>Funding!$N$81=0</xm:f>
            <x14:dxf>
              <fill>
                <patternFill patternType="darkUp">
                  <fgColor theme="0" tint="-0.24994659260841701"/>
                </patternFill>
              </fill>
            </x14:dxf>
          </x14:cfRule>
          <xm:sqref>A114:B117 D114:M117</xm:sqref>
        </x14:conditionalFormatting>
        <x14:conditionalFormatting xmlns:xm="http://schemas.microsoft.com/office/excel/2006/main">
          <x14:cfRule type="expression" priority="63" id="{0003B5F3-DCA8-4BCB-A3F7-68F26E71889F}">
            <xm:f>Funding!$N$239=0</xm:f>
            <x14:dxf>
              <fill>
                <patternFill patternType="darkUp">
                  <fgColor theme="0" tint="-0.24994659260841701"/>
                </patternFill>
              </fill>
            </x14:dxf>
          </x14:cfRule>
          <xm:sqref>A165:A172 C167:C172 D165:M167 F168:M172</xm:sqref>
        </x14:conditionalFormatting>
        <x14:conditionalFormatting xmlns:xm="http://schemas.microsoft.com/office/excel/2006/main">
          <x14:cfRule type="expression" priority="3356" id="{F888BF27-9CC5-4921-9A52-FEEAB9008C69}">
            <xm:f>Funding!$O39=0</xm:f>
            <x14:dxf>
              <fill>
                <patternFill patternType="darkUp">
                  <fgColor theme="0" tint="-0.24994659260841701"/>
                </patternFill>
              </fill>
            </x14:dxf>
          </x14:cfRule>
          <xm:sqref>A91:B97 M91:M97 D91:I97 J96:L97</xm:sqref>
        </x14:conditionalFormatting>
        <x14:conditionalFormatting xmlns:xm="http://schemas.microsoft.com/office/excel/2006/main">
          <x14:cfRule type="expression" priority="122" id="{E20FBB53-0291-4F9D-8764-D03093009955}">
            <xm:f>Funding!$O35=0</xm:f>
            <x14:dxf>
              <fill>
                <patternFill patternType="darkUp">
                  <fgColor theme="0" tint="-0.24994659260841701"/>
                </patternFill>
              </fill>
            </x14:dxf>
          </x14:cfRule>
          <xm:sqref>A89:B89 D89:M89</xm:sqref>
        </x14:conditionalFormatting>
        <x14:conditionalFormatting xmlns:xm="http://schemas.microsoft.com/office/excel/2006/main">
          <x14:cfRule type="expression" priority="121" id="{E20FBB53-0291-4F9D-8764-D03093009955}">
            <xm:f>Funding!$O$33=0</xm:f>
            <x14:dxf>
              <fill>
                <patternFill patternType="darkUp">
                  <fgColor theme="0" tint="-0.24994659260841701"/>
                </patternFill>
              </fill>
            </x14:dxf>
          </x14:cfRule>
          <xm:sqref>A88:B88 D88:M88</xm:sqref>
        </x14:conditionalFormatting>
        <x14:conditionalFormatting xmlns:xm="http://schemas.microsoft.com/office/excel/2006/main">
          <x14:cfRule type="expression" priority="123" id="{60F95349-C804-42A6-9A10-96F4D74A6607}">
            <xm:f>Funding!$O$36=0</xm:f>
            <x14:dxf>
              <fill>
                <patternFill patternType="darkUp">
                  <fgColor theme="0" tint="-0.24994659260841701"/>
                </patternFill>
              </fill>
            </x14:dxf>
          </x14:cfRule>
          <xm:sqref>A90:B90 D90:M90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302"/>
  <sheetViews>
    <sheetView showGridLines="0" tabSelected="1" zoomScale="110" zoomScaleNormal="110" zoomScaleSheetLayoutView="100" workbookViewId="0">
      <pane ySplit="3" topLeftCell="A4" activePane="bottomLeft" state="frozen"/>
      <selection activeCell="L364" sqref="L364:N364"/>
      <selection pane="bottomLeft" activeCell="F65" sqref="F65:H65"/>
    </sheetView>
  </sheetViews>
  <sheetFormatPr defaultColWidth="9.140625" defaultRowHeight="15"/>
  <cols>
    <col min="1" max="1" width="3" style="6" customWidth="1"/>
    <col min="2" max="3" width="3.5703125" style="6" customWidth="1"/>
    <col min="4" max="4" width="4.42578125" style="6" customWidth="1"/>
    <col min="5" max="5" width="18.85546875" style="6" customWidth="1"/>
    <col min="6" max="6" width="33.5703125" style="6" customWidth="1"/>
    <col min="7" max="7" width="24" style="6" customWidth="1"/>
    <col min="8" max="8" width="20.5703125" style="6" customWidth="1"/>
    <col min="9" max="9" width="8.7109375" style="6" customWidth="1"/>
    <col min="10" max="10" width="3.5703125" style="6" customWidth="1"/>
    <col min="11" max="12" width="3.5703125" style="6" hidden="1" customWidth="1"/>
    <col min="13" max="13" width="35.7109375" style="6" hidden="1" customWidth="1"/>
    <col min="14" max="14" width="3.5703125" style="6" hidden="1" customWidth="1"/>
    <col min="15" max="15" width="10.7109375" style="6" hidden="1" customWidth="1"/>
    <col min="16" max="19" width="9.140625" style="6"/>
    <col min="20" max="20" width="14.42578125" style="6" customWidth="1"/>
    <col min="21" max="23" width="9.140625" style="6"/>
    <col min="24" max="24" width="33.85546875" style="6" bestFit="1" customWidth="1"/>
    <col min="25" max="16384" width="9.140625" style="6"/>
  </cols>
  <sheetData>
    <row r="1" spans="1:27" ht="14.45" customHeight="1">
      <c r="A1" s="2997"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10/17/2024.</v>
      </c>
      <c r="B1" s="2806"/>
      <c r="C1" s="2806"/>
      <c r="D1" s="2806"/>
      <c r="E1" s="2806"/>
      <c r="F1" s="2806"/>
      <c r="G1" s="2806"/>
      <c r="H1" s="2806"/>
      <c r="J1" s="2994" t="str">
        <f ca="1">"There are "&amp;TEXT(COUNTIF($K$10:$K$300,"=1"),"0")&amp;" required input fields and "&amp;TEXT(COUNTIF($K$10:$K$300,"=2")+IF($K$228&lt;&gt;0,1,0)+IF($K$235&lt;&gt;0,1,0)+IF($K$267&lt;&gt;0,1,0)+IF($K$274&lt;&gt;0,1,0)+IF($K$280&lt;&gt;0,1,0)+IF($K$287&lt;&gt;0,1,0),"0")&amp;" optional input fields tracked on this tab."&amp;CHAR(10)&amp;"There "&amp;IF(COUNTIFS($K$10:$K$300,"=1",$L$10:$L$300,"=1")=1,"is 1 required input field with an entry","are "&amp;TEXT(COUNTIFS($K$10:$K$300,"=1",$L$10:$L$300,"=1"),"0")&amp;" required input fields")&amp;" and "&amp;TEXT(COUNTIFS($K$10:$K$300,"=2",$L$10:$L$300,"=2")+IF(AND($K$228&lt;&gt;0,$H$228&lt;&gt;""),1,0)+IF(AND($K$235&lt;&gt;0,$H$235&lt;&gt;""),1,0)+IF(AND($K$267&lt;&gt;0,$H$267&lt;&gt;""),1,0)+IF(AND($K$274&lt;&gt;0,$H$274&lt;&gt;""),1,0)+IF(AND($K$280&lt;&gt;0,$H$280&lt;&gt;""),1,0)+IF(AND($K$287&lt;&gt;0,$H$287&lt;&gt;""),1,0),"0")&amp;" optional input field"&amp;IF(COUNTIFS($K$10:$K$300,"=2",$L$10:$L$300,"=2")+IF(AND($K$228&lt;&gt;0,$H$228&lt;&gt;""),1,0)+IF(AND($K$235&lt;&gt;0,$H$235&lt;&gt;""),1,0)+IF(AND($K$267&lt;&gt;0,$H$267&lt;&gt;""),1,0)+IF(AND($K$274&lt;&gt;0,$H$274&lt;&gt;""),1,0)+IF(AND($K$280&lt;&gt;0,$H$280&lt;&gt;""),1,0)+IF(AND($K$287&lt;&gt;0,$H$287&lt;&gt;""),1,0)=1," with an entry","s with entries")&amp;" tracked on this tab."&amp;CHAR(10)&amp;"There "&amp;IF(Data1!G817=1,"is ","are ")&amp;TEXT(Data1!G817,"0")&amp;" required input field"&amp;IF(Data1!G817=1," that need an entry","s that need entries")&amp;" and "&amp;TEXT(Data1!H817,"0")&amp;" optional input field"&amp;IF(Data1!H817=1," that may or may not need an entry","s that may or may not need entries")&amp;" tracked on this tab."</f>
        <v>There are 40 required input fields and 26 optional input fields tracked on this tab.
There are 2 required input fields and 0 optional input fields with entries tracked on this tab.
There are 38 required input fields that need entries and 26 optional input fields that may or may not need entries tracked on this tab.</v>
      </c>
      <c r="K1" s="2994"/>
      <c r="L1" s="2994"/>
      <c r="M1" s="2994"/>
      <c r="N1" s="2994"/>
      <c r="O1" s="2994"/>
      <c r="P1" s="2994"/>
      <c r="Q1" s="2994"/>
      <c r="R1" s="2994"/>
      <c r="S1" s="2994"/>
      <c r="T1" s="2994"/>
      <c r="U1" s="2994"/>
      <c r="V1" s="2994"/>
      <c r="W1" s="2994"/>
      <c r="X1" s="2994"/>
      <c r="Y1" s="2994"/>
      <c r="Z1" s="2994"/>
      <c r="AA1" s="2994"/>
    </row>
    <row r="2" spans="1:27">
      <c r="A2" s="2806"/>
      <c r="B2" s="2806"/>
      <c r="C2" s="2806"/>
      <c r="D2" s="2806"/>
      <c r="E2" s="2806"/>
      <c r="F2" s="2806"/>
      <c r="G2" s="2806"/>
      <c r="H2" s="2806"/>
      <c r="J2" s="2994"/>
      <c r="K2" s="2994"/>
      <c r="L2" s="2994"/>
      <c r="M2" s="2994"/>
      <c r="N2" s="2994"/>
      <c r="O2" s="2994"/>
      <c r="P2" s="2994"/>
      <c r="Q2" s="2994"/>
      <c r="R2" s="2994"/>
      <c r="S2" s="2994"/>
      <c r="T2" s="2994"/>
      <c r="U2" s="2994"/>
      <c r="V2" s="2994"/>
      <c r="W2" s="2994"/>
      <c r="X2" s="2994"/>
      <c r="Y2" s="2994"/>
      <c r="Z2" s="2994"/>
      <c r="AA2" s="2994"/>
    </row>
    <row r="3" spans="1:27" ht="14.45" customHeight="1" thickBot="1">
      <c r="J3" s="2994"/>
      <c r="K3" s="2994"/>
      <c r="L3" s="2994"/>
      <c r="M3" s="2994"/>
      <c r="N3" s="2994"/>
      <c r="O3" s="2994"/>
      <c r="P3" s="2994"/>
      <c r="Q3" s="2994"/>
      <c r="R3" s="2994"/>
      <c r="S3" s="2994"/>
      <c r="T3" s="2994"/>
      <c r="U3" s="2994"/>
      <c r="V3" s="2994"/>
      <c r="W3" s="2994"/>
      <c r="X3" s="2994"/>
      <c r="Y3" s="2994"/>
      <c r="Z3" s="2994"/>
      <c r="AA3" s="2994"/>
    </row>
    <row r="4" spans="1:27" ht="35.85" customHeight="1" thickBot="1">
      <c r="A4" s="2979" t="s">
        <v>940</v>
      </c>
      <c r="B4" s="2980"/>
      <c r="C4" s="2980"/>
      <c r="D4" s="2980"/>
      <c r="E4" s="2980"/>
      <c r="F4" s="2980"/>
      <c r="G4" s="2980"/>
      <c r="H4" s="2981"/>
      <c r="J4" s="238"/>
      <c r="K4" s="241"/>
      <c r="L4" s="241"/>
      <c r="M4" s="313">
        <v>1</v>
      </c>
    </row>
    <row r="5" spans="1:27" ht="14.45" customHeight="1">
      <c r="A5" s="924"/>
      <c r="B5" s="924"/>
      <c r="C5" s="924"/>
      <c r="D5" s="924"/>
      <c r="E5" s="9"/>
      <c r="F5" s="9"/>
      <c r="G5" s="9"/>
      <c r="I5" s="2120"/>
      <c r="J5" s="2120"/>
      <c r="K5" s="2121"/>
      <c r="L5" s="2121"/>
      <c r="M5" s="2120"/>
      <c r="N5" s="2120"/>
      <c r="O5" s="2120"/>
      <c r="P5" s="2120"/>
    </row>
    <row r="6" spans="1:27" ht="80.099999999999994" customHeight="1">
      <c r="A6" s="2806" t="s">
        <v>941</v>
      </c>
      <c r="B6" s="2806"/>
      <c r="C6" s="2806"/>
      <c r="D6" s="2806"/>
      <c r="E6" s="2806"/>
      <c r="F6" s="2806"/>
      <c r="G6" s="2806"/>
      <c r="H6" s="2806"/>
      <c r="I6" s="2120"/>
      <c r="J6" s="2122"/>
      <c r="K6" s="2123"/>
      <c r="L6" s="2123"/>
      <c r="M6" s="2124"/>
      <c r="N6" s="2120"/>
      <c r="O6" s="2120"/>
      <c r="P6" s="2120"/>
    </row>
    <row r="7" spans="1:27" ht="14.45" customHeight="1" thickBot="1">
      <c r="I7" s="2120"/>
      <c r="J7" s="2120"/>
      <c r="K7" s="2993" t="s">
        <v>943</v>
      </c>
      <c r="L7" s="2993"/>
      <c r="M7" s="2993"/>
      <c r="N7" s="2993"/>
      <c r="O7" s="2993"/>
      <c r="P7" s="2120"/>
    </row>
    <row r="8" spans="1:27" s="2114" customFormat="1" ht="35.85" hidden="1" customHeight="1" thickBot="1">
      <c r="A8" s="2979" t="s">
        <v>2527</v>
      </c>
      <c r="B8" s="2980"/>
      <c r="C8" s="2980"/>
      <c r="D8" s="2980"/>
      <c r="E8" s="2980"/>
      <c r="F8" s="2980"/>
      <c r="G8" s="2980"/>
      <c r="H8" s="2981"/>
      <c r="I8" s="2120"/>
      <c r="J8" s="2120"/>
      <c r="K8" s="2111"/>
      <c r="L8" s="2111"/>
      <c r="M8" s="2120"/>
      <c r="N8" s="2120"/>
      <c r="O8" s="2120"/>
      <c r="P8" s="2120"/>
    </row>
    <row r="9" spans="1:27" s="2114" customFormat="1" ht="14.45" hidden="1" customHeight="1">
      <c r="I9" s="2120"/>
      <c r="J9" s="2120"/>
      <c r="K9" s="2111"/>
      <c r="L9" s="2111"/>
      <c r="M9" s="2120"/>
      <c r="N9" s="2120"/>
      <c r="O9" s="2120"/>
      <c r="P9" s="2120"/>
    </row>
    <row r="10" spans="1:27" s="2082" customFormat="1" ht="14.45" hidden="1" customHeight="1">
      <c r="A10" s="10" t="s">
        <v>955</v>
      </c>
      <c r="B10" s="2998" t="s">
        <v>2528</v>
      </c>
      <c r="C10" s="2998"/>
      <c r="D10" s="2998"/>
      <c r="E10" s="2998"/>
      <c r="F10" s="2998"/>
      <c r="G10" s="2998"/>
      <c r="H10" s="2998"/>
      <c r="K10" s="2080"/>
      <c r="L10" s="2080"/>
      <c r="M10" s="2120"/>
    </row>
    <row r="11" spans="1:27" s="2082" customFormat="1" ht="7.5" hidden="1" customHeight="1">
      <c r="K11" s="2080"/>
      <c r="L11" s="2080"/>
    </row>
    <row r="12" spans="1:27" s="2114" customFormat="1" ht="35.1" hidden="1" customHeight="1">
      <c r="B12" s="2943" t="s">
        <v>2572</v>
      </c>
      <c r="C12" s="2943"/>
      <c r="D12" s="2943"/>
      <c r="E12" s="2943"/>
      <c r="F12" s="2943"/>
      <c r="G12" s="2943"/>
      <c r="H12" s="2943"/>
      <c r="K12" s="2111"/>
      <c r="L12" s="2111"/>
    </row>
    <row r="13" spans="1:27" s="2114" customFormat="1" ht="10.35" hidden="1" customHeight="1">
      <c r="K13" s="2111"/>
      <c r="L13" s="2111"/>
    </row>
    <row r="14" spans="1:27" s="2114" customFormat="1" ht="14.45" hidden="1" customHeight="1">
      <c r="A14" s="10" t="s">
        <v>1031</v>
      </c>
      <c r="B14" s="2998" t="s">
        <v>2528</v>
      </c>
      <c r="C14" s="2998"/>
      <c r="D14" s="2998"/>
      <c r="E14" s="2998"/>
      <c r="F14" s="2998"/>
      <c r="G14" s="2998"/>
      <c r="H14" s="2998"/>
      <c r="K14" s="2111"/>
      <c r="L14" s="2111"/>
    </row>
    <row r="15" spans="1:27" s="2114" customFormat="1" ht="7.5" hidden="1" customHeight="1">
      <c r="K15" s="2111"/>
      <c r="L15" s="2111"/>
    </row>
    <row r="16" spans="1:27" s="2082" customFormat="1" ht="30" hidden="1" customHeight="1">
      <c r="B16" s="2943" t="str">
        <f>"State whether the subject of this Application is for the "&amp;IF(Data1!$B$16=1,Data1!$A$16&amp;", ","")&amp;"New Development or the Reconstructed Development."</f>
        <v>State whether the subject of this Application is for the Combination Application, New Development or the Reconstructed Development.</v>
      </c>
      <c r="C16" s="2943"/>
      <c r="D16" s="2943"/>
      <c r="E16" s="2943"/>
      <c r="F16" s="2943"/>
      <c r="G16" s="2943"/>
      <c r="H16" s="2943"/>
      <c r="K16" s="2080"/>
      <c r="L16" s="2080"/>
    </row>
    <row r="17" spans="1:13" s="2114" customFormat="1" ht="10.35" hidden="1" customHeight="1">
      <c r="B17" s="2106"/>
      <c r="C17" s="2106"/>
      <c r="D17" s="2106"/>
      <c r="E17" s="2106"/>
      <c r="F17" s="2106"/>
      <c r="G17" s="2106"/>
      <c r="H17" s="2106"/>
      <c r="K17" s="2111"/>
      <c r="L17" s="2111"/>
    </row>
    <row r="18" spans="1:13" s="2082" customFormat="1" ht="17.45" hidden="1" customHeight="1">
      <c r="F18" s="2961" t="s">
        <v>59</v>
      </c>
      <c r="G18" s="2961"/>
      <c r="K18" s="2081">
        <f>IF(M$4=1,0,1)</f>
        <v>0</v>
      </c>
      <c r="L18" s="2080">
        <f>IF(AND(K18&lt;&gt;0,F18&lt;&gt;"&lt;select one&gt;"),K18,0)</f>
        <v>0</v>
      </c>
      <c r="M18" s="779" t="str">
        <f>CHOOSE(K18+1,"Not to be included in this RFA","A REQUIRED input field for this RFA","An OPTIONAL input field for this RFA")</f>
        <v>Not to be included in this RFA</v>
      </c>
    </row>
    <row r="19" spans="1:13" s="2082" customFormat="1" ht="14.45" hidden="1" customHeight="1" thickBot="1">
      <c r="K19" s="2080"/>
      <c r="L19" s="2080"/>
    </row>
    <row r="20" spans="1:13" ht="35.85" customHeight="1" thickBot="1">
      <c r="A20" s="2979" t="s">
        <v>942</v>
      </c>
      <c r="B20" s="2980"/>
      <c r="C20" s="2980"/>
      <c r="D20" s="2980"/>
      <c r="E20" s="2980"/>
      <c r="F20" s="2980"/>
      <c r="G20" s="2980"/>
      <c r="H20" s="2981"/>
    </row>
    <row r="21" spans="1:13" ht="14.45" customHeight="1">
      <c r="A21" s="10"/>
      <c r="B21" s="10"/>
      <c r="C21" s="10"/>
      <c r="D21" s="10"/>
      <c r="E21" s="9"/>
      <c r="F21" s="9"/>
      <c r="G21" s="9"/>
    </row>
    <row r="22" spans="1:13" s="2082" customFormat="1" ht="14.45" hidden="1" customHeight="1">
      <c r="A22" s="10" t="s">
        <v>955</v>
      </c>
      <c r="B22" s="2998" t="s">
        <v>2529</v>
      </c>
      <c r="C22" s="2998"/>
      <c r="D22" s="2998"/>
      <c r="E22" s="2998"/>
      <c r="F22" s="2998"/>
      <c r="G22" s="2998"/>
      <c r="H22" s="2998"/>
    </row>
    <row r="23" spans="1:13" s="2114" customFormat="1" ht="7.5" hidden="1" customHeight="1">
      <c r="A23" s="10"/>
      <c r="B23" s="2125"/>
      <c r="C23" s="2125"/>
      <c r="D23" s="2125"/>
      <c r="E23" s="2125"/>
      <c r="F23" s="2125"/>
      <c r="G23" s="2125"/>
      <c r="H23" s="2125"/>
    </row>
    <row r="24" spans="1:13" s="2114" customFormat="1" ht="30" hidden="1" customHeight="1">
      <c r="A24" s="10"/>
      <c r="B24" s="2958" t="str">
        <f>IF(Link_Classification="&lt;select one&gt;","If this Application is for the "&amp;IF(Data1!$B$16=1,Data1!$A$16&amp;" or a ","")&amp;"New Development, ","Given this Application is for a "&amp;IF(Link_Classification="Reconstructed Development","Reconstructed Development, It is not required to",Link_Classification&amp;","))&amp;" state the demographic commitment of the Occupied Development"&amp;IF(Link_Classification=Data1!$A$16,", which must also be the same for the New Development and Reconstructed Development","")&amp;"."</f>
        <v>If this Application is for the Combination Application or a New Development,  state the demographic commitment of the Occupied Development.</v>
      </c>
      <c r="C24" s="2958"/>
      <c r="D24" s="2958"/>
      <c r="E24" s="2958"/>
      <c r="F24" s="2958"/>
      <c r="G24" s="2958"/>
      <c r="H24" s="2958"/>
    </row>
    <row r="25" spans="1:13" s="2114" customFormat="1" ht="10.35" hidden="1" customHeight="1">
      <c r="A25" s="10"/>
      <c r="B25" s="2125"/>
      <c r="C25" s="2105"/>
      <c r="D25" s="2105"/>
      <c r="E25" s="2105"/>
      <c r="F25" s="2105"/>
      <c r="G25" s="2105"/>
      <c r="H25" s="2105"/>
    </row>
    <row r="26" spans="1:13" s="2082" customFormat="1" ht="14.45" hidden="1" customHeight="1">
      <c r="A26" s="10"/>
      <c r="B26" s="10"/>
      <c r="C26" s="10"/>
      <c r="D26" s="10"/>
      <c r="E26" s="2112" t="str">
        <f>IF(AND(Link_Classification&lt;&gt;Data1!$A$14,Link_Classification&lt;&gt;Data1!$A$16,$F$26&lt;&gt;"&lt;select one&gt;"),"(Not applicable)    ","")</f>
        <v/>
      </c>
      <c r="F26" s="2961" t="s">
        <v>59</v>
      </c>
      <c r="G26" s="2961"/>
      <c r="K26" s="2081">
        <f>IF(M$4=1,0,IF(OR(Link_Classification=Data1!$A$14,AND(Link_Classification=Data1!$A$16,Data1!$B$16=1)),1,3))</f>
        <v>0</v>
      </c>
      <c r="L26" s="2080">
        <f>IF(AND(K26&lt;&gt;0,F26&lt;&gt;""),K26,0)</f>
        <v>0</v>
      </c>
      <c r="M26" s="779" t="str">
        <f>CHOOSE(K26+1,"Not to be included in this RFA","A REQUIRED input field for this RFA","An OPTIONAL input field for this RFA","Not tracked in this RFA")</f>
        <v>Not to be included in this RFA</v>
      </c>
    </row>
    <row r="27" spans="1:13" s="2082" customFormat="1" ht="14.45" hidden="1" customHeight="1">
      <c r="A27" s="10"/>
      <c r="B27" s="2987" t="str">
        <f>IF(Link_Classification&lt;&gt;Data1!A14,"",IF(OR($F$26="&lt;select one&gt;",Demographic="&lt;select one&gt;"),"(The Demographic of the Occupied Development must match the Demographic of the New Development.)","(The Demographic of the Occupied Development does "&amp;IF(AND(Demographic_of_Occupied&lt;&gt;Demographic,Demographic&lt;&gt;"&lt;select one&gt;"),"NOT ","")&amp;"match the New Development Demographic.)"))</f>
        <v/>
      </c>
      <c r="C27" s="2987"/>
      <c r="D27" s="2987"/>
      <c r="E27" s="2987"/>
      <c r="F27" s="2987"/>
      <c r="G27" s="2987"/>
      <c r="H27" s="2987"/>
    </row>
    <row r="28" spans="1:13" ht="14.45" customHeight="1">
      <c r="A28" s="8" t="str">
        <f>IF(M$4=0,"b.","a.")</f>
        <v>a.</v>
      </c>
      <c r="B28" s="2999" t="s">
        <v>2530</v>
      </c>
      <c r="C28" s="2999"/>
      <c r="D28" s="2999"/>
      <c r="E28" s="2999"/>
      <c r="F28" s="2999"/>
      <c r="G28" s="2999"/>
      <c r="H28" s="2999"/>
    </row>
    <row r="29" spans="1:13" s="2114" customFormat="1" ht="7.5" customHeight="1">
      <c r="A29" s="8"/>
      <c r="B29" s="2129"/>
      <c r="C29" s="2129"/>
      <c r="D29" s="2129"/>
      <c r="E29" s="2129"/>
      <c r="F29" s="2127"/>
      <c r="G29" s="2127"/>
      <c r="H29" s="2128"/>
      <c r="K29" s="2153"/>
      <c r="L29" s="2111"/>
      <c r="M29" s="779"/>
    </row>
    <row r="30" spans="1:13" s="2114" customFormat="1" ht="14.45" customHeight="1">
      <c r="A30" s="8"/>
      <c r="B30" s="2129" t="str">
        <f>IF(AND($M$4=0,Link_Classification=Data1!A$16),"Given this Application is for a "&amp;Data1!A$16&amp;", the Demographic of the New Development is the same as above","State the Demographic Commitment"&amp;IF($M$4=0," for the Development that is the subject of this Application",""))&amp;"."</f>
        <v>State the Demographic Commitment.</v>
      </c>
      <c r="C30" s="2129"/>
      <c r="D30" s="2129"/>
      <c r="E30" s="2129"/>
      <c r="F30" s="2127"/>
      <c r="G30" s="2127"/>
      <c r="H30" s="2128"/>
      <c r="K30" s="2153"/>
      <c r="L30" s="2111"/>
      <c r="M30" s="779"/>
    </row>
    <row r="31" spans="1:13" s="2114" customFormat="1" ht="10.35" customHeight="1">
      <c r="A31" s="8"/>
      <c r="B31" s="2129"/>
      <c r="C31" s="2129"/>
      <c r="D31" s="2129"/>
      <c r="E31" s="2129"/>
      <c r="F31" s="2127"/>
      <c r="G31" s="2127"/>
      <c r="H31" s="2128"/>
      <c r="K31" s="2153"/>
      <c r="L31" s="2111"/>
      <c r="M31" s="779"/>
    </row>
    <row r="32" spans="1:13" s="2114" customFormat="1" ht="17.45" customHeight="1">
      <c r="A32" s="8"/>
      <c r="B32" s="2126"/>
      <c r="C32" s="2126"/>
      <c r="D32" s="2126"/>
      <c r="E32" s="2126"/>
      <c r="F32" s="2989" t="s">
        <v>77</v>
      </c>
      <c r="G32" s="2989"/>
      <c r="H32" s="1345"/>
      <c r="K32" s="2115">
        <f>IF(Link_Classification=Data1!$A$16,3,1)</f>
        <v>1</v>
      </c>
      <c r="L32" s="931">
        <f>IF(AND(K32&lt;&gt;0,AND(F32&lt;&gt;"&lt;select one&gt;",F32&lt;&gt;"")),K32,0)</f>
        <v>1</v>
      </c>
      <c r="M32" s="779" t="str">
        <f>CHOOSE(K32+1,"Not to be included in this RFA","A REQUIRED input field for this RFA","An OPTIONAL input field for this RFA","Not tracked in this RFA")</f>
        <v>A REQUIRED input field for this RFA</v>
      </c>
    </row>
    <row r="33" spans="1:16" ht="10.35" customHeight="1">
      <c r="A33" s="621"/>
      <c r="B33" s="621"/>
      <c r="C33" s="621"/>
      <c r="D33" s="621"/>
      <c r="E33" s="621"/>
      <c r="F33" s="621"/>
      <c r="G33" s="2992" t="str">
        <f>IF(AND(K67&lt;&gt;0,Self_Sourced_Applicant="Yes"),IF(Demographic&lt;&gt;"Family","Self-Sourced Applicants must select Family",""),"")</f>
        <v/>
      </c>
      <c r="H33" s="2992"/>
    </row>
    <row r="34" spans="1:16" s="2382" customFormat="1" ht="50.1" hidden="1" customHeight="1">
      <c r="A34" s="621"/>
      <c r="B34" s="2990" t="s">
        <v>2720</v>
      </c>
      <c r="C34" s="2990"/>
      <c r="D34" s="2990"/>
      <c r="E34" s="2990"/>
      <c r="F34" s="2990"/>
      <c r="G34" s="2990"/>
      <c r="H34" s="2990"/>
      <c r="I34" s="1345"/>
      <c r="M34" s="313">
        <v>0</v>
      </c>
    </row>
    <row r="35" spans="1:16" s="2382" customFormat="1" ht="10.35" hidden="1" customHeight="1">
      <c r="A35" s="621"/>
      <c r="B35" s="621"/>
      <c r="C35" s="621"/>
      <c r="D35" s="621"/>
      <c r="E35" s="621"/>
      <c r="F35" s="621"/>
      <c r="G35" s="2379"/>
      <c r="H35" s="2379"/>
      <c r="I35" s="1345"/>
      <c r="M35" s="2985" t="str">
        <f>"This section (rows "&amp;TEXT(ROW($A$34),"0")&amp;":"&amp;TEXT(ROW($A$37),"0")&amp;") is for 215 Military"</f>
        <v>This section (rows 34:37) is for 215 Military</v>
      </c>
    </row>
    <row r="36" spans="1:16" s="2382" customFormat="1" ht="14.45" hidden="1" customHeight="1">
      <c r="A36" s="2384" t="str">
        <f>IF(M34=0,".","b.")</f>
        <v>.</v>
      </c>
      <c r="B36" s="2991" t="s">
        <v>2694</v>
      </c>
      <c r="C36" s="2991"/>
      <c r="D36" s="2991"/>
      <c r="E36" s="2991"/>
      <c r="F36" s="2991"/>
      <c r="G36" s="2991"/>
      <c r="H36" s="2991"/>
      <c r="I36" s="1345"/>
      <c r="M36" s="2986"/>
    </row>
    <row r="37" spans="1:16" s="2382" customFormat="1" ht="10.35" hidden="1" customHeight="1">
      <c r="A37" s="621"/>
      <c r="B37" s="621"/>
      <c r="C37" s="621"/>
      <c r="D37" s="621"/>
      <c r="E37" s="621"/>
      <c r="F37" s="621"/>
      <c r="G37" s="2379"/>
      <c r="H37" s="2379"/>
      <c r="I37" s="1345"/>
    </row>
    <row r="38" spans="1:16" s="2153" customFormat="1" ht="30" hidden="1" customHeight="1">
      <c r="A38" s="621"/>
      <c r="B38" s="2943" t="str">
        <f>IF(Link_Classification=Data1!$A$16,"Given this","If this")&amp;" Application is for a Combination Application, the Demographic of the Reconstructed Development is the same as above."</f>
        <v>If this Application is for a Combination Application, the Demographic of the Reconstructed Development is the same as above.</v>
      </c>
      <c r="C38" s="2943"/>
      <c r="D38" s="2943"/>
      <c r="E38" s="2943"/>
      <c r="F38" s="2943"/>
      <c r="G38" s="2943"/>
      <c r="H38" s="2943"/>
    </row>
    <row r="39" spans="1:16" s="2153" customFormat="1" ht="17.45" hidden="1" customHeight="1">
      <c r="A39" s="2211"/>
      <c r="B39" s="2211"/>
      <c r="C39" s="2211"/>
      <c r="D39" s="2211"/>
      <c r="E39" s="2212" t="str">
        <f>IF(AND(Link_Classification&lt;&gt;Data1!$A$14,Link_Classification&lt;&gt;Data1!$A$16,$F$39&lt;&gt;"&lt;select one&gt;"),"(Not applicable)    ","")</f>
        <v/>
      </c>
      <c r="F39" s="2982" t="s">
        <v>59</v>
      </c>
      <c r="G39" s="2982"/>
      <c r="H39" s="2213"/>
      <c r="K39" s="2178">
        <f>IF(OR(M$4=1,Data1!$B$16=0),0,IF(OR(Link_Classification=Data1!$A$14,AND(Link_Classification=Data1!$A$16,Data1!$B$16=1)),1,3))</f>
        <v>0</v>
      </c>
      <c r="L39" s="2177">
        <f>IF(AND(K39&lt;&gt;0,F39&lt;&gt;""),K39,0)</f>
        <v>0</v>
      </c>
      <c r="M39" s="779" t="str">
        <f>CHOOSE(K39+1,"Not to be included in this RFA","A REQUIRED input field for this RFA","An OPTIONAL input field for this RFA","Not tracked in this RFA")</f>
        <v>Not to be included in this RFA</v>
      </c>
    </row>
    <row r="40" spans="1:16" s="2153" customFormat="1" ht="14.45" hidden="1" customHeight="1">
      <c r="A40" s="2211"/>
      <c r="B40" s="2211"/>
      <c r="C40" s="2211"/>
      <c r="D40" s="2211"/>
      <c r="E40" s="2212"/>
      <c r="F40" s="2211"/>
      <c r="G40" s="2211"/>
      <c r="H40" s="2213"/>
    </row>
    <row r="41" spans="1:16" ht="17.45" customHeight="1">
      <c r="A41" s="340" t="str">
        <f>IF($M41=0,"","b")</f>
        <v>b</v>
      </c>
      <c r="B41" s="2944" t="s">
        <v>944</v>
      </c>
      <c r="C41" s="2944"/>
      <c r="D41" s="2944"/>
      <c r="E41" s="2944"/>
      <c r="F41" s="2944"/>
      <c r="G41" s="2944"/>
      <c r="H41" s="2944"/>
      <c r="L41" s="931"/>
      <c r="M41" s="313">
        <v>1</v>
      </c>
    </row>
    <row r="42" spans="1:16" ht="10.35" customHeight="1">
      <c r="A42" s="621"/>
      <c r="B42" s="621"/>
      <c r="C42" s="621"/>
      <c r="D42" s="621"/>
      <c r="E42" s="621"/>
      <c r="F42" s="621"/>
      <c r="G42" s="621"/>
      <c r="H42" s="621"/>
      <c r="L42" s="931"/>
      <c r="M42" s="905"/>
    </row>
    <row r="43" spans="1:16" ht="43.9" customHeight="1">
      <c r="A43" s="777" t="str">
        <f>IF(Data1!$B37=TRUE,"Yes","No")</f>
        <v>No</v>
      </c>
      <c r="B43" s="622"/>
      <c r="C43" s="2148" t="str">
        <f>"(1)"</f>
        <v>(1)</v>
      </c>
      <c r="D43" s="2943" t="s">
        <v>2868</v>
      </c>
      <c r="E43" s="2943"/>
      <c r="F43" s="2943"/>
      <c r="G43" s="2943"/>
      <c r="H43" s="2943"/>
      <c r="K43" s="929">
        <f>IF(M$41=0,0,IF(OR(AND(COUNTIF(A$43:A$44,"=Yes")=1,A43="Yes"),AND(A43="Yes",COUNTIF(A$42:A43,"=Yes")=1)),1,IF(COUNTIF(A$43:A$44,"=Yes")&gt;COUNTIF(A43:A$44,"=Yes"),2,IF(AND(A43="Yes",COUNTIF(A$42:A43,"=Yes")=1),1,IF(AND(COUNTIF(A$43:A$44,"=Yes")=0,ROW(A43)=14),1,2)))))</f>
        <v>2</v>
      </c>
      <c r="L43" s="931">
        <f>IF(AND(K43&lt;&gt;0,DS_ExcelCheckBox_LessThan80=TRUE),K43,0)</f>
        <v>0</v>
      </c>
      <c r="M43" s="779" t="str">
        <f>CHOOSE(K43+1,"Not to be included in this RFA","A REQUIRED input field for this RFA","An OPTIONAL input field for this RFA")</f>
        <v>An OPTIONAL input field for this RFA</v>
      </c>
      <c r="N43" s="1971">
        <v>1</v>
      </c>
    </row>
    <row r="44" spans="1:16" ht="43.9" customHeight="1">
      <c r="A44" s="777" t="str">
        <f>IF(Data1!$B38=TRUE,"Yes","No")</f>
        <v>No</v>
      </c>
      <c r="B44" s="622"/>
      <c r="C44" s="2148" t="str">
        <f>"(2)"</f>
        <v>(2)</v>
      </c>
      <c r="D44" s="2943" t="s">
        <v>947</v>
      </c>
      <c r="E44" s="2943"/>
      <c r="F44" s="2943"/>
      <c r="G44" s="2943"/>
      <c r="H44" s="2943"/>
      <c r="K44" s="1970">
        <f>IF(M$41=0,0,IF(OR(AND(COUNTIF(A$43:A$44,"=Yes")=1,A44="Yes"),AND(A44="Yes",COUNTIF(A$42:A44,"=Yes")=1)),1,IF(COUNTIF(A$43:A$44,"=Yes")&gt;COUNTIF(A44:A$44,"=Yes"),2,IF(AND(A44="Yes",COUNTIF(A$42:A44,"=Yes")=1),1,IF(AND(COUNTIF(A$43:A$44,"=Yes")=0,ROW(A44)=14),1,2)))))</f>
        <v>2</v>
      </c>
      <c r="L44" s="931">
        <f>IF(AND(K44&lt;&gt;0,DS_ExcelCheckBox_AtLeast80=TRUE),K44,0)</f>
        <v>0</v>
      </c>
      <c r="M44" s="779" t="str">
        <f>CHOOSE(K44+1,"Not to be included in this RFA","A REQUIRED input field for this RFA","An OPTIONAL input field for this RFA")</f>
        <v>An OPTIONAL input field for this RFA</v>
      </c>
      <c r="N44" s="1971">
        <v>1</v>
      </c>
      <c r="P44" s="317"/>
    </row>
    <row r="45" spans="1:16" ht="14.45" customHeight="1">
      <c r="A45" s="621"/>
      <c r="B45" s="621"/>
      <c r="C45" s="621"/>
      <c r="D45" s="621"/>
      <c r="E45" s="621"/>
      <c r="F45" s="621"/>
      <c r="G45" s="621"/>
      <c r="H45" s="621"/>
      <c r="L45" s="931"/>
      <c r="M45" s="905"/>
      <c r="N45" s="52"/>
    </row>
    <row r="46" spans="1:16" ht="28.9" customHeight="1">
      <c r="A46" s="340" t="str">
        <f>IF($M46=0,"",CHOOSE($M$41+$M$46,"b","c"))</f>
        <v>c</v>
      </c>
      <c r="B46" s="2944" t="str">
        <f>"Select at least one box from options (1) through ("&amp;TEXT(MAX(C48:C52),"0")&amp;") below that specifies the defined Persons with Special Needs population(s) that the Applicant proposes to serve.  The Applicant may serve more than one of the populations below."</f>
        <v>Select at least one box from options (1) through (5) below that specifies the defined Persons with Special Needs population(s) that the Applicant proposes to serve.  The Applicant may serve more than one of the populations below.</v>
      </c>
      <c r="C46" s="2944"/>
      <c r="D46" s="2944"/>
      <c r="E46" s="2944"/>
      <c r="F46" s="2944"/>
      <c r="G46" s="2944"/>
      <c r="H46" s="2944"/>
      <c r="L46" s="931"/>
      <c r="M46" s="313">
        <v>1</v>
      </c>
      <c r="N46" s="52"/>
    </row>
    <row r="47" spans="1:16" ht="10.35" customHeight="1">
      <c r="H47" s="9"/>
      <c r="L47" s="931"/>
      <c r="M47" s="905"/>
      <c r="N47" s="52"/>
    </row>
    <row r="48" spans="1:16" ht="37.5" customHeight="1">
      <c r="A48" s="777" t="str">
        <f>IF(Data1!$B40=TRUE,"Yes","No")</f>
        <v>No</v>
      </c>
      <c r="B48" s="622"/>
      <c r="C48" s="837">
        <f>IF($K48=0,"",MAX(C$47:C47)+1)</f>
        <v>1</v>
      </c>
      <c r="D48" s="2943" t="s">
        <v>948</v>
      </c>
      <c r="E48" s="2943"/>
      <c r="F48" s="2943"/>
      <c r="G48" s="2943"/>
      <c r="H48" s="2943"/>
      <c r="K48" s="929">
        <f>IF(OR(M$46=0,$N48=0),0,IF(OR(AND(COUNTIF(A$48:A$52,"=Yes")=1,A48="Yes"),AND(A48="Yes",COUNTIF(A$47:A48,"=Yes")=1)),1,IF(COUNTIF(A$48:A$52,"=Yes")&gt;COUNTIF(A48:A$52,"=Yes"),2,IF(AND(A48="Yes",COUNTIF(A$47:A$48,"=Yes")=1),1,IF(AND(COUNTIF(A$48:A$52,"=Yes")=0,ROW(A48)=19),1,2)))))</f>
        <v>2</v>
      </c>
      <c r="L48" s="931">
        <f>IF(AND(K48&lt;&gt;0,DS_ExcelCheckBox_DC_Impaired=TRUE),K48,0)</f>
        <v>0</v>
      </c>
      <c r="M48" s="779" t="str">
        <f>CHOOSE(K48+1,"Not to be included in this RFA","A REQUIRED input field for this RFA","An OPTIONAL input field for this RFA")</f>
        <v>An OPTIONAL input field for this RFA</v>
      </c>
      <c r="N48" s="953">
        <v>1</v>
      </c>
    </row>
    <row r="49" spans="1:20" ht="37.5" customHeight="1">
      <c r="A49" s="777" t="str">
        <f>IF(Data1!$B41=TRUE,"Yes","No")</f>
        <v>No</v>
      </c>
      <c r="B49" s="622"/>
      <c r="C49" s="837">
        <f>IF($K49=0,"",MAX(C$47:C48)+1)</f>
        <v>2</v>
      </c>
      <c r="D49" s="2943" t="s">
        <v>949</v>
      </c>
      <c r="E49" s="2943"/>
      <c r="F49" s="2943"/>
      <c r="G49" s="2943"/>
      <c r="H49" s="2943"/>
      <c r="K49" s="1926">
        <f>IF(OR(M$46=0,$N49=0),0,IF(OR(AND(COUNTIF(A$48:A$52,"=Yes")=1,A49="Yes"),AND(A49="Yes",COUNTIF(A$47:A49,"=Yes")=1)),1,IF(COUNTIF(A$48:A$52,"=Yes")&gt;COUNTIF(A49:A$52,"=Yes"),2,IF(AND(A49="Yes",COUNTIF(A$47:A$48,"=Yes")=1),1,IF(AND(COUNTIF(A$48:A$52,"=Yes")=0,ROW(A49)=19),1,2)))))</f>
        <v>2</v>
      </c>
      <c r="L49" s="931">
        <f>IF(AND(K49&lt;&gt;0,DS_ExcelCheckBox_SSI=TRUE),K49,0)</f>
        <v>0</v>
      </c>
      <c r="M49" s="779" t="str">
        <f>CHOOSE(K49+1,"Not to be included in this RFA","A REQUIRED input field for this RFA","An OPTIONAL input field for this RFA")</f>
        <v>An OPTIONAL input field for this RFA</v>
      </c>
      <c r="N49" s="953">
        <v>1</v>
      </c>
      <c r="Q49" s="1575"/>
      <c r="R49" s="1575"/>
      <c r="S49" s="1575"/>
      <c r="T49" s="1575"/>
    </row>
    <row r="50" spans="1:20" ht="51.6" customHeight="1">
      <c r="A50" s="777" t="str">
        <f>IF(Data1!$B42=TRUE,"Yes","No")</f>
        <v>No</v>
      </c>
      <c r="B50" s="622"/>
      <c r="C50" s="837">
        <f>IF($K50=0,"",MAX(C$47:C49)+1)</f>
        <v>3</v>
      </c>
      <c r="D50" s="2943" t="s">
        <v>950</v>
      </c>
      <c r="E50" s="2943"/>
      <c r="F50" s="2943"/>
      <c r="G50" s="2943"/>
      <c r="H50" s="2943"/>
      <c r="K50" s="1926">
        <f>IF(OR(M$46=0,$N50=0),0,IF(OR(AND(COUNTIF(A$48:A$52,"=Yes")=1,A50="Yes"),AND(A50="Yes",COUNTIF(A$47:A50,"=Yes")=1)),1,IF(COUNTIF(A$48:A$52,"=Yes")&gt;COUNTIF(A50:A$52,"=Yes"),2,IF(AND(A50="Yes",COUNTIF(A$47:A$48,"=Yes")=1),1,IF(AND(COUNTIF(A$48:A$52,"=Yes")=0,ROW(A50)=19),1,2)))))</f>
        <v>2</v>
      </c>
      <c r="L50" s="931">
        <f>IF(AND(K50&lt;&gt;0,DS_ExcelCheckBox_DC_Not_Impaired=TRUE),K50,0)</f>
        <v>0</v>
      </c>
      <c r="M50" s="779" t="str">
        <f>CHOOSE(K50+1,"Not to be included in this RFA","A REQUIRED input field for this RFA","An OPTIONAL input field for this RFA")</f>
        <v>An OPTIONAL input field for this RFA</v>
      </c>
      <c r="N50" s="953">
        <v>1</v>
      </c>
      <c r="Q50" s="1575"/>
      <c r="R50" s="1575"/>
      <c r="S50" s="1575"/>
      <c r="T50" s="1575"/>
    </row>
    <row r="51" spans="1:20" ht="35.1" customHeight="1">
      <c r="A51" s="777" t="str">
        <f>IF(Data1!$B43=TRUE,"Yes","No")</f>
        <v>No</v>
      </c>
      <c r="B51" s="622"/>
      <c r="C51" s="837">
        <f>IF($K51=0,"",MAX(C$47:C50)+1)</f>
        <v>4</v>
      </c>
      <c r="D51" s="2943" t="s">
        <v>2884</v>
      </c>
      <c r="E51" s="2943"/>
      <c r="F51" s="2943"/>
      <c r="G51" s="2943"/>
      <c r="H51" s="2943"/>
      <c r="K51" s="1926">
        <f>IF(OR(M$46=0,$N51=0),0,IF(OR(AND(COUNTIF(A$48:A$52,"=Yes")=1,A51="Yes"),AND(A51="Yes",COUNTIF(A$47:A51,"=Yes")=1)),1,IF(COUNTIF(A$48:A$52,"=Yes")&gt;COUNTIF(A51:A$52,"=Yes"),2,IF(AND(A51="Yes",COUNTIF(A$47:A$48,"=Yes")=1),1,IF(AND(COUNTIF(A$48:A$52,"=Yes")=0,ROW(A51)=19),1,2)))))</f>
        <v>2</v>
      </c>
      <c r="L51" s="931">
        <f>IF(AND(K51&lt;&gt;0,DS_ExcelCheckBox_YouthAgingOut=TRUE),K51,0)</f>
        <v>0</v>
      </c>
      <c r="M51" s="779" t="str">
        <f>CHOOSE(K51+1,"Not to be included in this RFA","A REQUIRED input field for this RFA","An OPTIONAL input field for this RFA")</f>
        <v>An OPTIONAL input field for this RFA</v>
      </c>
      <c r="N51" s="953">
        <v>1</v>
      </c>
      <c r="Q51" s="1575"/>
      <c r="R51" s="1575"/>
      <c r="S51" s="1575"/>
      <c r="T51" s="1575"/>
    </row>
    <row r="52" spans="1:20" ht="24.95" customHeight="1">
      <c r="A52" s="777" t="str">
        <f>IF(Data1!$B44=TRUE,"Yes","No")</f>
        <v>No</v>
      </c>
      <c r="B52" s="622"/>
      <c r="C52" s="837">
        <f>IF($K52=0,"",MAX(C$47:C51)+1)</f>
        <v>5</v>
      </c>
      <c r="D52" s="2943" t="s">
        <v>951</v>
      </c>
      <c r="E52" s="2943"/>
      <c r="F52" s="2943"/>
      <c r="G52" s="2943"/>
      <c r="H52" s="2943"/>
      <c r="K52" s="1926">
        <f>IF(OR(M$46=0,$N52=0),0,IF(OR(AND(COUNTIF(A$48:A$52,"=Yes")=1,A52="Yes"),AND(A52="Yes",COUNTIF(A$47:A52,"=Yes")=1)),1,IF(COUNTIF(A$48:A$52,"=Yes")&gt;COUNTIF(A52:A$52,"=Yes"),2,IF(AND(A52="Yes",COUNTIF(A$47:A$48,"=Yes")=1),1,IF(AND(COUNTIF(A$48:A$52,"=Yes")=0,ROW(A52)=19),1,2)))))</f>
        <v>2</v>
      </c>
      <c r="L52" s="931">
        <f>IF(AND(K52&lt;&gt;0,DS_ExcelCheckBox_Survivors=TRUE),K52,0)</f>
        <v>0</v>
      </c>
      <c r="M52" s="779" t="str">
        <f>CHOOSE(K52+1,"Not to be included in this RFA","A REQUIRED input field for this RFA","An OPTIONAL input field for this RFA")</f>
        <v>An OPTIONAL input field for this RFA</v>
      </c>
      <c r="N52" s="953">
        <v>1</v>
      </c>
      <c r="Q52" s="1575"/>
      <c r="R52" s="1575"/>
      <c r="S52" s="1575"/>
      <c r="T52" s="1575"/>
    </row>
    <row r="53" spans="1:20" ht="14.45" customHeight="1" thickBot="1">
      <c r="H53" s="9"/>
      <c r="I53" s="52"/>
      <c r="L53" s="931"/>
      <c r="M53" s="905"/>
      <c r="Q53" s="1575"/>
      <c r="R53" s="1575"/>
      <c r="S53" s="1575"/>
      <c r="T53" s="1575"/>
    </row>
    <row r="54" spans="1:20" s="1432" customFormat="1" ht="14.45" hidden="1" customHeight="1">
      <c r="A54" s="340" t="str">
        <f>IF($K56=0,"",CHOOSE($M$41+$M$46+$K$56,"a","b","c"))</f>
        <v/>
      </c>
      <c r="B54" s="2944" t="s">
        <v>952</v>
      </c>
      <c r="C54" s="2944"/>
      <c r="D54" s="2944"/>
      <c r="E54" s="2944"/>
      <c r="F54" s="2944"/>
      <c r="G54" s="2944"/>
      <c r="H54" s="2944"/>
      <c r="I54" s="52"/>
      <c r="L54" s="1431"/>
      <c r="M54" s="1430"/>
      <c r="Q54" s="1575"/>
      <c r="R54" s="1575"/>
      <c r="S54" s="1575"/>
      <c r="T54" s="1575"/>
    </row>
    <row r="55" spans="1:20" s="1432" customFormat="1" ht="10.35" hidden="1" customHeight="1">
      <c r="H55" s="9"/>
      <c r="I55" s="52"/>
      <c r="L55" s="1431"/>
      <c r="M55" s="1430"/>
      <c r="Q55" s="1575"/>
      <c r="R55" s="1575"/>
      <c r="S55" s="1575"/>
      <c r="T55" s="1575"/>
    </row>
    <row r="56" spans="1:20" s="1432" customFormat="1" ht="30" hidden="1" customHeight="1">
      <c r="B56" s="1434"/>
      <c r="C56" s="2943" t="s">
        <v>953</v>
      </c>
      <c r="D56" s="2943"/>
      <c r="E56" s="2943"/>
      <c r="F56" s="2943"/>
      <c r="G56" s="2943"/>
      <c r="H56" s="702" t="s">
        <v>59</v>
      </c>
      <c r="I56" s="52"/>
      <c r="K56" s="1433">
        <v>0</v>
      </c>
      <c r="L56" s="1431">
        <f>IF(AND(K56&lt;&gt;0,AND(H56&lt;&gt;"&lt;select one&gt;",H56&lt;&gt;"")),K56,0)</f>
        <v>0</v>
      </c>
      <c r="M56" s="1430" t="str">
        <f>CHOOSE(K56+1,"Not to be included in this RFA","A REQUIRED input field for this RFA","An OPTIONAL input field for this RFA")</f>
        <v>Not to be included in this RFA</v>
      </c>
      <c r="Q56" s="1575"/>
      <c r="R56" s="1575"/>
      <c r="S56" s="1575"/>
      <c r="T56" s="1575"/>
    </row>
    <row r="57" spans="1:20" s="1432" customFormat="1" ht="14.45" hidden="1" customHeight="1">
      <c r="H57" s="9"/>
      <c r="I57" s="52"/>
      <c r="L57" s="1431"/>
      <c r="M57" s="1430"/>
      <c r="Q57" s="1575"/>
      <c r="R57" s="1575"/>
      <c r="S57" s="1575"/>
      <c r="T57" s="1575"/>
    </row>
    <row r="58" spans="1:20" ht="14.45" hidden="1" customHeight="1">
      <c r="A58" s="340"/>
      <c r="B58" s="2944" t="s">
        <v>2088</v>
      </c>
      <c r="C58" s="2944"/>
      <c r="D58" s="2944"/>
      <c r="E58" s="2944"/>
      <c r="F58" s="2944"/>
      <c r="G58" s="2944"/>
      <c r="H58" s="2944"/>
      <c r="I58" s="52"/>
      <c r="L58" s="931"/>
      <c r="M58" s="905"/>
      <c r="Q58" s="1575"/>
      <c r="R58" s="1575"/>
      <c r="S58" s="1575"/>
      <c r="T58" s="1575"/>
    </row>
    <row r="59" spans="1:20" ht="7.35" hidden="1" customHeight="1">
      <c r="H59" s="9"/>
      <c r="I59" s="52"/>
      <c r="L59" s="931"/>
      <c r="M59" s="905"/>
      <c r="Q59" s="1575"/>
      <c r="R59" s="1575"/>
      <c r="S59" s="1575"/>
      <c r="T59" s="1575"/>
    </row>
    <row r="60" spans="1:20" ht="50.1" hidden="1" customHeight="1">
      <c r="B60" s="954"/>
      <c r="C60" s="2943" t="s">
        <v>2089</v>
      </c>
      <c r="D60" s="2943"/>
      <c r="E60" s="2943"/>
      <c r="F60" s="2943"/>
      <c r="G60" s="2943"/>
      <c r="H60" s="702" t="s">
        <v>59</v>
      </c>
      <c r="I60" s="52"/>
      <c r="K60" s="953">
        <v>0</v>
      </c>
      <c r="L60" s="931">
        <f>IF(AND(K60&lt;&gt;0,AND(H60&lt;&gt;"&lt;select one&gt;",H60&lt;&gt;"")),K60,0)</f>
        <v>0</v>
      </c>
      <c r="M60" s="905" t="str">
        <f>CHOOSE(K60+1,"Not to be included in this RFA","A REQUIRED input field for this RFA","An OPTIONAL input field for this RFA")</f>
        <v>Not to be included in this RFA</v>
      </c>
      <c r="Q60" s="1575"/>
      <c r="R60" s="1575"/>
      <c r="S60" s="1575"/>
      <c r="T60" s="1575"/>
    </row>
    <row r="61" spans="1:20" ht="14.45" hidden="1" customHeight="1" thickBot="1">
      <c r="H61" s="9"/>
      <c r="I61" s="52"/>
      <c r="L61" s="931"/>
      <c r="M61" s="905"/>
      <c r="Q61" s="1575"/>
      <c r="R61" s="1575"/>
      <c r="S61" s="1575"/>
      <c r="T61" s="1575"/>
    </row>
    <row r="62" spans="1:20" ht="35.85" customHeight="1" thickBot="1">
      <c r="A62" s="2979" t="s">
        <v>954</v>
      </c>
      <c r="B62" s="2980"/>
      <c r="C62" s="2980"/>
      <c r="D62" s="2980"/>
      <c r="E62" s="2980"/>
      <c r="F62" s="2980"/>
      <c r="G62" s="2980"/>
      <c r="H62" s="2981"/>
      <c r="K62" s="355"/>
      <c r="L62" s="355"/>
      <c r="M62" s="860" t="s">
        <v>1676</v>
      </c>
    </row>
    <row r="63" spans="1:20" ht="14.45" customHeight="1">
      <c r="A63" s="915"/>
      <c r="B63" s="915"/>
      <c r="C63" s="915"/>
      <c r="D63" s="915"/>
      <c r="E63" s="9"/>
      <c r="F63" s="9"/>
      <c r="G63" s="9"/>
      <c r="H63" s="9"/>
      <c r="J63" s="9"/>
      <c r="K63" s="931"/>
      <c r="L63" s="931"/>
      <c r="M63" s="9"/>
    </row>
    <row r="64" spans="1:20" ht="14.45" customHeight="1">
      <c r="A64" s="85" t="s">
        <v>955</v>
      </c>
      <c r="B64" s="2944" t="s">
        <v>956</v>
      </c>
      <c r="C64" s="2944"/>
      <c r="D64" s="2944"/>
      <c r="E64" s="2944"/>
      <c r="F64" s="2944"/>
      <c r="G64" s="2944"/>
      <c r="H64" s="2944"/>
      <c r="J64" s="9"/>
      <c r="K64" s="931"/>
      <c r="L64" s="931"/>
      <c r="M64" s="9"/>
    </row>
    <row r="65" spans="1:14" ht="17.45" customHeight="1">
      <c r="B65" s="91">
        <f>IF(K65=0,"",1)</f>
        <v>1</v>
      </c>
      <c r="C65" s="77" t="s">
        <v>957</v>
      </c>
      <c r="D65" s="941" t="s">
        <v>958</v>
      </c>
      <c r="E65" s="941"/>
      <c r="F65" s="2961"/>
      <c r="G65" s="2961"/>
      <c r="H65" s="2961"/>
      <c r="K65" s="943">
        <v>1</v>
      </c>
      <c r="L65" s="931">
        <f>IF(AND(K65&lt;&gt;0,F65&lt;&gt;""),K65,0)</f>
        <v>0</v>
      </c>
      <c r="M65" s="779" t="str">
        <f>CHOOSE(K65+1,"Not to be included in this RFA","A REQUIRED input field for this RFA","An OPTIONAL input field for this RFA")</f>
        <v>A REQUIRED input field for this RFA</v>
      </c>
    </row>
    <row r="66" spans="1:14" ht="14.45" customHeight="1">
      <c r="B66" s="941"/>
      <c r="C66" s="664" t="str">
        <f>IF(F65="","(The Name of the Applicant must have an entry to turn on some of the validation formulas in Exhibit A)","")</f>
        <v>(The Name of the Applicant must have an entry to turn on some of the validation formulas in Exhibit A)</v>
      </c>
      <c r="D66" s="941"/>
      <c r="H66" s="922"/>
      <c r="K66" s="931"/>
      <c r="L66" s="931"/>
    </row>
    <row r="67" spans="1:14" ht="17.45" hidden="1" customHeight="1">
      <c r="B67" s="941"/>
      <c r="C67" s="77" t="s">
        <v>959</v>
      </c>
      <c r="D67" s="941" t="s">
        <v>960</v>
      </c>
      <c r="G67" s="702" t="s">
        <v>59</v>
      </c>
      <c r="H67" s="15"/>
      <c r="K67" s="953">
        <v>0</v>
      </c>
      <c r="L67" s="931">
        <f>IF(AND(K67&lt;&gt;0,AND(G67&lt;&gt;"&lt;select one&gt;",G67&lt;&gt;"")),K67,0)</f>
        <v>0</v>
      </c>
      <c r="M67" s="905" t="str">
        <f>CHOOSE(K67+1,"Not to be included in this RFA","A REQUIRED input field for this RFA","An OPTIONAL input field for this RFA")</f>
        <v>Not to be included in this RFA</v>
      </c>
    </row>
    <row r="68" spans="1:14" ht="10.35" hidden="1" customHeight="1">
      <c r="B68" s="941"/>
      <c r="C68" s="941"/>
      <c r="D68" s="941"/>
      <c r="H68" s="922"/>
      <c r="K68" s="931"/>
      <c r="L68" s="931"/>
    </row>
    <row r="69" spans="1:14" ht="30" customHeight="1">
      <c r="A69" s="915"/>
      <c r="B69" s="623">
        <f ca="1">IF($K$73=0,"",MAX(B$65:B68)+1)</f>
        <v>2</v>
      </c>
      <c r="C69" s="2943" t="s">
        <v>961</v>
      </c>
      <c r="D69" s="2943"/>
      <c r="E69" s="2943"/>
      <c r="F69" s="2943"/>
      <c r="G69" s="2943"/>
      <c r="H69" s="2943"/>
      <c r="J69" s="922"/>
      <c r="K69" s="931"/>
      <c r="L69" s="931"/>
      <c r="M69" s="922"/>
    </row>
    <row r="70" spans="1:14" ht="10.35" customHeight="1">
      <c r="A70" s="915"/>
      <c r="B70" s="11"/>
      <c r="C70" s="11"/>
      <c r="D70" s="11"/>
      <c r="E70" s="922"/>
      <c r="F70" s="922"/>
      <c r="G70" s="922"/>
      <c r="H70" s="9"/>
      <c r="J70" s="922"/>
      <c r="K70" s="931"/>
      <c r="L70" s="931"/>
      <c r="M70" s="922"/>
    </row>
    <row r="71" spans="1:14" ht="17.45" customHeight="1">
      <c r="A71" s="915"/>
      <c r="B71" s="623">
        <f ca="1">IF($K$73=0,"",MAX(B$65:B70)+1)</f>
        <v>3</v>
      </c>
      <c r="C71" s="2943" t="s">
        <v>962</v>
      </c>
      <c r="D71" s="2943"/>
      <c r="E71" s="2943"/>
      <c r="F71" s="2943"/>
      <c r="G71" s="2943"/>
      <c r="H71" s="2943"/>
      <c r="J71" s="9"/>
      <c r="K71" s="931"/>
      <c r="L71" s="931"/>
      <c r="M71" s="9"/>
    </row>
    <row r="72" spans="1:14" ht="35.1" customHeight="1">
      <c r="A72" s="8"/>
      <c r="B72" s="8"/>
      <c r="C72" s="2943" t="s">
        <v>2296</v>
      </c>
      <c r="D72" s="2943"/>
      <c r="E72" s="2943"/>
      <c r="F72" s="2943"/>
      <c r="G72" s="2943"/>
      <c r="H72" s="2943"/>
      <c r="I72" s="651"/>
      <c r="J72" s="12"/>
      <c r="K72" s="931"/>
      <c r="L72" s="931"/>
      <c r="M72" s="8"/>
    </row>
    <row r="73" spans="1:14" ht="17.45" customHeight="1">
      <c r="A73" s="8"/>
      <c r="B73" s="8"/>
      <c r="C73" s="8"/>
      <c r="D73" s="2989" t="s">
        <v>301</v>
      </c>
      <c r="E73" s="2989"/>
      <c r="F73" s="621"/>
      <c r="G73" s="621"/>
      <c r="H73" s="621"/>
      <c r="I73" s="651"/>
      <c r="J73" s="12"/>
      <c r="K73" s="810" cm="1">
        <f t="array" aca="1" ref="K73" ca="1">IF(AND(NonProfit_Applicant&lt;&gt;"&lt;select one&gt;",CELL("protect",NonProfit_Applicant)=1),3,N73)</f>
        <v>3</v>
      </c>
      <c r="L73" s="931">
        <f ca="1">IF(AND(K73&lt;&gt;0,AND(D73&lt;&gt;"&lt;select one&gt;",D73&lt;&gt;"")),K73,0)</f>
        <v>3</v>
      </c>
      <c r="M73" s="905" t="str">
        <f ca="1">CHOOSE(K73+1,"Not to be included in this RFA","A REQUIRED input field for this RFA","An OPTIONAL input field for this RFA","Not tracked in this RFA")</f>
        <v>Not tracked in this RFA</v>
      </c>
      <c r="N73" s="1993">
        <v>0</v>
      </c>
    </row>
    <row r="74" spans="1:14" ht="10.35" customHeight="1">
      <c r="A74" s="8"/>
      <c r="B74" s="621"/>
      <c r="C74" s="621"/>
      <c r="D74" s="625"/>
      <c r="E74" s="625"/>
      <c r="F74" s="625"/>
      <c r="G74" s="625"/>
      <c r="H74" s="625"/>
      <c r="I74" s="651"/>
      <c r="J74" s="12"/>
      <c r="K74" s="931"/>
      <c r="L74" s="931"/>
      <c r="M74" s="905"/>
    </row>
    <row r="75" spans="1:14" ht="35.1" customHeight="1">
      <c r="A75" s="8"/>
      <c r="B75" s="621"/>
      <c r="C75" s="2988" t="s">
        <v>2886</v>
      </c>
      <c r="D75" s="2988"/>
      <c r="E75" s="2988"/>
      <c r="F75" s="2988"/>
      <c r="G75" s="2988"/>
      <c r="H75" s="2988"/>
      <c r="I75" s="1906"/>
      <c r="J75" s="12"/>
      <c r="K75" s="931"/>
      <c r="L75" s="931"/>
      <c r="M75" s="2052">
        <v>1</v>
      </c>
    </row>
    <row r="76" spans="1:14" s="1899" customFormat="1" ht="10.35" customHeight="1">
      <c r="A76" s="8"/>
      <c r="B76" s="621"/>
      <c r="C76" s="621"/>
      <c r="D76" s="625"/>
      <c r="E76" s="625"/>
      <c r="F76" s="625"/>
      <c r="G76" s="625"/>
      <c r="H76" s="625"/>
      <c r="I76" s="1906"/>
      <c r="J76" s="12"/>
      <c r="K76" s="1897"/>
      <c r="L76" s="1897"/>
      <c r="M76" s="3000">
        <v>0</v>
      </c>
    </row>
    <row r="77" spans="1:14" ht="17.45" customHeight="1">
      <c r="A77" s="8"/>
      <c r="B77" s="621"/>
      <c r="C77" s="77" t="s">
        <v>957</v>
      </c>
      <c r="D77" s="6" t="s">
        <v>2866</v>
      </c>
      <c r="E77" s="625"/>
      <c r="F77" s="625"/>
      <c r="G77" s="625"/>
      <c r="H77" s="625"/>
      <c r="I77" s="1906"/>
      <c r="J77" s="12"/>
      <c r="K77" s="931"/>
      <c r="L77" s="931"/>
      <c r="M77" s="3001"/>
    </row>
    <row r="78" spans="1:14" ht="17.45" customHeight="1">
      <c r="A78" s="8"/>
      <c r="B78" s="621"/>
      <c r="C78" s="621"/>
      <c r="D78" s="1904" t="s">
        <v>2867</v>
      </c>
      <c r="E78" s="1561"/>
      <c r="F78" s="1561"/>
      <c r="G78" s="1561"/>
      <c r="H78" s="1561"/>
      <c r="I78" s="1906"/>
      <c r="J78" s="12"/>
      <c r="K78" s="772" t="s">
        <v>1882</v>
      </c>
      <c r="L78" s="931"/>
      <c r="M78" s="905"/>
    </row>
    <row r="79" spans="1:14" ht="10.35" customHeight="1">
      <c r="A79" s="8"/>
      <c r="B79" s="621"/>
      <c r="C79" s="621"/>
      <c r="D79" s="627"/>
      <c r="E79" s="625"/>
      <c r="F79" s="625"/>
      <c r="G79" s="625"/>
      <c r="H79" s="625"/>
      <c r="I79" s="1906"/>
      <c r="J79" s="12"/>
      <c r="K79" s="772" t="s">
        <v>939</v>
      </c>
      <c r="L79" s="931"/>
      <c r="M79" s="905"/>
    </row>
    <row r="80" spans="1:14" ht="17.45" customHeight="1">
      <c r="A80" s="8"/>
      <c r="B80" s="621"/>
      <c r="C80" s="77" t="s">
        <v>959</v>
      </c>
      <c r="D80" s="2943" t="s">
        <v>963</v>
      </c>
      <c r="E80" s="2943"/>
      <c r="F80" s="2943"/>
      <c r="G80" s="2943"/>
      <c r="H80" s="2943"/>
      <c r="I80" s="1906"/>
      <c r="J80" s="12"/>
      <c r="K80" s="931"/>
      <c r="L80" s="931"/>
    </row>
    <row r="81" spans="1:14" s="1992" customFormat="1" ht="17.45" hidden="1" customHeight="1">
      <c r="A81" s="8"/>
      <c r="B81" s="621"/>
      <c r="C81" s="77"/>
      <c r="D81" s="1988" t="s">
        <v>2878</v>
      </c>
      <c r="E81" s="1986"/>
      <c r="F81" s="1986"/>
      <c r="G81" s="1986"/>
      <c r="H81" s="1986"/>
      <c r="I81" s="1906"/>
      <c r="J81" s="12"/>
      <c r="K81" s="1989"/>
      <c r="L81" s="1989"/>
    </row>
    <row r="82" spans="1:14" s="1992" customFormat="1" ht="65.099999999999994" hidden="1" customHeight="1">
      <c r="A82" s="8"/>
      <c r="B82" s="621"/>
      <c r="C82" s="77"/>
      <c r="D82" s="2943" t="str">
        <f>IF($M$82=0,"Provide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housing.","(i)  To meet this eligibility requirement, for each Non-Profit entity that makes up the Non-Profit Applicant provide"&amp;CHAR(10)&amp;"          either the Executive Director Certification"&amp;" of Non-Profit Entity Qualifications Form (Rev. 10-2021) that was"&amp;CHAR(10)&amp;"          stamped ""Approved"" by the Corporation through the Non-Profit Advance Review Process; or the Non-Profit"&amp;CHAR(10)&amp;"          Application Package, OR")</f>
        <v>Provide the following documents for the Non-Profit entity:
(i)   The IRS determination letter demonstrating that the Non-Profit is organized under section 501(c)(3)
          or 501(c)(4) of the Internal Revenue Code; and
(ii)  The articles of incorporation demonstrating that one of the purposes of the Non-Profit entity is to
          foster low-income housing.</v>
      </c>
      <c r="E82" s="2943"/>
      <c r="F82" s="2943"/>
      <c r="G82" s="2943"/>
      <c r="H82" s="2943"/>
      <c r="I82" s="1906"/>
      <c r="J82" s="12"/>
      <c r="K82" s="1993">
        <v>3</v>
      </c>
      <c r="L82" s="1989"/>
      <c r="M82" s="852">
        <v>0</v>
      </c>
      <c r="N82" s="1992" t="s">
        <v>964</v>
      </c>
    </row>
    <row r="83" spans="1:14" ht="65.099999999999994" customHeight="1">
      <c r="A83" s="8"/>
      <c r="B83" s="621"/>
      <c r="C83" s="621"/>
      <c r="D83" s="2943" t="str">
        <f>IF(K82=0,IF($M$81=0,"Provide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2."),IF($M$83=0,"(ii)  Provide the following documents for the Non-Profit entity:"&amp;CHAR(10)&amp;"       •  The IRS determination letter demonstrating that the Non-Profit is organized under section 501(c)(3)"&amp;CHAR(10)&amp;"               or 501(c)(4) of the Internal Revenue Code; and"&amp;"
       •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To meet this eligibility requirement, for each Non-Profit entity that makes up the Non-Profit Applicant provide either the Executive Director Certification of Non-Profit Entity Qualifications Form (Rev. 10-2021) that was stamped "Approved" by the Corporation through the Non-Profit Advance Review Process; or the Non-Profit Application Package as Attachment 2.</v>
      </c>
      <c r="E83" s="2943"/>
      <c r="F83" s="2943"/>
      <c r="G83" s="2943"/>
      <c r="H83" s="2943"/>
      <c r="I83" s="1906"/>
      <c r="J83" s="12"/>
      <c r="K83" s="2041">
        <v>3</v>
      </c>
      <c r="L83" s="931"/>
      <c r="M83" s="852">
        <v>1</v>
      </c>
      <c r="N83" s="6" t="s">
        <v>964</v>
      </c>
    </row>
    <row r="84" spans="1:14" ht="35.1" hidden="1" customHeight="1">
      <c r="A84" s="8"/>
      <c r="B84" s="621"/>
      <c r="C84" s="77" t="s">
        <v>965</v>
      </c>
      <c r="D84" s="2943" t="s">
        <v>966</v>
      </c>
      <c r="E84" s="2943"/>
      <c r="F84" s="2943"/>
      <c r="G84" s="2943"/>
      <c r="H84" s="854"/>
      <c r="I84" s="651"/>
      <c r="J84" s="12"/>
      <c r="K84" s="953">
        <v>0</v>
      </c>
      <c r="L84" s="931">
        <f>IF(AND(K84&lt;&gt;0,H84&lt;&gt;""),K84,0)</f>
        <v>0</v>
      </c>
      <c r="M84" s="905" t="str">
        <f>CHOOSE(K84+1,"Not to be included in this RFA","A REQUIRED input field for this RFA","An OPTIONAL input field for this RFA")</f>
        <v>Not to be included in this RFA</v>
      </c>
    </row>
    <row r="85" spans="1:14" ht="17.45" hidden="1" customHeight="1">
      <c r="A85" s="8"/>
      <c r="B85" s="621"/>
      <c r="C85" s="621"/>
      <c r="D85" s="853" t="str">
        <f>"This Applicant qualifies as a Tier "&amp;IF(H84=1,"1","2")&amp;" Application."</f>
        <v>This Applicant qualifies as a Tier 2 Application.</v>
      </c>
      <c r="E85" s="41"/>
      <c r="F85" s="41"/>
      <c r="G85" s="41"/>
      <c r="H85" s="41"/>
      <c r="I85" s="651"/>
      <c r="J85" s="12"/>
      <c r="K85" s="931"/>
      <c r="L85" s="931"/>
      <c r="M85" s="905"/>
    </row>
    <row r="86" spans="1:14" ht="10.35" hidden="1" customHeight="1">
      <c r="A86" s="8"/>
      <c r="B86" s="621"/>
      <c r="C86" s="621"/>
      <c r="D86" s="41"/>
      <c r="E86" s="41"/>
      <c r="F86" s="41"/>
      <c r="G86" s="41"/>
      <c r="H86" s="41"/>
      <c r="I86" s="651"/>
      <c r="J86" s="12"/>
      <c r="K86" s="931"/>
      <c r="L86" s="931"/>
      <c r="M86" s="905"/>
    </row>
    <row r="87" spans="1:14" ht="14.45" hidden="1" customHeight="1">
      <c r="A87" s="10"/>
      <c r="B87" s="91" t="str">
        <f>IF($K$90=0,"",MAX(B$65:B86)+1)</f>
        <v/>
      </c>
      <c r="C87" s="621" t="s">
        <v>2775</v>
      </c>
      <c r="D87" s="17"/>
      <c r="E87" s="17"/>
      <c r="F87" s="17"/>
      <c r="G87" s="17"/>
      <c r="H87" s="17"/>
      <c r="I87" s="651"/>
      <c r="J87" s="12"/>
      <c r="K87" s="931"/>
      <c r="L87" s="931"/>
    </row>
    <row r="88" spans="1:14" ht="35.1" hidden="1" customHeight="1">
      <c r="A88" s="10"/>
      <c r="B88" s="621"/>
      <c r="C88" s="621"/>
      <c r="D88" s="2943" t="s">
        <v>967</v>
      </c>
      <c r="E88" s="2943"/>
      <c r="F88" s="2943"/>
      <c r="G88" s="2943"/>
      <c r="H88" s="2943"/>
      <c r="I88" s="651"/>
      <c r="J88" s="12"/>
      <c r="K88" s="931"/>
      <c r="L88" s="931"/>
      <c r="M88" s="905"/>
    </row>
    <row r="89" spans="1:14" ht="17.45" hidden="1" customHeight="1">
      <c r="A89" s="10"/>
      <c r="B89" s="621"/>
      <c r="C89" s="621"/>
      <c r="D89" s="905" t="s">
        <v>968</v>
      </c>
      <c r="E89" s="17"/>
      <c r="F89" s="17"/>
      <c r="G89" s="17"/>
      <c r="I89" s="651"/>
      <c r="J89" s="12"/>
      <c r="K89" s="931"/>
      <c r="L89" s="931"/>
      <c r="M89" s="905"/>
    </row>
    <row r="90" spans="1:14" ht="17.45" hidden="1" customHeight="1">
      <c r="A90" s="10"/>
      <c r="B90" s="621"/>
      <c r="C90" s="621"/>
      <c r="D90" s="17"/>
      <c r="E90" s="702" t="s">
        <v>59</v>
      </c>
      <c r="F90" s="17"/>
      <c r="G90" s="17"/>
      <c r="H90" s="555"/>
      <c r="I90" s="651"/>
      <c r="J90" s="12"/>
      <c r="K90" s="953">
        <v>0</v>
      </c>
      <c r="L90" s="931">
        <f>IF(AND(K90&lt;&gt;0,D90&lt;&gt;""),K90,0)</f>
        <v>0</v>
      </c>
      <c r="M90" s="933" t="str">
        <f>CHOOSE(K90+1,"Not to be included in this RFA","A REQUIRED input field for this RFA","An OPTIONAL input field for this RFA")</f>
        <v>Not to be included in this RFA</v>
      </c>
    </row>
    <row r="91" spans="1:14" ht="17.45" hidden="1" customHeight="1">
      <c r="A91" s="10"/>
      <c r="B91" s="621"/>
      <c r="C91" s="621"/>
      <c r="D91" s="905" t="s">
        <v>969</v>
      </c>
      <c r="E91" s="17"/>
      <c r="F91" s="17"/>
      <c r="G91" s="17"/>
      <c r="H91" s="17"/>
      <c r="I91" s="651"/>
      <c r="J91" s="12"/>
      <c r="K91" s="931"/>
      <c r="L91" s="931"/>
      <c r="M91" s="905"/>
    </row>
    <row r="92" spans="1:14" ht="17.45" hidden="1" customHeight="1">
      <c r="A92" s="10"/>
      <c r="B92" s="621"/>
      <c r="C92" s="621"/>
      <c r="D92" s="17"/>
      <c r="E92" s="2955"/>
      <c r="F92" s="2955"/>
      <c r="G92" s="2955"/>
      <c r="H92" s="2955"/>
      <c r="I92" s="651"/>
      <c r="J92" s="12"/>
      <c r="K92" s="929">
        <f>IF(K90=1,2,0)</f>
        <v>0</v>
      </c>
      <c r="L92" s="931">
        <f>IF(AND(K92&lt;&gt;0,D92&lt;&gt;""),K92,0)</f>
        <v>0</v>
      </c>
      <c r="M92" s="779" t="str">
        <f>CHOOSE(K92+1,"Not to be included in this RFA","A REQUIRED input field for this RFA","An OPTIONAL input field for this RFA")</f>
        <v>Not to be included in this RFA</v>
      </c>
    </row>
    <row r="93" spans="1:14" ht="10.35" hidden="1" customHeight="1">
      <c r="A93" s="10"/>
      <c r="B93" s="621"/>
      <c r="C93" s="621"/>
      <c r="D93" s="17"/>
      <c r="E93" s="17"/>
      <c r="F93" s="17"/>
      <c r="G93" s="17"/>
      <c r="H93" s="17"/>
      <c r="I93" s="651"/>
      <c r="J93" s="12"/>
      <c r="K93" s="931"/>
      <c r="L93" s="931"/>
      <c r="M93" s="905"/>
    </row>
    <row r="94" spans="1:14" ht="17.45" customHeight="1">
      <c r="A94" s="8"/>
      <c r="B94" s="623">
        <f ca="1">IF($M$94=0,"",MAX(B$65:B93)+1)</f>
        <v>4</v>
      </c>
      <c r="C94" s="941" t="s">
        <v>970</v>
      </c>
      <c r="D94" s="626"/>
      <c r="E94" s="626"/>
      <c r="F94" s="626"/>
      <c r="G94" s="625"/>
      <c r="H94" s="625"/>
      <c r="I94" s="651"/>
      <c r="J94" s="12"/>
      <c r="K94" s="931"/>
      <c r="L94" s="931"/>
      <c r="M94" s="313">
        <v>1</v>
      </c>
    </row>
    <row r="95" spans="1:14" ht="63" customHeight="1">
      <c r="A95" s="8"/>
      <c r="B95" s="621"/>
      <c r="C95" s="621"/>
      <c r="D95" s="2943" t="s">
        <v>971</v>
      </c>
      <c r="E95" s="2943"/>
      <c r="F95" s="2943"/>
      <c r="G95" s="2943"/>
      <c r="H95" s="2943"/>
      <c r="I95" s="651"/>
      <c r="J95" s="12"/>
      <c r="K95" s="931"/>
      <c r="L95" s="931"/>
      <c r="M95" s="905"/>
    </row>
    <row r="96" spans="1:14" ht="17.45" customHeight="1">
      <c r="A96" s="8"/>
      <c r="B96" s="623">
        <f ca="1">IF($M$96=0,"",MAX(B$65:B95)+1)</f>
        <v>5</v>
      </c>
      <c r="C96" s="621" t="s">
        <v>972</v>
      </c>
      <c r="D96" s="902"/>
      <c r="E96" s="902"/>
      <c r="F96" s="902"/>
      <c r="G96" s="902"/>
      <c r="H96" s="902"/>
      <c r="I96" s="651"/>
      <c r="J96" s="12"/>
      <c r="K96" s="931"/>
      <c r="L96" s="931"/>
      <c r="M96" s="313">
        <v>1</v>
      </c>
    </row>
    <row r="97" spans="1:13" ht="35.1" customHeight="1">
      <c r="A97" s="8"/>
      <c r="B97" s="621"/>
      <c r="C97" s="621"/>
      <c r="D97" s="2943" t="s">
        <v>2877</v>
      </c>
      <c r="E97" s="2943"/>
      <c r="F97" s="2943"/>
      <c r="G97" s="2943"/>
      <c r="H97" s="2943"/>
      <c r="I97" s="651"/>
      <c r="J97" s="12"/>
      <c r="K97" s="931"/>
      <c r="L97" s="931"/>
      <c r="M97" s="905"/>
    </row>
    <row r="98" spans="1:13" ht="17.45" customHeight="1">
      <c r="A98" s="8"/>
      <c r="B98" s="623">
        <f ca="1">IF($M$98=0,"",MAX(B$65:B97)+1)</f>
        <v>6</v>
      </c>
      <c r="C98" s="941" t="s">
        <v>973</v>
      </c>
      <c r="D98" s="625"/>
      <c r="E98" s="625"/>
      <c r="F98" s="625"/>
      <c r="G98" s="625"/>
      <c r="H98" s="625"/>
      <c r="I98" s="651"/>
      <c r="J98" s="12"/>
      <c r="K98" s="931"/>
      <c r="L98" s="931"/>
      <c r="M98" s="313">
        <v>1</v>
      </c>
    </row>
    <row r="99" spans="1:13" ht="30" customHeight="1">
      <c r="A99" s="8"/>
      <c r="B99" s="621"/>
      <c r="C99" s="621"/>
      <c r="D99" s="2943" t="s">
        <v>974</v>
      </c>
      <c r="E99" s="2943"/>
      <c r="F99" s="2943"/>
      <c r="G99" s="2943"/>
      <c r="H99" s="2943"/>
      <c r="I99" s="651"/>
      <c r="J99" s="12"/>
      <c r="K99" s="931"/>
      <c r="L99" s="931"/>
      <c r="M99" s="905"/>
    </row>
    <row r="100" spans="1:13" ht="10.35" customHeight="1">
      <c r="A100" s="8"/>
      <c r="B100" s="8"/>
      <c r="C100" s="8"/>
      <c r="D100" s="8"/>
      <c r="E100" s="8"/>
      <c r="F100" s="8"/>
      <c r="G100" s="8"/>
      <c r="H100" s="8"/>
      <c r="J100" s="8"/>
      <c r="K100" s="931"/>
      <c r="L100" s="931"/>
      <c r="M100" s="8"/>
    </row>
    <row r="101" spans="1:13" ht="14.45" customHeight="1">
      <c r="A101" s="340" t="str" cm="1">
        <f t="array" ref="A101">IF(SUM($K103:$K$150)=0,"",CHAR(CODE(LOOKUP(2,1/(COUNTIF(A$64:A100,"&gt;"&amp;A$64:A100&amp;"*")=0),A$64:A100))+1))</f>
        <v>b</v>
      </c>
      <c r="B101" s="2944" t="s">
        <v>975</v>
      </c>
      <c r="C101" s="2944"/>
      <c r="D101" s="2944"/>
      <c r="E101" s="2944"/>
      <c r="F101" s="2944"/>
      <c r="G101" s="2944"/>
      <c r="H101" s="2944"/>
      <c r="J101" s="8"/>
      <c r="K101" s="931"/>
      <c r="L101" s="931"/>
      <c r="M101" s="8"/>
    </row>
    <row r="102" spans="1:13" ht="20.25" customHeight="1">
      <c r="A102" s="8"/>
      <c r="B102" s="2149" t="str">
        <f>"(1)"</f>
        <v>(1)</v>
      </c>
      <c r="C102" s="2943" t="s">
        <v>976</v>
      </c>
      <c r="D102" s="2943"/>
      <c r="E102" s="2943"/>
      <c r="F102" s="2943"/>
      <c r="G102" s="2943"/>
      <c r="H102" s="2943"/>
      <c r="J102" s="8"/>
      <c r="K102" s="931"/>
      <c r="L102" s="931"/>
      <c r="M102" s="8"/>
    </row>
    <row r="103" spans="1:13" ht="17.45" customHeight="1">
      <c r="A103" s="8"/>
      <c r="B103" s="13"/>
      <c r="C103" s="13"/>
      <c r="D103" s="2945"/>
      <c r="E103" s="2945"/>
      <c r="F103" s="2945"/>
      <c r="G103" s="2945"/>
      <c r="H103" s="2945"/>
      <c r="J103" s="8"/>
      <c r="K103" s="953">
        <v>1</v>
      </c>
      <c r="L103" s="931">
        <f>IF(AND(K103&lt;&gt;0,D103&lt;&gt;""),K103,0)</f>
        <v>0</v>
      </c>
      <c r="M103" s="779" t="str">
        <f>CHOOSE(K103+1,"Not to be included in this RFA","A REQUIRED input field for this RFA","An OPTIONAL input field for this RFA")</f>
        <v>A REQUIRED input field for this RFA</v>
      </c>
    </row>
    <row r="104" spans="1:13" ht="17.45" customHeight="1">
      <c r="A104" s="8"/>
      <c r="B104" s="13"/>
      <c r="C104" s="13"/>
      <c r="D104" s="2983"/>
      <c r="E104" s="2983"/>
      <c r="F104" s="2983"/>
      <c r="G104" s="2983"/>
      <c r="H104" s="2983"/>
      <c r="J104" s="8"/>
      <c r="K104" s="248">
        <v>2</v>
      </c>
      <c r="L104" s="931">
        <f>IF(AND(K104&lt;&gt;0,D104&lt;&gt;""),K104,0)</f>
        <v>0</v>
      </c>
      <c r="M104" s="779" t="str">
        <f>CHOOSE(K104+1,"Not to be included in this RFA","A REQUIRED input field for this RFA","An OPTIONAL input field for this RFA")</f>
        <v>An OPTIONAL input field for this RFA</v>
      </c>
    </row>
    <row r="105" spans="1:13" ht="17.45" customHeight="1">
      <c r="A105" s="8"/>
      <c r="B105" s="13"/>
      <c r="C105" s="13"/>
      <c r="D105" s="2983"/>
      <c r="E105" s="2983"/>
      <c r="F105" s="2983"/>
      <c r="G105" s="2983"/>
      <c r="H105" s="2983"/>
      <c r="J105" s="8"/>
      <c r="K105" s="248">
        <v>2</v>
      </c>
      <c r="L105" s="931">
        <f>IF(AND(K105&lt;&gt;0,D105&lt;&gt;""),K105,0)</f>
        <v>0</v>
      </c>
      <c r="M105" s="779" t="str">
        <f>CHOOSE(K105+1,"Not to be included in this RFA","A REQUIRED input field for this RFA","An OPTIONAL input field for this RFA")</f>
        <v>An OPTIONAL input field for this RFA</v>
      </c>
    </row>
    <row r="106" spans="1:13" ht="10.35" customHeight="1">
      <c r="A106" s="8"/>
      <c r="B106" s="8"/>
      <c r="C106" s="8"/>
      <c r="D106" s="8"/>
      <c r="E106" s="922"/>
      <c r="F106" s="922"/>
      <c r="G106" s="922"/>
      <c r="H106" s="922"/>
      <c r="J106" s="8"/>
      <c r="K106" s="931"/>
      <c r="L106" s="931"/>
      <c r="M106" s="8"/>
    </row>
    <row r="107" spans="1:13" ht="45" customHeight="1">
      <c r="A107" s="8"/>
      <c r="B107" s="2149" t="str">
        <f>"(2)"</f>
        <v>(2)</v>
      </c>
      <c r="C107" s="2943" t="s">
        <v>2862</v>
      </c>
      <c r="D107" s="2943"/>
      <c r="E107" s="2943"/>
      <c r="F107" s="2943"/>
      <c r="G107" s="2943"/>
      <c r="H107" s="2943"/>
      <c r="J107" s="922"/>
      <c r="K107" s="931"/>
      <c r="L107" s="931"/>
      <c r="M107" s="922"/>
    </row>
    <row r="108" spans="1:13" ht="10.35" customHeight="1">
      <c r="A108" s="8"/>
      <c r="B108" s="8"/>
      <c r="C108" s="8"/>
      <c r="D108" s="8"/>
      <c r="E108" s="922"/>
      <c r="F108" s="922"/>
      <c r="G108" s="922"/>
      <c r="H108" s="8"/>
      <c r="J108" s="8"/>
      <c r="K108" s="931"/>
      <c r="L108" s="931"/>
      <c r="M108" s="8"/>
    </row>
    <row r="109" spans="1:13" ht="17.45" customHeight="1">
      <c r="A109" s="8"/>
      <c r="B109" s="2149" t="str">
        <f>"(3)"</f>
        <v>(3)</v>
      </c>
      <c r="C109" s="2943" t="s">
        <v>2571</v>
      </c>
      <c r="D109" s="2943"/>
      <c r="E109" s="2943"/>
      <c r="F109" s="2943"/>
      <c r="G109" s="2943"/>
      <c r="H109" s="922"/>
      <c r="J109" s="8"/>
      <c r="K109" s="931"/>
      <c r="L109" s="931"/>
      <c r="M109" s="8"/>
    </row>
    <row r="110" spans="1:13" ht="17.45" customHeight="1">
      <c r="A110" s="8"/>
      <c r="B110" s="68"/>
      <c r="C110" s="77" t="s">
        <v>957</v>
      </c>
      <c r="D110" s="17" t="str">
        <f>IF(M110=0,"Required Developer Experience","Previous Affordable Housing Experience Funding Preference")</f>
        <v>Required Developer Experience</v>
      </c>
      <c r="E110" s="902"/>
      <c r="F110" s="902"/>
      <c r="G110" s="902"/>
      <c r="H110" s="922"/>
      <c r="J110" s="8"/>
      <c r="K110" s="931"/>
      <c r="L110" s="931"/>
      <c r="M110" s="852">
        <v>0</v>
      </c>
    </row>
    <row r="111" spans="1:13" ht="50.1" hidden="1" customHeight="1">
      <c r="A111" s="8"/>
      <c r="B111" s="68"/>
      <c r="C111" s="77"/>
      <c r="D111" s="2943" t="s">
        <v>977</v>
      </c>
      <c r="E111" s="2943"/>
      <c r="F111" s="2943"/>
      <c r="G111" s="2943"/>
      <c r="H111" s="2943"/>
      <c r="J111" s="8"/>
      <c r="K111" s="931"/>
      <c r="L111" s="931"/>
      <c r="M111" s="1144" t="str">
        <f>IF(AND(M110=0,DevExp_Natural_Person_Meets&lt;&gt;"Yes"),"Select a 'Yes' response in E"&amp;TEXT(ROW(E112),"0")&amp;" prior to hiding these rows.","")</f>
        <v/>
      </c>
    </row>
    <row r="112" spans="1:13" ht="17.45" hidden="1" customHeight="1">
      <c r="A112" s="8"/>
      <c r="B112" s="68"/>
      <c r="C112" s="77"/>
      <c r="D112" s="17"/>
      <c r="E112" s="2617" t="s">
        <v>301</v>
      </c>
      <c r="F112" s="902"/>
      <c r="G112" s="902"/>
      <c r="H112" s="922"/>
      <c r="J112" s="8"/>
      <c r="K112" s="929">
        <f>M110</f>
        <v>0</v>
      </c>
      <c r="L112" s="931">
        <f>IF(AND(K112&lt;&gt;0,F112&lt;&gt;"&lt;select one&gt;",F112&lt;&gt;""),K112,0)</f>
        <v>0</v>
      </c>
      <c r="M112" s="905" t="str">
        <f t="shared" ref="M112" si="0">CHOOSE(K112+1,"Not to be included in this RFA","A REQUIRED input field for this RFA","An OPTIONAL input field for this RFA")</f>
        <v>Not to be included in this RFA</v>
      </c>
    </row>
    <row r="113" spans="1:22" ht="10.35" hidden="1" customHeight="1">
      <c r="A113" s="8"/>
      <c r="B113" s="68"/>
      <c r="C113" s="77"/>
      <c r="D113" s="17"/>
      <c r="E113" s="555"/>
      <c r="F113" s="902"/>
      <c r="G113" s="902"/>
      <c r="H113" s="922"/>
      <c r="J113" s="8"/>
      <c r="K113" s="931"/>
      <c r="L113" s="931"/>
      <c r="M113" s="2984"/>
    </row>
    <row r="114" spans="1:22" ht="17.45" hidden="1" customHeight="1">
      <c r="A114" s="8"/>
      <c r="B114" s="68"/>
      <c r="C114" s="77"/>
      <c r="D114" s="6" t="s">
        <v>978</v>
      </c>
      <c r="E114" s="922"/>
      <c r="F114" s="902"/>
      <c r="G114" s="902"/>
      <c r="H114" s="922"/>
      <c r="J114" s="8"/>
      <c r="K114" s="931"/>
      <c r="L114" s="931"/>
      <c r="M114" s="2984"/>
    </row>
    <row r="115" spans="1:22" ht="10.35" hidden="1" customHeight="1">
      <c r="A115" s="8"/>
      <c r="B115" s="68"/>
      <c r="C115" s="77"/>
      <c r="E115" s="922"/>
      <c r="F115" s="902"/>
      <c r="G115" s="902"/>
      <c r="H115" s="922"/>
      <c r="J115" s="8"/>
      <c r="K115" s="931"/>
      <c r="L115" s="931"/>
      <c r="M115" s="859"/>
    </row>
    <row r="116" spans="1:22" ht="50.1" customHeight="1">
      <c r="A116" s="8"/>
      <c r="B116" s="8"/>
      <c r="C116" s="77"/>
      <c r="D116" s="2943" t="str">
        <f>"At least one Developer entity named in (1) above must meet the Developer experience outlined in Section Four of the RFA. "&amp;IF($M$4=0,"The natural person Principal identified to meet the Developer Experience requirements must be the same natural person Principal in each Linked Application.","")</f>
        <v xml:space="preserve">At least one Developer entity named in (1) above must meet the Developer experience outlined in Section Four of the RFA. </v>
      </c>
      <c r="E116" s="2943"/>
      <c r="F116" s="2943"/>
      <c r="G116" s="2943"/>
      <c r="H116" s="2943"/>
      <c r="J116" s="922"/>
      <c r="K116" s="931"/>
      <c r="L116" s="931"/>
      <c r="M116" s="1013" t="s">
        <v>1646</v>
      </c>
    </row>
    <row r="117" spans="1:22" ht="32.1" customHeight="1">
      <c r="A117" s="8"/>
      <c r="B117" s="8"/>
      <c r="C117" s="8"/>
      <c r="D117" s="2806" t="s">
        <v>979</v>
      </c>
      <c r="E117" s="2806"/>
      <c r="F117" s="2806"/>
      <c r="G117" s="2951"/>
      <c r="H117" s="2951"/>
      <c r="J117" s="8"/>
      <c r="K117" s="929">
        <f>IF(DevExp_Natural_Person_Meets="Yes",1,N117)</f>
        <v>1</v>
      </c>
      <c r="L117" s="1479">
        <f>IF(AND(K117&lt;&gt;0,G117&lt;&gt;""),K117,0)</f>
        <v>0</v>
      </c>
      <c r="M117" s="779" t="str">
        <f>CHOOSE(K117+1,"Not to be included in this RFA","A REQUIRED input field for this RFA","An OPTIONAL input field for this RFA")</f>
        <v>A REQUIRED input field for this RFA</v>
      </c>
    </row>
    <row r="118" spans="1:22" ht="32.1" customHeight="1">
      <c r="A118" s="8"/>
      <c r="B118" s="8"/>
      <c r="C118" s="8"/>
      <c r="D118" s="2806" t="s">
        <v>980</v>
      </c>
      <c r="E118" s="2806"/>
      <c r="F118" s="2806"/>
      <c r="G118" s="2941"/>
      <c r="H118" s="2941"/>
      <c r="J118" s="8"/>
      <c r="K118" s="929">
        <f>K117</f>
        <v>1</v>
      </c>
      <c r="L118" s="1479">
        <f>IF(AND(K118&lt;&gt;0,G118&lt;&gt;""),K118,0)</f>
        <v>0</v>
      </c>
      <c r="M118" s="779" t="str">
        <f>CHOOSE(K118+1,"Not to be included in this RFA","A REQUIRED input field for this RFA","An OPTIONAL input field for this RFA")</f>
        <v>A REQUIRED input field for this RFA</v>
      </c>
    </row>
    <row r="119" spans="1:22" s="1992" customFormat="1" ht="32.1" hidden="1" customHeight="1">
      <c r="A119" s="8"/>
      <c r="B119" s="8"/>
      <c r="C119" s="8"/>
      <c r="D119" s="2807" t="s">
        <v>2460</v>
      </c>
      <c r="E119" s="2807"/>
      <c r="F119" s="2807"/>
      <c r="G119" s="2995"/>
      <c r="H119" s="2995"/>
      <c r="J119" s="8"/>
      <c r="K119" s="1990">
        <f>IF(N119=0,0,2)</f>
        <v>0</v>
      </c>
      <c r="L119" s="1989">
        <f>IF(AND(K119&lt;&gt;0,G119&lt;&gt;""),K119,0)</f>
        <v>0</v>
      </c>
      <c r="M119" s="779" t="str">
        <f>CHOOSE(K119+1,"Not to be included in this RFA","A REQUIRED input field for this RFA","An OPTIONAL input field for this RFA")</f>
        <v>Not to be included in this RFA</v>
      </c>
      <c r="N119" s="1993">
        <v>0</v>
      </c>
    </row>
    <row r="120" spans="1:22" s="1992" customFormat="1" ht="32.1" hidden="1" customHeight="1">
      <c r="A120" s="8"/>
      <c r="B120" s="8"/>
      <c r="C120" s="8"/>
      <c r="D120" s="2996" t="s">
        <v>2776</v>
      </c>
      <c r="E120" s="2996"/>
      <c r="F120" s="2996"/>
      <c r="G120" s="2951"/>
      <c r="H120" s="2951"/>
      <c r="J120" s="8"/>
      <c r="K120" s="1990">
        <f>IF(N120=0,0,2)</f>
        <v>0</v>
      </c>
      <c r="L120" s="1989">
        <f>IF(AND(K120&lt;&gt;0,G120&lt;&gt;""),K120,0)</f>
        <v>0</v>
      </c>
      <c r="M120" s="779" t="str">
        <f>CHOOSE(K120+1,"Not to be included in this RFA","A REQUIRED input field for this RFA","An OPTIONAL input field for this RFA")</f>
        <v>Not to be included in this RFA</v>
      </c>
      <c r="N120" s="248">
        <v>0</v>
      </c>
    </row>
    <row r="121" spans="1:22" ht="10.35" hidden="1" customHeight="1">
      <c r="A121" s="8"/>
      <c r="B121" s="8"/>
      <c r="C121" s="8"/>
      <c r="D121" s="8"/>
      <c r="E121" s="922"/>
      <c r="F121" s="922"/>
      <c r="G121" s="922"/>
      <c r="H121" s="922"/>
      <c r="J121" s="8"/>
      <c r="K121" s="931"/>
      <c r="L121" s="931"/>
      <c r="M121" s="8"/>
    </row>
    <row r="122" spans="1:22" s="1992" customFormat="1" ht="35.1" hidden="1" customHeight="1">
      <c r="A122" s="8"/>
      <c r="B122" s="8"/>
      <c r="C122" s="8"/>
      <c r="D122" s="2943" t="str">
        <f>IF(DevExp_natural_person_additional="","*Entering a natural person Principal associated with each Development identified below is only necessary if more than one natural person Principal is provided above.","*With the entry of more than one natural person Principal above, each Development provided below must identify the natrual person Principal associated with that Development.")</f>
        <v>*Entering a natural person Principal associated with each Development identified below is only necessary if more than one natural person Principal is provided above.</v>
      </c>
      <c r="E122" s="2943"/>
      <c r="F122" s="2943"/>
      <c r="G122" s="2943"/>
      <c r="H122" s="2943"/>
      <c r="J122" s="8"/>
      <c r="K122" s="1989"/>
      <c r="L122" s="1989"/>
      <c r="M122" s="8"/>
    </row>
    <row r="123" spans="1:22" ht="36" customHeight="1">
      <c r="A123" s="8"/>
      <c r="B123" s="8"/>
      <c r="C123" s="8"/>
      <c r="D123" s="78" t="s">
        <v>981</v>
      </c>
      <c r="E123" s="2943" t="str">
        <f>"First development "&amp;IF(Data1!E$94&lt;2,"","out of "&amp;CHOOSE(Data1!E$94,"one ","two ","three ","four ","five "))&amp;"that meet"&amp;IF(Data1!E$94&lt;2,"s","")&amp;" the Developer experience requirement outlined in Section Four, A.3.b.(3)(a) of the RFA:"</f>
        <v>First development out of three that meet the Developer experience requirement outlined in Section Four, A.3.b.(3)(a) of the RFA:</v>
      </c>
      <c r="F123" s="2943"/>
      <c r="G123" s="2943"/>
      <c r="H123" s="2943"/>
      <c r="I123" s="15"/>
      <c r="J123" s="239"/>
      <c r="K123" s="931"/>
      <c r="L123" s="931"/>
      <c r="M123" s="313">
        <v>1</v>
      </c>
      <c r="O123" s="1156">
        <f>COUNT(M$123:M123)</f>
        <v>1</v>
      </c>
    </row>
    <row r="124" spans="1:22" ht="17.45" customHeight="1">
      <c r="A124" s="8"/>
      <c r="B124" s="8"/>
      <c r="C124" s="2942" t="s">
        <v>982</v>
      </c>
      <c r="D124" s="2942"/>
      <c r="E124" s="2942"/>
      <c r="F124" s="2950"/>
      <c r="G124" s="2950"/>
      <c r="H124" s="2950"/>
      <c r="I124" s="933"/>
      <c r="J124" s="81"/>
      <c r="K124" s="929">
        <f>IF(OR(M$123=0,$N124=0),0,IF(DevExp_Natural_Person_Meets="Yes",1,N124))</f>
        <v>1</v>
      </c>
      <c r="L124" s="931">
        <f>IF(AND(K124&lt;&gt;0,F124&lt;&gt;""),K124,0)</f>
        <v>0</v>
      </c>
      <c r="M124" s="779" t="str">
        <f t="shared" ref="M124:M130" si="1">CHOOSE(K124+1,"Not to be included in this RFA","A REQUIRED input field for this RFA","An OPTIONAL input field for this RFA")</f>
        <v>A REQUIRED input field for this RFA</v>
      </c>
      <c r="N124" s="953">
        <v>1</v>
      </c>
    </row>
    <row r="125" spans="1:22" ht="35.1" customHeight="1">
      <c r="A125" s="8"/>
      <c r="B125" s="8"/>
      <c r="C125" s="2952" t="s">
        <v>983</v>
      </c>
      <c r="D125" s="2952"/>
      <c r="E125" s="2952"/>
      <c r="F125" s="2949"/>
      <c r="G125" s="2949"/>
      <c r="H125" s="2949"/>
      <c r="I125" s="933"/>
      <c r="J125" s="81"/>
      <c r="K125" s="929">
        <f>IF(OR(M$123=0,$N125=0),0,IF(DevExp_Natural_Person_Meets="Yes",1,N125))</f>
        <v>1</v>
      </c>
      <c r="L125" s="931">
        <f>IF(AND(K125&lt;&gt;0,F125&lt;&gt;""),K125,0)</f>
        <v>0</v>
      </c>
      <c r="M125" s="779" t="str">
        <f t="shared" si="1"/>
        <v>A REQUIRED input field for this RFA</v>
      </c>
      <c r="N125" s="248">
        <v>1</v>
      </c>
      <c r="O125" s="317"/>
    </row>
    <row r="126" spans="1:22" s="1992" customFormat="1" ht="45" hidden="1" customHeight="1">
      <c r="A126" s="8"/>
      <c r="B126" s="8"/>
      <c r="C126" s="2942" t="str">
        <f>IF(AND($F126&lt;&gt;"",$F126&lt;&gt;$G$117,$F126&lt;&gt;$G$119),"Name entered does NOT match name(s) above","Name of natural person Principal associated with Development*")</f>
        <v>Name of natural person Principal associated with Development*</v>
      </c>
      <c r="D126" s="2942"/>
      <c r="E126" s="2942"/>
      <c r="F126" s="2949"/>
      <c r="G126" s="2949"/>
      <c r="H126" s="2949"/>
      <c r="I126" s="1991"/>
      <c r="J126" s="81"/>
      <c r="K126" s="1990">
        <f>IF(OR(M$123=0,$N126=0),0,IF(AND(DevExp_Natural_Person_Meets="Yes",DevExp_natural_person_additional&lt;&gt;""),1,N126))</f>
        <v>0</v>
      </c>
      <c r="L126" s="1989">
        <f>IF(AND(K126&lt;&gt;0,F126&lt;&gt;""),K126,0)</f>
        <v>0</v>
      </c>
      <c r="M126" s="1995" t="str">
        <f>CHOOSE(K126+1,"Not to be included in this RFA; Check RFA 2023-2013 for full programming needs","A REQUIRED input field for this RFA","An OPTIONAL input field for this RFA")</f>
        <v>Not to be included in this RFA; Check RFA 2023-2013 for full programming needs</v>
      </c>
      <c r="N126" s="248">
        <v>0</v>
      </c>
      <c r="O126" s="317"/>
    </row>
    <row r="127" spans="1:22" ht="38.1" customHeight="1">
      <c r="A127" s="8"/>
      <c r="B127" s="8"/>
      <c r="C127" s="2953" t="s">
        <v>984</v>
      </c>
      <c r="D127" s="2953"/>
      <c r="E127" s="2953"/>
      <c r="F127" s="2618" t="s">
        <v>2409</v>
      </c>
      <c r="G127" s="2939" t="s">
        <v>987</v>
      </c>
      <c r="H127" s="2939"/>
      <c r="I127" s="933"/>
      <c r="J127" s="8"/>
      <c r="K127" s="929">
        <f>IF(RIGHT(Data1!$F$7,3)&lt;&gt;"213",IF(OR(M$123=0,$N127=0),0,IF(AND(F127="&lt;select one&gt;",IFERROR(FIND("Live Local",C128),0)&gt;0),3,IF(DevExp_Natural_Person_Meets="Yes",IF(N127=3,3,N127)))),3)</f>
        <v>1</v>
      </c>
      <c r="L127" s="931">
        <f>IF(AND(K127&lt;&gt;0,F127&lt;&gt;"&lt;select one&gt;",F127&lt;&gt;""),K127,0)</f>
        <v>1</v>
      </c>
      <c r="M127" s="922" t="str">
        <f>CHOOSE(K127+1,"Not to be included in this RFA","A REQUIRED input field for this RFA","An OPTIONAL input field for this RFA","Not tracked in this RFA")&amp;IF(K127=3," (Locked Cell)",IF(K127=1," (Unlocked Cell)",""))</f>
        <v>A REQUIRED input field for this RFA (Unlocked Cell)</v>
      </c>
      <c r="N127" s="248">
        <v>1</v>
      </c>
      <c r="O127" s="905" t="str">
        <f ca="1">Data1!I$100</f>
        <v>Prgm-SNB</v>
      </c>
      <c r="V127" s="317"/>
    </row>
    <row r="128" spans="1:22" ht="40.15" hidden="1" customHeight="1">
      <c r="A128" s="8"/>
      <c r="B128" s="8"/>
      <c r="C128" s="2942" t="str">
        <f>IF(RIGHT(Data1!$F$7,3)&lt;&gt;"213","If 'Other' is selected above, enter the name of the program","Live Local Multifamily Rental Development Experience:")</f>
        <v>If 'Other' is selected above, enter the name of the program</v>
      </c>
      <c r="D128" s="2942"/>
      <c r="E128" s="2942"/>
      <c r="F128" s="2950"/>
      <c r="G128" s="2950"/>
      <c r="H128" s="2950"/>
      <c r="I128" s="933"/>
      <c r="J128" s="8"/>
      <c r="K128" s="929">
        <f>IF(OR(M$123=0,$N128=0),0,IF(AND(F127&lt;&gt;"&lt;select one&gt;",F127&lt;&gt;"Other"),3,IF(F127="Other",1,IF(F127="&lt;select one&gt;",N128,IF(DevExp_Natural_Person_Meets="Yes",N128,3)))))</f>
        <v>0</v>
      </c>
      <c r="L128" s="931">
        <f>IF(AND(K128&lt;&gt;0,F128&lt;&gt;""),K128,0)</f>
        <v>0</v>
      </c>
      <c r="M128" s="905" t="str">
        <f>CHOOSE(K128+1,"Not to be included in this RFA","A REQUIRED input field for this RFA","An OPTIONAL input field for this RFA","Not tracked in this RFA")</f>
        <v>Not to be included in this RFA</v>
      </c>
      <c r="N128" s="248">
        <v>0</v>
      </c>
      <c r="O128" s="954"/>
      <c r="V128" s="317"/>
    </row>
    <row r="129" spans="1:22" ht="50.1" customHeight="1">
      <c r="A129" s="8"/>
      <c r="B129" s="8"/>
      <c r="C129" s="2942" t="s">
        <v>985</v>
      </c>
      <c r="D129" s="2942"/>
      <c r="E129" s="2942"/>
      <c r="F129" s="919"/>
      <c r="G129" s="2939" t="str">
        <f>IF(F129="","",Data1!$Q$112&amp;Data1!$Q$117)</f>
        <v/>
      </c>
      <c r="H129" s="2939"/>
      <c r="I129" s="933"/>
      <c r="J129" s="8"/>
      <c r="K129" s="929">
        <f>IF(OR(M$123=0,$N129=0),0,IF(DevExp_Natural_Person_Meets="Yes",1,N129))</f>
        <v>1</v>
      </c>
      <c r="L129" s="931">
        <f>IF(AND(K129&lt;&gt;0,F129&lt;&gt;""),K129,0)</f>
        <v>0</v>
      </c>
      <c r="M129" s="779" t="str">
        <f t="shared" si="1"/>
        <v>A REQUIRED input field for this RFA</v>
      </c>
      <c r="N129" s="248">
        <v>1</v>
      </c>
      <c r="O129" s="922" t="str">
        <f>Data1!I$102</f>
        <v>Units-SNB</v>
      </c>
      <c r="V129" s="317"/>
    </row>
    <row r="130" spans="1:22" ht="84.95" customHeight="1">
      <c r="A130" s="8"/>
      <c r="B130" s="8"/>
      <c r="C130" s="2942" t="str">
        <f>"Year Completed:
(can be no earlier than "&amp;TEXT(IF(AND(DS_DevExp_PrgmMinDevs&gt;0,DevExp_first_Dev_program=DS_DevExp_PrgmReq),DS_DevExp_PrgmSinceDate,DS_DevExp_SinceDate),"yyyy")&amp;")"</f>
        <v>Year Completed:
(can be no earlier than 2015)</v>
      </c>
      <c r="D130" s="2942"/>
      <c r="E130" s="2942"/>
      <c r="F130" s="703"/>
      <c r="G130" s="2939" t="str">
        <f>IF(F130="","",Data1!$Q$100&amp;Data1!$Q$105&amp;IF(N(DS_DevExp_PrgmMinDevs)&gt;0,Data1!$Q$106&amp;Data1!$Q$111,""))</f>
        <v/>
      </c>
      <c r="H130" s="2939"/>
      <c r="I130" s="933"/>
      <c r="J130" s="8"/>
      <c r="K130" s="929">
        <f>IF(OR(M$123=0,$N130=0),0,IF(DevExp_Natural_Person_Meets="Yes",1,N130))</f>
        <v>1</v>
      </c>
      <c r="L130" s="931">
        <f>IF(AND(K130&lt;&gt;0,F130&lt;&gt;""),K130,0)</f>
        <v>0</v>
      </c>
      <c r="M130" s="779" t="str">
        <f t="shared" si="1"/>
        <v>A REQUIRED input field for this RFA</v>
      </c>
      <c r="N130" s="248">
        <v>1</v>
      </c>
      <c r="O130" s="6" t="str">
        <f ca="1">Data1!I$97</f>
        <v>Gen-SNB</v>
      </c>
      <c r="P130" s="50"/>
      <c r="Q130" s="50"/>
    </row>
    <row r="131" spans="1:22" ht="30" customHeight="1">
      <c r="A131" s="8"/>
      <c r="B131" s="2954" t="str">
        <f ca="1">IF(DS_DevExp_MinDevs_List&gt;=1,Data1!$Q$94&amp;IF(DS_DevExp_MinDevs_List&lt;1,"",IF(AND(IF($K124&gt;0,DevExp_first_Dev_name="",TRUE),IF($K125&gt;0,DevExp_first_Dev_location="",TRUE),IF($K129&gt;0,DevExp_first_Dev_units="",TRUE),IF($K130&gt;0,DevExp_first_Dev_year="",TRUE)),"",Data1!$Q$100&amp;IF(AND(Data1!$Q$100&lt;&gt;"",RIGHT(Data1!$F$7,3)="213"),Data1!$Q$118,""))),"")</f>
        <v/>
      </c>
      <c r="C131" s="2954"/>
      <c r="D131" s="2954"/>
      <c r="E131" s="2954"/>
      <c r="F131" s="2954"/>
      <c r="G131" s="2954"/>
      <c r="H131" s="2954"/>
      <c r="I131" s="1561"/>
      <c r="J131" s="8"/>
      <c r="K131" s="933"/>
      <c r="L131" s="931"/>
      <c r="M131" s="779"/>
      <c r="O131" s="6" t="str">
        <f ca="1">Data1!I$95</f>
        <v>List-SNB</v>
      </c>
    </row>
    <row r="132" spans="1:22" ht="10.35" customHeight="1">
      <c r="A132" s="8"/>
      <c r="B132" s="8"/>
      <c r="C132" s="8"/>
      <c r="D132" s="8"/>
      <c r="E132" s="912"/>
      <c r="F132" s="83"/>
      <c r="G132" s="14"/>
      <c r="H132" s="42"/>
      <c r="I132" s="933"/>
      <c r="J132" s="8"/>
      <c r="K132" s="931"/>
      <c r="L132" s="931"/>
      <c r="M132" s="8"/>
    </row>
    <row r="133" spans="1:22" ht="32.1" customHeight="1">
      <c r="A133" s="8"/>
      <c r="B133" s="8"/>
      <c r="C133" s="8"/>
      <c r="D133" s="78" t="s">
        <v>986</v>
      </c>
      <c r="E133" s="2943" t="str">
        <f>"Second development "&amp;IF(Data1!E$94&lt;2,"","out of "&amp;CHOOSE(Data1!E$94,"one ","two ","three ","four ","five "))&amp;"that meet"&amp;IF(Data1!E$94&lt;2,"s","")&amp;" the Developer experience requirement outlined in Section Four, A.3.b.(3)(a) of the RFA:"</f>
        <v>Second development out of three that meet the Developer experience requirement outlined in Section Four, A.3.b.(3)(a) of the RFA:</v>
      </c>
      <c r="F133" s="2943"/>
      <c r="G133" s="2943"/>
      <c r="H133" s="2943"/>
      <c r="I133" s="933"/>
      <c r="J133" s="8"/>
      <c r="K133" s="931"/>
      <c r="L133" s="931"/>
      <c r="M133" s="313">
        <v>1</v>
      </c>
      <c r="O133" s="1156">
        <f>COUNT(M$123:M133)</f>
        <v>2</v>
      </c>
      <c r="P133" s="317"/>
    </row>
    <row r="134" spans="1:22" ht="17.45" customHeight="1">
      <c r="A134" s="8"/>
      <c r="B134" s="8"/>
      <c r="C134" s="2942" t="s">
        <v>982</v>
      </c>
      <c r="D134" s="2942"/>
      <c r="E134" s="2942"/>
      <c r="F134" s="2951"/>
      <c r="G134" s="2951"/>
      <c r="H134" s="2951"/>
      <c r="I134" s="933"/>
      <c r="J134" s="8"/>
      <c r="K134" s="929">
        <f>IF(M$133=0,0,N134)</f>
        <v>1</v>
      </c>
      <c r="L134" s="931">
        <f>IF(AND(K134&lt;&gt;0,F134&lt;&gt;""),K134,0)</f>
        <v>0</v>
      </c>
      <c r="M134" s="905" t="str">
        <f t="shared" ref="M134:M140" si="2">CHOOSE(K134+1,"Not to be included in this RFA","A REQUIRED input field for this RFA","An OPTIONAL input field for this RFA")</f>
        <v>A REQUIRED input field for this RFA</v>
      </c>
      <c r="N134" s="953">
        <v>1</v>
      </c>
    </row>
    <row r="135" spans="1:22" ht="35.1" customHeight="1">
      <c r="A135" s="8"/>
      <c r="B135" s="8"/>
      <c r="C135" s="2952" t="s">
        <v>983</v>
      </c>
      <c r="D135" s="2952"/>
      <c r="E135" s="2952"/>
      <c r="F135" s="2941"/>
      <c r="G135" s="2941"/>
      <c r="H135" s="2941"/>
      <c r="I135" s="933"/>
      <c r="J135" s="8"/>
      <c r="K135" s="929">
        <f>IF(M$133=0,0,N135)</f>
        <v>1</v>
      </c>
      <c r="L135" s="931">
        <f>IF(AND(K135&lt;&gt;0,F135&lt;&gt;""),K135,0)</f>
        <v>0</v>
      </c>
      <c r="M135" s="905" t="str">
        <f t="shared" si="2"/>
        <v>A REQUIRED input field for this RFA</v>
      </c>
      <c r="N135" s="248">
        <v>1</v>
      </c>
    </row>
    <row r="136" spans="1:22" s="1992" customFormat="1" ht="45" hidden="1" customHeight="1">
      <c r="A136" s="8"/>
      <c r="B136" s="8"/>
      <c r="C136" s="2942" t="str">
        <f>IF(AND($F136&lt;&gt;"",$F136&lt;&gt;$G$117,$F136&lt;&gt;$G$119),"Name entered does NOT match name(s) above","Name of natural person Principal associated with Development*")</f>
        <v>Name of natural person Principal associated with Development*</v>
      </c>
      <c r="D136" s="2942"/>
      <c r="E136" s="2942"/>
      <c r="F136" s="2949"/>
      <c r="G136" s="2949"/>
      <c r="H136" s="2949"/>
      <c r="I136" s="1991"/>
      <c r="J136" s="81"/>
      <c r="K136" s="1990">
        <f>IF(OR(M$123=0,$N136=0),0,IF(AND(DevExp_Natural_Person_Meets="Yes",DevExp_natural_person_additional&lt;&gt;""),1,N136))</f>
        <v>0</v>
      </c>
      <c r="L136" s="1989">
        <f>IF(AND(K136&lt;&gt;0,F136&lt;&gt;""),K136,0)</f>
        <v>0</v>
      </c>
      <c r="M136" s="1995" t="str">
        <f>CHOOSE(K136+1,"Not to be included in this RFA; Check RFA 2023-2013 for full programming needs","A REQUIRED input field for this RFA","An OPTIONAL input field for this RFA")</f>
        <v>Not to be included in this RFA; Check RFA 2023-2013 for full programming needs</v>
      </c>
      <c r="N136" s="248">
        <v>0</v>
      </c>
      <c r="O136" s="317"/>
    </row>
    <row r="137" spans="1:22" ht="38.1" customHeight="1">
      <c r="A137" s="8"/>
      <c r="B137" s="8"/>
      <c r="C137" s="2942" t="str">
        <f>C127</f>
        <v>Affordable Housing Program(s) that Provided Financing</v>
      </c>
      <c r="D137" s="2942"/>
      <c r="E137" s="2942"/>
      <c r="F137" s="843" t="s">
        <v>59</v>
      </c>
      <c r="G137" s="2939" t="str">
        <f>G127</f>
        <v>If 'Other' is selected, enter the name of the program in the row below.</v>
      </c>
      <c r="H137" s="2939"/>
      <c r="I137" s="933"/>
      <c r="J137" s="8"/>
      <c r="K137" s="929">
        <f>IF(RIGHT(Data1!$F$7,3)&lt;&gt;"213",IF(M$133=0,0,IF(AND(F137="&lt;select one&gt;",F138&lt;&gt;""),2,N137)),3)</f>
        <v>1</v>
      </c>
      <c r="L137" s="931">
        <f>IF(AND(K137&lt;&gt;0,F137&lt;&gt;"&lt;select one&gt;",F137&lt;&gt;""),K137,0)</f>
        <v>0</v>
      </c>
      <c r="M137" s="922" t="str">
        <f>CHOOSE(K137+1,"Not to be included in this RFA","A REQUIRED input field for this RFA","An OPTIONAL input field for this RFA","Not tracked in this RFA")&amp;IF(K137=3," (Locked Cell)",IF(K137=1," (Unlocked Cell)",""))</f>
        <v>A REQUIRED input field for this RFA (Unlocked Cell)</v>
      </c>
      <c r="N137" s="248">
        <v>1</v>
      </c>
      <c r="O137" s="905" t="str">
        <f ca="1">Data1!J$100</f>
        <v>Prgm-SNB</v>
      </c>
    </row>
    <row r="138" spans="1:22" ht="40.15" customHeight="1">
      <c r="A138" s="8"/>
      <c r="B138" s="8"/>
      <c r="C138" s="2942" t="str">
        <f>C128</f>
        <v>If 'Other' is selected above, enter the name of the program</v>
      </c>
      <c r="D138" s="2942"/>
      <c r="E138" s="2942"/>
      <c r="F138" s="2950"/>
      <c r="G138" s="2950"/>
      <c r="H138" s="2950"/>
      <c r="I138" s="933"/>
      <c r="J138" s="8"/>
      <c r="K138" s="929">
        <f>IF(M$133=0,0,IF(AND(F137&lt;&gt;"&lt;select one&gt;",F137&lt;&gt;"Other",F138=""),2,IF(F137="Other",1,IF(AND(F137="&lt;select one&gt;",F138&lt;&gt;""),N137,N138))))</f>
        <v>2</v>
      </c>
      <c r="L138" s="931">
        <f>IF(AND(K138&lt;&gt;0,F138&lt;&gt;""),K138,0)</f>
        <v>0</v>
      </c>
      <c r="M138" s="905" t="str">
        <f t="shared" si="2"/>
        <v>An OPTIONAL input field for this RFA</v>
      </c>
      <c r="N138" s="248">
        <v>2</v>
      </c>
      <c r="O138" s="954"/>
    </row>
    <row r="139" spans="1:22" ht="50.1" customHeight="1">
      <c r="A139" s="8"/>
      <c r="B139" s="8"/>
      <c r="C139" s="2942" t="s">
        <v>985</v>
      </c>
      <c r="D139" s="2942"/>
      <c r="E139" s="2942"/>
      <c r="F139" s="919"/>
      <c r="G139" s="2939" t="str">
        <f>IF(F139="","",Data1!$Q$113&amp;Data1!$Q$117)</f>
        <v/>
      </c>
      <c r="H139" s="2939"/>
      <c r="I139" s="933"/>
      <c r="J139" s="8"/>
      <c r="K139" s="929">
        <f>IF(M$133=0,0,N139)</f>
        <v>1</v>
      </c>
      <c r="L139" s="931">
        <f>IF(AND(K139&lt;&gt;0,F139&lt;&gt;""),K139,0)</f>
        <v>0</v>
      </c>
      <c r="M139" s="905" t="str">
        <f t="shared" si="2"/>
        <v>A REQUIRED input field for this RFA</v>
      </c>
      <c r="N139" s="248">
        <v>1</v>
      </c>
      <c r="O139" s="922" t="str">
        <f>Data1!J$102</f>
        <v>Units-SNB</v>
      </c>
    </row>
    <row r="140" spans="1:22" ht="84.95" customHeight="1">
      <c r="A140" s="8"/>
      <c r="B140" s="8"/>
      <c r="C140" s="2942" t="str">
        <f>"Year Completed:
(can be no earlier than "&amp;TEXT(DS_DevExp_SinceDate,"yyyy")&amp;")"</f>
        <v>Year Completed:
(can be no earlier than 2005)</v>
      </c>
      <c r="D140" s="2942"/>
      <c r="E140" s="2942"/>
      <c r="F140" s="703"/>
      <c r="G140" s="2939" t="str">
        <f>IF(F140="","",Data1!$Q$101&amp;Data1!$Q$105&amp;IF(N(DS_DevExp_PrgmMinDevs)&gt;0,Data1!$Q$107&amp;Data1!$Q$111,""))</f>
        <v/>
      </c>
      <c r="H140" s="2939"/>
      <c r="I140" s="933"/>
      <c r="J140" s="8"/>
      <c r="K140" s="929">
        <f>IF(M$133=0,0,N140)</f>
        <v>1</v>
      </c>
      <c r="L140" s="931">
        <f>IF(AND(K140&lt;&gt;0,F140&lt;&gt;""),K140,0)</f>
        <v>0</v>
      </c>
      <c r="M140" s="905" t="str">
        <f t="shared" si="2"/>
        <v>A REQUIRED input field for this RFA</v>
      </c>
      <c r="N140" s="248">
        <v>1</v>
      </c>
      <c r="O140" s="6" t="str">
        <f ca="1">Data1!J$97</f>
        <v>Gen-SNB</v>
      </c>
      <c r="Q140" s="50"/>
    </row>
    <row r="141" spans="1:22" ht="30" customHeight="1">
      <c r="A141" s="8"/>
      <c r="B141" s="2954" t="str">
        <f ca="1">IF(DS_DevExp_MinDevs_List&gt;=2,Data1!$Q$95&amp;IF(DS_DevExp_MinDevs_List&lt;1,"",IF(AND(IF($K134&gt;0,DevExp_second_Dev_name="",TRUE),IF($K135&gt;0,DevExp_second_Dev_location="",TRUE),IF($K139&gt;0,DevExp_second_Dev_units="",TRUE),IF($K140&gt;0,DevExp_second_Dev_year="",TRUE)),"",Data1!$Q$101&amp;IF(AND(Data1!$Q$101&lt;&gt;"",RIGHT(Data1!$F$7,3)="213"),Data1!$Q$118,""))),"")</f>
        <v/>
      </c>
      <c r="C141" s="2954"/>
      <c r="D141" s="2954"/>
      <c r="E141" s="2954"/>
      <c r="F141" s="2954"/>
      <c r="G141" s="2954"/>
      <c r="H141" s="2954"/>
      <c r="I141" s="933"/>
      <c r="J141" s="8"/>
      <c r="K141" s="933"/>
      <c r="L141" s="933"/>
      <c r="M141" s="933"/>
      <c r="N141" s="933"/>
      <c r="O141" s="6" t="str">
        <f ca="1">Data1!J$95</f>
        <v>List-SNB</v>
      </c>
    </row>
    <row r="142" spans="1:22" ht="10.35" customHeight="1">
      <c r="A142" s="8"/>
      <c r="B142" s="8"/>
      <c r="C142" s="8"/>
      <c r="D142" s="8"/>
      <c r="E142" s="912"/>
      <c r="F142" s="83"/>
      <c r="G142" s="14"/>
      <c r="H142" s="42"/>
      <c r="I142" s="933"/>
      <c r="J142" s="8"/>
      <c r="K142" s="931"/>
      <c r="L142" s="931"/>
      <c r="M142" s="8"/>
    </row>
    <row r="143" spans="1:22" ht="32.1" customHeight="1">
      <c r="A143" s="8"/>
      <c r="B143" s="8"/>
      <c r="C143" s="8"/>
      <c r="D143" s="78" t="s">
        <v>988</v>
      </c>
      <c r="E143" s="2943" t="str">
        <f>"Third development "&amp;IF(Data1!E$94&lt;2,"","out of "&amp;CHOOSE(Data1!E$94,"one ","two ","three ","four ","five "))&amp;"that meet"&amp;IF(Data1!E$94&lt;2,"s","")&amp;" the Developer experience requirement outlined in Section Four, A.3.b.(3)(a) of the RFA:"</f>
        <v>Third development out of three that meet the Developer experience requirement outlined in Section Four, A.3.b.(3)(a) of the RFA:</v>
      </c>
      <c r="F143" s="2943"/>
      <c r="G143" s="2943"/>
      <c r="H143" s="2943"/>
      <c r="I143" s="933"/>
      <c r="J143" s="8"/>
      <c r="K143" s="931"/>
      <c r="L143" s="931"/>
      <c r="M143" s="313">
        <v>1</v>
      </c>
      <c r="O143" s="1156">
        <f>COUNT(M$123:M143)</f>
        <v>3</v>
      </c>
      <c r="Q143" s="1929"/>
    </row>
    <row r="144" spans="1:22" ht="17.45" customHeight="1">
      <c r="A144" s="8"/>
      <c r="B144" s="8"/>
      <c r="C144" s="2942" t="s">
        <v>982</v>
      </c>
      <c r="D144" s="2942"/>
      <c r="E144" s="2942"/>
      <c r="F144" s="2950"/>
      <c r="G144" s="2950"/>
      <c r="H144" s="2950"/>
      <c r="I144" s="933"/>
      <c r="J144" s="8"/>
      <c r="K144" s="929">
        <f>IF(M$143=0,0,N144)</f>
        <v>1</v>
      </c>
      <c r="L144" s="931">
        <f>IF(AND(K144&lt;&gt;0,F144&lt;&gt;""),K144,0)</f>
        <v>0</v>
      </c>
      <c r="M144" s="779" t="str">
        <f t="shared" ref="M144:M150" si="3">CHOOSE(K144+1,"Not to be included in this RFA","A REQUIRED input field for this RFA","An OPTIONAL input field for this RFA")</f>
        <v>A REQUIRED input field for this RFA</v>
      </c>
      <c r="N144" s="953">
        <v>1</v>
      </c>
      <c r="Q144" s="1929"/>
    </row>
    <row r="145" spans="1:17" ht="35.1" customHeight="1">
      <c r="A145" s="8"/>
      <c r="B145" s="8"/>
      <c r="C145" s="2952" t="s">
        <v>983</v>
      </c>
      <c r="D145" s="2952"/>
      <c r="E145" s="2952"/>
      <c r="F145" s="2949"/>
      <c r="G145" s="2949"/>
      <c r="H145" s="2949"/>
      <c r="I145" s="933"/>
      <c r="J145" s="8"/>
      <c r="K145" s="929">
        <f>IF(M$143=0,0,N145)</f>
        <v>1</v>
      </c>
      <c r="L145" s="931">
        <f>IF(AND(K145&lt;&gt;0,F145&lt;&gt;""),K145,0)</f>
        <v>0</v>
      </c>
      <c r="M145" s="779" t="str">
        <f t="shared" si="3"/>
        <v>A REQUIRED input field for this RFA</v>
      </c>
      <c r="N145" s="248">
        <v>1</v>
      </c>
      <c r="Q145" s="1929"/>
    </row>
    <row r="146" spans="1:17" s="1992" customFormat="1" ht="45" hidden="1" customHeight="1">
      <c r="A146" s="8"/>
      <c r="B146" s="8"/>
      <c r="C146" s="2942" t="str">
        <f>IF(AND($F146&lt;&gt;"",$F146&lt;&gt;$G$117,$F146&lt;&gt;$G$119),"Name entered does NOT match name(s) above","Name of natural person Principal associated with Development*")</f>
        <v>Name of natural person Principal associated with Development*</v>
      </c>
      <c r="D146" s="2942"/>
      <c r="E146" s="2942"/>
      <c r="F146" s="2949"/>
      <c r="G146" s="2949"/>
      <c r="H146" s="2949"/>
      <c r="I146" s="1991"/>
      <c r="J146" s="81"/>
      <c r="K146" s="1990">
        <f>IF(OR(M$123=0,$N146=0),0,IF(AND(DevExp_Natural_Person_Meets="Yes",DevExp_natural_person_additional&lt;&gt;""),1,N146))</f>
        <v>0</v>
      </c>
      <c r="L146" s="1989">
        <f>IF(AND(K146&lt;&gt;0,F146&lt;&gt;""),K146,0)</f>
        <v>0</v>
      </c>
      <c r="M146" s="1995" t="str">
        <f>CHOOSE(K146+1,"Not to be included in this RFA; Check RFA 2023-2013 for full programming needs","A REQUIRED input field for this RFA","An OPTIONAL input field for this RFA")</f>
        <v>Not to be included in this RFA; Check RFA 2023-2013 for full programming needs</v>
      </c>
      <c r="N146" s="248">
        <v>0</v>
      </c>
      <c r="O146" s="317"/>
    </row>
    <row r="147" spans="1:17" ht="38.1" customHeight="1">
      <c r="A147" s="8"/>
      <c r="B147" s="8"/>
      <c r="C147" s="2942" t="str">
        <f>C127</f>
        <v>Affordable Housing Program(s) that Provided Financing</v>
      </c>
      <c r="D147" s="2942"/>
      <c r="E147" s="2942"/>
      <c r="F147" s="843" t="s">
        <v>59</v>
      </c>
      <c r="G147" s="2939" t="str">
        <f>G127</f>
        <v>If 'Other' is selected, enter the name of the program in the row below.</v>
      </c>
      <c r="H147" s="2939"/>
      <c r="I147" s="933"/>
      <c r="J147" s="8"/>
      <c r="K147" s="929">
        <f>IF(RIGHT(Data1!$F$7,3)&lt;&gt;"213",IF(M$143=0,0,IF(AND(F147="&lt;select one&gt;",F148&lt;&gt;""),2,N147)),3)</f>
        <v>1</v>
      </c>
      <c r="L147" s="931">
        <f>IF(AND(K147&lt;&gt;0,F147&lt;&gt;"&lt;select one&gt;",F147&lt;&gt;""),K147,0)</f>
        <v>0</v>
      </c>
      <c r="M147" s="922" t="str">
        <f>CHOOSE(K147+1,"Not to be included in this RFA","A REQUIRED input field for this RFA","An OPTIONAL input field for this RFA","Not tracked in this RFA")&amp;IF(K147=3," (Locked Cell)",IF(K147=1," (Unlocked Cell)",""))</f>
        <v>A REQUIRED input field for this RFA (Unlocked Cell)</v>
      </c>
      <c r="N147" s="248">
        <v>1</v>
      </c>
      <c r="O147" s="905" t="str">
        <f ca="1">Data1!K$100</f>
        <v>Prgm-SNB</v>
      </c>
      <c r="Q147" s="1929"/>
    </row>
    <row r="148" spans="1:17" ht="40.15" customHeight="1">
      <c r="A148" s="8"/>
      <c r="B148" s="8"/>
      <c r="C148" s="2942" t="str">
        <f>C128</f>
        <v>If 'Other' is selected above, enter the name of the program</v>
      </c>
      <c r="D148" s="2942"/>
      <c r="E148" s="2942"/>
      <c r="F148" s="2950"/>
      <c r="G148" s="2950"/>
      <c r="H148" s="2950"/>
      <c r="I148" s="933"/>
      <c r="J148" s="8"/>
      <c r="K148" s="929">
        <f>IF(M$143=0,0,IF(AND(F147&lt;&gt;"&lt;select one&gt;",F147&lt;&gt;"Other",F148=""),2,IF(F147="Other",1,IF(AND(F147="&lt;select one&gt;",F148&lt;&gt;""),N147,N148))))</f>
        <v>2</v>
      </c>
      <c r="L148" s="931">
        <f>IF(AND(K148&lt;&gt;0,F148&lt;&gt;""),K148,0)</f>
        <v>0</v>
      </c>
      <c r="M148" s="905" t="str">
        <f t="shared" si="3"/>
        <v>An OPTIONAL input field for this RFA</v>
      </c>
      <c r="N148" s="248">
        <v>2</v>
      </c>
      <c r="O148" s="954"/>
      <c r="Q148" s="1929"/>
    </row>
    <row r="149" spans="1:17" ht="50.1" customHeight="1">
      <c r="A149" s="8"/>
      <c r="B149" s="8"/>
      <c r="C149" s="2942" t="s">
        <v>985</v>
      </c>
      <c r="D149" s="2942"/>
      <c r="E149" s="2942"/>
      <c r="F149" s="919"/>
      <c r="G149" s="2939" t="str">
        <f>IF(F149="","",Data1!$Q$114&amp;Data1!$Q$117)</f>
        <v/>
      </c>
      <c r="H149" s="2939"/>
      <c r="I149" s="933"/>
      <c r="J149" s="8"/>
      <c r="K149" s="929">
        <f>IF(M$143=0,0,N149)</f>
        <v>1</v>
      </c>
      <c r="L149" s="931">
        <f>IF(AND(K149&lt;&gt;0,F149&lt;&gt;""),K149,0)</f>
        <v>0</v>
      </c>
      <c r="M149" s="779" t="str">
        <f t="shared" si="3"/>
        <v>A REQUIRED input field for this RFA</v>
      </c>
      <c r="N149" s="248">
        <v>1</v>
      </c>
      <c r="O149" s="922" t="str">
        <f>Data1!K$102</f>
        <v>Units-SNB</v>
      </c>
      <c r="Q149" s="1929"/>
    </row>
    <row r="150" spans="1:17" ht="84.95" customHeight="1">
      <c r="A150" s="8"/>
      <c r="B150" s="1878"/>
      <c r="C150" s="2947" t="str">
        <f>"Year Completed:
(can be no earlier than "&amp;TEXT(DS_DevExp_SinceDate,"yyyy")&amp;")"</f>
        <v>Year Completed:
(can be no earlier than 2005)</v>
      </c>
      <c r="D150" s="2947"/>
      <c r="E150" s="2947"/>
      <c r="F150" s="703"/>
      <c r="G150" s="2948" t="str">
        <f>IF(F150="","",Data1!$Q$102&amp;Data1!$Q$105&amp;IF(N(DS_DevExp_PrgmMinDevs)&gt;0,Data1!$Q$108&amp;Data1!$Q$111,""))</f>
        <v/>
      </c>
      <c r="H150" s="2948"/>
      <c r="I150" s="933"/>
      <c r="J150" s="8"/>
      <c r="K150" s="929">
        <f>IF(M$143=0,0,N150)</f>
        <v>1</v>
      </c>
      <c r="L150" s="931">
        <f>IF(AND(K150&lt;&gt;0,F150&lt;&gt;""),K150,0)</f>
        <v>0</v>
      </c>
      <c r="M150" s="779" t="str">
        <f t="shared" si="3"/>
        <v>A REQUIRED input field for this RFA</v>
      </c>
      <c r="N150" s="248">
        <v>1</v>
      </c>
      <c r="O150" s="6" t="str">
        <f ca="1">Data1!K$97</f>
        <v>Gen-SNB</v>
      </c>
      <c r="Q150" s="50"/>
    </row>
    <row r="151" spans="1:17" ht="30" customHeight="1">
      <c r="A151" s="8"/>
      <c r="B151" s="2957" t="str">
        <f ca="1">IF(DS_DevExp_MinDevs_List&gt;=3,Data1!$Q$96&amp;IF(DS_DevExp_MinDevs_List&lt;1,"",IF(AND(IF($K144&gt;0,DevExp_third_Dev_name="",TRUE),IF($K145&gt;0,DevExp_third_Dev_location="",TRUE),IF($K149&gt;0,DevExp_third_Dev_units="",TRUE),IF($K150&gt;0,DevExp_third_Dev_year="",TRUE)),"",Data1!$Q$102&amp;IF(AND(Data1!$Q$102&lt;&gt;"",RIGHT(Data1!$F$7,3)="213"),Data1!$Q$118,""))),"")</f>
        <v/>
      </c>
      <c r="C151" s="2957"/>
      <c r="D151" s="2957"/>
      <c r="E151" s="2957"/>
      <c r="F151" s="2957"/>
      <c r="G151" s="2957"/>
      <c r="H151" s="2957"/>
      <c r="I151" s="933"/>
      <c r="J151" s="8"/>
      <c r="K151" s="933"/>
      <c r="L151" s="933"/>
      <c r="M151" s="933"/>
      <c r="N151" s="933"/>
      <c r="O151" s="6" t="str">
        <f ca="1">Data1!K$95</f>
        <v>List-SNB</v>
      </c>
      <c r="Q151" s="1929"/>
    </row>
    <row r="152" spans="1:17" ht="10.35" customHeight="1">
      <c r="A152" s="8"/>
      <c r="B152" s="8"/>
      <c r="C152" s="8"/>
      <c r="D152" s="8"/>
      <c r="E152" s="912"/>
      <c r="F152" s="83"/>
      <c r="G152" s="69"/>
      <c r="H152" s="69"/>
      <c r="I152" s="933"/>
      <c r="J152" s="8"/>
      <c r="K152" s="931"/>
      <c r="L152" s="931"/>
      <c r="M152" s="8"/>
      <c r="Q152" s="1929"/>
    </row>
    <row r="153" spans="1:17" s="1929" customFormat="1" ht="32.1" hidden="1" customHeight="1">
      <c r="A153" s="8"/>
      <c r="B153" s="8"/>
      <c r="C153" s="8"/>
      <c r="D153" s="78" t="s">
        <v>2421</v>
      </c>
      <c r="E153" s="2943" t="str">
        <f>"Fourth development "&amp;IF(Data1!E$94&lt;2,"","out of "&amp;CHOOSE(Data1!E$94,"one ","two ","three ","four ","five "))&amp;"that meet"&amp;IF(Data1!E$94&lt;2,"s","")&amp;" the Developer experience requirement outlined in Section Four, A.3.b.(3)(a) of the RFA:"</f>
        <v>Fourth development out of three that meet the Developer experience requirement outlined in Section Four, A.3.b.(3)(a) of the RFA:</v>
      </c>
      <c r="F153" s="2943"/>
      <c r="G153" s="2943"/>
      <c r="H153" s="2943"/>
      <c r="I153" s="1927"/>
      <c r="J153" s="8"/>
      <c r="K153" s="1925"/>
      <c r="L153" s="1925"/>
      <c r="M153" s="313">
        <v>0</v>
      </c>
      <c r="O153" s="1156">
        <f>COUNT(M$123:M153)</f>
        <v>4</v>
      </c>
    </row>
    <row r="154" spans="1:17" s="1929" customFormat="1" ht="17.45" hidden="1" customHeight="1">
      <c r="A154" s="8"/>
      <c r="B154" s="8"/>
      <c r="C154" s="2942" t="s">
        <v>982</v>
      </c>
      <c r="D154" s="2942"/>
      <c r="E154" s="2942"/>
      <c r="F154" s="2950"/>
      <c r="G154" s="2950"/>
      <c r="H154" s="2950"/>
      <c r="I154" s="1927"/>
      <c r="J154" s="8"/>
      <c r="K154" s="1926">
        <f>IF(M$153=0,0,N154)</f>
        <v>0</v>
      </c>
      <c r="L154" s="1925">
        <f>IF(AND(K154&lt;&gt;0,F154&lt;&gt;""),K154,0)</f>
        <v>0</v>
      </c>
      <c r="M154" s="779" t="str">
        <f t="shared" ref="M154:M155" si="4">CHOOSE(K154+1,"Not to be included in this RFA","A REQUIRED input field for this RFA","An OPTIONAL input field for this RFA")</f>
        <v>Not to be included in this RFA</v>
      </c>
      <c r="N154" s="1930">
        <v>1</v>
      </c>
    </row>
    <row r="155" spans="1:17" s="1929" customFormat="1" ht="35.1" hidden="1" customHeight="1">
      <c r="A155" s="8"/>
      <c r="B155" s="8"/>
      <c r="C155" s="2952" t="s">
        <v>983</v>
      </c>
      <c r="D155" s="2952"/>
      <c r="E155" s="2952"/>
      <c r="F155" s="2949"/>
      <c r="G155" s="2949"/>
      <c r="H155" s="2949"/>
      <c r="I155" s="1927"/>
      <c r="J155" s="8"/>
      <c r="K155" s="1926">
        <f>IF(M$153=0,0,N155)</f>
        <v>0</v>
      </c>
      <c r="L155" s="1925">
        <f>IF(AND(K155&lt;&gt;0,F155&lt;&gt;""),K155,0)</f>
        <v>0</v>
      </c>
      <c r="M155" s="779" t="str">
        <f t="shared" si="4"/>
        <v>Not to be included in this RFA</v>
      </c>
      <c r="N155" s="248">
        <v>1</v>
      </c>
      <c r="Q155" s="1919"/>
    </row>
    <row r="156" spans="1:17" s="1992" customFormat="1" ht="45" hidden="1" customHeight="1">
      <c r="A156" s="8"/>
      <c r="B156" s="8"/>
      <c r="C156" s="2942" t="str">
        <f>IF(AND($F156&lt;&gt;"",$F156&lt;&gt;$G$117,$F156&lt;&gt;$G$119),"Name entered does NOT match name(s) above","Name of natural person Principal associated with Development*")</f>
        <v>Name of natural person Principal associated with Development*</v>
      </c>
      <c r="D156" s="2942"/>
      <c r="E156" s="2942"/>
      <c r="F156" s="2949"/>
      <c r="G156" s="2949"/>
      <c r="H156" s="2949"/>
      <c r="I156" s="1991"/>
      <c r="J156" s="81"/>
      <c r="K156" s="1990">
        <f>IF(OR(M$123=0,$N156=0),0,IF(AND(DevExp_Natural_Person_Meets="Yes",DevExp_natural_person_additional&lt;&gt;""),1,N156))</f>
        <v>0</v>
      </c>
      <c r="L156" s="1989">
        <f>IF(AND(K156&lt;&gt;0,F156&lt;&gt;""),K156,0)</f>
        <v>0</v>
      </c>
      <c r="M156" s="1995" t="str">
        <f>CHOOSE(K156+1,"Not to be included in this RFA; Check RFA 2023-2013 for full programming needs","A REQUIRED input field for this RFA","An OPTIONAL input field for this RFA")</f>
        <v>Not to be included in this RFA; Check RFA 2023-2013 for full programming needs</v>
      </c>
      <c r="N156" s="248">
        <v>0</v>
      </c>
      <c r="O156" s="317"/>
      <c r="Q156" s="1984"/>
    </row>
    <row r="157" spans="1:17" s="1929" customFormat="1" ht="38.1" hidden="1" customHeight="1">
      <c r="A157" s="8"/>
      <c r="B157" s="8"/>
      <c r="C157" s="2942" t="str">
        <f>C137</f>
        <v>Affordable Housing Program(s) that Provided Financing</v>
      </c>
      <c r="D157" s="2942"/>
      <c r="E157" s="2942"/>
      <c r="F157" s="843" t="s">
        <v>59</v>
      </c>
      <c r="G157" s="2939" t="str">
        <f>G137</f>
        <v>If 'Other' is selected, enter the name of the program in the row below.</v>
      </c>
      <c r="H157" s="2939"/>
      <c r="I157" s="1927"/>
      <c r="J157" s="8"/>
      <c r="K157" s="1926">
        <f>IF(RIGHT(Data1!$F$7,3)&lt;&gt;"213",IF(M$153=0,0,IF(AND(F157="&lt;select one&gt;",F158&lt;&gt;""),2,N157)),3)</f>
        <v>0</v>
      </c>
      <c r="L157" s="1925">
        <f>IF(AND(K157&lt;&gt;0,F157&lt;&gt;"&lt;select one&gt;",F157&lt;&gt;""),K157,0)</f>
        <v>0</v>
      </c>
      <c r="M157" s="1920" t="str">
        <f>CHOOSE(K157+1,"Not to be included in this RFA","A REQUIRED input field for this RFA","An OPTIONAL input field for this RFA","Not tracked in this RFA")&amp;IF(K157=3," (Locked Cell)",IF(K157=1," (Unlocked Cell)",""))</f>
        <v>Not to be included in this RFA</v>
      </c>
      <c r="N157" s="248">
        <v>1</v>
      </c>
      <c r="O157" s="1924" t="str">
        <f>Data1!L$100</f>
        <v>Prgm-NS</v>
      </c>
      <c r="Q157" s="1919"/>
    </row>
    <row r="158" spans="1:17" s="1929" customFormat="1" ht="40.35" hidden="1" customHeight="1">
      <c r="A158" s="8"/>
      <c r="B158" s="8"/>
      <c r="C158" s="2942" t="str">
        <f>C138</f>
        <v>If 'Other' is selected above, enter the name of the program</v>
      </c>
      <c r="D158" s="2942"/>
      <c r="E158" s="2942"/>
      <c r="F158" s="2950"/>
      <c r="G158" s="2950"/>
      <c r="H158" s="2950"/>
      <c r="I158" s="1927"/>
      <c r="J158" s="8"/>
      <c r="K158" s="1926">
        <f>IF(M$153=0,0,IF(AND(F157&lt;&gt;"&lt;select one&gt;",F157&lt;&gt;"Other",F158=""),2,IF(F157="Other",1,IF(AND(F157="&lt;select one&gt;",F158&lt;&gt;""),N157,N158))))</f>
        <v>0</v>
      </c>
      <c r="L158" s="1925">
        <f>IF(AND(K158&lt;&gt;0,F158&lt;&gt;""),K158,0)</f>
        <v>0</v>
      </c>
      <c r="M158" s="1924" t="str">
        <f t="shared" ref="M158:M160" si="5">CHOOSE(K158+1,"Not to be included in this RFA","A REQUIRED input field for this RFA","An OPTIONAL input field for this RFA")</f>
        <v>Not to be included in this RFA</v>
      </c>
      <c r="N158" s="248">
        <v>2</v>
      </c>
      <c r="O158" s="1931"/>
      <c r="Q158" s="1919"/>
    </row>
    <row r="159" spans="1:17" s="1929" customFormat="1" ht="50.1" hidden="1" customHeight="1">
      <c r="A159" s="8"/>
      <c r="B159" s="8"/>
      <c r="C159" s="2942" t="s">
        <v>985</v>
      </c>
      <c r="D159" s="2942"/>
      <c r="E159" s="2942"/>
      <c r="F159" s="1923"/>
      <c r="G159" s="2946" t="str">
        <f>IF(F159="","",Data1!$Q$115&amp;Data1!$Q$117)</f>
        <v/>
      </c>
      <c r="H159" s="2946"/>
      <c r="I159" s="1927"/>
      <c r="J159" s="8"/>
      <c r="K159" s="1926">
        <f>IF(M$153=0,0,N159)</f>
        <v>0</v>
      </c>
      <c r="L159" s="1925">
        <f>IF(AND(K159&lt;&gt;0,F159&lt;&gt;""),K159,0)</f>
        <v>0</v>
      </c>
      <c r="M159" s="779" t="str">
        <f t="shared" si="5"/>
        <v>Not to be included in this RFA</v>
      </c>
      <c r="N159" s="248">
        <v>1</v>
      </c>
      <c r="O159" s="1920" t="str">
        <f>Data1!L$102</f>
        <v>Units-NS</v>
      </c>
      <c r="Q159" s="1919"/>
    </row>
    <row r="160" spans="1:17" s="1929" customFormat="1" ht="84.95" hidden="1" customHeight="1">
      <c r="A160" s="8"/>
      <c r="B160" s="1878"/>
      <c r="C160" s="2947" t="str">
        <f>"Year Completed:
(can be no earlier than "&amp;TEXT(DS_DevExp_SinceDate,"yyyy")&amp;")"</f>
        <v>Year Completed:
(can be no earlier than 2005)</v>
      </c>
      <c r="D160" s="2947"/>
      <c r="E160" s="2947"/>
      <c r="F160" s="703"/>
      <c r="G160" s="2939" t="str">
        <f>IF(F160="","",Data1!$Q$103&amp;Data1!$Q$105&amp;IF(N(DS_DevExp_PrgmMinDevs)&gt;0,Data1!$Q$109&amp;Data1!$Q$111,""))</f>
        <v/>
      </c>
      <c r="H160" s="2939"/>
      <c r="I160" s="1927"/>
      <c r="J160" s="8"/>
      <c r="K160" s="1926">
        <f>IF(M$153=0,0,N160)</f>
        <v>0</v>
      </c>
      <c r="L160" s="1925">
        <f>IF(AND(K160&lt;&gt;0,F160&lt;&gt;""),K160,0)</f>
        <v>0</v>
      </c>
      <c r="M160" s="779" t="str">
        <f t="shared" si="5"/>
        <v>Not to be included in this RFA</v>
      </c>
      <c r="N160" s="248">
        <v>1</v>
      </c>
      <c r="O160" s="1929" t="str">
        <f>Data1!L$97</f>
        <v>Gen-NS</v>
      </c>
      <c r="Q160" s="50"/>
    </row>
    <row r="161" spans="1:18" s="1929" customFormat="1" ht="30" hidden="1" customHeight="1">
      <c r="A161" s="8"/>
      <c r="B161" s="2957" t="str">
        <f>IF(DS_DevExp_MinDevs_List&gt;=4,Data1!$Q$97&amp;IF(DS_DevExp_MinDevs_List&lt;1,"",IF(AND(IF($K154&gt;0,DevExp_fourth_Dev_name="",TRUE),IF($K155&gt;0,DevExp_fourth_Dev_location="",TRUE),IF($K159&gt;0,DevExp_fourth_Dev_units="",TRUE),IF($K160&gt;0,DevExp_fourth_Dev_year="",TRUE)),"",Data1!$Q$103&amp;IF(AND(Data1!$Q$103&lt;&gt;"",RIGHT(Data1!$F$7,3)="213"),Data1!$Q$118,""))),"")</f>
        <v/>
      </c>
      <c r="C161" s="2957"/>
      <c r="D161" s="2957"/>
      <c r="E161" s="2957"/>
      <c r="F161" s="2957"/>
      <c r="G161" s="2957"/>
      <c r="H161" s="2957"/>
      <c r="I161" s="1927"/>
      <c r="J161" s="8"/>
      <c r="K161" s="1927"/>
      <c r="L161" s="1927"/>
      <c r="M161" s="1927"/>
      <c r="N161" s="1927"/>
      <c r="O161" s="1929" t="str">
        <f>Data1!L$95</f>
        <v>List-NS</v>
      </c>
      <c r="Q161" s="1919"/>
    </row>
    <row r="162" spans="1:18" s="1929" customFormat="1" ht="10.35" hidden="1" customHeight="1">
      <c r="A162" s="8"/>
      <c r="B162" s="8"/>
      <c r="C162" s="8"/>
      <c r="D162" s="8"/>
      <c r="E162" s="1922"/>
      <c r="F162" s="83"/>
      <c r="G162" s="69"/>
      <c r="H162" s="69"/>
      <c r="I162" s="1927"/>
      <c r="J162" s="8"/>
      <c r="K162" s="1925"/>
      <c r="L162" s="1925"/>
      <c r="M162" s="8"/>
      <c r="Q162" s="1919"/>
    </row>
    <row r="163" spans="1:18" s="1929" customFormat="1" ht="32.1" hidden="1" customHeight="1">
      <c r="A163" s="8"/>
      <c r="B163" s="8"/>
      <c r="C163" s="8"/>
      <c r="D163" s="78" t="s">
        <v>2422</v>
      </c>
      <c r="E163" s="2943" t="str">
        <f>"Fifth development "&amp;IF(Data1!E$94&lt;2,"","out of "&amp;CHOOSE(Data1!E$94,"one ","two ","three ","four ","five "))&amp;"that meet"&amp;IF(Data1!E$94&lt;2,"s","")&amp;" the Developer experience requirement outlined in Section Four, A.3.b.(3)(a) of the RFA:"</f>
        <v>Fifth development out of three that meet the Developer experience requirement outlined in Section Four, A.3.b.(3)(a) of the RFA:</v>
      </c>
      <c r="F163" s="2943"/>
      <c r="G163" s="2943"/>
      <c r="H163" s="2943"/>
      <c r="I163" s="1927"/>
      <c r="J163" s="8"/>
      <c r="K163" s="1925"/>
      <c r="L163" s="1925"/>
      <c r="M163" s="313">
        <v>0</v>
      </c>
      <c r="O163" s="1156">
        <f>COUNT(M$123:M163)</f>
        <v>5</v>
      </c>
      <c r="Q163" s="1919"/>
    </row>
    <row r="164" spans="1:18" s="1929" customFormat="1" ht="17.45" hidden="1" customHeight="1">
      <c r="A164" s="8"/>
      <c r="B164" s="8"/>
      <c r="C164" s="2942" t="s">
        <v>982</v>
      </c>
      <c r="D164" s="2942"/>
      <c r="E164" s="2942"/>
      <c r="F164" s="2950"/>
      <c r="G164" s="2950"/>
      <c r="H164" s="2950"/>
      <c r="I164" s="1927"/>
      <c r="J164" s="8"/>
      <c r="K164" s="1926">
        <f>IF(M$163=0,0,N164)</f>
        <v>0</v>
      </c>
      <c r="L164" s="1925">
        <f>IF(AND(K164&lt;&gt;0,F164&lt;&gt;""),K164,0)</f>
        <v>0</v>
      </c>
      <c r="M164" s="779" t="str">
        <f t="shared" ref="M164:M165" si="6">CHOOSE(K164+1,"Not to be included in this RFA","A REQUIRED input field for this RFA","An OPTIONAL input field for this RFA")</f>
        <v>Not to be included in this RFA</v>
      </c>
      <c r="N164" s="1930">
        <v>1</v>
      </c>
      <c r="Q164" s="1919"/>
    </row>
    <row r="165" spans="1:18" s="1929" customFormat="1" ht="35.1" hidden="1" customHeight="1">
      <c r="A165" s="8"/>
      <c r="B165" s="8"/>
      <c r="C165" s="2952" t="s">
        <v>983</v>
      </c>
      <c r="D165" s="2952"/>
      <c r="E165" s="2952"/>
      <c r="F165" s="2949"/>
      <c r="G165" s="2949"/>
      <c r="H165" s="2949"/>
      <c r="I165" s="1927"/>
      <c r="J165" s="8"/>
      <c r="K165" s="1926">
        <f>IF(M$163=0,0,N165)</f>
        <v>0</v>
      </c>
      <c r="L165" s="1925">
        <f>IF(AND(K165&lt;&gt;0,F165&lt;&gt;""),K165,0)</f>
        <v>0</v>
      </c>
      <c r="M165" s="779" t="str">
        <f t="shared" si="6"/>
        <v>Not to be included in this RFA</v>
      </c>
      <c r="N165" s="248">
        <v>1</v>
      </c>
      <c r="Q165" s="1919"/>
    </row>
    <row r="166" spans="1:18" s="1992" customFormat="1" ht="45" hidden="1" customHeight="1">
      <c r="A166" s="8"/>
      <c r="B166" s="8"/>
      <c r="C166" s="2942" t="str">
        <f>IF(AND($F166&lt;&gt;"",$F166&lt;&gt;$G$117,$F166&lt;&gt;$G$119),"Name entered does NOT match name(s) above","Name of natural person Principal associated with Development*")</f>
        <v>Name of natural person Principal associated with Development*</v>
      </c>
      <c r="D166" s="2942"/>
      <c r="E166" s="2942"/>
      <c r="F166" s="2949"/>
      <c r="G166" s="2949"/>
      <c r="H166" s="2949"/>
      <c r="I166" s="1991"/>
      <c r="J166" s="81"/>
      <c r="K166" s="1990">
        <f>IF(OR(M$123=0,$N166=0),0,IF(AND(DevExp_Natural_Person_Meets="Yes",DevExp_natural_person_additional&lt;&gt;""),1,N166))</f>
        <v>0</v>
      </c>
      <c r="L166" s="1989">
        <f>IF(AND(K166&lt;&gt;0,F166&lt;&gt;""),K166,0)</f>
        <v>0</v>
      </c>
      <c r="M166" s="1995" t="str">
        <f>CHOOSE(K166+1,"Not to be included in this RFA; Check RFA 2023-2013 for full programming needs","A REQUIRED input field for this RFA","An OPTIONAL input field for this RFA")</f>
        <v>Not to be included in this RFA; Check RFA 2023-2013 for full programming needs</v>
      </c>
      <c r="N166" s="248">
        <v>0</v>
      </c>
      <c r="O166" s="317"/>
      <c r="Q166" s="1984"/>
    </row>
    <row r="167" spans="1:18" s="1929" customFormat="1" ht="38.1" hidden="1" customHeight="1">
      <c r="A167" s="8"/>
      <c r="B167" s="8"/>
      <c r="C167" s="2942" t="str">
        <f>C147</f>
        <v>Affordable Housing Program(s) that Provided Financing</v>
      </c>
      <c r="D167" s="2942"/>
      <c r="E167" s="2942"/>
      <c r="F167" s="843" t="s">
        <v>59</v>
      </c>
      <c r="G167" s="2939" t="str">
        <f>G147</f>
        <v>If 'Other' is selected, enter the name of the program in the row below.</v>
      </c>
      <c r="H167" s="2939"/>
      <c r="I167" s="1927"/>
      <c r="J167" s="8"/>
      <c r="K167" s="1926">
        <f>IF(RIGHT(Data1!$F$7,3)&lt;&gt;"213",IF(M$163=0,0,IF(AND(F167="&lt;select one&gt;",F168&lt;&gt;""),2,N167)),3)</f>
        <v>0</v>
      </c>
      <c r="L167" s="1925">
        <f>IF(AND(K167&lt;&gt;0,F167&lt;&gt;"&lt;select one&gt;",F167&lt;&gt;""),K167,0)</f>
        <v>0</v>
      </c>
      <c r="M167" s="1920" t="str">
        <f>CHOOSE(K167+1,"Not to be included in this RFA","A REQUIRED input field for this RFA","An OPTIONAL input field for this RFA","Not tracked in this RFA")&amp;IF(K167=3," (Locked Cell)",IF(K167=1," (Unlocked Cell)",""))</f>
        <v>Not to be included in this RFA</v>
      </c>
      <c r="N167" s="248">
        <v>1</v>
      </c>
      <c r="O167" s="1924" t="str">
        <f>Data1!M$100</f>
        <v>Prgm-NS</v>
      </c>
      <c r="Q167" s="1919"/>
    </row>
    <row r="168" spans="1:18" s="1929" customFormat="1" ht="40.35" hidden="1" customHeight="1">
      <c r="A168" s="8"/>
      <c r="B168" s="8"/>
      <c r="C168" s="2942" t="str">
        <f>C148</f>
        <v>If 'Other' is selected above, enter the name of the program</v>
      </c>
      <c r="D168" s="2942"/>
      <c r="E168" s="2942"/>
      <c r="F168" s="2950"/>
      <c r="G168" s="2950"/>
      <c r="H168" s="2950"/>
      <c r="I168" s="1927"/>
      <c r="J168" s="8"/>
      <c r="K168" s="1926">
        <f>IF(M$163=0,0,IF(AND(F167&lt;&gt;"&lt;select one&gt;",F167&lt;&gt;"Other",F168=""),2,IF(F167="Other",1,IF(AND(F167="&lt;select one&gt;",F168&lt;&gt;""),N167,N168))))</f>
        <v>0</v>
      </c>
      <c r="L168" s="1925">
        <f>IF(AND(K168&lt;&gt;0,F168&lt;&gt;""),K168,0)</f>
        <v>0</v>
      </c>
      <c r="M168" s="1924" t="str">
        <f t="shared" ref="M168:M170" si="7">CHOOSE(K168+1,"Not to be included in this RFA","A REQUIRED input field for this RFA","An OPTIONAL input field for this RFA")</f>
        <v>Not to be included in this RFA</v>
      </c>
      <c r="N168" s="248">
        <v>2</v>
      </c>
      <c r="O168" s="1931"/>
      <c r="Q168" s="1919"/>
    </row>
    <row r="169" spans="1:18" s="1929" customFormat="1" ht="50.1" hidden="1" customHeight="1">
      <c r="A169" s="8"/>
      <c r="B169" s="8"/>
      <c r="C169" s="2942" t="s">
        <v>985</v>
      </c>
      <c r="D169" s="2942"/>
      <c r="E169" s="2942"/>
      <c r="F169" s="1923"/>
      <c r="G169" s="2946" t="str">
        <f>IF(F169="","",Data1!$Q$116&amp;Data1!$Q$117)</f>
        <v/>
      </c>
      <c r="H169" s="2946"/>
      <c r="I169" s="1927"/>
      <c r="J169" s="8"/>
      <c r="K169" s="1926">
        <f>IF(M$163=0,0,N169)</f>
        <v>0</v>
      </c>
      <c r="L169" s="1925">
        <f>IF(AND(K169&lt;&gt;0,F169&lt;&gt;""),K169,0)</f>
        <v>0</v>
      </c>
      <c r="M169" s="779" t="str">
        <f t="shared" si="7"/>
        <v>Not to be included in this RFA</v>
      </c>
      <c r="N169" s="248">
        <v>1</v>
      </c>
      <c r="O169" s="1920" t="str">
        <f>Data1!M$102</f>
        <v>Units-NS</v>
      </c>
      <c r="Q169" s="1919"/>
    </row>
    <row r="170" spans="1:18" s="1929" customFormat="1" ht="84.95" hidden="1" customHeight="1">
      <c r="A170" s="8"/>
      <c r="B170" s="1878"/>
      <c r="C170" s="2947" t="str">
        <f>"Year Completed:
(can be no earlier than "&amp;TEXT(DS_DevExp_SinceDate,"yyyy")&amp;")"</f>
        <v>Year Completed:
(can be no earlier than 2005)</v>
      </c>
      <c r="D170" s="2947"/>
      <c r="E170" s="2947"/>
      <c r="F170" s="703"/>
      <c r="G170" s="2939" t="str">
        <f>IF(F170="","",Data1!$Q$104&amp;Data1!$Q$105&amp;IF(N(DS_DevExp_PrgmMinDevs)&gt;0,Data1!$Q$110&amp;Data1!$Q$111,""))</f>
        <v/>
      </c>
      <c r="H170" s="2939"/>
      <c r="I170" s="1927"/>
      <c r="J170" s="8"/>
      <c r="K170" s="1926">
        <f>IF(M$163=0,0,N170)</f>
        <v>0</v>
      </c>
      <c r="L170" s="1925">
        <f>IF(AND(K170&lt;&gt;0,F170&lt;&gt;""),K170,0)</f>
        <v>0</v>
      </c>
      <c r="M170" s="779" t="str">
        <f t="shared" si="7"/>
        <v>Not to be included in this RFA</v>
      </c>
      <c r="N170" s="248">
        <v>1</v>
      </c>
      <c r="O170" s="1929" t="str">
        <f>Data1!M$97</f>
        <v>Gen-NS</v>
      </c>
      <c r="P170" s="2935" t="s">
        <v>2840</v>
      </c>
      <c r="Q170" s="2936"/>
      <c r="R170" s="2937"/>
    </row>
    <row r="171" spans="1:18" s="1929" customFormat="1" ht="30" hidden="1" customHeight="1">
      <c r="A171" s="8"/>
      <c r="B171" s="2957" t="str">
        <f>IF(DS_DevExp_MinDevs_List&gt;=5,Data1!$Q$98&amp;IF(DS_DevExp_MinDevs_List&lt;1,"",IF(AND(IF($K164&gt;0,DevExp_fifth_Dev_name="",TRUE),IF($K165&gt;0,DevExp_fifth_Dev_location="",TRUE),IF($K169&gt;0,DevExp_fifth_Dev_units="",TRUE),IF($K170&gt;0,DevExp_fifth_Dev_year="",TRUE)),"",Data1!$Q$104&amp;IF(AND(Data1!$Q$104&lt;&gt;"",RIGHT(Data1!$F$7,3)="213"),Data1!$Q$118,""))),"")</f>
        <v/>
      </c>
      <c r="C171" s="2957"/>
      <c r="D171" s="2957"/>
      <c r="E171" s="2957"/>
      <c r="F171" s="2957"/>
      <c r="G171" s="2957"/>
      <c r="H171" s="2957"/>
      <c r="I171" s="1927"/>
      <c r="J171" s="8"/>
      <c r="K171" s="1927"/>
      <c r="L171" s="1927"/>
      <c r="N171" s="1927"/>
      <c r="O171" s="1929" t="str">
        <f>Data1!M$95</f>
        <v>List-NS</v>
      </c>
      <c r="Q171" s="1919"/>
    </row>
    <row r="172" spans="1:18" s="1929" customFormat="1" ht="10.35" hidden="1" customHeight="1">
      <c r="A172" s="8"/>
      <c r="B172" s="8"/>
      <c r="C172" s="8"/>
      <c r="D172" s="8"/>
      <c r="E172" s="1922"/>
      <c r="F172" s="83"/>
      <c r="G172" s="69"/>
      <c r="H172" s="69"/>
      <c r="I172" s="1927"/>
      <c r="J172" s="8"/>
      <c r="K172" s="1925"/>
      <c r="L172" s="1925"/>
      <c r="M172" s="8"/>
      <c r="Q172" s="1919"/>
    </row>
    <row r="173" spans="1:18" s="1992" customFormat="1" ht="50.1" hidden="1" customHeight="1">
      <c r="A173" s="8"/>
      <c r="B173" s="2958" t="s">
        <v>2461</v>
      </c>
      <c r="C173" s="2958"/>
      <c r="D173" s="2958"/>
      <c r="E173" s="2958"/>
      <c r="F173" s="2958"/>
      <c r="G173" s="2958"/>
      <c r="H173" s="1996" t="str">
        <f>IF(OR(IFERROR(FIND("20",DevExp_first_Other_program),0)&gt;0,IFERROR(FIND("20",DevExp_second_Other_program),0)&gt;0,IFERROR(FIND("20",DevExp_third_Other_program),0)&gt;0,IFERROR(FIND("20",DevExp_fourth_Other_program),0)&gt;0,IFERROR(FIND("20",DevExp_fifth_Other_program),0)&gt;0),"Yes","No")</f>
        <v>No</v>
      </c>
      <c r="I173" s="1991"/>
      <c r="J173" s="8"/>
      <c r="K173" s="1989"/>
      <c r="L173" s="1989"/>
      <c r="M173" s="2053" t="s">
        <v>2513</v>
      </c>
      <c r="Q173" s="1984"/>
    </row>
    <row r="174" spans="1:18" s="1992" customFormat="1" ht="10.35" hidden="1" customHeight="1">
      <c r="A174" s="8"/>
      <c r="B174" s="8"/>
      <c r="C174" s="8"/>
      <c r="D174" s="8"/>
      <c r="E174" s="1985"/>
      <c r="F174" s="83"/>
      <c r="G174" s="69"/>
      <c r="H174" s="69"/>
      <c r="I174" s="1991"/>
      <c r="J174" s="8"/>
      <c r="K174" s="1989"/>
      <c r="L174" s="1989"/>
      <c r="M174" s="8"/>
      <c r="Q174" s="1984"/>
    </row>
    <row r="175" spans="1:18" ht="17.45" hidden="1" customHeight="1">
      <c r="A175" s="8"/>
      <c r="B175" s="8"/>
      <c r="C175" s="77" t="str">
        <f>IF(M175=0,"",IF(SUM(K117:K150)=0,"(a)","(b)"))</f>
        <v/>
      </c>
      <c r="D175" s="2943" t="s">
        <v>2067</v>
      </c>
      <c r="E175" s="2943"/>
      <c r="F175" s="2943"/>
      <c r="G175" s="2943"/>
      <c r="H175" s="2943"/>
      <c r="I175" s="933"/>
      <c r="J175" s="8"/>
      <c r="K175" s="931"/>
      <c r="L175" s="931"/>
      <c r="M175" s="313">
        <v>0</v>
      </c>
    </row>
    <row r="176" spans="1:18" ht="32.1" hidden="1" customHeight="1">
      <c r="A176" s="8"/>
      <c r="B176" s="8"/>
      <c r="C176" s="8"/>
      <c r="D176" s="8"/>
      <c r="E176" s="2943" t="s">
        <v>2068</v>
      </c>
      <c r="F176" s="2943"/>
      <c r="G176" s="2943"/>
      <c r="H176" s="2943"/>
      <c r="I176" s="933"/>
      <c r="J176" s="922"/>
      <c r="K176" s="931"/>
      <c r="L176" s="931"/>
      <c r="M176" s="8"/>
    </row>
    <row r="177" spans="1:16" ht="10.35" hidden="1" customHeight="1">
      <c r="A177" s="8"/>
      <c r="B177" s="8"/>
      <c r="C177" s="8"/>
      <c r="D177" s="8"/>
      <c r="E177" s="902"/>
      <c r="F177" s="902"/>
      <c r="G177" s="902"/>
      <c r="H177" s="902"/>
      <c r="I177" s="933"/>
      <c r="J177" s="922"/>
      <c r="K177" s="931"/>
      <c r="L177" s="931"/>
      <c r="M177" s="8"/>
    </row>
    <row r="178" spans="1:16" ht="17.45" hidden="1" customHeight="1">
      <c r="A178" s="8"/>
      <c r="B178" s="8"/>
      <c r="C178" s="77" t="str">
        <f>IF(M178=0,"",IF(C175="(b)","(c)","(b)"))</f>
        <v/>
      </c>
      <c r="D178" s="2943" t="s">
        <v>989</v>
      </c>
      <c r="E178" s="2943"/>
      <c r="F178" s="2943"/>
      <c r="G178" s="2943"/>
      <c r="H178" s="2943"/>
      <c r="I178" s="933"/>
      <c r="J178" s="922"/>
      <c r="K178" s="931"/>
      <c r="L178" s="931"/>
      <c r="M178" s="313">
        <v>0</v>
      </c>
      <c r="N178" s="1696"/>
    </row>
    <row r="179" spans="1:16" ht="50.1" hidden="1" customHeight="1">
      <c r="A179" s="8"/>
      <c r="B179" s="8"/>
      <c r="C179" s="8"/>
      <c r="D179" s="8"/>
      <c r="E179" s="2943" t="str">
        <f>"To qualify for this funding preference, the prior experience chart outlined in (3)(a) above must reflect that the Development consisted of at least "&amp;CHOOSE(DS_DevExp_DB_Sequence+1,"12 total units","12 total units for HOME Funding","8 total units for CDBG-DR Funding",TEXT(DS_DevExp_DB_Federal_Units,"0")&amp;" total units for Federal Funding","12 total units for HOME Funding or 8 total units for CDBG-DR Funding","8 total units for CDBG-DR Funding or "&amp;TEXT(DS_DevExp_DB_Federal_Units,"0")&amp;" total units for Federal Funding","12 total units for HOME Funding or 8 total units for CDBG-DR Funding or "&amp;TEXT(DS_DevExp_DB_Federal_Units,"0")&amp;" total units for Federal Funding","12 total units for HOME Funding or "&amp;TEXT(DS_DevExp_DB_Federal_Units,"0")&amp;" total units for Federal Funding")&amp;", and it does"&amp;IF(AND(N(DevExp_first_Dev_units)&gt;=DS_DevExp_DB_Min_Units,CHOOSE(DS_DevExp_DB_Sequence+1,OR(DevExp_first_Dev_program&lt;&gt;"",DevExp_first_Dev_program&lt;&gt;"&lt;select one&gt;"),DevExp_first_Dev_program="HOME",DevExp_first_Dev_program="CDBG-DR",IFERROR(FIND("Federal Funding",DevExp_first_Dev_program),0)&gt;0,OR(DevExp_first_Dev_program="HOME",DevExp_first_Dev_program="CDBG-DR"),OR(DevExp_first_Dev_program="CDBG-DR",IFERROR(FIND("Federal Funding",DevExp_first_Dev_program),0)&gt;0),OR(DevExp_first_Dev_program="HOME",DevExp_first_Dev_program="CDBG-DR",IFERROR(FIND("Federal Funding",DevExp_first_Dev_program),0)&gt;0),OR(DevExp_first_Dev_program="HOME",IFERROR(FIND("Federal Funding",DevExp_first_Dev_program),0)&gt;0))),""," NOT")&amp;" with "&amp;TEXT(N(DevExp_first_Dev_units),"0")&amp;" total units funded with "&amp;IF(OR(DevExp_first_Dev_program="",DevExp_first_Dev_program="&lt;select one&gt;"),"TBD",DevExp_first_Dev_program)&amp;" Funding."</f>
        <v>To qualify for this funding preference, the prior experience chart outlined in (3)(a) above must reflect that the Development consisted of at least 8 total units for CDBG-DR Funding or 12 total units for Federal Funding, and it does NOT with 0 total units funded with Housing Credits Funding.</v>
      </c>
      <c r="F179" s="2943"/>
      <c r="G179" s="2943"/>
      <c r="H179" s="2943"/>
      <c r="I179" s="933"/>
      <c r="J179" s="922"/>
      <c r="K179" s="931"/>
      <c r="L179" s="2940" t="s">
        <v>2512</v>
      </c>
      <c r="M179" s="2940"/>
      <c r="N179" s="2938"/>
      <c r="O179" s="2938"/>
      <c r="P179" s="317"/>
    </row>
    <row r="180" spans="1:16" ht="10.35" hidden="1" customHeight="1">
      <c r="E180" s="905"/>
      <c r="F180" s="905"/>
      <c r="G180" s="905"/>
      <c r="H180" s="905"/>
      <c r="I180" s="933"/>
      <c r="J180" s="922"/>
      <c r="K180" s="931"/>
      <c r="L180" s="931"/>
      <c r="M180" s="8"/>
    </row>
    <row r="181" spans="1:16" s="2040" customFormat="1" ht="17.45" hidden="1" customHeight="1">
      <c r="B181" s="2055" t="str">
        <f>IF(K183=0,"(-)","(4)")</f>
        <v>(-)</v>
      </c>
      <c r="C181" s="2959" t="s">
        <v>2503</v>
      </c>
      <c r="D181" s="2959"/>
      <c r="E181" s="2959"/>
      <c r="F181" s="2959"/>
      <c r="G181" s="2959"/>
      <c r="H181" s="2959"/>
      <c r="I181" s="2039"/>
      <c r="J181" s="2034"/>
      <c r="K181" s="2046"/>
      <c r="L181" s="2046"/>
      <c r="M181" s="8"/>
    </row>
    <row r="182" spans="1:16" s="2040" customFormat="1" ht="17.45" hidden="1" customHeight="1">
      <c r="B182" s="8"/>
      <c r="C182" s="2054"/>
      <c r="D182" s="2049"/>
      <c r="E182" s="1536" t="s">
        <v>2504</v>
      </c>
      <c r="F182" s="2049"/>
      <c r="G182" s="2049"/>
      <c r="H182" s="2049"/>
      <c r="I182" s="2039"/>
      <c r="J182" s="2034"/>
      <c r="K182" s="2046"/>
      <c r="L182" s="2046"/>
      <c r="M182" s="8"/>
    </row>
    <row r="183" spans="1:16" s="2040" customFormat="1" ht="17.45" hidden="1" customHeight="1">
      <c r="B183" s="8"/>
      <c r="C183" s="2054"/>
      <c r="D183" s="2049"/>
      <c r="E183" s="2048" t="s">
        <v>59</v>
      </c>
      <c r="F183" s="2049"/>
      <c r="G183" s="2049"/>
      <c r="H183" s="2049"/>
      <c r="I183" s="2039"/>
      <c r="J183" s="2034"/>
      <c r="K183" s="2051">
        <v>0</v>
      </c>
      <c r="L183" s="2046">
        <f>IF(AND(K183&lt;&gt;0,AND(D183&lt;&gt;"&lt;select one&gt;",D183&lt;&gt;"")),K183,0)</f>
        <v>0</v>
      </c>
      <c r="M183" s="2044" t="str">
        <f>CHOOSE(K183+1,"Not to be included in this RFA","A REQUIRED input field for this RFA","An OPTIONAL input field for this RFA")</f>
        <v>Not to be included in this RFA</v>
      </c>
    </row>
    <row r="184" spans="1:16" s="2040" customFormat="1" ht="10.35" hidden="1" customHeight="1">
      <c r="E184" s="2036"/>
      <c r="F184" s="2036"/>
      <c r="G184" s="2036"/>
      <c r="H184" s="2036"/>
      <c r="I184" s="2039"/>
      <c r="J184" s="2034"/>
      <c r="K184" s="2037"/>
      <c r="L184" s="2037"/>
      <c r="M184" s="8"/>
    </row>
    <row r="185" spans="1:16" ht="17.45" hidden="1" customHeight="1">
      <c r="A185" s="10"/>
      <c r="B185" s="2055" t="str">
        <f>IF(K183=0,"(4)","(5)")</f>
        <v>(4)</v>
      </c>
      <c r="C185" s="6" t="s">
        <v>990</v>
      </c>
      <c r="E185" s="905"/>
      <c r="F185" s="905"/>
      <c r="G185" s="905"/>
      <c r="H185" s="905"/>
      <c r="I185" s="933"/>
      <c r="J185" s="922"/>
      <c r="K185" s="931"/>
      <c r="L185" s="931"/>
      <c r="M185" s="313">
        <v>0</v>
      </c>
    </row>
    <row r="186" spans="1:16" ht="17.45" hidden="1" customHeight="1">
      <c r="C186" s="77" t="s">
        <v>957</v>
      </c>
      <c r="D186" s="6" t="s">
        <v>991</v>
      </c>
      <c r="E186" s="905"/>
      <c r="F186" s="905"/>
      <c r="G186" s="905"/>
      <c r="H186" s="905"/>
      <c r="I186" s="933"/>
      <c r="J186" s="922"/>
      <c r="K186" s="931"/>
      <c r="L186" s="931"/>
      <c r="M186" s="50"/>
    </row>
    <row r="187" spans="1:16" ht="35.1" hidden="1" customHeight="1">
      <c r="D187" s="2943" t="s">
        <v>992</v>
      </c>
      <c r="E187" s="2943"/>
      <c r="F187" s="2943"/>
      <c r="G187" s="2943"/>
      <c r="H187" s="2943"/>
      <c r="I187" s="933"/>
      <c r="J187" s="922"/>
      <c r="K187" s="931"/>
      <c r="L187" s="931"/>
      <c r="M187" s="50"/>
    </row>
    <row r="188" spans="1:16" ht="10.35" hidden="1" customHeight="1">
      <c r="E188" s="905"/>
      <c r="F188" s="905"/>
      <c r="G188" s="905"/>
      <c r="H188" s="905"/>
      <c r="I188" s="933"/>
      <c r="J188" s="922"/>
      <c r="K188" s="931"/>
      <c r="L188" s="931"/>
      <c r="M188" s="50"/>
    </row>
    <row r="189" spans="1:16" ht="17.45" hidden="1" customHeight="1">
      <c r="C189" s="77" t="s">
        <v>959</v>
      </c>
      <c r="D189" s="6" t="s">
        <v>993</v>
      </c>
      <c r="E189" s="905"/>
      <c r="F189" s="905"/>
      <c r="G189" s="905"/>
      <c r="H189" s="905"/>
      <c r="I189" s="933"/>
      <c r="J189" s="922"/>
      <c r="K189" s="931"/>
      <c r="L189" s="931"/>
      <c r="M189" s="50"/>
    </row>
    <row r="190" spans="1:16" ht="35.1" hidden="1" customHeight="1">
      <c r="D190" s="2943" t="s">
        <v>994</v>
      </c>
      <c r="E190" s="2943"/>
      <c r="F190" s="2943"/>
      <c r="G190" s="2943"/>
      <c r="H190" s="2943"/>
      <c r="I190" s="933"/>
      <c r="J190" s="922"/>
      <c r="K190" s="931"/>
      <c r="L190" s="931"/>
      <c r="M190" s="50"/>
    </row>
    <row r="191" spans="1:16" ht="35.1" hidden="1" customHeight="1">
      <c r="D191" s="918" t="s">
        <v>981</v>
      </c>
      <c r="E191" s="2943" t="s">
        <v>1840</v>
      </c>
      <c r="F191" s="2943"/>
      <c r="G191" s="2943"/>
      <c r="H191" s="2943"/>
      <c r="I191" s="933"/>
      <c r="J191" s="922"/>
      <c r="K191" s="931"/>
      <c r="L191" s="931"/>
      <c r="M191" s="50"/>
    </row>
    <row r="192" spans="1:16" ht="17.45" hidden="1" customHeight="1">
      <c r="C192" s="2942" t="s">
        <v>982</v>
      </c>
      <c r="D192" s="2942"/>
      <c r="E192" s="2942"/>
      <c r="F192" s="2951"/>
      <c r="G192" s="2951"/>
      <c r="H192" s="2951"/>
      <c r="I192" s="933"/>
      <c r="J192" s="8"/>
      <c r="K192" s="929">
        <f>IF(M$185=0,0,N192)</f>
        <v>0</v>
      </c>
      <c r="L192" s="931">
        <f>IF(AND(K192&lt;&gt;0,F192&lt;&gt;""),K192,0)</f>
        <v>0</v>
      </c>
      <c r="M192" s="905" t="str">
        <f t="shared" ref="M192:M196" si="8">CHOOSE(K192+1,"Not to be included in this RFA","A REQUIRED input field for this RFA","An OPTIONAL input field for this RFA")</f>
        <v>Not to be included in this RFA</v>
      </c>
      <c r="N192" s="953">
        <v>1</v>
      </c>
    </row>
    <row r="193" spans="3:23" ht="35.1" hidden="1" customHeight="1">
      <c r="C193" s="2952" t="s">
        <v>983</v>
      </c>
      <c r="D193" s="2952"/>
      <c r="E193" s="2952"/>
      <c r="F193" s="2941"/>
      <c r="G193" s="2941"/>
      <c r="H193" s="2941"/>
      <c r="I193" s="933"/>
      <c r="J193" s="8"/>
      <c r="K193" s="929">
        <f>IF(M$185=0,0,N193)</f>
        <v>0</v>
      </c>
      <c r="L193" s="931">
        <f>IF(AND(K193&lt;&gt;0,F193&lt;&gt;""),K193,0)</f>
        <v>0</v>
      </c>
      <c r="M193" s="905" t="str">
        <f t="shared" si="8"/>
        <v>Not to be included in this RFA</v>
      </c>
      <c r="N193" s="248">
        <v>1</v>
      </c>
      <c r="P193" s="2346"/>
      <c r="Q193" s="2346"/>
      <c r="R193" s="2346"/>
      <c r="S193" s="2346"/>
      <c r="T193" s="2346"/>
      <c r="U193" s="2346"/>
      <c r="V193" s="2346"/>
      <c r="W193" s="2346"/>
    </row>
    <row r="194" spans="3:23" ht="35.1" hidden="1" customHeight="1">
      <c r="C194" s="2942" t="str">
        <f>C127</f>
        <v>Affordable Housing Program(s) that Provided Financing</v>
      </c>
      <c r="D194" s="2942"/>
      <c r="E194" s="2942"/>
      <c r="F194" s="843" t="s">
        <v>59</v>
      </c>
      <c r="G194" s="2939" t="s">
        <v>987</v>
      </c>
      <c r="H194" s="2939"/>
      <c r="I194" s="933"/>
      <c r="J194" s="8"/>
      <c r="K194" s="929">
        <f>IF(M$185=0,0,IF(AND(F194="&lt;select one&gt;",F195&lt;&gt;""),2,N194))</f>
        <v>0</v>
      </c>
      <c r="L194" s="931">
        <f>IF(AND(K194&lt;&gt;0,F194&lt;&gt;"&lt;select one&gt;",F194&lt;&gt;""),K194,0)</f>
        <v>0</v>
      </c>
      <c r="M194" s="905" t="str">
        <f t="shared" si="8"/>
        <v>Not to be included in this RFA</v>
      </c>
      <c r="N194" s="248">
        <v>1</v>
      </c>
      <c r="P194" s="2346"/>
      <c r="Q194" s="2346"/>
      <c r="R194" s="2346"/>
      <c r="S194" s="2346"/>
      <c r="T194" s="2346"/>
      <c r="U194" s="2346"/>
      <c r="V194" s="2346"/>
      <c r="W194" s="2346"/>
    </row>
    <row r="195" spans="3:23" ht="35.1" hidden="1" customHeight="1">
      <c r="C195" s="2942" t="s">
        <v>2580</v>
      </c>
      <c r="D195" s="2942"/>
      <c r="E195" s="2942"/>
      <c r="F195" s="2950"/>
      <c r="G195" s="2950"/>
      <c r="H195" s="2950"/>
      <c r="I195" s="933"/>
      <c r="J195" s="8"/>
      <c r="K195" s="929">
        <f>IF(M$185=0,0,IF(AND(F194&lt;&gt;"&lt;select one&gt;",F194&lt;&gt;"Other",F195=""),2,IF(F194="Other",N194,N195)))</f>
        <v>0</v>
      </c>
      <c r="L195" s="931">
        <f>IF(AND(K195&lt;&gt;0,F195&lt;&gt;""),K195,0)</f>
        <v>0</v>
      </c>
      <c r="M195" s="905" t="str">
        <f t="shared" si="8"/>
        <v>Not to be included in this RFA</v>
      </c>
      <c r="N195" s="248">
        <v>2</v>
      </c>
      <c r="P195" s="2346"/>
      <c r="Q195" s="2346"/>
      <c r="R195" s="2346"/>
      <c r="S195" s="2346"/>
      <c r="T195" s="2346"/>
      <c r="U195" s="2346"/>
      <c r="V195" s="2346"/>
      <c r="W195" s="2346"/>
    </row>
    <row r="196" spans="3:23" ht="39.950000000000003" hidden="1" customHeight="1">
      <c r="C196" s="2942" t="s">
        <v>985</v>
      </c>
      <c r="D196" s="2942"/>
      <c r="E196" s="2942"/>
      <c r="F196" s="919"/>
      <c r="G196" s="2939" t="str">
        <f>IF(OR(M185=0,K196=0,F196=""),"",IF(N(Total_Units)=0,"Please enter Total Units at Section 4.A.6.(a). ","The indicated units "&amp;IF(DS_GCExp_MinUnits_Percent_ActualUnits&gt;N(F196),"do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"&amp;IF(IF(AND(K196&gt;0,N(F196)&gt;=DS_GCExp_MinUnits_Percent_ActualUnits),1,0)+IF(AND(K206&gt;0,N(F206)&gt;=DS_GCExp_MinUnits_Percent_ActualUnits),1,0)&lt;DS_GCExp_MinDevs_List,"NOT ","")&amp;"met.","")))</f>
        <v/>
      </c>
      <c r="H196" s="2939"/>
      <c r="I196" s="933"/>
      <c r="J196" s="8"/>
      <c r="K196" s="929">
        <f>IF(M$185=0,0,N196)</f>
        <v>0</v>
      </c>
      <c r="L196" s="931">
        <f>IF(AND(K196&lt;&gt;0,F196&lt;&gt;""),K196,0)</f>
        <v>0</v>
      </c>
      <c r="M196" s="905" t="str">
        <f t="shared" si="8"/>
        <v>Not to be included in this RFA</v>
      </c>
      <c r="N196" s="248">
        <v>1</v>
      </c>
    </row>
    <row r="197" spans="3:23" ht="50.1" hidden="1" customHeight="1">
      <c r="D197" s="2943" t="s">
        <v>995</v>
      </c>
      <c r="E197" s="2943"/>
      <c r="F197" s="2943"/>
      <c r="G197" s="2943"/>
      <c r="H197" s="2943"/>
      <c r="I197" s="933"/>
      <c r="J197" s="922"/>
      <c r="K197" s="931"/>
      <c r="L197" s="931"/>
      <c r="M197" s="50"/>
      <c r="N197" s="861"/>
    </row>
    <row r="198" spans="3:23" ht="39.950000000000003" hidden="1" customHeight="1">
      <c r="E198" s="707" t="s">
        <v>59</v>
      </c>
      <c r="F198" s="2964" t="str">
        <f>IF(OR(K198=0,DS_GCExp_MinDevs_DB=0,GCExp_Davis_Bacon_1="&lt;select one&gt;"),"","The Applicant indicated the GC "&amp;IF(GCExp_Davis_Bacon_1="Yes","meets","does NOT meet")&amp;" the Davis-Bacon experience requirement for this completed development and the Applicant indicates the GC "&amp;IF(IF(AND(K198&gt;0,GCExp_Davis_Bacon_1="Yes"),1,0)+IF(AND(K208&gt;0,GCExp_Davis_Bacon_2="Yes"),1,0)&lt;DS_GCExp_MinDevs_DB,"does NOT meet","meets")&amp;" the requirement of at least "&amp;TEXT(DS_GCExp_MinDevs_DB,"0")&amp;" completed development"&amp;IF(DS_GCExp_MinDevs_DB&gt;1,"s","")&amp;" with Davis-Bacon experience.")</f>
        <v/>
      </c>
      <c r="G198" s="2964"/>
      <c r="H198" s="2964"/>
      <c r="I198" s="933"/>
      <c r="J198" s="922"/>
      <c r="K198" s="929">
        <f>IF(M$185=0,0,N198)</f>
        <v>0</v>
      </c>
      <c r="L198" s="931">
        <f>IF(AND(K198&lt;&gt;0,F198&lt;&gt;""),K198,0)</f>
        <v>0</v>
      </c>
      <c r="M198" s="905" t="str">
        <f t="shared" ref="M198" si="9">CHOOSE(K198+1,"Not to be included in this RFA","A REQUIRED input field for this RFA","An OPTIONAL input field for this RFA")</f>
        <v>Not to be included in this RFA</v>
      </c>
      <c r="N198" s="953">
        <v>1</v>
      </c>
    </row>
    <row r="199" spans="3:23" ht="14.45" hidden="1" customHeight="1">
      <c r="C199" s="2972" t="str">
        <f>IF(OR(AND(IF(K192=1,GCExp_Name_of_Development_1&lt;&gt;"",TRUE),IF(K193=1,GCExp_Location_of_Development_1&lt;&gt;"",TRUE),IF(K194=1,GCExp_Selected_Program_1&lt;&gt;"&lt;select one&gt;",TRUE),IF(K195=1,GCExp_Other_Program_1&lt;&gt;"",TRUE),IF(K196=1,GCExp_Development_Total_Units_1&lt;&gt;"",TRUE),IF(K198=1,GCExp_Davis_Bacon_1&lt;&gt;"&lt;select one&gt;",TRUE)),AND(IF(K192=1,GCExp_Name_of_Development_1="",TRUE),IF(K193=1,GCExp_Location_of_Development_1="",TRUE),IF(K194=1,GCExp_Selected_Program_1="&lt;select one&gt;",TRUE),IF(K195=1,GCExp_Other_Program_1="",TRUE),IF(K196=1,GCExp_Development_Total_Units_1="",TRUE),IF(K198=1,GCExp_Davis_Bacon_1="&lt;select one&gt;",TRUE))),"",IF(IF(AND(K192=1,GCExp_Name_of_Development_1=""),1,0)+IF(AND(K193=1,GCExp_Location_of_Development_1=""),1,0)+IF(AND(K194=1,GCExp_Selected_Program_1="&lt;select one&gt;"),1,0)+IF(AND(K195=1,GCExp_Other_Program_1=""),1,0)+IF(AND(K196=1,GCExp_Development_Total_Units_1=""),1,0)+IF(AND(K198=1,GCExp_Davis_Bacon_1="&lt;select one&gt;"),1,0)&gt;1,"Required fields for the above development are","A required field for the above development is")&amp;" missing.")</f>
        <v/>
      </c>
      <c r="D199" s="2972"/>
      <c r="E199" s="2972"/>
      <c r="F199" s="2972"/>
      <c r="G199" s="2972"/>
      <c r="H199" s="2972"/>
      <c r="I199" s="933"/>
      <c r="J199" s="922"/>
      <c r="K199" s="933"/>
      <c r="L199" s="933"/>
      <c r="M199" s="933"/>
      <c r="N199" s="933"/>
    </row>
    <row r="200" spans="3:23" ht="10.35" hidden="1" customHeight="1">
      <c r="E200" s="905"/>
      <c r="F200" s="905"/>
      <c r="G200" s="905"/>
      <c r="H200" s="905"/>
      <c r="I200" s="933"/>
      <c r="J200" s="922"/>
      <c r="K200" s="931"/>
      <c r="L200" s="931"/>
      <c r="M200" s="8"/>
    </row>
    <row r="201" spans="3:23" ht="35.1" hidden="1" customHeight="1">
      <c r="D201" s="918" t="s">
        <v>986</v>
      </c>
      <c r="E201" s="2943" t="s">
        <v>1841</v>
      </c>
      <c r="F201" s="2943"/>
      <c r="G201" s="2943"/>
      <c r="H201" s="2943"/>
      <c r="I201" s="933"/>
      <c r="J201" s="922"/>
      <c r="K201" s="931"/>
      <c r="L201" s="931"/>
      <c r="M201" s="887">
        <f>IF(DS_GCExp_MinDevs_List=1,0,1)</f>
        <v>1</v>
      </c>
    </row>
    <row r="202" spans="3:23" ht="17.45" hidden="1" customHeight="1">
      <c r="C202" s="2942" t="s">
        <v>982</v>
      </c>
      <c r="D202" s="2942"/>
      <c r="E202" s="2942"/>
      <c r="F202" s="2951"/>
      <c r="G202" s="2951"/>
      <c r="H202" s="2951"/>
      <c r="I202" s="933"/>
      <c r="J202" s="922"/>
      <c r="K202" s="929">
        <f>IF(OR(M$185=0,M$201=0),0,N202)</f>
        <v>0</v>
      </c>
      <c r="L202" s="931">
        <f>IF(AND(K202&lt;&gt;0,F202&lt;&gt;""),K202,0)</f>
        <v>0</v>
      </c>
      <c r="M202" s="905" t="str">
        <f t="shared" ref="M202:M206" si="10">CHOOSE(K202+1,"Not to be included in this RFA","A REQUIRED input field for this RFA","An OPTIONAL input field for this RFA")</f>
        <v>Not to be included in this RFA</v>
      </c>
      <c r="N202" s="953">
        <v>1</v>
      </c>
    </row>
    <row r="203" spans="3:23" ht="35.1" hidden="1" customHeight="1">
      <c r="C203" s="2952" t="s">
        <v>983</v>
      </c>
      <c r="D203" s="2952"/>
      <c r="E203" s="2952"/>
      <c r="F203" s="2941"/>
      <c r="G203" s="2941"/>
      <c r="H203" s="2941"/>
      <c r="I203" s="933"/>
      <c r="J203" s="922"/>
      <c r="K203" s="929">
        <f>IF(OR(M$185=0,M$201=0),0,N203)</f>
        <v>0</v>
      </c>
      <c r="L203" s="931">
        <f>IF(AND(K203&lt;&gt;0,F203&lt;&gt;""),K203,0)</f>
        <v>0</v>
      </c>
      <c r="M203" s="905" t="str">
        <f t="shared" si="10"/>
        <v>Not to be included in this RFA</v>
      </c>
      <c r="N203" s="248">
        <v>1</v>
      </c>
    </row>
    <row r="204" spans="3:23" ht="35.1" hidden="1" customHeight="1">
      <c r="C204" s="2942" t="str">
        <f>C127</f>
        <v>Affordable Housing Program(s) that Provided Financing</v>
      </c>
      <c r="D204" s="2942"/>
      <c r="E204" s="2942"/>
      <c r="F204" s="843" t="s">
        <v>59</v>
      </c>
      <c r="G204" s="2939" t="s">
        <v>987</v>
      </c>
      <c r="H204" s="2939"/>
      <c r="I204" s="933"/>
      <c r="J204" s="922"/>
      <c r="K204" s="929">
        <f>IF(OR(M$185=0,M$201=0),0,IF(AND(F204="&lt;select one&gt;",F205&lt;&gt;""),2,N204))</f>
        <v>0</v>
      </c>
      <c r="L204" s="931">
        <f>IF(AND(K204&lt;&gt;0,F204&lt;&gt;"&lt;select one&gt;",F204&lt;&gt;""),K204,0)</f>
        <v>0</v>
      </c>
      <c r="M204" s="905" t="str">
        <f t="shared" si="10"/>
        <v>Not to be included in this RFA</v>
      </c>
      <c r="N204" s="248">
        <v>1</v>
      </c>
    </row>
    <row r="205" spans="3:23" ht="35.1" hidden="1" customHeight="1">
      <c r="C205" s="2942" t="s">
        <v>2580</v>
      </c>
      <c r="D205" s="2942"/>
      <c r="E205" s="2942"/>
      <c r="F205" s="2950"/>
      <c r="G205" s="2950"/>
      <c r="H205" s="2950"/>
      <c r="I205" s="933"/>
      <c r="J205" s="922"/>
      <c r="K205" s="929">
        <f>IF(OR(M$185=0,M$201=0),0,IF(AND(F204&lt;&gt;"&lt;select one&gt;",F204&lt;&gt;"Other",F205=""),2,IF(F204="Other",N204,N205)))</f>
        <v>0</v>
      </c>
      <c r="L205" s="931">
        <f>IF(AND(K205&lt;&gt;0,F205&lt;&gt;""),K205,0)</f>
        <v>0</v>
      </c>
      <c r="M205" s="905" t="str">
        <f t="shared" si="10"/>
        <v>Not to be included in this RFA</v>
      </c>
      <c r="N205" s="248">
        <v>2</v>
      </c>
    </row>
    <row r="206" spans="3:23" ht="39.950000000000003" hidden="1" customHeight="1">
      <c r="C206" s="2942" t="s">
        <v>985</v>
      </c>
      <c r="D206" s="2942"/>
      <c r="E206" s="2942"/>
      <c r="F206" s="919"/>
      <c r="G206" s="2971" t="str">
        <f>IF(OR(M185=0,K206=0,F206=""),"",IF(N(Total_Units)=0,"Please enter Total Units at Section 4.A.6.(a). ","The indicated units "&amp;IF(DS_GCExp_MinUnits_Percent_ActualUnits&gt;N(F206),"do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"&amp;IF(IF(AND(K196&gt;0,N(F196)&gt;=DS_GCExp_MinUnits_Percent_ActualUnits),1,0)+IF(AND(K206&gt;0,N(F206)&gt;=DS_GCExp_MinUnits_Percent_ActualUnits),1,0)&lt;DS_GCExp_MinDevs_List,"NOT ","")&amp;"met.","")))</f>
        <v/>
      </c>
      <c r="H206" s="2939"/>
      <c r="I206" s="933"/>
      <c r="J206" s="922"/>
      <c r="K206" s="929">
        <f>IF(OR(M$185=0,M$201=0),0,N206)</f>
        <v>0</v>
      </c>
      <c r="L206" s="931">
        <f>IF(AND(K206&lt;&gt;0,F206&lt;&gt;""),K206,0)</f>
        <v>0</v>
      </c>
      <c r="M206" s="905" t="str">
        <f t="shared" si="10"/>
        <v>Not to be included in this RFA</v>
      </c>
      <c r="N206" s="248">
        <v>1</v>
      </c>
    </row>
    <row r="207" spans="3:23" ht="50.1" hidden="1" customHeight="1">
      <c r="D207" s="2943" t="s">
        <v>995</v>
      </c>
      <c r="E207" s="2943"/>
      <c r="F207" s="2943"/>
      <c r="G207" s="2943"/>
      <c r="H207" s="2943"/>
      <c r="I207" s="933"/>
      <c r="J207" s="922"/>
      <c r="K207" s="931"/>
      <c r="L207" s="931"/>
      <c r="M207" s="8"/>
      <c r="N207" s="861"/>
    </row>
    <row r="208" spans="3:23" ht="39.950000000000003" hidden="1" customHeight="1">
      <c r="D208" s="902"/>
      <c r="E208" s="707" t="s">
        <v>59</v>
      </c>
      <c r="F208" s="2964" t="str">
        <f>IF(OR(K208=0,DS_GCExp_MinDevs_DB=0,GCExp_Davis_Bacon_2="&lt;select one&gt;"),"","The Applicant indicated the GC "&amp;IF(GCExp_Davis_Bacon_2="Yes","meets","does NOT meet")&amp;" the Davis-Bacon experience requirement for this completed development and the Applicant indicates the GC "&amp;IF(IF(AND(K198&gt;0,GCExp_Davis_Bacon_1="Yes"),1,0)+IF(AND(K208&gt;0,GCExp_Davis_Bacon_2="Yes"),1,0)&lt;DS_GCExp_MinDevs_DB,"does NOT meet","meets")&amp;" the requirement of at least "&amp;TEXT(DS_GCExp_MinDevs_DB,"0")&amp;" completed development"&amp;IF(DS_GCExp_MinDevs_DB&gt;1,"s","")&amp;" with Davis-Bacon experience.")</f>
        <v/>
      </c>
      <c r="G208" s="2964"/>
      <c r="H208" s="2964"/>
      <c r="I208" s="933"/>
      <c r="J208" s="922"/>
      <c r="K208" s="929">
        <f>IF(OR(M$185=0,M$201=0),0,N208)</f>
        <v>0</v>
      </c>
      <c r="L208" s="931">
        <f>IF(AND(K208&lt;&gt;0,F208&lt;&gt;""),K208,0)</f>
        <v>0</v>
      </c>
      <c r="M208" s="905" t="str">
        <f t="shared" ref="M208" si="11">CHOOSE(K208+1,"Not to be included in this RFA","A REQUIRED input field for this RFA","An OPTIONAL input field for this RFA")</f>
        <v>Not to be included in this RFA</v>
      </c>
      <c r="N208" s="953">
        <v>1</v>
      </c>
      <c r="Q208" s="317"/>
    </row>
    <row r="209" spans="1:14" ht="14.45" hidden="1" customHeight="1">
      <c r="C209" s="2714" t="str">
        <f>IF(OR(AND(IF(K202=1,GCExp_Name_of_Development_2&lt;&gt;"",TRUE),IF(K203=1,GCExp_Location_of_Development_2&lt;&gt;"",TRUE),IF(K204=1,GCExp_Selected_Program_2&lt;&gt;"&lt;select one&gt;",TRUE),IF(K205=1,GCExp_Other_Program_2&lt;&gt;"",TRUE),IF(K206=1,GCExp_Development_Total_Units_2&lt;&gt;"",TRUE),IF(K208=1,GCExp_Davis_Bacon_2&lt;&gt;"&lt;select one&gt;",TRUE)),AND(IF(K202=1,GCExp_Name_of_Development_2="",TRUE),IF(K203=1,GCExp_Location_of_Development_2="",TRUE),IF(K204=1,GCExp_Selected_Program_2="&lt;select one&gt;",TRUE),IF(K205=1,GCExp_Other_Program_2="",TRUE),IF(K206=1,GCExp_Development_Total_Units_2="",TRUE),IF(K208=1,GCExp_Davis_Bacon_2="&lt;select one&gt;",TRUE))),"",IF(IF(AND(K202=1,GCExp_Name_of_Development_2=""),1,0)+IF(AND(K203=1,GCExp_Location_of_Development_2=""),1,0)+IF(AND(K204=1,GCExp_Selected_Program_2="&lt;select one&gt;"),1,0)+IF(AND(K205=1,GCExp_Other_Program_2=""),1,0)+IF(AND(K206=1,GCExp_Development_Total_Units_2=""),1,0)+IF(AND(K208=1,GCExp_Davis_Bacon_2="&lt;select one&gt;"),1,0)&gt;1,"Required fields for the above development are","A required field for the above development is")&amp;" missing.")</f>
        <v/>
      </c>
      <c r="D209" s="2973"/>
      <c r="E209" s="2973"/>
      <c r="F209" s="2973"/>
      <c r="G209" s="2973"/>
      <c r="H209" s="2973"/>
      <c r="I209" s="933"/>
      <c r="J209" s="922"/>
      <c r="K209" s="933"/>
      <c r="L209" s="933"/>
      <c r="M209" s="933"/>
      <c r="N209" s="933"/>
    </row>
    <row r="210" spans="1:14" ht="10.35" hidden="1" customHeight="1">
      <c r="E210" s="905"/>
      <c r="F210" s="954"/>
      <c r="G210" s="954"/>
      <c r="H210" s="954"/>
      <c r="I210" s="933"/>
      <c r="J210" s="922"/>
      <c r="K210" s="931"/>
      <c r="L210" s="931"/>
      <c r="M210" s="8"/>
    </row>
    <row r="211" spans="1:14" ht="14.45" customHeight="1">
      <c r="A211" s="340" t="str" cm="1">
        <f t="array" ref="A211">CHAR(CODE(LOOKUP(2,1/(COUNTIF(A$64:A180,"&gt;"&amp;A$64:A180&amp;"*")=0),A$64:A180))+1)</f>
        <v>c</v>
      </c>
      <c r="B211" s="2975" t="s">
        <v>996</v>
      </c>
      <c r="C211" s="2975"/>
      <c r="D211" s="2975"/>
      <c r="E211" s="2975"/>
      <c r="F211" s="2975"/>
      <c r="G211" s="2975"/>
      <c r="H211" s="2975"/>
      <c r="I211" s="933"/>
      <c r="J211" s="922"/>
      <c r="K211" s="931"/>
      <c r="L211" s="931"/>
      <c r="M211" s="8"/>
    </row>
    <row r="212" spans="1:14" ht="17.45" customHeight="1">
      <c r="A212" s="50"/>
      <c r="B212" s="77" t="str">
        <f>"(1)"</f>
        <v>(1)</v>
      </c>
      <c r="C212" s="2969" t="s">
        <v>997</v>
      </c>
      <c r="D212" s="2969"/>
      <c r="E212" s="2969"/>
      <c r="F212" s="2969"/>
      <c r="G212" s="2969"/>
      <c r="H212" s="2969"/>
      <c r="I212" s="933"/>
      <c r="J212" s="922"/>
      <c r="K212" s="931"/>
      <c r="L212" s="931"/>
    </row>
    <row r="213" spans="1:14" ht="50.1" customHeight="1">
      <c r="A213" s="50"/>
      <c r="B213" s="50"/>
      <c r="C213" s="50"/>
      <c r="D213" s="2943" t="s">
        <v>998</v>
      </c>
      <c r="E213" s="2943"/>
      <c r="F213" s="2943"/>
      <c r="G213" s="2943"/>
      <c r="H213" s="2943"/>
      <c r="I213" s="933"/>
      <c r="J213" s="922"/>
      <c r="K213" s="931"/>
      <c r="L213" s="931"/>
    </row>
    <row r="214" spans="1:14" ht="10.35" customHeight="1">
      <c r="A214" s="50"/>
      <c r="B214" s="50"/>
      <c r="C214" s="50"/>
      <c r="D214" s="50"/>
      <c r="E214" s="41"/>
      <c r="F214" s="41"/>
      <c r="G214" s="41"/>
      <c r="H214" s="41"/>
      <c r="I214" s="933"/>
      <c r="J214" s="922"/>
      <c r="K214" s="931"/>
      <c r="L214" s="931"/>
      <c r="M214" s="50"/>
    </row>
    <row r="215" spans="1:14" ht="17.45" customHeight="1">
      <c r="A215" s="50"/>
      <c r="B215" s="78" t="str">
        <f>"(2)"</f>
        <v>(2)</v>
      </c>
      <c r="C215" s="2969" t="s">
        <v>999</v>
      </c>
      <c r="D215" s="2969"/>
      <c r="E215" s="2969"/>
      <c r="F215" s="2969"/>
      <c r="G215" s="2969"/>
      <c r="H215" s="2969"/>
      <c r="I215" s="933"/>
      <c r="J215" s="922"/>
      <c r="K215" s="931"/>
      <c r="L215" s="931"/>
    </row>
    <row r="216" spans="1:14" ht="50.1" customHeight="1">
      <c r="A216" s="8"/>
      <c r="B216" s="8"/>
      <c r="C216" s="8"/>
      <c r="D216" s="2943" t="s">
        <v>2843</v>
      </c>
      <c r="E216" s="2943"/>
      <c r="F216" s="2943"/>
      <c r="G216" s="2943"/>
      <c r="H216" s="2943"/>
      <c r="I216" s="933"/>
      <c r="J216" s="922"/>
      <c r="K216" s="931"/>
      <c r="L216" s="931"/>
    </row>
    <row r="217" spans="1:14" ht="10.35" customHeight="1">
      <c r="A217" s="8"/>
      <c r="B217" s="8"/>
      <c r="C217" s="8"/>
      <c r="D217" s="8"/>
      <c r="E217" s="902"/>
      <c r="F217" s="902"/>
      <c r="G217" s="902"/>
      <c r="H217" s="902"/>
      <c r="I217" s="933"/>
      <c r="J217" s="922"/>
      <c r="K217" s="931"/>
      <c r="L217" s="931"/>
      <c r="M217" s="8"/>
    </row>
    <row r="218" spans="1:14" s="2040" customFormat="1" ht="17.45" hidden="1" customHeight="1">
      <c r="A218" s="8"/>
      <c r="B218" s="2131" t="str">
        <f>"(3)"</f>
        <v>(3)</v>
      </c>
      <c r="C218" s="2040" t="s">
        <v>2501</v>
      </c>
      <c r="D218" s="8"/>
      <c r="E218" s="2035"/>
      <c r="F218" s="2035"/>
      <c r="G218" s="2035"/>
      <c r="H218" s="2035"/>
      <c r="I218" s="2039"/>
      <c r="J218" s="2034"/>
      <c r="K218" s="2037"/>
      <c r="L218" s="2037"/>
      <c r="M218" s="768">
        <v>0</v>
      </c>
    </row>
    <row r="219" spans="1:14" s="2040" customFormat="1" ht="17.45" hidden="1" customHeight="1">
      <c r="A219" s="8"/>
      <c r="B219" s="8"/>
      <c r="C219" s="8"/>
      <c r="D219" s="2040" t="s">
        <v>2502</v>
      </c>
      <c r="E219" s="2035"/>
      <c r="F219" s="2035"/>
      <c r="G219" s="2035"/>
      <c r="H219" s="2035"/>
      <c r="I219" s="2039"/>
      <c r="J219" s="2034"/>
      <c r="K219" s="2037"/>
      <c r="L219" s="2037"/>
      <c r="M219" s="8"/>
      <c r="N219" s="1696"/>
    </row>
    <row r="220" spans="1:14" s="2040" customFormat="1" ht="17.45" hidden="1" customHeight="1">
      <c r="A220" s="8"/>
      <c r="B220" s="8"/>
      <c r="C220" s="8"/>
      <c r="D220" s="2970" t="s">
        <v>59</v>
      </c>
      <c r="E220" s="2970"/>
      <c r="F220" s="2035"/>
      <c r="G220" s="2035"/>
      <c r="H220" s="2035"/>
      <c r="I220" s="2039"/>
      <c r="J220" s="2034"/>
      <c r="K220" s="2038">
        <f>IF(M$218=0,0,N220)</f>
        <v>0</v>
      </c>
      <c r="L220" s="2037">
        <f>IF(AND(K220&lt;&gt;0,AND(D220&lt;&gt;"&lt;select one&gt;",D220&lt;&gt;"")),K220,0)</f>
        <v>0</v>
      </c>
      <c r="M220" s="2036" t="str">
        <f>CHOOSE(K220+1,"Not to be included in this RFA","A REQUIRED input field for this RFA","An OPTIONAL input field for this RFA")</f>
        <v>Not to be included in this RFA</v>
      </c>
      <c r="N220" s="2041">
        <v>1</v>
      </c>
    </row>
    <row r="221" spans="1:14" s="2040" customFormat="1" ht="10.35" hidden="1" customHeight="1">
      <c r="A221" s="8"/>
      <c r="B221" s="8"/>
      <c r="C221" s="8"/>
      <c r="D221" s="8"/>
      <c r="E221" s="2035"/>
      <c r="F221" s="2035"/>
      <c r="G221" s="2035"/>
      <c r="H221" s="2035"/>
      <c r="I221" s="2039"/>
      <c r="J221" s="2034"/>
      <c r="K221" s="2037"/>
      <c r="L221" s="2037"/>
      <c r="M221" s="8"/>
    </row>
    <row r="222" spans="1:14" ht="17.45" customHeight="1">
      <c r="A222" s="8"/>
      <c r="B222" s="78" t="str">
        <f>"(3)"</f>
        <v>(3)</v>
      </c>
      <c r="C222" s="2969" t="s">
        <v>1000</v>
      </c>
      <c r="D222" s="2969"/>
      <c r="E222" s="2969"/>
      <c r="F222" s="2969"/>
      <c r="G222" s="2969"/>
      <c r="H222" s="2969"/>
      <c r="I222" s="933"/>
      <c r="J222" s="922"/>
      <c r="K222" s="931"/>
      <c r="L222" s="931"/>
    </row>
    <row r="223" spans="1:14" ht="32.1" customHeight="1">
      <c r="A223" s="8"/>
      <c r="B223" s="8"/>
      <c r="C223" s="8"/>
      <c r="D223" s="2943" t="s">
        <v>2098</v>
      </c>
      <c r="E223" s="2943"/>
      <c r="F223" s="2943"/>
      <c r="G223" s="2943"/>
      <c r="H223" s="2943"/>
      <c r="I223" s="933"/>
      <c r="J223" s="922"/>
      <c r="K223" s="931"/>
      <c r="L223" s="931"/>
      <c r="M223" s="8"/>
    </row>
    <row r="224" spans="1:14" ht="17.45" customHeight="1">
      <c r="A224" s="8"/>
      <c r="B224" s="8"/>
      <c r="C224" s="8"/>
      <c r="D224" s="2951" t="s">
        <v>59</v>
      </c>
      <c r="E224" s="2951"/>
      <c r="F224" s="2968" t="str">
        <f>IF(AND(K67&gt;0,Self_Sourced_Applicant="Yes",Priority_Level&lt;&gt;"Priority 1"),"All Self-Sourced Applicants must select Priority 1","")</f>
        <v/>
      </c>
      <c r="G224" s="2968"/>
      <c r="H224" s="2968"/>
      <c r="I224" s="933"/>
      <c r="J224" s="922"/>
      <c r="K224" s="953">
        <v>1</v>
      </c>
      <c r="L224" s="931">
        <f>IF(AND(K224&lt;&gt;0,AND(D224&lt;&gt;"&lt;select one&gt;",D224&lt;&gt;"")),K224,0)</f>
        <v>0</v>
      </c>
      <c r="M224" s="905" t="str">
        <f>CHOOSE(K224+1,"Not to be included in this RFA","A REQUIRED input field for this RFA","An OPTIONAL input field for this RFA")</f>
        <v>A REQUIRED input field for this RFA</v>
      </c>
    </row>
    <row r="225" spans="1:15" ht="10.35" customHeight="1">
      <c r="A225" s="8"/>
      <c r="B225" s="8"/>
      <c r="C225" s="8"/>
      <c r="D225" s="8"/>
      <c r="E225" s="83"/>
      <c r="F225" s="922"/>
      <c r="G225" s="922"/>
      <c r="H225" s="939"/>
      <c r="I225" s="933"/>
      <c r="J225" s="922"/>
      <c r="K225" s="931"/>
      <c r="L225" s="931"/>
      <c r="M225" s="8"/>
    </row>
    <row r="226" spans="1:15" ht="14.45" customHeight="1">
      <c r="A226" s="340" t="str" cm="1">
        <f t="array" ref="A226">IF(SUM($K$230:$K$239)=0,"",CHAR(CODE(LOOKUP(2,1/(COUNTIF(A$64:A225,"&gt;"&amp;A$64:A225&amp;"*")=0),A$64:A225))+1))</f>
        <v>d</v>
      </c>
      <c r="B226" s="2975" t="s">
        <v>1001</v>
      </c>
      <c r="C226" s="2975"/>
      <c r="D226" s="2975"/>
      <c r="E226" s="2975"/>
      <c r="F226" s="2975"/>
      <c r="G226" s="2975"/>
      <c r="H226" s="2975"/>
      <c r="I226" s="933"/>
      <c r="J226" s="922"/>
      <c r="K226" s="931"/>
      <c r="L226" s="931"/>
      <c r="M226" s="8"/>
    </row>
    <row r="227" spans="1:15" ht="17.45" customHeight="1">
      <c r="A227" s="939"/>
      <c r="B227" s="2149" t="str">
        <f>"(1)"</f>
        <v>(1)</v>
      </c>
      <c r="C227" s="2943" t="s">
        <v>1002</v>
      </c>
      <c r="D227" s="2943"/>
      <c r="E227" s="2943"/>
      <c r="F227" s="2943"/>
      <c r="G227" s="2943"/>
      <c r="H227" s="2943"/>
      <c r="I227" s="933"/>
      <c r="J227" s="922"/>
      <c r="K227" s="931"/>
      <c r="L227" s="931"/>
      <c r="M227" s="8"/>
    </row>
    <row r="228" spans="1:15" ht="17.45" customHeight="1">
      <c r="A228" s="939"/>
      <c r="B228" s="68"/>
      <c r="C228" s="2952" t="s">
        <v>1003</v>
      </c>
      <c r="D228" s="2952"/>
      <c r="E228" s="2952"/>
      <c r="F228" s="913"/>
      <c r="G228" s="914" t="s">
        <v>1004</v>
      </c>
      <c r="H228" s="913"/>
      <c r="I228" s="933"/>
      <c r="K228" s="953">
        <v>1</v>
      </c>
      <c r="L228" s="931">
        <f>IF(AND(K228&lt;&gt;0,F228&lt;&gt;""),K228,0)</f>
        <v>0</v>
      </c>
      <c r="M228" s="905" t="str">
        <f t="shared" ref="M228:M229" si="12">CHOOSE(K228+1,"Not to be included in this RFA","A REQUIRED input field for this RFA","An OPTIONAL input field for this RFA")</f>
        <v>A REQUIRED input field for this RFA</v>
      </c>
      <c r="O228" s="1481" t="s">
        <v>2165</v>
      </c>
    </row>
    <row r="229" spans="1:15" ht="17.45" customHeight="1">
      <c r="A229" s="939"/>
      <c r="B229" s="68"/>
      <c r="C229" s="2952" t="s">
        <v>1005</v>
      </c>
      <c r="D229" s="2952"/>
      <c r="E229" s="2952"/>
      <c r="F229" s="919"/>
      <c r="G229" s="72"/>
      <c r="H229" s="72"/>
      <c r="I229" s="933"/>
      <c r="J229" s="52"/>
      <c r="K229" s="953">
        <v>1</v>
      </c>
      <c r="L229" s="931">
        <f>IF(AND(K229&lt;&gt;0,F229&lt;&gt;""),K229,0)</f>
        <v>0</v>
      </c>
      <c r="M229" s="905" t="str">
        <f t="shared" si="12"/>
        <v>A REQUIRED input field for this RFA</v>
      </c>
      <c r="O229" s="1481"/>
    </row>
    <row r="230" spans="1:15" ht="30" customHeight="1">
      <c r="C230" s="2942" t="s">
        <v>1006</v>
      </c>
      <c r="D230" s="2942"/>
      <c r="E230" s="2942"/>
      <c r="F230" s="2963"/>
      <c r="G230" s="2963"/>
      <c r="H230" s="2963"/>
      <c r="I230" s="933"/>
      <c r="K230" s="953">
        <v>1</v>
      </c>
      <c r="L230" s="931">
        <f>IF(AND(K230&lt;&gt;0,F230&lt;&gt;""),K230,0)</f>
        <v>0</v>
      </c>
      <c r="M230" s="905" t="str">
        <f t="shared" ref="M230:M236" si="13">CHOOSE(K230+1,"Not to be included in this RFA","A REQUIRED input field for this RFA","An OPTIONAL input field for this RFA")</f>
        <v>A REQUIRED input field for this RFA</v>
      </c>
      <c r="N230" s="899">
        <f>IF(L230&lt;&gt;0,1,0)</f>
        <v>0</v>
      </c>
      <c r="O230" s="1481"/>
    </row>
    <row r="231" spans="1:15" ht="17.45" customHeight="1">
      <c r="C231" s="2942" t="s">
        <v>1007</v>
      </c>
      <c r="D231" s="2942"/>
      <c r="E231" s="2942"/>
      <c r="F231" s="2956"/>
      <c r="G231" s="2956"/>
      <c r="H231" s="2956"/>
      <c r="I231" s="933"/>
      <c r="K231" s="248">
        <v>1</v>
      </c>
      <c r="L231" s="931">
        <f>IF(AND(K231&lt;&gt;0,F231&lt;&gt;""),K231,0)</f>
        <v>0</v>
      </c>
      <c r="M231" s="905" t="str">
        <f t="shared" si="13"/>
        <v>A REQUIRED input field for this RFA</v>
      </c>
      <c r="N231" s="899">
        <f t="shared" ref="N231:N236" si="14">IF(L231&lt;&gt;0,1,0)</f>
        <v>0</v>
      </c>
      <c r="O231" s="1481"/>
    </row>
    <row r="232" spans="1:15" ht="17.45" customHeight="1">
      <c r="C232" s="2942" t="s">
        <v>1008</v>
      </c>
      <c r="D232" s="2942"/>
      <c r="E232" s="2942"/>
      <c r="F232" s="2956"/>
      <c r="G232" s="2956"/>
      <c r="H232" s="2956"/>
      <c r="I232" s="933"/>
      <c r="J232" s="15"/>
      <c r="K232" s="248">
        <v>1</v>
      </c>
      <c r="L232" s="931">
        <f>IF(AND(K232&lt;&gt;0,F232&lt;&gt;""),K232,0)</f>
        <v>0</v>
      </c>
      <c r="M232" s="905" t="str">
        <f t="shared" si="13"/>
        <v>A REQUIRED input field for this RFA</v>
      </c>
      <c r="N232" s="899">
        <f t="shared" si="14"/>
        <v>0</v>
      </c>
      <c r="O232" s="1481"/>
    </row>
    <row r="233" spans="1:15" ht="17.45" customHeight="1">
      <c r="C233" s="2942" t="s">
        <v>1009</v>
      </c>
      <c r="D233" s="2942"/>
      <c r="E233" s="2942"/>
      <c r="F233" s="704" t="s">
        <v>59</v>
      </c>
      <c r="G233" s="70"/>
      <c r="H233" s="70"/>
      <c r="I233" s="933"/>
      <c r="J233" s="15"/>
      <c r="K233" s="248">
        <v>1</v>
      </c>
      <c r="L233" s="931">
        <f>IF(AND(K233&lt;&gt;0,AND(F233&lt;&gt;"&lt;select one&gt;",F233&lt;&gt;"")),K233,0)</f>
        <v>0</v>
      </c>
      <c r="M233" s="905" t="str">
        <f t="shared" si="13"/>
        <v>A REQUIRED input field for this RFA</v>
      </c>
      <c r="N233" s="899">
        <f t="shared" si="14"/>
        <v>0</v>
      </c>
      <c r="O233" s="1481"/>
    </row>
    <row r="234" spans="1:15" ht="17.45" customHeight="1">
      <c r="C234" s="2942" t="s">
        <v>1010</v>
      </c>
      <c r="D234" s="2942"/>
      <c r="E234" s="2942"/>
      <c r="F234" s="875"/>
      <c r="G234" s="70"/>
      <c r="H234" s="70"/>
      <c r="I234" s="933"/>
      <c r="J234" s="15"/>
      <c r="K234" s="248">
        <v>1</v>
      </c>
      <c r="L234" s="931">
        <f>IF(AND(K234&lt;&gt;0,F234&lt;&gt;""),K234,0)</f>
        <v>0</v>
      </c>
      <c r="M234" s="905" t="str">
        <f t="shared" si="13"/>
        <v>A REQUIRED input field for this RFA</v>
      </c>
      <c r="N234" s="899">
        <f t="shared" si="14"/>
        <v>0</v>
      </c>
      <c r="O234" s="1481"/>
    </row>
    <row r="235" spans="1:15" ht="17.45" customHeight="1">
      <c r="C235" s="2942" t="s">
        <v>1011</v>
      </c>
      <c r="D235" s="2942"/>
      <c r="E235" s="2942"/>
      <c r="F235" s="705"/>
      <c r="G235" s="914" t="s">
        <v>1012</v>
      </c>
      <c r="H235" s="706"/>
      <c r="I235" s="933"/>
      <c r="K235" s="248">
        <v>1</v>
      </c>
      <c r="L235" s="931">
        <f>IF(AND(K235&lt;&gt;0,F235&lt;&gt;""),K235,0)</f>
        <v>0</v>
      </c>
      <c r="M235" s="905" t="str">
        <f t="shared" si="13"/>
        <v>A REQUIRED input field for this RFA</v>
      </c>
      <c r="N235" s="899">
        <f t="shared" si="14"/>
        <v>0</v>
      </c>
      <c r="O235" s="1481" t="s">
        <v>2165</v>
      </c>
    </row>
    <row r="236" spans="1:15" ht="17.45" customHeight="1">
      <c r="A236" s="939"/>
      <c r="B236" s="939"/>
      <c r="C236" s="2942" t="s">
        <v>1013</v>
      </c>
      <c r="D236" s="2942"/>
      <c r="E236" s="2942"/>
      <c r="F236" s="2962"/>
      <c r="G236" s="2963"/>
      <c r="H236" s="2963"/>
      <c r="I236" s="933"/>
      <c r="J236" s="922"/>
      <c r="K236" s="248">
        <v>1</v>
      </c>
      <c r="L236" s="931">
        <f>IF(AND(K236&lt;&gt;0,F236&lt;&gt;""),K236,0)</f>
        <v>0</v>
      </c>
      <c r="M236" s="905" t="str">
        <f t="shared" si="13"/>
        <v>A REQUIRED input field for this RFA</v>
      </c>
      <c r="N236" s="899">
        <f t="shared" si="14"/>
        <v>0</v>
      </c>
    </row>
    <row r="237" spans="1:15" ht="10.5" customHeight="1">
      <c r="A237" s="939"/>
      <c r="B237" s="939"/>
      <c r="C237" s="939"/>
      <c r="D237" s="939"/>
      <c r="E237" s="922"/>
      <c r="F237" s="15"/>
      <c r="G237" s="15"/>
      <c r="H237" s="922"/>
      <c r="I237" s="933"/>
      <c r="J237" s="922"/>
      <c r="K237" s="931"/>
      <c r="L237" s="931"/>
      <c r="M237" s="8"/>
    </row>
    <row r="238" spans="1:15" ht="17.45" hidden="1" customHeight="1">
      <c r="A238" s="939"/>
      <c r="B238" s="2149" t="str">
        <f>IF(SUM($K$230:$K$236)=0,"(1)","(2)")</f>
        <v>(2)</v>
      </c>
      <c r="C238" s="2943" t="s">
        <v>1014</v>
      </c>
      <c r="D238" s="2943"/>
      <c r="E238" s="2943"/>
      <c r="F238" s="2943"/>
      <c r="G238" s="2943"/>
      <c r="H238" s="2943"/>
      <c r="I238" s="933"/>
      <c r="J238" s="922"/>
      <c r="K238" s="931"/>
      <c r="L238" s="931"/>
      <c r="M238" s="313">
        <v>0</v>
      </c>
    </row>
    <row r="239" spans="1:15" ht="37.5" hidden="1" customHeight="1">
      <c r="A239" s="939"/>
      <c r="B239" s="939"/>
      <c r="C239" s="2960" t="s">
        <v>1015</v>
      </c>
      <c r="D239" s="2960"/>
      <c r="E239" s="2960"/>
      <c r="F239" s="2960"/>
      <c r="G239" s="2961"/>
      <c r="H239" s="2961"/>
      <c r="I239" s="933"/>
      <c r="J239" s="922"/>
      <c r="K239" s="943">
        <f>IF(M$238=0,0,N239)</f>
        <v>0</v>
      </c>
      <c r="L239" s="931">
        <f>IF(AND(K239&lt;&gt;0,G239&lt;&gt;""),K239,0)</f>
        <v>0</v>
      </c>
      <c r="M239" s="779" t="str">
        <f>CHOOSE(K239+1,"Not to be included in this RFA","A REQUIRED input field for this RFA","An OPTIONAL input field for this RFA")</f>
        <v>Not to be included in this RFA</v>
      </c>
      <c r="N239" s="953">
        <v>0</v>
      </c>
    </row>
    <row r="240" spans="1:15" ht="10.35" hidden="1" customHeight="1">
      <c r="A240" s="939"/>
      <c r="B240" s="939"/>
      <c r="C240" s="939"/>
      <c r="D240" s="939"/>
      <c r="E240" s="922"/>
      <c r="F240" s="922"/>
      <c r="G240" s="922"/>
      <c r="H240" s="922"/>
      <c r="I240" s="933"/>
      <c r="J240" s="922"/>
      <c r="K240" s="931"/>
      <c r="L240" s="931"/>
      <c r="M240" s="8"/>
      <c r="N240" s="931"/>
    </row>
    <row r="241" spans="1:15" ht="30.75" hidden="1" customHeight="1">
      <c r="A241" s="939"/>
      <c r="B241" s="939"/>
      <c r="C241" s="77" t="s">
        <v>957</v>
      </c>
      <c r="D241" s="2943" t="s">
        <v>1016</v>
      </c>
      <c r="E241" s="2943"/>
      <c r="F241" s="2943"/>
      <c r="G241" s="2943"/>
      <c r="H241" s="2943"/>
      <c r="I241" s="933"/>
      <c r="J241" s="927"/>
      <c r="K241" s="931"/>
      <c r="L241" s="931"/>
      <c r="M241" s="313">
        <v>0</v>
      </c>
      <c r="N241" s="931"/>
    </row>
    <row r="242" spans="1:15" ht="17.45" hidden="1" customHeight="1">
      <c r="A242" s="939"/>
      <c r="B242" s="939"/>
      <c r="C242" s="939"/>
      <c r="D242" s="2942" t="s">
        <v>982</v>
      </c>
      <c r="E242" s="2942"/>
      <c r="F242" s="2950"/>
      <c r="G242" s="2950"/>
      <c r="H242" s="2950"/>
      <c r="I242" s="933"/>
      <c r="J242" s="922"/>
      <c r="K242" s="929">
        <f>IF(M$241=0,0,N242)</f>
        <v>0</v>
      </c>
      <c r="L242" s="931">
        <f>IF(AND(K242&lt;&gt;0,F242&lt;&gt;""),K242,0)</f>
        <v>0</v>
      </c>
      <c r="M242" s="905" t="str">
        <f t="shared" ref="M242:M244" si="15">CHOOSE(K242+1,"Not to be included in this RFA","A REQUIRED input field for this RFA","An OPTIONAL input field for this RFA")</f>
        <v>Not to be included in this RFA</v>
      </c>
      <c r="N242" s="953">
        <v>1</v>
      </c>
    </row>
    <row r="243" spans="1:15" ht="35.1" hidden="1" customHeight="1">
      <c r="A243" s="939"/>
      <c r="B243" s="2656"/>
      <c r="C243" s="2656"/>
      <c r="D243" s="2942" t="s">
        <v>983</v>
      </c>
      <c r="E243" s="2942"/>
      <c r="F243" s="2949"/>
      <c r="G243" s="2949"/>
      <c r="H243" s="2949"/>
      <c r="I243" s="933"/>
      <c r="J243" s="922"/>
      <c r="K243" s="929">
        <f>IF(M$241=0,0,N243)</f>
        <v>0</v>
      </c>
      <c r="L243" s="931">
        <f>IF(AND(K243&lt;&gt;0,F243&lt;&gt;""),K243,0)</f>
        <v>0</v>
      </c>
      <c r="M243" s="905" t="str">
        <f>CHOOSE(K243+1,"Not to be included in this RFA","A REQUIRED input field for this RFA","An OPTIONAL input field for this RFA")</f>
        <v>Not to be included in this RFA</v>
      </c>
      <c r="N243" s="248">
        <v>1</v>
      </c>
    </row>
    <row r="244" spans="1:15" ht="29.45" hidden="1" customHeight="1">
      <c r="A244" s="939"/>
      <c r="B244" s="939"/>
      <c r="C244" s="939"/>
      <c r="D244" s="2942" t="s">
        <v>1017</v>
      </c>
      <c r="E244" s="2942"/>
      <c r="F244" s="843" t="s">
        <v>59</v>
      </c>
      <c r="G244" s="2965"/>
      <c r="H244" s="2965"/>
      <c r="I244" s="933"/>
      <c r="J244" s="922"/>
      <c r="K244" s="929">
        <f>IF(M$241=0,0,N244)</f>
        <v>0</v>
      </c>
      <c r="L244" s="931">
        <f>IF(AND(K244&lt;&gt;0,AND(F244&lt;&gt;"&lt;select one&gt;",F244&lt;&gt;"")),K244,0)</f>
        <v>0</v>
      </c>
      <c r="M244" s="905" t="str">
        <f t="shared" si="15"/>
        <v>Not to be included in this RFA</v>
      </c>
      <c r="N244" s="248">
        <v>1</v>
      </c>
    </row>
    <row r="245" spans="1:15" s="2220" customFormat="1" ht="35.1" hidden="1" customHeight="1">
      <c r="A245" s="2215"/>
      <c r="B245" s="2215"/>
      <c r="C245" s="2953" t="s">
        <v>984</v>
      </c>
      <c r="D245" s="2953"/>
      <c r="E245" s="2953"/>
      <c r="F245" s="843" t="s">
        <v>59</v>
      </c>
      <c r="G245" s="2939" t="s">
        <v>987</v>
      </c>
      <c r="H245" s="2939"/>
      <c r="I245" s="2219"/>
      <c r="J245" s="2214"/>
      <c r="K245" s="2218">
        <f>IF(OR(M$241=0,N245=0),0,N245)</f>
        <v>0</v>
      </c>
      <c r="L245" s="2217">
        <f>IF(AND(K245&lt;&gt;0,AND(F245&lt;&gt;"&lt;select one&gt;",F245&lt;&gt;"")),K245,0)</f>
        <v>0</v>
      </c>
      <c r="M245" s="2216" t="str">
        <f t="shared" ref="M245" si="16">CHOOSE(K245+1,"Not to be included in this RFA","A REQUIRED input field for this RFA","An OPTIONAL input field for this RFA")</f>
        <v>Not to be included in this RFA</v>
      </c>
      <c r="N245" s="248">
        <v>1</v>
      </c>
    </row>
    <row r="246" spans="1:15" s="2220" customFormat="1" ht="35.1" hidden="1" customHeight="1">
      <c r="A246" s="2215"/>
      <c r="B246" s="2215"/>
      <c r="C246" s="2942" t="str">
        <f>IF(RIGHT(Data1!$F$7,3)&lt;&gt;"213","If 'Other' is selected above, enter the name of the program","Live Local Multifamily Rental Development Experience:")</f>
        <v>If 'Other' is selected above, enter the name of the program</v>
      </c>
      <c r="D246" s="2942"/>
      <c r="E246" s="2942"/>
      <c r="F246" s="2967"/>
      <c r="G246" s="2967"/>
      <c r="H246" s="2967"/>
      <c r="I246" s="2219"/>
      <c r="J246" s="2214"/>
      <c r="K246" s="2218">
        <f>IF(OR(M$241=0,N246=0),0,IF(F245="&lt;select one&gt;",N246,IF(AND(F245&lt;&gt;"&lt;select one&gt;,f241&lt;&gt;"""),1,3)))</f>
        <v>0</v>
      </c>
      <c r="L246" s="2217">
        <f>IF(AND(K246&lt;&gt;0,AND(F246&lt;&gt;"&lt;select one&gt;",F246&lt;&gt;"")),K246,0)</f>
        <v>0</v>
      </c>
      <c r="M246" s="2216" t="str">
        <f>CHOOSE(K246+1,"Not to be included in this RFA","A REQUIRED input field for this RFA","An OPTIONAL input field for this RFA","Not tracked in this RFA")</f>
        <v>Not to be included in this RFA</v>
      </c>
      <c r="N246" s="248">
        <v>2</v>
      </c>
    </row>
    <row r="247" spans="1:15" ht="39.950000000000003" hidden="1" customHeight="1">
      <c r="A247" s="8"/>
      <c r="B247" s="8"/>
      <c r="C247" s="8"/>
      <c r="D247" s="2942" t="s">
        <v>985</v>
      </c>
      <c r="E247" s="2942"/>
      <c r="F247" s="919"/>
      <c r="G247" s="2964" t="str">
        <f>IF(OR(F247="",K247=0),"",Data1!$Q$183&amp;Data1!$Q$185)</f>
        <v/>
      </c>
      <c r="H247" s="2964"/>
      <c r="I247" s="933"/>
      <c r="J247" s="8"/>
      <c r="K247" s="929">
        <f>IF(M$241=0,0,N247)</f>
        <v>0</v>
      </c>
      <c r="L247" s="931">
        <f>IF(AND(K247&lt;&gt;0,F247&lt;&gt;""),K247,0)</f>
        <v>0</v>
      </c>
      <c r="M247" s="905" t="str">
        <f>CHOOSE(K247+1,"Not to be included in this RFA","A REQUIRED input field for this RFA","An OPTIONAL input field for this RFA")</f>
        <v>Not to be included in this RFA</v>
      </c>
      <c r="N247" s="248">
        <v>1</v>
      </c>
      <c r="O247" s="6" t="str">
        <f>Data1!I181</f>
        <v>Units-NS</v>
      </c>
    </row>
    <row r="248" spans="1:15" ht="50.1" hidden="1" customHeight="1">
      <c r="A248" s="8"/>
      <c r="B248" s="8"/>
      <c r="C248" s="8"/>
      <c r="D248" s="2942" t="s">
        <v>1018</v>
      </c>
      <c r="E248" s="2942"/>
      <c r="F248" s="919"/>
      <c r="G248" s="2966" t="str">
        <f>IF(F248="","",Data1!$Q$180&amp;Data1!$Q$182)</f>
        <v/>
      </c>
      <c r="H248" s="2964"/>
      <c r="I248" s="933"/>
      <c r="J248" s="8"/>
      <c r="K248" s="929">
        <f>IF(M$241=0,0,N248)</f>
        <v>0</v>
      </c>
      <c r="L248" s="931">
        <f>IF(AND(K248&lt;&gt;0,F248&lt;&gt;""),K248,0)</f>
        <v>0</v>
      </c>
      <c r="M248" s="905" t="str">
        <f>CHOOSE(K248+1,"Not to be included in this RFA","A REQUIRED input field for this RFA","An OPTIONAL input field for this RFA")</f>
        <v>Not to be included in this RFA</v>
      </c>
      <c r="N248" s="248">
        <v>1</v>
      </c>
      <c r="O248" s="6" t="str">
        <f>Data1!I179</f>
        <v>Years-NS</v>
      </c>
    </row>
    <row r="249" spans="1:15" ht="14.45" hidden="1" customHeight="1">
      <c r="A249" s="8"/>
      <c r="B249" s="2954" t="str">
        <f>Data1!Q177&amp;IF(OR(DS_MgmtExp_MinDevs_List&lt;1,IFERROR(FIND("missing",Data1!Q177),0)&gt;0),"",IF(AND(IF(K242&gt;0,MgmtExp_first_Dev_name="",TRUE),IF(K243&gt;0,MgmtExp_first_location="",TRUE),IF(K244&gt;0,MgmtExp_first_currently_or_formerly_managed="&lt;select one&gt;",TRUE),IF(K248&gt;0,MgmtExp_first_time="",TRUE),IF(K247&gt;0,MgmtExp_first_units="",TRUE)),"",Data1!$Q$179))</f>
        <v/>
      </c>
      <c r="C249" s="2954"/>
      <c r="D249" s="2954"/>
      <c r="E249" s="2954"/>
      <c r="F249" s="2954"/>
      <c r="G249" s="2954"/>
      <c r="H249" s="2954"/>
      <c r="I249" s="50"/>
      <c r="J249" s="8"/>
      <c r="K249" s="933"/>
      <c r="L249" s="933"/>
      <c r="M249" s="933"/>
      <c r="N249" s="933"/>
      <c r="O249" s="6" t="str">
        <f>Data1!I176</f>
        <v>List-NS</v>
      </c>
    </row>
    <row r="250" spans="1:15" ht="10.35" hidden="1" customHeight="1">
      <c r="A250" s="8"/>
      <c r="B250" s="8"/>
      <c r="C250" s="8"/>
      <c r="D250" s="8"/>
      <c r="E250" s="16"/>
      <c r="F250" s="922"/>
      <c r="G250" s="942"/>
      <c r="H250" s="922"/>
      <c r="I250" s="933"/>
      <c r="J250" s="8"/>
      <c r="K250" s="931"/>
      <c r="L250" s="931"/>
      <c r="M250" s="8"/>
    </row>
    <row r="251" spans="1:15" ht="30" hidden="1" customHeight="1">
      <c r="A251" s="939"/>
      <c r="B251" s="939"/>
      <c r="C251" s="77" t="str">
        <f>IF(SUM($K$242:$K$247)=0,"(a)","(b)")</f>
        <v>(a)</v>
      </c>
      <c r="D251" s="2943" t="s">
        <v>1019</v>
      </c>
      <c r="E251" s="2943"/>
      <c r="F251" s="2943"/>
      <c r="G251" s="2943"/>
      <c r="H251" s="2943"/>
      <c r="I251" s="933"/>
      <c r="J251" s="927"/>
      <c r="K251" s="931"/>
      <c r="L251" s="931"/>
      <c r="M251" s="313">
        <v>0</v>
      </c>
    </row>
    <row r="252" spans="1:15" ht="17.45" hidden="1" customHeight="1">
      <c r="A252" s="8"/>
      <c r="B252" s="8"/>
      <c r="C252" s="8"/>
      <c r="D252" s="2942" t="s">
        <v>982</v>
      </c>
      <c r="E252" s="2942"/>
      <c r="F252" s="2950"/>
      <c r="G252" s="2950"/>
      <c r="H252" s="2950"/>
      <c r="I252" s="933"/>
      <c r="J252" s="8"/>
      <c r="K252" s="929">
        <f>IF(M$251=0,0,N252)</f>
        <v>0</v>
      </c>
      <c r="L252" s="931">
        <f>IF(AND(K252&lt;&gt;0,F252&lt;&gt;""),K252,0)</f>
        <v>0</v>
      </c>
      <c r="M252" s="905" t="str">
        <f t="shared" ref="M252:M255" si="17">CHOOSE(K252+1,"Not to be included in this RFA","A REQUIRED input field for this RFA","An OPTIONAL input field for this RFA")</f>
        <v>Not to be included in this RFA</v>
      </c>
      <c r="N252" s="953">
        <v>1</v>
      </c>
    </row>
    <row r="253" spans="1:15" ht="35.1" hidden="1" customHeight="1">
      <c r="A253" s="8"/>
      <c r="B253" s="2656"/>
      <c r="C253" s="2656"/>
      <c r="D253" s="2942" t="s">
        <v>983</v>
      </c>
      <c r="E253" s="2942"/>
      <c r="F253" s="2949"/>
      <c r="G253" s="2949"/>
      <c r="H253" s="2949"/>
      <c r="I253" s="933"/>
      <c r="J253" s="8"/>
      <c r="K253" s="929">
        <f>IF(M$251=0,0,N253)</f>
        <v>0</v>
      </c>
      <c r="L253" s="931">
        <f>IF(AND(K253&lt;&gt;0,F253&lt;&gt;""),K253,0)</f>
        <v>0</v>
      </c>
      <c r="M253" s="905" t="str">
        <f>CHOOSE(K253+1,"Not to be included in this RFA","A REQUIRED input field for this RFA","An OPTIONAL input field for this RFA")</f>
        <v>Not to be included in this RFA</v>
      </c>
      <c r="N253" s="248">
        <v>1</v>
      </c>
    </row>
    <row r="254" spans="1:15" ht="29.1" hidden="1" customHeight="1">
      <c r="A254" s="8"/>
      <c r="B254" s="8"/>
      <c r="C254" s="8"/>
      <c r="D254" s="2942" t="s">
        <v>1017</v>
      </c>
      <c r="E254" s="2942"/>
      <c r="F254" s="843" t="s">
        <v>59</v>
      </c>
      <c r="G254" s="2965"/>
      <c r="H254" s="2965"/>
      <c r="I254" s="933"/>
      <c r="J254" s="8"/>
      <c r="K254" s="929">
        <f>IF(M$251=0,0,N254)</f>
        <v>0</v>
      </c>
      <c r="L254" s="931">
        <f>IF(AND(K254&lt;&gt;0,AND(F254&lt;&gt;"&lt;select one&gt;",F254&lt;&gt;"")),K254,0)</f>
        <v>0</v>
      </c>
      <c r="M254" s="905" t="str">
        <f t="shared" si="17"/>
        <v>Not to be included in this RFA</v>
      </c>
      <c r="N254" s="248">
        <v>1</v>
      </c>
    </row>
    <row r="255" spans="1:15" s="2220" customFormat="1" ht="35.1" hidden="1" customHeight="1">
      <c r="A255" s="8"/>
      <c r="B255" s="8"/>
      <c r="C255" s="2953" t="s">
        <v>984</v>
      </c>
      <c r="D255" s="2953"/>
      <c r="E255" s="2953"/>
      <c r="F255" s="843" t="s">
        <v>59</v>
      </c>
      <c r="G255" s="2939" t="s">
        <v>987</v>
      </c>
      <c r="H255" s="2939"/>
      <c r="I255" s="2219"/>
      <c r="J255" s="8"/>
      <c r="K255" s="2218">
        <f>IF(OR(M$241=0,N255=0),0,N255)</f>
        <v>0</v>
      </c>
      <c r="L255" s="2217">
        <f>IF(AND(K255&lt;&gt;0,AND(F255&lt;&gt;"&lt;select one&gt;",F255&lt;&gt;"")),K255,0)</f>
        <v>0</v>
      </c>
      <c r="M255" s="2216" t="str">
        <f t="shared" si="17"/>
        <v>Not to be included in this RFA</v>
      </c>
      <c r="N255" s="248">
        <v>1</v>
      </c>
    </row>
    <row r="256" spans="1:15" s="2220" customFormat="1" ht="35.1" hidden="1" customHeight="1">
      <c r="A256" s="8"/>
      <c r="B256" s="8"/>
      <c r="C256" s="2942" t="str">
        <f>IF(RIGHT(Data1!$F$7,3)&lt;&gt;"213","If 'Other' is selected above, enter the name of the program","Live Local Multifamily Rental Development Experience:")</f>
        <v>If 'Other' is selected above, enter the name of the program</v>
      </c>
      <c r="D256" s="2942"/>
      <c r="E256" s="2942"/>
      <c r="F256" s="2967"/>
      <c r="G256" s="2967"/>
      <c r="H256" s="2967"/>
      <c r="I256" s="2219"/>
      <c r="J256" s="8"/>
      <c r="K256" s="2218">
        <f>IF(OR(M$241=0,N256=0),0,IF(F255="&lt;select one&gt;",N256,IF(AND(F255&lt;&gt;"&lt;select one&gt;,f241&lt;&gt;"""),1,3)))</f>
        <v>0</v>
      </c>
      <c r="L256" s="2217">
        <f>IF(AND(K256&lt;&gt;0,AND(F256&lt;&gt;"&lt;select one&gt;",F256&lt;&gt;"")),K256,0)</f>
        <v>0</v>
      </c>
      <c r="M256" s="2216" t="str">
        <f>CHOOSE(K256+1,"Not to be included in this RFA","A REQUIRED input field for this RFA","An OPTIONAL input field for this RFA","Not tracked in this RFA")</f>
        <v>Not to be included in this RFA</v>
      </c>
      <c r="N256" s="248">
        <v>2</v>
      </c>
    </row>
    <row r="257" spans="1:15" ht="39.950000000000003" hidden="1" customHeight="1">
      <c r="A257" s="8"/>
      <c r="B257" s="8"/>
      <c r="C257" s="8"/>
      <c r="D257" s="2942" t="s">
        <v>985</v>
      </c>
      <c r="E257" s="2942"/>
      <c r="F257" s="919"/>
      <c r="G257" s="2964" t="str">
        <f>IF(OR(F257="",K257=0),"",Data1!$Q$184&amp;Data1!$Q$185)</f>
        <v/>
      </c>
      <c r="H257" s="2964"/>
      <c r="I257" s="933"/>
      <c r="J257" s="8"/>
      <c r="K257" s="929">
        <f>IF(M$251=0,0,N257)</f>
        <v>0</v>
      </c>
      <c r="L257" s="931">
        <f>IF(AND(K257&lt;&gt;0,F257&lt;&gt;""),K257,0)</f>
        <v>0</v>
      </c>
      <c r="M257" s="905" t="str">
        <f>CHOOSE(K257+1,"Not to be included in this RFA","A REQUIRED input field for this RFA","An OPTIONAL input field for this RFA")</f>
        <v>Not to be included in this RFA</v>
      </c>
      <c r="N257" s="248">
        <v>1</v>
      </c>
      <c r="O257" s="6" t="str">
        <f>Data1!J181</f>
        <v>Units-NS</v>
      </c>
    </row>
    <row r="258" spans="1:15" ht="50.1" hidden="1" customHeight="1">
      <c r="A258" s="8"/>
      <c r="B258" s="8"/>
      <c r="C258" s="8"/>
      <c r="D258" s="2942" t="s">
        <v>1018</v>
      </c>
      <c r="E258" s="2942"/>
      <c r="F258" s="919"/>
      <c r="G258" s="2964" t="str">
        <f>IF(F258="","",Data1!$Q$181&amp;Data1!$Q$182)</f>
        <v/>
      </c>
      <c r="H258" s="2964"/>
      <c r="I258" s="933"/>
      <c r="J258" s="8"/>
      <c r="K258" s="929">
        <f>IF(M$251=0,0,N258)</f>
        <v>0</v>
      </c>
      <c r="L258" s="931">
        <f>IF(AND(K258&lt;&gt;0,F258&lt;&gt;""),K258,0)</f>
        <v>0</v>
      </c>
      <c r="M258" s="905" t="str">
        <f>CHOOSE(K258+1,"Not to be included in this RFA","A REQUIRED input field for this RFA","An OPTIONAL input field for this RFA")</f>
        <v>Not to be included in this RFA</v>
      </c>
      <c r="N258" s="248">
        <v>1</v>
      </c>
      <c r="O258" s="6" t="str">
        <f>Data1!J179</f>
        <v>Years-NS</v>
      </c>
    </row>
    <row r="259" spans="1:15" ht="14.45" hidden="1" customHeight="1">
      <c r="A259" s="8"/>
      <c r="B259" s="2954" t="str">
        <f>Data1!Q178&amp;IF(OR(DS_MgmtExp_MinDevs_List&lt;1,IFERROR(FIND("missing",Data1!Q178),0)&gt;0),"",IF(AND(IF(K252&gt;0,MgmtExp_second_Dev_name="",TRUE),IF(K253&gt;0,MgmtExp_second_location="",TRUE),IF(K254&gt;0,MgmtExp_second_currently_or_formerly_managed="&lt;select one&gt;",TRUE),IF(K258&gt;0,MgmtExp_second_time="",TRUE),IF(K257&gt;0,MgmtExp_second_units="",TRUE)),"",Data1!$Q$179))</f>
        <v/>
      </c>
      <c r="C259" s="2954"/>
      <c r="D259" s="2954"/>
      <c r="E259" s="2954"/>
      <c r="F259" s="2954"/>
      <c r="G259" s="2954"/>
      <c r="H259" s="2954"/>
      <c r="I259" s="933"/>
      <c r="J259" s="8"/>
      <c r="K259" s="933"/>
      <c r="L259" s="933"/>
      <c r="M259" s="933"/>
      <c r="N259" s="933"/>
      <c r="O259" s="6" t="str">
        <f>Data1!J176</f>
        <v>List-NS</v>
      </c>
    </row>
    <row r="260" spans="1:15" ht="10.35" hidden="1" customHeight="1">
      <c r="A260" s="8"/>
      <c r="B260" s="8"/>
      <c r="C260" s="8"/>
      <c r="D260" s="8"/>
      <c r="E260" s="16"/>
      <c r="F260" s="939"/>
      <c r="G260" s="942"/>
      <c r="H260" s="939"/>
      <c r="I260" s="933"/>
      <c r="J260" s="8"/>
      <c r="K260" s="931"/>
      <c r="L260" s="931"/>
      <c r="M260" s="8"/>
    </row>
    <row r="261" spans="1:15" ht="17.45" customHeight="1">
      <c r="A261" s="340" t="str" cm="1">
        <f t="array" ref="A261">IF($K$263=0,"",CHAR(CODE(LOOKUP(2,1/(COUNTIF(A$64:A260,"&gt;"&amp;A$64:A260&amp;"*")=0),A$64:A260))+1))</f>
        <v>e</v>
      </c>
      <c r="B261" s="10" t="s">
        <v>1020</v>
      </c>
      <c r="C261" s="8"/>
      <c r="D261" s="8"/>
      <c r="E261" s="16"/>
      <c r="F261" s="939"/>
      <c r="G261" s="942"/>
      <c r="H261" s="939"/>
      <c r="I261" s="933"/>
      <c r="J261" s="8"/>
      <c r="K261" s="931"/>
      <c r="L261" s="931"/>
      <c r="M261" s="8"/>
    </row>
    <row r="262" spans="1:15" ht="62.1" customHeight="1">
      <c r="A262" s="50"/>
      <c r="B262" s="50"/>
      <c r="C262" s="2943" t="s">
        <v>1021</v>
      </c>
      <c r="D262" s="2943"/>
      <c r="E262" s="2943"/>
      <c r="F262" s="2943"/>
      <c r="G262" s="2943"/>
      <c r="H262" s="2943"/>
      <c r="I262" s="933"/>
      <c r="J262" s="8"/>
      <c r="K262" s="931"/>
      <c r="L262" s="931"/>
      <c r="M262" s="8"/>
    </row>
    <row r="263" spans="1:15" ht="17.45" customHeight="1">
      <c r="A263" s="50"/>
      <c r="B263" s="50"/>
      <c r="C263" s="2961" t="s">
        <v>59</v>
      </c>
      <c r="D263" s="2961"/>
      <c r="E263" s="2961"/>
      <c r="G263" s="922"/>
      <c r="H263" s="922"/>
      <c r="I263" s="933"/>
      <c r="J263" s="8"/>
      <c r="K263" s="953">
        <v>1</v>
      </c>
      <c r="L263" s="931">
        <f>IF(AND(K263&lt;&gt;0,AND(C263&lt;&gt;"&lt;select one&gt;",C263&lt;&gt;"")),K263,0)</f>
        <v>0</v>
      </c>
      <c r="M263" s="905" t="str">
        <f t="shared" ref="M263" si="18">CHOOSE(K263+1,"Not to be included in this RFA","A REQUIRED input field for this RFA","An OPTIONAL input field for this RFA")</f>
        <v>A REQUIRED input field for this RFA</v>
      </c>
    </row>
    <row r="264" spans="1:15" ht="10.35" customHeight="1">
      <c r="A264" s="8"/>
      <c r="B264" s="8"/>
      <c r="C264" s="8"/>
      <c r="D264" s="8"/>
      <c r="E264" s="16"/>
      <c r="F264" s="939"/>
      <c r="G264" s="942"/>
      <c r="H264" s="939"/>
      <c r="I264" s="933"/>
      <c r="J264" s="8"/>
      <c r="K264" s="931"/>
      <c r="L264" s="931"/>
      <c r="M264" s="8"/>
    </row>
    <row r="265" spans="1:15" ht="14.45" customHeight="1">
      <c r="A265" s="340" t="str" cm="1">
        <f t="array" ref="A265">IF(SUM($K$266:$K$300)=0,"",CHAR(CODE(LOOKUP(2,1/(COUNTIF(A$64:A264,"&gt;"&amp;A$64:A264&amp;"*")=0),A$64:A264))+1))</f>
        <v>f</v>
      </c>
      <c r="B265" s="2975" t="s">
        <v>1022</v>
      </c>
      <c r="C265" s="2975"/>
      <c r="D265" s="2975"/>
      <c r="E265" s="2975"/>
      <c r="F265" s="2975"/>
      <c r="G265" s="2975"/>
      <c r="H265" s="2975"/>
      <c r="I265" s="933"/>
      <c r="K265" s="931"/>
      <c r="L265" s="931"/>
    </row>
    <row r="266" spans="1:15">
      <c r="B266" s="75" t="str">
        <f>"(1)"</f>
        <v>(1)</v>
      </c>
      <c r="C266" s="2969" t="s">
        <v>1023</v>
      </c>
      <c r="D266" s="2969"/>
      <c r="E266" s="2969"/>
      <c r="F266" s="2969"/>
      <c r="G266" s="2969"/>
      <c r="H266" s="2969"/>
      <c r="I266" s="933"/>
      <c r="K266" s="931"/>
      <c r="L266" s="931"/>
    </row>
    <row r="267" spans="1:15" ht="17.45" customHeight="1">
      <c r="C267" s="2952" t="s">
        <v>1003</v>
      </c>
      <c r="D267" s="2952"/>
      <c r="E267" s="2952"/>
      <c r="F267" s="913"/>
      <c r="G267" s="914" t="s">
        <v>1004</v>
      </c>
      <c r="H267" s="913"/>
      <c r="I267" s="933"/>
      <c r="K267" s="953">
        <v>1</v>
      </c>
      <c r="L267" s="931">
        <f>IF(AND(K267&lt;&gt;0,F267&lt;&gt;""),K267,0)</f>
        <v>0</v>
      </c>
      <c r="M267" s="779" t="str">
        <f t="shared" ref="M267:M275" si="19">CHOOSE(K267+1,"Not to be included in this RFA","A REQUIRED input field for this RFA","An OPTIONAL input field for this RFA")</f>
        <v>A REQUIRED input field for this RFA</v>
      </c>
      <c r="O267" s="1481" t="s">
        <v>2165</v>
      </c>
    </row>
    <row r="268" spans="1:15" ht="17.45" customHeight="1">
      <c r="C268" s="2952" t="s">
        <v>1005</v>
      </c>
      <c r="D268" s="2952"/>
      <c r="E268" s="2952"/>
      <c r="F268" s="919"/>
      <c r="G268" s="72"/>
      <c r="H268" s="72"/>
      <c r="I268" s="933"/>
      <c r="J268" s="52"/>
      <c r="K268" s="248">
        <v>1</v>
      </c>
      <c r="L268" s="931">
        <f>IF(AND(K268&lt;&gt;0,F268&lt;&gt;""),K268,0)</f>
        <v>0</v>
      </c>
      <c r="M268" s="779" t="str">
        <f t="shared" si="19"/>
        <v>A REQUIRED input field for this RFA</v>
      </c>
      <c r="O268" s="1481"/>
    </row>
    <row r="269" spans="1:15" ht="17.45" customHeight="1">
      <c r="C269" s="2952" t="s">
        <v>1024</v>
      </c>
      <c r="D269" s="2952"/>
      <c r="E269" s="2952"/>
      <c r="F269" s="2950"/>
      <c r="G269" s="2950"/>
      <c r="H269" s="2950"/>
      <c r="I269" s="933"/>
      <c r="K269" s="248">
        <v>1</v>
      </c>
      <c r="L269" s="931">
        <f>IF(AND(K269&lt;&gt;0,F269&lt;&gt;""),K269,0)</f>
        <v>0</v>
      </c>
      <c r="M269" s="779" t="str">
        <f t="shared" si="19"/>
        <v>A REQUIRED input field for this RFA</v>
      </c>
      <c r="O269" s="1481"/>
    </row>
    <row r="270" spans="1:15" ht="30" customHeight="1">
      <c r="C270" s="2952" t="s">
        <v>1007</v>
      </c>
      <c r="D270" s="2952"/>
      <c r="E270" s="2952"/>
      <c r="F270" s="2949"/>
      <c r="G270" s="2949"/>
      <c r="H270" s="2949"/>
      <c r="I270" s="933"/>
      <c r="K270" s="248">
        <v>1</v>
      </c>
      <c r="L270" s="931">
        <f>IF(AND(K270&lt;&gt;0,F270&lt;&gt;""),K270,0)</f>
        <v>0</v>
      </c>
      <c r="M270" s="779" t="str">
        <f t="shared" si="19"/>
        <v>A REQUIRED input field for this RFA</v>
      </c>
      <c r="O270" s="1481"/>
    </row>
    <row r="271" spans="1:15" ht="17.45" customHeight="1">
      <c r="C271" s="2952" t="s">
        <v>1008</v>
      </c>
      <c r="D271" s="2952"/>
      <c r="E271" s="2952"/>
      <c r="F271" s="919"/>
      <c r="G271" s="71"/>
      <c r="H271" s="73"/>
      <c r="I271" s="933"/>
      <c r="K271" s="248">
        <v>1</v>
      </c>
      <c r="L271" s="931">
        <f>IF(AND(K271&lt;&gt;0,F271&lt;&gt;""),K271,0)</f>
        <v>0</v>
      </c>
      <c r="M271" s="779" t="str">
        <f t="shared" si="19"/>
        <v>A REQUIRED input field for this RFA</v>
      </c>
      <c r="O271" s="1481"/>
    </row>
    <row r="272" spans="1:15" ht="17.45" customHeight="1">
      <c r="C272" s="2952" t="s">
        <v>1009</v>
      </c>
      <c r="D272" s="2952"/>
      <c r="E272" s="2952"/>
      <c r="F272" s="704" t="s">
        <v>59</v>
      </c>
      <c r="G272" s="71"/>
      <c r="H272" s="73"/>
      <c r="I272" s="933"/>
      <c r="K272" s="248">
        <v>1</v>
      </c>
      <c r="L272" s="931">
        <f>IF(AND(K272&lt;&gt;0,AND(F272&lt;&gt;"&lt;select one&gt;",F272&lt;&gt;"")),K272,0)</f>
        <v>0</v>
      </c>
      <c r="M272" s="779" t="str">
        <f t="shared" si="19"/>
        <v>A REQUIRED input field for this RFA</v>
      </c>
      <c r="O272" s="1481"/>
    </row>
    <row r="273" spans="2:15" ht="17.45" customHeight="1">
      <c r="C273" s="2952" t="s">
        <v>1010</v>
      </c>
      <c r="D273" s="2952"/>
      <c r="E273" s="2952"/>
      <c r="F273" s="876"/>
      <c r="G273" s="71"/>
      <c r="H273" s="73"/>
      <c r="I273" s="933"/>
      <c r="K273" s="248">
        <v>1</v>
      </c>
      <c r="L273" s="931">
        <f>IF(AND(K273&lt;&gt;0,F273&lt;&gt;""),K273,0)</f>
        <v>0</v>
      </c>
      <c r="M273" s="779" t="str">
        <f t="shared" si="19"/>
        <v>A REQUIRED input field for this RFA</v>
      </c>
      <c r="O273" s="1481"/>
    </row>
    <row r="274" spans="2:15" ht="17.45" customHeight="1">
      <c r="C274" s="2952" t="s">
        <v>1011</v>
      </c>
      <c r="D274" s="2952"/>
      <c r="E274" s="2952"/>
      <c r="F274" s="705"/>
      <c r="G274" s="914" t="s">
        <v>1012</v>
      </c>
      <c r="H274" s="706"/>
      <c r="I274" s="933"/>
      <c r="K274" s="248">
        <v>1</v>
      </c>
      <c r="L274" s="931">
        <f>IF(AND(K274&lt;&gt;0,F274&lt;&gt;""),K274,0)</f>
        <v>0</v>
      </c>
      <c r="M274" s="779" t="str">
        <f t="shared" si="19"/>
        <v>A REQUIRED input field for this RFA</v>
      </c>
      <c r="O274" s="1481" t="s">
        <v>2165</v>
      </c>
    </row>
    <row r="275" spans="2:15" ht="17.45" customHeight="1">
      <c r="C275" s="2952" t="s">
        <v>1013</v>
      </c>
      <c r="D275" s="2952"/>
      <c r="E275" s="2952"/>
      <c r="F275" s="2978"/>
      <c r="G275" s="2950"/>
      <c r="H275" s="2950"/>
      <c r="I275" s="933"/>
      <c r="K275" s="248">
        <v>1</v>
      </c>
      <c r="L275" s="931">
        <f>IF(AND(K275&lt;&gt;0,F275&lt;&gt;""),K275,0)</f>
        <v>0</v>
      </c>
      <c r="M275" s="779" t="str">
        <f t="shared" si="19"/>
        <v>A REQUIRED input field for this RFA</v>
      </c>
      <c r="O275" s="1481"/>
    </row>
    <row r="276" spans="2:15" ht="10.35" customHeight="1">
      <c r="E276" s="905"/>
      <c r="H276" s="905"/>
      <c r="I276" s="933"/>
      <c r="K276" s="931"/>
      <c r="L276" s="931"/>
      <c r="M276" s="899"/>
      <c r="N276" s="931"/>
      <c r="O276" s="1481"/>
    </row>
    <row r="277" spans="2:15" ht="32.1" customHeight="1">
      <c r="E277" s="2976"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77" s="2976"/>
      <c r="G277" s="2976"/>
      <c r="H277" s="2976"/>
      <c r="I277" s="933"/>
      <c r="K277" s="931"/>
      <c r="L277" s="931"/>
      <c r="M277" s="767">
        <v>1</v>
      </c>
      <c r="N277" s="931"/>
      <c r="O277" s="1481"/>
    </row>
    <row r="278" spans="2:15">
      <c r="E278" s="905"/>
      <c r="H278" s="905"/>
      <c r="I278" s="933"/>
      <c r="K278" s="931"/>
      <c r="L278" s="931"/>
      <c r="M278" s="899"/>
      <c r="N278" s="931"/>
      <c r="O278" s="1481"/>
    </row>
    <row r="279" spans="2:15">
      <c r="B279" s="76" t="str">
        <f>IF(SUM($K$267:$K$275)=0,"(1)","(2)")</f>
        <v>(2)</v>
      </c>
      <c r="C279" s="2977" t="s">
        <v>1025</v>
      </c>
      <c r="D279" s="2977"/>
      <c r="E279" s="2977"/>
      <c r="F279" s="2977"/>
      <c r="G279" s="2977"/>
      <c r="H279" s="2977"/>
      <c r="I279" s="933"/>
      <c r="K279" s="931"/>
      <c r="L279" s="931"/>
      <c r="M279" s="313">
        <v>1</v>
      </c>
      <c r="N279" s="931"/>
      <c r="O279" s="1481"/>
    </row>
    <row r="280" spans="2:15" ht="17.45" customHeight="1">
      <c r="C280" s="2952" t="s">
        <v>1003</v>
      </c>
      <c r="D280" s="2952"/>
      <c r="E280" s="2952"/>
      <c r="F280" s="913"/>
      <c r="G280" s="914" t="s">
        <v>1004</v>
      </c>
      <c r="H280" s="913"/>
      <c r="I280" s="933"/>
      <c r="K280" s="929">
        <f t="shared" ref="K280:K287" si="20">IF(M$279=0,0,N280)</f>
        <v>2</v>
      </c>
      <c r="L280" s="931">
        <f>IF(AND(K280&lt;&gt;0,F280&lt;&gt;""),K280,0)</f>
        <v>0</v>
      </c>
      <c r="M280" s="905" t="str">
        <f t="shared" ref="M280:M288" si="21">CHOOSE(K280+1,"Not to be included in this RFA","A REQUIRED input field for this RFA","An OPTIONAL input field for this RFA")</f>
        <v>An OPTIONAL input field for this RFA</v>
      </c>
      <c r="N280" s="953">
        <v>2</v>
      </c>
      <c r="O280" s="1481" t="s">
        <v>2165</v>
      </c>
    </row>
    <row r="281" spans="2:15" ht="17.45" customHeight="1">
      <c r="C281" s="2952" t="s">
        <v>1005</v>
      </c>
      <c r="D281" s="2952"/>
      <c r="E281" s="2952"/>
      <c r="F281" s="919"/>
      <c r="G281" s="71"/>
      <c r="H281" s="71"/>
      <c r="I281" s="933"/>
      <c r="J281" s="52"/>
      <c r="K281" s="929">
        <f t="shared" si="20"/>
        <v>2</v>
      </c>
      <c r="L281" s="931">
        <f>IF(AND(K281&lt;&gt;0,F281&lt;&gt;""),K281,0)</f>
        <v>0</v>
      </c>
      <c r="M281" s="905" t="str">
        <f t="shared" si="21"/>
        <v>An OPTIONAL input field for this RFA</v>
      </c>
      <c r="N281" s="248">
        <v>2</v>
      </c>
      <c r="O281" s="1481"/>
    </row>
    <row r="282" spans="2:15" ht="17.45" customHeight="1">
      <c r="C282" s="2952" t="s">
        <v>1024</v>
      </c>
      <c r="D282" s="2952"/>
      <c r="E282" s="2952"/>
      <c r="F282" s="2950"/>
      <c r="G282" s="2950"/>
      <c r="H282" s="2950"/>
      <c r="I282" s="933"/>
      <c r="K282" s="929">
        <f t="shared" si="20"/>
        <v>2</v>
      </c>
      <c r="L282" s="931">
        <f>IF(AND(K282&lt;&gt;0,F282&lt;&gt;""),K282,0)</f>
        <v>0</v>
      </c>
      <c r="M282" s="905" t="str">
        <f t="shared" si="21"/>
        <v>An OPTIONAL input field for this RFA</v>
      </c>
      <c r="N282" s="248">
        <v>2</v>
      </c>
      <c r="O282" s="1481"/>
    </row>
    <row r="283" spans="2:15" ht="30.75" customHeight="1">
      <c r="C283" s="2952" t="s">
        <v>1007</v>
      </c>
      <c r="D283" s="2952"/>
      <c r="E283" s="2952"/>
      <c r="F283" s="2949"/>
      <c r="G283" s="2949"/>
      <c r="H283" s="2949"/>
      <c r="I283" s="933"/>
      <c r="K283" s="929">
        <f t="shared" si="20"/>
        <v>2</v>
      </c>
      <c r="L283" s="931">
        <f>IF(AND(K283&lt;&gt;0,F283&lt;&gt;""),K283,0)</f>
        <v>0</v>
      </c>
      <c r="M283" s="905" t="str">
        <f t="shared" si="21"/>
        <v>An OPTIONAL input field for this RFA</v>
      </c>
      <c r="N283" s="248">
        <v>2</v>
      </c>
      <c r="O283" s="1481"/>
    </row>
    <row r="284" spans="2:15" ht="17.45" customHeight="1">
      <c r="C284" s="2952" t="s">
        <v>1008</v>
      </c>
      <c r="D284" s="2952"/>
      <c r="E284" s="2952"/>
      <c r="F284" s="919"/>
      <c r="G284" s="71"/>
      <c r="H284" s="71"/>
      <c r="I284" s="933"/>
      <c r="K284" s="929">
        <f t="shared" si="20"/>
        <v>2</v>
      </c>
      <c r="L284" s="931">
        <f>IF(AND(K284&lt;&gt;0,F284&lt;&gt;""),K284,0)</f>
        <v>0</v>
      </c>
      <c r="M284" s="905" t="str">
        <f t="shared" si="21"/>
        <v>An OPTIONAL input field for this RFA</v>
      </c>
      <c r="N284" s="248">
        <v>2</v>
      </c>
      <c r="O284" s="1481"/>
    </row>
    <row r="285" spans="2:15" ht="17.45" customHeight="1">
      <c r="C285" s="2952" t="s">
        <v>1009</v>
      </c>
      <c r="D285" s="2952"/>
      <c r="E285" s="2952"/>
      <c r="F285" s="704" t="s">
        <v>59</v>
      </c>
      <c r="G285" s="71"/>
      <c r="H285" s="71"/>
      <c r="I285" s="933"/>
      <c r="K285" s="929">
        <f t="shared" si="20"/>
        <v>2</v>
      </c>
      <c r="L285" s="931">
        <f>IF(AND(K285&lt;&gt;0,AND(F285&lt;&gt;"&lt;select one&gt;",F285&lt;&gt;"")),K285,0)</f>
        <v>0</v>
      </c>
      <c r="M285" s="905" t="str">
        <f t="shared" si="21"/>
        <v>An OPTIONAL input field for this RFA</v>
      </c>
      <c r="N285" s="248">
        <v>2</v>
      </c>
      <c r="O285" s="1481"/>
    </row>
    <row r="286" spans="2:15" ht="17.45" customHeight="1">
      <c r="C286" s="2952" t="s">
        <v>1010</v>
      </c>
      <c r="D286" s="2952"/>
      <c r="E286" s="2952"/>
      <c r="F286" s="876"/>
      <c r="G286" s="71"/>
      <c r="H286" s="71"/>
      <c r="I286" s="933"/>
      <c r="K286" s="929">
        <f t="shared" si="20"/>
        <v>2</v>
      </c>
      <c r="L286" s="931">
        <f>IF(AND(K286&lt;&gt;0,F286&lt;&gt;""),K286,0)</f>
        <v>0</v>
      </c>
      <c r="M286" s="905" t="str">
        <f t="shared" si="21"/>
        <v>An OPTIONAL input field for this RFA</v>
      </c>
      <c r="N286" s="248">
        <v>2</v>
      </c>
      <c r="O286" s="1481"/>
    </row>
    <row r="287" spans="2:15" ht="17.45" customHeight="1">
      <c r="C287" s="2952" t="s">
        <v>1011</v>
      </c>
      <c r="D287" s="2952"/>
      <c r="E287" s="2952"/>
      <c r="F287" s="705"/>
      <c r="G287" s="914" t="s">
        <v>1012</v>
      </c>
      <c r="H287" s="706"/>
      <c r="I287" s="933"/>
      <c r="K287" s="929">
        <f t="shared" si="20"/>
        <v>2</v>
      </c>
      <c r="L287" s="931">
        <f>IF(AND(K287&lt;&gt;0,F287&lt;&gt;""),K287,0)</f>
        <v>0</v>
      </c>
      <c r="M287" s="905" t="str">
        <f t="shared" si="21"/>
        <v>An OPTIONAL input field for this RFA</v>
      </c>
      <c r="N287" s="248">
        <v>2</v>
      </c>
      <c r="O287" s="1481" t="s">
        <v>2165</v>
      </c>
    </row>
    <row r="288" spans="2:15" ht="17.45" customHeight="1">
      <c r="C288" s="2952" t="s">
        <v>1013</v>
      </c>
      <c r="D288" s="2952"/>
      <c r="E288" s="2952"/>
      <c r="F288" s="2950"/>
      <c r="G288" s="2950"/>
      <c r="H288" s="2950"/>
      <c r="I288" s="933"/>
      <c r="K288" s="929">
        <f>IF(M$279=0,0,N288)</f>
        <v>2</v>
      </c>
      <c r="L288" s="1479">
        <f>IF(AND(K288&lt;&gt;0,F288&lt;&gt;""),K288,0)</f>
        <v>0</v>
      </c>
      <c r="M288" s="1476" t="str">
        <f t="shared" si="21"/>
        <v>An OPTIONAL input field for this RFA</v>
      </c>
      <c r="N288" s="248">
        <v>2</v>
      </c>
    </row>
    <row r="289" spans="1:13" ht="10.35" customHeight="1">
      <c r="E289" s="925"/>
      <c r="F289" s="54"/>
      <c r="G289" s="905"/>
      <c r="H289" s="905"/>
    </row>
    <row r="290" spans="1:13" ht="17.45" hidden="1" customHeight="1">
      <c r="A290" s="340" t="str" cm="1">
        <f t="array" ref="A290">IF(SUM($K$292:$K$300)=0,"",CHAR(CODE(LOOKUP(2,1/(COUNTIF(A$64:A289,"&gt;"&amp;A$64:A289&amp;"*")=0),A$64:A289))+1))</f>
        <v/>
      </c>
      <c r="B290" s="2974" t="s">
        <v>2004</v>
      </c>
      <c r="C290" s="2974"/>
      <c r="D290" s="2974"/>
      <c r="E290" s="2974"/>
      <c r="F290" s="2974"/>
      <c r="G290" s="2974"/>
      <c r="H290" s="2974"/>
    </row>
    <row r="291" spans="1:13" ht="17.45" hidden="1" customHeight="1">
      <c r="B291" s="711" t="str">
        <f>IF(AND(SUM($K$292:$K$300)&gt;1,$K292=1),1,"")</f>
        <v/>
      </c>
      <c r="C291" s="905" t="s">
        <v>1026</v>
      </c>
    </row>
    <row r="292" spans="1:13" ht="17.45" hidden="1" customHeight="1">
      <c r="C292" s="2961" t="s">
        <v>59</v>
      </c>
      <c r="D292" s="2961"/>
      <c r="E292" s="2961"/>
      <c r="K292" s="953">
        <v>0</v>
      </c>
      <c r="L292" s="931">
        <f>IF(AND(K292&lt;&gt;0,AND(C292&lt;&gt;"&lt;select one&gt;",C292&lt;&gt;"")),K292,0)</f>
        <v>0</v>
      </c>
      <c r="M292" s="905" t="str">
        <f t="shared" ref="M292" si="22">CHOOSE(K292+1,"Not to be included in this RFA","A REQUIRED input field for this RFA","An OPTIONAL input field for this RFA")</f>
        <v>Not to be included in this RFA</v>
      </c>
    </row>
    <row r="293" spans="1:13" ht="17.45" hidden="1" customHeight="1">
      <c r="D293" s="6" t="s">
        <v>1027</v>
      </c>
    </row>
    <row r="294" spans="1:13" ht="10.35" hidden="1" customHeight="1"/>
    <row r="295" spans="1:13" ht="17.45" hidden="1" customHeight="1">
      <c r="B295" s="711" t="str">
        <f>IF(AND(SUM($K$292:$K$300)&gt;1,$K296=1),MAX(B$291:B294)+1,"")</f>
        <v/>
      </c>
      <c r="C295" s="905" t="s">
        <v>1028</v>
      </c>
    </row>
    <row r="296" spans="1:13" ht="17.45" hidden="1" customHeight="1">
      <c r="C296" s="2961" t="s">
        <v>59</v>
      </c>
      <c r="D296" s="2961"/>
      <c r="E296" s="2961"/>
      <c r="K296" s="953">
        <v>0</v>
      </c>
      <c r="L296" s="931">
        <f>IF(AND(K296&lt;&gt;0,AND(C296&lt;&gt;"&lt;select one&gt;",C296&lt;&gt;"")),K296,0)</f>
        <v>0</v>
      </c>
      <c r="M296" s="905" t="str">
        <f t="shared" ref="M296" si="23">CHOOSE(K296+1,"Not to be included in this RFA","A REQUIRED input field for this RFA","An OPTIONAL input field for this RFA")</f>
        <v>Not to be included in this RFA</v>
      </c>
    </row>
    <row r="297" spans="1:13" ht="17.45" hidden="1" customHeight="1">
      <c r="D297" s="6" t="s">
        <v>1029</v>
      </c>
    </row>
    <row r="298" spans="1:13" ht="10.35" hidden="1" customHeight="1"/>
    <row r="299" spans="1:13" hidden="1">
      <c r="B299" s="711" t="str">
        <f>IF(AND(SUM($K$292:$K$300)&gt;1,$K300=1),MAX(B$291:B298)+1,"")</f>
        <v/>
      </c>
      <c r="C299" s="905" t="s">
        <v>1028</v>
      </c>
    </row>
    <row r="300" spans="1:13" ht="17.45" hidden="1" customHeight="1">
      <c r="C300" s="2961" t="s">
        <v>59</v>
      </c>
      <c r="D300" s="2961"/>
      <c r="E300" s="2961"/>
      <c r="K300" s="953">
        <v>0</v>
      </c>
      <c r="L300" s="931">
        <f>IF(AND(K300&lt;&gt;0,AND(C300&lt;&gt;"&lt;select one&gt;",C300&lt;&gt;"")),K300,0)</f>
        <v>0</v>
      </c>
      <c r="M300" s="905" t="str">
        <f t="shared" ref="M300" si="24">CHOOSE(K300+1,"Not to be included in this RFA","A REQUIRED input field for this RFA","An OPTIONAL input field for this RFA")</f>
        <v>Not to be included in this RFA</v>
      </c>
    </row>
    <row r="301" spans="1:13" hidden="1">
      <c r="D301" s="6" t="s">
        <v>1029</v>
      </c>
    </row>
    <row r="302" spans="1:13" ht="10.35" hidden="1" customHeight="1"/>
  </sheetData>
  <sheetProtection algorithmName="SHA-512" hashValue="xe39L/iaf49E4t82PfBlYTaDZ4ky5IG3jMKhofe8Ztpedx/4UY1sAh66DoQthBpKUnH5ss96gdVr1rQT/lnyUA==" saltValue="c+pO9OqPBwCuFIqSYiqnkg==" spinCount="100000" sheet="1" formatRows="0" selectLockedCells="1"/>
  <sortState xmlns:xlrd2="http://schemas.microsoft.com/office/spreadsheetml/2017/richdata2" ref="X243:Y257">
    <sortCondition ref="Y243:Y257"/>
  </sortState>
  <mergeCells count="289">
    <mergeCell ref="K7:O7"/>
    <mergeCell ref="C135:E135"/>
    <mergeCell ref="J1:AA3"/>
    <mergeCell ref="D82:H82"/>
    <mergeCell ref="D119:F119"/>
    <mergeCell ref="G119:H119"/>
    <mergeCell ref="D120:F120"/>
    <mergeCell ref="G120:H120"/>
    <mergeCell ref="D122:H122"/>
    <mergeCell ref="A1:H2"/>
    <mergeCell ref="A8:H8"/>
    <mergeCell ref="B12:H12"/>
    <mergeCell ref="B14:H14"/>
    <mergeCell ref="B16:H16"/>
    <mergeCell ref="B22:H22"/>
    <mergeCell ref="B28:H28"/>
    <mergeCell ref="B10:H10"/>
    <mergeCell ref="F18:G18"/>
    <mergeCell ref="M76:M77"/>
    <mergeCell ref="A6:H6"/>
    <mergeCell ref="A4:H4"/>
    <mergeCell ref="B41:H41"/>
    <mergeCell ref="B46:H46"/>
    <mergeCell ref="D48:H48"/>
    <mergeCell ref="M113:M114"/>
    <mergeCell ref="B54:H54"/>
    <mergeCell ref="C56:G56"/>
    <mergeCell ref="A20:H20"/>
    <mergeCell ref="D43:H43"/>
    <mergeCell ref="D51:H51"/>
    <mergeCell ref="M35:M36"/>
    <mergeCell ref="B27:H27"/>
    <mergeCell ref="F26:G26"/>
    <mergeCell ref="D44:H44"/>
    <mergeCell ref="C69:H69"/>
    <mergeCell ref="D88:H88"/>
    <mergeCell ref="C72:H72"/>
    <mergeCell ref="C75:H75"/>
    <mergeCell ref="D73:E73"/>
    <mergeCell ref="B34:H34"/>
    <mergeCell ref="B36:H36"/>
    <mergeCell ref="F32:G32"/>
    <mergeCell ref="G33:H33"/>
    <mergeCell ref="D49:H49"/>
    <mergeCell ref="D52:H52"/>
    <mergeCell ref="D50:H50"/>
    <mergeCell ref="B64:H64"/>
    <mergeCell ref="B58:H58"/>
    <mergeCell ref="F145:H145"/>
    <mergeCell ref="F135:H135"/>
    <mergeCell ref="C102:H102"/>
    <mergeCell ref="E143:H143"/>
    <mergeCell ref="C145:E145"/>
    <mergeCell ref="G130:H130"/>
    <mergeCell ref="D104:H104"/>
    <mergeCell ref="D105:H105"/>
    <mergeCell ref="C109:G109"/>
    <mergeCell ref="F125:H125"/>
    <mergeCell ref="C138:E138"/>
    <mergeCell ref="C137:E137"/>
    <mergeCell ref="C140:E140"/>
    <mergeCell ref="C130:E130"/>
    <mergeCell ref="G127:H127"/>
    <mergeCell ref="C128:E128"/>
    <mergeCell ref="B141:H141"/>
    <mergeCell ref="D111:H111"/>
    <mergeCell ref="C60:G60"/>
    <mergeCell ref="C71:H71"/>
    <mergeCell ref="A62:H62"/>
    <mergeCell ref="D80:H80"/>
    <mergeCell ref="D83:H83"/>
    <mergeCell ref="B24:H24"/>
    <mergeCell ref="B38:H38"/>
    <mergeCell ref="F39:G39"/>
    <mergeCell ref="F65:H65"/>
    <mergeCell ref="C274:E274"/>
    <mergeCell ref="C285:E285"/>
    <mergeCell ref="E277:H277"/>
    <mergeCell ref="C275:E275"/>
    <mergeCell ref="C279:H279"/>
    <mergeCell ref="G257:H257"/>
    <mergeCell ref="G254:H254"/>
    <mergeCell ref="F270:H270"/>
    <mergeCell ref="C263:E263"/>
    <mergeCell ref="F275:H275"/>
    <mergeCell ref="C286:E286"/>
    <mergeCell ref="C287:E287"/>
    <mergeCell ref="C288:E288"/>
    <mergeCell ref="C280:E280"/>
    <mergeCell ref="C281:E281"/>
    <mergeCell ref="C282:E282"/>
    <mergeCell ref="C283:E283"/>
    <mergeCell ref="C284:E284"/>
    <mergeCell ref="F288:H288"/>
    <mergeCell ref="C300:E300"/>
    <mergeCell ref="C124:E124"/>
    <mergeCell ref="G140:H140"/>
    <mergeCell ref="B290:H290"/>
    <mergeCell ref="C292:E292"/>
    <mergeCell ref="B226:H226"/>
    <mergeCell ref="D247:E247"/>
    <mergeCell ref="D251:H251"/>
    <mergeCell ref="G129:H129"/>
    <mergeCell ref="F128:H128"/>
    <mergeCell ref="C134:E134"/>
    <mergeCell ref="B211:H211"/>
    <mergeCell ref="D241:H241"/>
    <mergeCell ref="D242:E242"/>
    <mergeCell ref="C238:H238"/>
    <mergeCell ref="C144:E144"/>
    <mergeCell ref="D257:E257"/>
    <mergeCell ref="B265:H265"/>
    <mergeCell ref="B253:C253"/>
    <mergeCell ref="D258:E258"/>
    <mergeCell ref="C266:H266"/>
    <mergeCell ref="C262:H262"/>
    <mergeCell ref="F283:H283"/>
    <mergeCell ref="F253:H253"/>
    <mergeCell ref="D213:H213"/>
    <mergeCell ref="F205:H205"/>
    <mergeCell ref="C206:E206"/>
    <mergeCell ref="G206:H206"/>
    <mergeCell ref="D197:H197"/>
    <mergeCell ref="C195:E195"/>
    <mergeCell ref="F195:H195"/>
    <mergeCell ref="C196:E196"/>
    <mergeCell ref="G196:H196"/>
    <mergeCell ref="C199:H199"/>
    <mergeCell ref="F198:H198"/>
    <mergeCell ref="C212:H212"/>
    <mergeCell ref="C209:H209"/>
    <mergeCell ref="D207:H207"/>
    <mergeCell ref="E201:H201"/>
    <mergeCell ref="F208:H208"/>
    <mergeCell ref="C204:E204"/>
    <mergeCell ref="F203:H203"/>
    <mergeCell ref="G204:H204"/>
    <mergeCell ref="C205:E205"/>
    <mergeCell ref="C193:E193"/>
    <mergeCell ref="C192:E192"/>
    <mergeCell ref="F192:H192"/>
    <mergeCell ref="C202:E202"/>
    <mergeCell ref="F202:H202"/>
    <mergeCell ref="C203:E203"/>
    <mergeCell ref="F154:H154"/>
    <mergeCell ref="G167:H167"/>
    <mergeCell ref="B259:H259"/>
    <mergeCell ref="G248:H248"/>
    <mergeCell ref="C246:E246"/>
    <mergeCell ref="C255:E255"/>
    <mergeCell ref="C256:E256"/>
    <mergeCell ref="G245:H245"/>
    <mergeCell ref="F246:H246"/>
    <mergeCell ref="G255:H255"/>
    <mergeCell ref="F256:H256"/>
    <mergeCell ref="D223:H223"/>
    <mergeCell ref="F224:H224"/>
    <mergeCell ref="C215:H215"/>
    <mergeCell ref="C222:H222"/>
    <mergeCell ref="D220:E220"/>
    <mergeCell ref="C230:E230"/>
    <mergeCell ref="F242:H242"/>
    <mergeCell ref="C146:E146"/>
    <mergeCell ref="F146:H146"/>
    <mergeCell ref="B171:H171"/>
    <mergeCell ref="C160:E160"/>
    <mergeCell ref="C164:E164"/>
    <mergeCell ref="C165:E165"/>
    <mergeCell ref="C167:E167"/>
    <mergeCell ref="C159:E159"/>
    <mergeCell ref="G160:H160"/>
    <mergeCell ref="C166:E166"/>
    <mergeCell ref="F166:H166"/>
    <mergeCell ref="F158:H158"/>
    <mergeCell ref="F168:H168"/>
    <mergeCell ref="B161:H161"/>
    <mergeCell ref="G169:H169"/>
    <mergeCell ref="C156:E156"/>
    <mergeCell ref="F156:H156"/>
    <mergeCell ref="C147:E147"/>
    <mergeCell ref="C148:E148"/>
    <mergeCell ref="C168:E168"/>
    <mergeCell ref="C169:E169"/>
    <mergeCell ref="C170:E170"/>
    <mergeCell ref="C296:E296"/>
    <mergeCell ref="D243:E243"/>
    <mergeCell ref="G258:H258"/>
    <mergeCell ref="C270:E270"/>
    <mergeCell ref="C273:E273"/>
    <mergeCell ref="D244:E244"/>
    <mergeCell ref="D248:E248"/>
    <mergeCell ref="D253:E253"/>
    <mergeCell ref="D254:E254"/>
    <mergeCell ref="D252:E252"/>
    <mergeCell ref="C272:E272"/>
    <mergeCell ref="C271:E271"/>
    <mergeCell ref="C267:E267"/>
    <mergeCell ref="C268:E268"/>
    <mergeCell ref="C269:E269"/>
    <mergeCell ref="G247:H247"/>
    <mergeCell ref="G244:H244"/>
    <mergeCell ref="B249:H249"/>
    <mergeCell ref="F243:H243"/>
    <mergeCell ref="F269:H269"/>
    <mergeCell ref="F252:H252"/>
    <mergeCell ref="F282:H282"/>
    <mergeCell ref="B243:C243"/>
    <mergeCell ref="C245:E245"/>
    <mergeCell ref="C239:F239"/>
    <mergeCell ref="G239:H239"/>
    <mergeCell ref="C236:E236"/>
    <mergeCell ref="C227:H227"/>
    <mergeCell ref="F236:H236"/>
    <mergeCell ref="F230:H230"/>
    <mergeCell ref="F232:H232"/>
    <mergeCell ref="C235:E235"/>
    <mergeCell ref="C228:E228"/>
    <mergeCell ref="D224:E224"/>
    <mergeCell ref="C229:E229"/>
    <mergeCell ref="F231:H231"/>
    <mergeCell ref="C234:E234"/>
    <mergeCell ref="C233:E233"/>
    <mergeCell ref="C231:E231"/>
    <mergeCell ref="C232:E232"/>
    <mergeCell ref="D216:H216"/>
    <mergeCell ref="B151:H151"/>
    <mergeCell ref="G194:H194"/>
    <mergeCell ref="D178:H178"/>
    <mergeCell ref="E179:H179"/>
    <mergeCell ref="E153:H153"/>
    <mergeCell ref="E163:H163"/>
    <mergeCell ref="C154:E154"/>
    <mergeCell ref="C155:E155"/>
    <mergeCell ref="C157:E157"/>
    <mergeCell ref="C158:E158"/>
    <mergeCell ref="B173:G173"/>
    <mergeCell ref="E176:H176"/>
    <mergeCell ref="D187:H187"/>
    <mergeCell ref="D190:H190"/>
    <mergeCell ref="D175:H175"/>
    <mergeCell ref="C181:H181"/>
    <mergeCell ref="D84:G84"/>
    <mergeCell ref="F124:H124"/>
    <mergeCell ref="G118:H118"/>
    <mergeCell ref="G117:H117"/>
    <mergeCell ref="C126:E126"/>
    <mergeCell ref="F126:H126"/>
    <mergeCell ref="C125:E125"/>
    <mergeCell ref="D99:H99"/>
    <mergeCell ref="F138:H138"/>
    <mergeCell ref="C127:E127"/>
    <mergeCell ref="B131:H131"/>
    <mergeCell ref="F134:H134"/>
    <mergeCell ref="F136:H136"/>
    <mergeCell ref="C136:E136"/>
    <mergeCell ref="E133:H133"/>
    <mergeCell ref="D97:H97"/>
    <mergeCell ref="D95:H95"/>
    <mergeCell ref="C129:E129"/>
    <mergeCell ref="D118:F118"/>
    <mergeCell ref="E123:H123"/>
    <mergeCell ref="E92:H92"/>
    <mergeCell ref="C107:H107"/>
    <mergeCell ref="D116:H116"/>
    <mergeCell ref="D117:F117"/>
    <mergeCell ref="P170:R170"/>
    <mergeCell ref="N179:O179"/>
    <mergeCell ref="G137:H137"/>
    <mergeCell ref="L179:M179"/>
    <mergeCell ref="F193:H193"/>
    <mergeCell ref="C194:E194"/>
    <mergeCell ref="E191:H191"/>
    <mergeCell ref="B101:H101"/>
    <mergeCell ref="D103:H103"/>
    <mergeCell ref="C139:E139"/>
    <mergeCell ref="G159:H159"/>
    <mergeCell ref="C150:E150"/>
    <mergeCell ref="G149:H149"/>
    <mergeCell ref="G147:H147"/>
    <mergeCell ref="C149:E149"/>
    <mergeCell ref="G150:H150"/>
    <mergeCell ref="G170:H170"/>
    <mergeCell ref="F155:H155"/>
    <mergeCell ref="F164:H164"/>
    <mergeCell ref="F148:H148"/>
    <mergeCell ref="F165:H165"/>
    <mergeCell ref="G157:H157"/>
    <mergeCell ref="G139:H139"/>
    <mergeCell ref="F144:H144"/>
  </mergeCells>
  <conditionalFormatting sqref="F32">
    <cfRule type="cellIs" dxfId="1363" priority="203" operator="notEqual">
      <formula>"&lt;select one&gt;"</formula>
    </cfRule>
  </conditionalFormatting>
  <conditionalFormatting sqref="F65:H65">
    <cfRule type="cellIs" dxfId="1362" priority="46" operator="notEqual">
      <formula>""</formula>
    </cfRule>
  </conditionalFormatting>
  <conditionalFormatting sqref="G117:H117">
    <cfRule type="cellIs" dxfId="1361" priority="271" operator="notEqual">
      <formula>""</formula>
    </cfRule>
  </conditionalFormatting>
  <conditionalFormatting sqref="G118:H118">
    <cfRule type="cellIs" dxfId="1360" priority="272" operator="notEqual">
      <formula>""</formula>
    </cfRule>
  </conditionalFormatting>
  <conditionalFormatting sqref="F124:H124">
    <cfRule type="cellIs" dxfId="1359" priority="275" operator="notEqual">
      <formula>""</formula>
    </cfRule>
  </conditionalFormatting>
  <conditionalFormatting sqref="F125:H125">
    <cfRule type="cellIs" dxfId="1358" priority="276" operator="notEqual">
      <formula>""</formula>
    </cfRule>
  </conditionalFormatting>
  <conditionalFormatting sqref="F128:H128">
    <cfRule type="expression" dxfId="1357" priority="278">
      <formula>AND(F128&lt;&gt;"",F128&lt;&gt;"&lt;select one&gt;")</formula>
    </cfRule>
  </conditionalFormatting>
  <conditionalFormatting sqref="F134:H134">
    <cfRule type="cellIs" dxfId="1356" priority="294" operator="notEqual">
      <formula>""</formula>
    </cfRule>
  </conditionalFormatting>
  <conditionalFormatting sqref="F144:H144">
    <cfRule type="cellIs" dxfId="1355" priority="306" operator="notEqual">
      <formula>""</formula>
    </cfRule>
  </conditionalFormatting>
  <conditionalFormatting sqref="F135:H135">
    <cfRule type="cellIs" dxfId="1354" priority="295" operator="notEqual">
      <formula>""</formula>
    </cfRule>
  </conditionalFormatting>
  <conditionalFormatting sqref="F145:H145">
    <cfRule type="cellIs" dxfId="1353" priority="307" operator="notEqual">
      <formula>""</formula>
    </cfRule>
  </conditionalFormatting>
  <conditionalFormatting sqref="F230:H232 F236:H236 F234:F235 H235">
    <cfRule type="cellIs" dxfId="1352" priority="419" operator="notEqual">
      <formula>""</formula>
    </cfRule>
  </conditionalFormatting>
  <conditionalFormatting sqref="F242:H242">
    <cfRule type="cellIs" dxfId="1351" priority="435" operator="notEqual">
      <formula>""</formula>
    </cfRule>
  </conditionalFormatting>
  <conditionalFormatting sqref="F244:F245">
    <cfRule type="cellIs" dxfId="1350" priority="440" operator="notEqual">
      <formula>"&lt;select one&gt;"</formula>
    </cfRule>
  </conditionalFormatting>
  <conditionalFormatting sqref="F252:H252">
    <cfRule type="cellIs" dxfId="1349" priority="471" operator="notEqual">
      <formula>""</formula>
    </cfRule>
  </conditionalFormatting>
  <conditionalFormatting sqref="F269:H269">
    <cfRule type="cellIs" dxfId="1348" priority="547" operator="notEqual">
      <formula>""</formula>
    </cfRule>
  </conditionalFormatting>
  <conditionalFormatting sqref="F282:H282">
    <cfRule type="cellIs" dxfId="1347" priority="567" operator="notEqual">
      <formula>""</formula>
    </cfRule>
  </conditionalFormatting>
  <conditionalFormatting sqref="F243:H243">
    <cfRule type="cellIs" dxfId="1346" priority="436" operator="notEqual">
      <formula>""</formula>
    </cfRule>
  </conditionalFormatting>
  <conditionalFormatting sqref="F253:H253">
    <cfRule type="cellIs" dxfId="1345" priority="472" operator="notEqual">
      <formula>""</formula>
    </cfRule>
  </conditionalFormatting>
  <conditionalFormatting sqref="F248">
    <cfRule type="cellIs" dxfId="1344" priority="457" operator="notEqual">
      <formula>""</formula>
    </cfRule>
  </conditionalFormatting>
  <conditionalFormatting sqref="F247">
    <cfRule type="cellIs" dxfId="1343" priority="441" operator="notEqual">
      <formula>""</formula>
    </cfRule>
  </conditionalFormatting>
  <conditionalFormatting sqref="F258">
    <cfRule type="cellIs" dxfId="1342" priority="478" operator="notEqual">
      <formula>""</formula>
    </cfRule>
  </conditionalFormatting>
  <conditionalFormatting sqref="F257">
    <cfRule type="cellIs" dxfId="1341" priority="477" operator="notEqual">
      <formula>""</formula>
    </cfRule>
  </conditionalFormatting>
  <conditionalFormatting sqref="F267">
    <cfRule type="cellIs" dxfId="1340" priority="544" operator="notEqual">
      <formula>""</formula>
    </cfRule>
  </conditionalFormatting>
  <conditionalFormatting sqref="F268">
    <cfRule type="cellIs" dxfId="1339" priority="546" operator="notEqual">
      <formula>""</formula>
    </cfRule>
  </conditionalFormatting>
  <conditionalFormatting sqref="F271">
    <cfRule type="cellIs" dxfId="1338" priority="551" operator="notEqual">
      <formula>""</formula>
    </cfRule>
  </conditionalFormatting>
  <conditionalFormatting sqref="F273">
    <cfRule type="cellIs" dxfId="1337" priority="553" operator="notEqual">
      <formula>""</formula>
    </cfRule>
  </conditionalFormatting>
  <conditionalFormatting sqref="F275">
    <cfRule type="cellIs" dxfId="1336" priority="558" operator="notEqual">
      <formula>""</formula>
    </cfRule>
  </conditionalFormatting>
  <conditionalFormatting sqref="F280">
    <cfRule type="cellIs" dxfId="1335" priority="564" operator="notEqual">
      <formula>""</formula>
    </cfRule>
  </conditionalFormatting>
  <conditionalFormatting sqref="F281">
    <cfRule type="cellIs" dxfId="1334" priority="566" operator="notEqual">
      <formula>""</formula>
    </cfRule>
  </conditionalFormatting>
  <conditionalFormatting sqref="F284">
    <cfRule type="cellIs" dxfId="1333" priority="571" operator="notEqual">
      <formula>""</formula>
    </cfRule>
  </conditionalFormatting>
  <conditionalFormatting sqref="F286">
    <cfRule type="cellIs" dxfId="1332" priority="573" operator="notEqual">
      <formula>""</formula>
    </cfRule>
  </conditionalFormatting>
  <conditionalFormatting sqref="F270:H270">
    <cfRule type="cellIs" dxfId="1331" priority="550" operator="notEqual">
      <formula>""</formula>
    </cfRule>
  </conditionalFormatting>
  <conditionalFormatting sqref="F283:H283">
    <cfRule type="cellIs" dxfId="1330" priority="568" operator="notEqual">
      <formula>""</formula>
    </cfRule>
  </conditionalFormatting>
  <conditionalFormatting sqref="G239:H239">
    <cfRule type="cellIs" dxfId="1329" priority="423" operator="notEqual">
      <formula>""</formula>
    </cfRule>
  </conditionalFormatting>
  <conditionalFormatting sqref="D224">
    <cfRule type="cellIs" dxfId="1328" priority="408" operator="notEqual">
      <formula>"&lt;select one&gt;"</formula>
    </cfRule>
  </conditionalFormatting>
  <conditionalFormatting sqref="F274 H274">
    <cfRule type="cellIs" dxfId="1327" priority="554" operator="notEqual">
      <formula>""</formula>
    </cfRule>
  </conditionalFormatting>
  <conditionalFormatting sqref="F287 H287">
    <cfRule type="cellIs" dxfId="1326" priority="574" operator="notEqual">
      <formula>""</formula>
    </cfRule>
  </conditionalFormatting>
  <conditionalFormatting sqref="F285">
    <cfRule type="cellIs" dxfId="1325" priority="572" operator="notEqual">
      <formula>"&lt;select one&gt;"</formula>
    </cfRule>
  </conditionalFormatting>
  <conditionalFormatting sqref="F254:F255">
    <cfRule type="cellIs" dxfId="1324" priority="473" operator="notEqual">
      <formula>"&lt;select one&gt;"</formula>
    </cfRule>
  </conditionalFormatting>
  <conditionalFormatting sqref="F272">
    <cfRule type="cellIs" dxfId="1323" priority="552" operator="notEqual">
      <formula>"&lt;select one&gt;"</formula>
    </cfRule>
  </conditionalFormatting>
  <conditionalFormatting sqref="F233">
    <cfRule type="cellIs" dxfId="1322" priority="420" operator="notEqual">
      <formula>"&lt;select one&gt;"</formula>
    </cfRule>
  </conditionalFormatting>
  <conditionalFormatting sqref="H267">
    <cfRule type="cellIs" dxfId="1321" priority="545" operator="notEqual">
      <formula>""</formula>
    </cfRule>
  </conditionalFormatting>
  <conditionalFormatting sqref="F288:H288">
    <cfRule type="cellIs" dxfId="1320" priority="575" operator="notEqual">
      <formula>""</formula>
    </cfRule>
  </conditionalFormatting>
  <conditionalFormatting sqref="D103:H105">
    <cfRule type="cellIs" dxfId="1319" priority="265" operator="notEqual">
      <formula>""</formula>
    </cfRule>
  </conditionalFormatting>
  <conditionalFormatting sqref="H280">
    <cfRule type="cellIs" dxfId="1318" priority="565" operator="notEqual">
      <formula>""</formula>
    </cfRule>
  </conditionalFormatting>
  <conditionalFormatting sqref="G67">
    <cfRule type="cellIs" dxfId="1317" priority="228" operator="notEqual">
      <formula>"&lt;select one&gt;"</formula>
    </cfRule>
  </conditionalFormatting>
  <conditionalFormatting sqref="B67:H68">
    <cfRule type="expression" dxfId="1316" priority="227">
      <formula>$K$67=0</formula>
    </cfRule>
  </conditionalFormatting>
  <conditionalFormatting sqref="B71:H86">
    <cfRule type="expression" dxfId="1315" priority="229">
      <formula>$K$73=0</formula>
    </cfRule>
  </conditionalFormatting>
  <conditionalFormatting sqref="B175:H177">
    <cfRule type="expression" dxfId="1314" priority="319">
      <formula>$M$175=0</formula>
    </cfRule>
  </conditionalFormatting>
  <conditionalFormatting sqref="B222:I225">
    <cfRule type="expression" dxfId="1313" priority="403">
      <formula>OR($K$224=0,$M$218&lt;&gt;0)</formula>
    </cfRule>
  </conditionalFormatting>
  <conditionalFormatting sqref="F127">
    <cfRule type="cellIs" dxfId="1312" priority="277" operator="notEqual">
      <formula>"&lt;select one&gt;"</formula>
    </cfRule>
  </conditionalFormatting>
  <conditionalFormatting sqref="F138:H138">
    <cfRule type="expression" dxfId="1311" priority="299">
      <formula>AND(F138&lt;&gt;"",F138&lt;&gt;"&lt;select one&gt;")</formula>
    </cfRule>
  </conditionalFormatting>
  <conditionalFormatting sqref="F137">
    <cfRule type="cellIs" dxfId="1310" priority="296" operator="notEqual">
      <formula>"&lt;select one&gt;"</formula>
    </cfRule>
  </conditionalFormatting>
  <conditionalFormatting sqref="F148:H148">
    <cfRule type="expression" dxfId="1309" priority="309">
      <formula>AND(F148&lt;&gt;"",F148&lt;&gt;"&lt;select one&gt;")</formula>
    </cfRule>
  </conditionalFormatting>
  <conditionalFormatting sqref="F147">
    <cfRule type="cellIs" dxfId="1308" priority="308" operator="notEqual">
      <formula>"&lt;select one&gt;"</formula>
    </cfRule>
  </conditionalFormatting>
  <conditionalFormatting sqref="B124:H130 B134:H140 B144:H150 B154:H160 B164:H170">
    <cfRule type="expression" dxfId="1307" priority="286">
      <formula>$K124=0</formula>
    </cfRule>
  </conditionalFormatting>
  <conditionalFormatting sqref="B133:H142">
    <cfRule type="expression" dxfId="1306" priority="293">
      <formula>$M$133=0</formula>
    </cfRule>
  </conditionalFormatting>
  <conditionalFormatting sqref="B143:H145 B147:H152">
    <cfRule type="expression" dxfId="1305" priority="292">
      <formula>$M$143=0</formula>
    </cfRule>
  </conditionalFormatting>
  <conditionalFormatting sqref="B251:H254 B257:H260 B255:B256">
    <cfRule type="expression" dxfId="1304" priority="469">
      <formula>$M$251=0</formula>
    </cfRule>
  </conditionalFormatting>
  <conditionalFormatting sqref="A41:H45">
    <cfRule type="expression" dxfId="1303" priority="206">
      <formula>$M$41=0</formula>
    </cfRule>
  </conditionalFormatting>
  <conditionalFormatting sqref="A47:H53 B46:H46">
    <cfRule type="expression" dxfId="1302" priority="210">
      <formula>$M$46=0</formula>
    </cfRule>
  </conditionalFormatting>
  <conditionalFormatting sqref="D73">
    <cfRule type="cellIs" dxfId="1301" priority="230" operator="notEqual">
      <formula>"&lt;select one&gt;"</formula>
    </cfRule>
  </conditionalFormatting>
  <conditionalFormatting sqref="B94:H95">
    <cfRule type="expression" dxfId="1300" priority="262">
      <formula>$M$94=0</formula>
    </cfRule>
  </conditionalFormatting>
  <conditionalFormatting sqref="B98:H100">
    <cfRule type="expression" dxfId="1299" priority="264">
      <formula>$M$98=0</formula>
    </cfRule>
  </conditionalFormatting>
  <conditionalFormatting sqref="F228">
    <cfRule type="cellIs" dxfId="1298" priority="414" operator="notEqual">
      <formula>""</formula>
    </cfRule>
  </conditionalFormatting>
  <conditionalFormatting sqref="F229">
    <cfRule type="cellIs" dxfId="1297" priority="418" operator="notEqual">
      <formula>""</formula>
    </cfRule>
  </conditionalFormatting>
  <conditionalFormatting sqref="H228">
    <cfRule type="cellIs" dxfId="1296" priority="415" operator="notEqual">
      <formula>""</formula>
    </cfRule>
  </conditionalFormatting>
  <conditionalFormatting sqref="C228:H236">
    <cfRule type="expression" dxfId="1295" priority="410">
      <formula>$K228=0</formula>
    </cfRule>
  </conditionalFormatting>
  <conditionalFormatting sqref="C263">
    <cfRule type="cellIs" dxfId="1294" priority="521" operator="notEqual">
      <formula>"&lt;select one&gt;"</formula>
    </cfRule>
  </conditionalFormatting>
  <conditionalFormatting sqref="A261:H264">
    <cfRule type="expression" dxfId="1293" priority="507">
      <formula>$K$263=0</formula>
    </cfRule>
  </conditionalFormatting>
  <conditionalFormatting sqref="B44:H44">
    <cfRule type="expression" dxfId="1292" priority="208">
      <formula>DS_ExcelCheckBox_AtLeast80=TRUE</formula>
    </cfRule>
  </conditionalFormatting>
  <conditionalFormatting sqref="B43:H43">
    <cfRule type="expression" dxfId="1291" priority="207">
      <formula>DS_ExcelCheckBox_LessThan80=TRUE</formula>
    </cfRule>
  </conditionalFormatting>
  <conditionalFormatting sqref="F129">
    <cfRule type="cellIs" dxfId="1290" priority="279" operator="notEqual">
      <formula>""</formula>
    </cfRule>
  </conditionalFormatting>
  <conditionalFormatting sqref="F130">
    <cfRule type="cellIs" dxfId="1289" priority="173" operator="notEqual">
      <formula>""</formula>
    </cfRule>
  </conditionalFormatting>
  <conditionalFormatting sqref="F139">
    <cfRule type="cellIs" dxfId="1288" priority="301" operator="notEqual">
      <formula>""</formula>
    </cfRule>
  </conditionalFormatting>
  <conditionalFormatting sqref="F140">
    <cfRule type="expression" dxfId="1287" priority="302">
      <formula>AND(F140&lt;&gt;"",OR(N(F140)&gt;YEAR(NOW()),N(F140)&lt;YEAR(DS_DevExp_SinceDate)))</formula>
    </cfRule>
    <cfRule type="cellIs" dxfId="1286" priority="303" operator="notEqual">
      <formula>""</formula>
    </cfRule>
  </conditionalFormatting>
  <conditionalFormatting sqref="F149">
    <cfRule type="cellIs" dxfId="1285" priority="310" operator="notEqual">
      <formula>""</formula>
    </cfRule>
  </conditionalFormatting>
  <conditionalFormatting sqref="F150">
    <cfRule type="expression" dxfId="1284" priority="311">
      <formula>AND(F150&lt;&gt;"",OR(N(F150)&gt;YEAR(NOW()),N(F150)&lt;YEAR(DS_DevExp_SinceDate)))</formula>
    </cfRule>
    <cfRule type="cellIs" dxfId="1283" priority="314" operator="notEqual">
      <formula>""</formula>
    </cfRule>
  </conditionalFormatting>
  <conditionalFormatting sqref="C292">
    <cfRule type="cellIs" dxfId="1282" priority="581" operator="notEqual">
      <formula>"&lt;select one&gt;"</formula>
    </cfRule>
  </conditionalFormatting>
  <conditionalFormatting sqref="A291:H294">
    <cfRule type="expression" dxfId="1281" priority="577">
      <formula>$K$292=0</formula>
    </cfRule>
  </conditionalFormatting>
  <conditionalFormatting sqref="B238:H244 B247:H254 B245:B246 B257:H260 B255:B256 F245:F246 F255:F256">
    <cfRule type="expression" dxfId="1280" priority="421">
      <formula>$M$238=0</formula>
    </cfRule>
  </conditionalFormatting>
  <conditionalFormatting sqref="C296">
    <cfRule type="cellIs" dxfId="1279" priority="1638" operator="notEqual">
      <formula>"&lt;select one&gt;"</formula>
    </cfRule>
  </conditionalFormatting>
  <conditionalFormatting sqref="C300">
    <cfRule type="cellIs" dxfId="1278" priority="2341" operator="notEqual">
      <formula>"&lt;select one&gt;"</formula>
    </cfRule>
  </conditionalFormatting>
  <conditionalFormatting sqref="A295:H298">
    <cfRule type="expression" dxfId="1277" priority="582">
      <formula>$K$296=0</formula>
    </cfRule>
  </conditionalFormatting>
  <conditionalFormatting sqref="A299:H302">
    <cfRule type="expression" dxfId="1276" priority="2329">
      <formula>$K$300=0</formula>
    </cfRule>
  </conditionalFormatting>
  <conditionalFormatting sqref="A290:H302">
    <cfRule type="expression" dxfId="1275" priority="576">
      <formula>SUM($K$292:$K$300)=0</formula>
    </cfRule>
  </conditionalFormatting>
  <conditionalFormatting sqref="B280:H288">
    <cfRule type="expression" dxfId="1274" priority="563">
      <formula>$K280=0</formula>
    </cfRule>
  </conditionalFormatting>
  <conditionalFormatting sqref="A279:H289">
    <cfRule type="expression" dxfId="1273" priority="562">
      <formula>$M$279=0</formula>
    </cfRule>
  </conditionalFormatting>
  <conditionalFormatting sqref="E277:H277">
    <cfRule type="cellIs" dxfId="1272" priority="561" operator="notEqual">
      <formula>"This area intentionally left blank."</formula>
    </cfRule>
  </conditionalFormatting>
  <conditionalFormatting sqref="D276:H277">
    <cfRule type="expression" dxfId="1271" priority="559">
      <formula>$M$277=0</formula>
    </cfRule>
  </conditionalFormatting>
  <conditionalFormatting sqref="G33:H33 G35:H35 G37:H37">
    <cfRule type="cellIs" dxfId="1270" priority="205" operator="notEqual">
      <formula>""</formula>
    </cfRule>
  </conditionalFormatting>
  <conditionalFormatting sqref="B96:H97">
    <cfRule type="expression" dxfId="1269" priority="263">
      <formula>$M$96=0</formula>
    </cfRule>
  </conditionalFormatting>
  <conditionalFormatting sqref="A48:H52">
    <cfRule type="expression" dxfId="1268" priority="211">
      <formula>$K48=0</formula>
    </cfRule>
  </conditionalFormatting>
  <conditionalFormatting sqref="H60">
    <cfRule type="expression" dxfId="1267" priority="177">
      <formula>AND(IFERROR(FIND("Elderly",Demographic),0)=0,Veteran_Elderly_Pref&lt;&gt;"&lt;select one&gt;")</formula>
    </cfRule>
    <cfRule type="expression" dxfId="1266" priority="220">
      <formula>AND(IFERROR(FIND("Elderly",Demographic),0)=0,Veteran_Elderly_Pref="&lt;select one&gt;")</formula>
    </cfRule>
    <cfRule type="cellIs" dxfId="1265" priority="222" operator="notEqual">
      <formula>"&lt;select one&gt;"</formula>
    </cfRule>
  </conditionalFormatting>
  <conditionalFormatting sqref="A58:H61">
    <cfRule type="expression" dxfId="1264" priority="2">
      <formula>$K$60=0</formula>
    </cfRule>
  </conditionalFormatting>
  <conditionalFormatting sqref="A46">
    <cfRule type="expression" dxfId="1263" priority="209">
      <formula>$M$46=0</formula>
    </cfRule>
  </conditionalFormatting>
  <conditionalFormatting sqref="H84">
    <cfRule type="cellIs" dxfId="1262" priority="254" operator="notEqual">
      <formula>""</formula>
    </cfRule>
  </conditionalFormatting>
  <conditionalFormatting sqref="B84:H86">
    <cfRule type="expression" dxfId="1261" priority="235">
      <formula>$K$84=0</formula>
    </cfRule>
  </conditionalFormatting>
  <conditionalFormatting sqref="E90">
    <cfRule type="cellIs" dxfId="1260" priority="257" operator="notEqual">
      <formula>"&lt;select one&gt;"</formula>
    </cfRule>
  </conditionalFormatting>
  <conditionalFormatting sqref="E92:H92">
    <cfRule type="expression" dxfId="1259" priority="199">
      <formula>Qualify_as_CHDO&lt;&gt;"Yes"</formula>
    </cfRule>
    <cfRule type="expression" dxfId="1258" priority="260">
      <formula>AND($E$90="Yes",E92="")</formula>
    </cfRule>
    <cfRule type="cellIs" dxfId="1257" priority="261" operator="notEqual">
      <formula>""</formula>
    </cfRule>
  </conditionalFormatting>
  <conditionalFormatting sqref="D91">
    <cfRule type="expression" dxfId="1256" priority="258">
      <formula>$E$90&lt;&gt;"Yes"</formula>
    </cfRule>
  </conditionalFormatting>
  <conditionalFormatting sqref="B87:H93">
    <cfRule type="expression" dxfId="1255" priority="255">
      <formula>$K$90=0</formula>
    </cfRule>
  </conditionalFormatting>
  <conditionalFormatting sqref="E112">
    <cfRule type="cellIs" dxfId="1254" priority="267" operator="notEqual">
      <formula>"&lt;select one&gt;"</formula>
    </cfRule>
  </conditionalFormatting>
  <conditionalFormatting sqref="D111:H115">
    <cfRule type="expression" dxfId="1253" priority="266">
      <formula>$K$112=0</formula>
    </cfRule>
  </conditionalFormatting>
  <conditionalFormatting sqref="B178:H180 B184:H184">
    <cfRule type="expression" dxfId="1252" priority="320">
      <formula>$M$178=0</formula>
    </cfRule>
  </conditionalFormatting>
  <conditionalFormatting sqref="F192:H192">
    <cfRule type="cellIs" dxfId="1251" priority="326" operator="notEqual">
      <formula>""</formula>
    </cfRule>
  </conditionalFormatting>
  <conditionalFormatting sqref="F193:H193">
    <cfRule type="cellIs" dxfId="1250" priority="328" operator="notEqual">
      <formula>""</formula>
    </cfRule>
  </conditionalFormatting>
  <conditionalFormatting sqref="F195:H195">
    <cfRule type="cellIs" dxfId="1249" priority="330" operator="notEqual">
      <formula>""</formula>
    </cfRule>
  </conditionalFormatting>
  <conditionalFormatting sqref="F194">
    <cfRule type="expression" dxfId="1248" priority="329">
      <formula>AND($F194&lt;&gt;"",$F194&lt;&gt;"&lt;select one&gt;")</formula>
    </cfRule>
  </conditionalFormatting>
  <conditionalFormatting sqref="C192:H196">
    <cfRule type="expression" dxfId="1247" priority="324">
      <formula>$K192=0</formula>
    </cfRule>
  </conditionalFormatting>
  <conditionalFormatting sqref="F196">
    <cfRule type="cellIs" dxfId="1246" priority="331" operator="notEqual">
      <formula>""</formula>
    </cfRule>
  </conditionalFormatting>
  <conditionalFormatting sqref="G196:H196">
    <cfRule type="expression" dxfId="1245" priority="333">
      <formula>AND($G196&lt;&gt;"",IFERROR(FIND("do NOT",$G196),0)&gt;0,IFERROR(FIND("NOT met",$G196),0)&gt;0)</formula>
    </cfRule>
    <cfRule type="expression" dxfId="1244" priority="336">
      <formula>AND($G196&lt;&gt;"",IFERROR(FIND("do NOT",$G196),0)=0,IFERROR(FIND("NOT met",$G196),0)=0)</formula>
    </cfRule>
    <cfRule type="expression" dxfId="1243" priority="337">
      <formula>AND($G196&lt;&gt;"",OR(AND(IFERROR(FIND("do NOT",$G196),0)&gt;0,IFERROR(FIND("NOT met",$G196),0)=0),AND(IFERROR(FIND("do NOT",$G196),0)=0,IFERROR(FIND("NOT met",$G196),0)&gt;0)))</formula>
    </cfRule>
  </conditionalFormatting>
  <conditionalFormatting sqref="E198">
    <cfRule type="expression" dxfId="1242" priority="342">
      <formula>AND(E198&lt;&gt;"",E198&lt;&gt;"&lt;select one&gt;")</formula>
    </cfRule>
  </conditionalFormatting>
  <conditionalFormatting sqref="C197:H198">
    <cfRule type="expression" dxfId="1241" priority="339">
      <formula>$K$198=0</formula>
    </cfRule>
  </conditionalFormatting>
  <conditionalFormatting sqref="B185:H210">
    <cfRule type="expression" dxfId="1240" priority="321">
      <formula>$M$185=0</formula>
    </cfRule>
  </conditionalFormatting>
  <conditionalFormatting sqref="B77:H83">
    <cfRule type="expression" dxfId="1239" priority="233">
      <formula>$M$75=0</formula>
    </cfRule>
  </conditionalFormatting>
  <conditionalFormatting sqref="C75:H83">
    <cfRule type="expression" dxfId="1238" priority="234">
      <formula>NonProfit_Applicant&lt;&gt;"Yes"</formula>
    </cfRule>
  </conditionalFormatting>
  <conditionalFormatting sqref="D114:H114">
    <cfRule type="expression" dxfId="1237" priority="268">
      <formula>DevExp_Natural_Person_Meets&lt;&gt;"Yes"</formula>
    </cfRule>
  </conditionalFormatting>
  <conditionalFormatting sqref="G247:H247 G257:H257">
    <cfRule type="expression" dxfId="1236" priority="442">
      <formula>AND($G247&lt;&gt;"",OR(AND(IFERROR(FIND("NOT meet",$G247),0)&gt;0,IFERROR(FIND("NOT met",$G247),0)=0),AND(IFERROR(FIND("NOT meet",$G247),0)=0,IFERROR(FIND("NOT met",$G247),0)&gt;0)))</formula>
    </cfRule>
    <cfRule type="expression" dxfId="1235" priority="443">
      <formula>AND($G247&lt;&gt;"",$O247="Units-SNF",DS_MgmtExp_MinUnits_Devs&gt;0,LEFT(MgmtExp_MinUnits_Score,2)="No")</formula>
    </cfRule>
  </conditionalFormatting>
  <conditionalFormatting sqref="F202:H202">
    <cfRule type="cellIs" dxfId="1234" priority="371" operator="notEqual">
      <formula>""</formula>
    </cfRule>
  </conditionalFormatting>
  <conditionalFormatting sqref="F203:H203">
    <cfRule type="cellIs" dxfId="1233" priority="372" operator="notEqual">
      <formula>""</formula>
    </cfRule>
  </conditionalFormatting>
  <conditionalFormatting sqref="F205:H205">
    <cfRule type="cellIs" dxfId="1232" priority="377" operator="notEqual">
      <formula>""</formula>
    </cfRule>
  </conditionalFormatting>
  <conditionalFormatting sqref="F204">
    <cfRule type="expression" dxfId="1231" priority="376">
      <formula>AND(F204&lt;&gt;"",F204&lt;&gt;"&lt;select one&gt;")</formula>
    </cfRule>
  </conditionalFormatting>
  <conditionalFormatting sqref="C202:H206">
    <cfRule type="expression" dxfId="1230" priority="364">
      <formula>$K202=0</formula>
    </cfRule>
  </conditionalFormatting>
  <conditionalFormatting sqref="F206">
    <cfRule type="cellIs" dxfId="1229" priority="380" operator="notEqual">
      <formula>""</formula>
    </cfRule>
  </conditionalFormatting>
  <conditionalFormatting sqref="G206:H206">
    <cfRule type="expression" dxfId="1228" priority="385">
      <formula>AND($G206&lt;&gt;"",IFERROR(FIND("do NOT",$G206),0)&gt;0,IFERROR(FIND("NOT met",$G206),0)&gt;0)</formula>
    </cfRule>
    <cfRule type="expression" dxfId="1227" priority="386">
      <formula>AND($G206&lt;&gt;"",IFERROR(FIND("do NOT",$G206),0)=0,IFERROR(FIND("NOT met",$G206),0)=0)</formula>
    </cfRule>
    <cfRule type="expression" dxfId="1226" priority="388">
      <formula>AND($G206&lt;&gt;"",OR(AND(IFERROR(FIND("do NOT",$G206),0)&gt;0,IFERROR(FIND("NOT met",$G206),0)=0),AND(IFERROR(FIND("do NOT",$G206),0)=0,IFERROR(FIND("NOT met",$G206),0)&gt;0)))</formula>
    </cfRule>
  </conditionalFormatting>
  <conditionalFormatting sqref="C207:H207 C208:F208">
    <cfRule type="expression" dxfId="1225" priority="389">
      <formula>$K$208=0</formula>
    </cfRule>
  </conditionalFormatting>
  <conditionalFormatting sqref="E208">
    <cfRule type="cellIs" dxfId="1224" priority="390" operator="notEqual">
      <formula>"&lt;select one&gt;"</formula>
    </cfRule>
  </conditionalFormatting>
  <conditionalFormatting sqref="C201:H210">
    <cfRule type="expression" dxfId="1223" priority="360">
      <formula>$M$201=0</formula>
    </cfRule>
  </conditionalFormatting>
  <conditionalFormatting sqref="F208:H208">
    <cfRule type="expression" dxfId="1222" priority="391">
      <formula>AND($F208&lt;&gt;"",IFERROR(FIND("NOT",$F208),0)&gt;0,IFERROR(FIND("meets",$F208),0)=0)</formula>
    </cfRule>
    <cfRule type="expression" dxfId="1221" priority="396">
      <formula>AND($F208&lt;&gt;"",IFERROR(FIND("NOT",$F208),0)&gt;1,IFERROR(FIND("meets",$F208),0)&gt;1)</formula>
    </cfRule>
  </conditionalFormatting>
  <conditionalFormatting sqref="F198:H198">
    <cfRule type="expression" dxfId="1220" priority="347">
      <formula>AND($F198&lt;&gt;"",IFERROR(FIND("NOT",$F198),0)&gt;0,IFERROR(FIND("meets",$F198),0)=0)</formula>
    </cfRule>
    <cfRule type="expression" dxfId="1219" priority="352">
      <formula>AND($F198&lt;&gt;"",IFERROR(FIND("NOT",$F198),0)&gt;1,IFERROR(FIND("meets",$F198),0)&gt;1)</formula>
    </cfRule>
  </conditionalFormatting>
  <conditionalFormatting sqref="B116:H174">
    <cfRule type="expression" dxfId="1218" priority="143">
      <formula>$E$112&lt;&gt;"Yes"</formula>
    </cfRule>
  </conditionalFormatting>
  <conditionalFormatting sqref="C199:H199">
    <cfRule type="cellIs" dxfId="1217" priority="355" operator="notEqual">
      <formula>""</formula>
    </cfRule>
  </conditionalFormatting>
  <conditionalFormatting sqref="C209">
    <cfRule type="expression" dxfId="1216" priority="402">
      <formula>$K$208=0</formula>
    </cfRule>
  </conditionalFormatting>
  <conditionalFormatting sqref="C209:H209">
    <cfRule type="cellIs" dxfId="1215" priority="397" operator="notEqual">
      <formula>""</formula>
    </cfRule>
  </conditionalFormatting>
  <conditionalFormatting sqref="C191:H191">
    <cfRule type="expression" dxfId="1214" priority="322">
      <formula>$M$201=0</formula>
    </cfRule>
  </conditionalFormatting>
  <conditionalFormatting sqref="F130 F140 F150 F160 F170">
    <cfRule type="expression" dxfId="1213" priority="144">
      <formula>AND(F130&lt;&gt;"",OR(AND(DS_DevExp_DevsWithSinceDate&gt;0,YEAR(DS_DevExp_SinceDate)&gt;N(F130)),AND(DS_DevExp_PrgmMinDevs&gt;0,DS_DevExp_PrgmReq=F127,YEAR(DS_DevExp_PrgmSinceDate)&gt;N(F130)),N(F130)&gt;YEAR(NOW())),G130&lt;&gt;"",IFERROR(FIND("is met",G130),0)&gt;0)</formula>
    </cfRule>
    <cfRule type="expression" dxfId="1212" priority="145">
      <formula>AND(F130&lt;&gt;"",OR(AND(DS_DevExp_DevsWithSinceDate&gt;0,YEAR(DS_DevExp_SinceDate)&gt;N(F130)),AND(DS_DevExp_PrgmMinDevs&gt;0,DS_DevExp_PrgmReq=F127,YEAR(DS_DevExp_PrgmSinceDate)&gt;N(F130)),N(F130)&gt;YEAR(NOW())),G130&lt;&gt;"",IFERROR(FIND("is met",G130),0)=0)</formula>
    </cfRule>
  </conditionalFormatting>
  <conditionalFormatting sqref="F248 F258">
    <cfRule type="expression" dxfId="1211" priority="456">
      <formula>AND($F248&lt;&gt;"",$F248&lt;DS_MgmtExp_Yrs)</formula>
    </cfRule>
  </conditionalFormatting>
  <conditionalFormatting sqref="G248:H248 G258:H258">
    <cfRule type="expression" dxfId="1210" priority="460">
      <formula>AND(IFERROR(FIND("meets",$G248),0)&gt;0,IFERROR(FIND("NOT",$G248),0)&gt;0)</formula>
    </cfRule>
    <cfRule type="expression" dxfId="1209" priority="461">
      <formula>AND(IFERROR(FIND("less",$G248),0)&gt;0,IFERROR(FIND("NOT",$G248),0)&gt;0)</formula>
    </cfRule>
  </conditionalFormatting>
  <conditionalFormatting sqref="B259:H259">
    <cfRule type="expression" dxfId="1208" priority="484">
      <formula>AND(IFERROR(FIND("missing",$B259),0)&gt;0,IFERROR(FIND("All",$B249),0)&gt;0,IFERROR(FIND("NOT",$B249),0)&gt;0)</formula>
    </cfRule>
  </conditionalFormatting>
  <conditionalFormatting sqref="B131:H131">
    <cfRule type="expression" dxfId="1207" priority="291">
      <formula>AND(IFERROR(FIND("missing",$B131),0)&gt;0,OR(AND(IFERROR(FIND("All",$B141),0)&gt;0,IFERROR(FIND("NOT",$B141),0)&gt;0),AND(IFERROR(FIND("All",$B151),0)&gt;0,IFERROR(FIND("NOT",$B151),0))))</formula>
    </cfRule>
  </conditionalFormatting>
  <conditionalFormatting sqref="B141:H141">
    <cfRule type="expression" dxfId="1206" priority="304">
      <formula>AND(IFERROR(FIND("missing",$B141),0)&gt;0,OR(AND(IFERROR(FIND("All",$B131),0)&gt;0,IFERROR(FIND("NOT",$B131),0)&gt;0),AND(IFERROR(FIND("All",$B151),0)&gt;0,IFERROR(FIND("NOT",$B151),0))))</formula>
    </cfRule>
  </conditionalFormatting>
  <conditionalFormatting sqref="B151:H151">
    <cfRule type="expression" dxfId="1205" priority="318">
      <formula>AND(IFERROR(FIND("missing",$B151),0)&gt;0,OR(AND(IFERROR(FIND("All",$B131),0)&gt;0,IFERROR(FIND("NOT",$B131),0)&gt;0),AND(IFERROR(FIND("All",$B141),0)&gt;0,IFERROR(FIND("NOT",$B141),0))))</formula>
    </cfRule>
  </conditionalFormatting>
  <conditionalFormatting sqref="B249:H249 B259:H259">
    <cfRule type="expression" dxfId="1204" priority="462">
      <formula>OR(IFERROR(FIND("missing",$B249),0)&gt;0,AND(IFERROR(FIND("All",$B249),0)&gt;0,IFERROR(FIND("NOT",$B249),0)&gt;0))</formula>
    </cfRule>
    <cfRule type="expression" dxfId="1203" priority="463">
      <formula>AND(IFERROR(FIND("NOT",$B249),0)=0,$B249&lt;&gt;"")</formula>
    </cfRule>
    <cfRule type="expression" dxfId="1202" priority="464">
      <formula>AND(IFERROR(FIND("All",$B249),0)=0,IFERROR(FIND("NOT",$B249),0)&gt;0)</formula>
    </cfRule>
  </conditionalFormatting>
  <conditionalFormatting sqref="B249:H249">
    <cfRule type="expression" dxfId="1201" priority="468">
      <formula>AND(IFERROR(FIND("missing",$B249),0)&gt;0,IFERROR(FIND("All",$B259),0)&gt;0,IFERROR(FIND("NOT",$B259),0)&gt;0)</formula>
    </cfRule>
  </conditionalFormatting>
  <conditionalFormatting sqref="F32 H60 G67 D73 E90 E112 F127 F137 F147 F157 F167 F194 E198 F204 E208 D224 F233 F244:F245 C263 F272 F285 C292 C296 C300 F254:F255">
    <cfRule type="cellIs" dxfId="1200" priority="1" operator="equal">
      <formula>""</formula>
    </cfRule>
  </conditionalFormatting>
  <conditionalFormatting sqref="H56">
    <cfRule type="cellIs" dxfId="1199" priority="217" operator="notEqual">
      <formula>"&lt;select one&gt;"</formula>
    </cfRule>
  </conditionalFormatting>
  <conditionalFormatting sqref="A54:H57">
    <cfRule type="expression" dxfId="1198" priority="214">
      <formula>$K$56=0</formula>
    </cfRule>
  </conditionalFormatting>
  <conditionalFormatting sqref="H56">
    <cfRule type="cellIs" dxfId="1197" priority="216" operator="equal">
      <formula>""</formula>
    </cfRule>
  </conditionalFormatting>
  <conditionalFormatting sqref="F224:H224">
    <cfRule type="cellIs" dxfId="1196" priority="409" operator="notEqual">
      <formula>""</formula>
    </cfRule>
  </conditionalFormatting>
  <conditionalFormatting sqref="D224:E224">
    <cfRule type="expression" dxfId="1195" priority="406">
      <formula>AND($K$67&gt;0,$G$67="Yes",$D$224&lt;&gt;"Priority 1")</formula>
    </cfRule>
  </conditionalFormatting>
  <conditionalFormatting sqref="C60">
    <cfRule type="expression" dxfId="1194" priority="221">
      <formula>IFERROR(FIND("Elderly",Demographic),0)=0</formula>
    </cfRule>
  </conditionalFormatting>
  <conditionalFormatting sqref="B241:H244 B247:H250 B245:B246 F245:F246">
    <cfRule type="expression" dxfId="1193" priority="434">
      <formula>$M$241=0</formula>
    </cfRule>
  </conditionalFormatting>
  <conditionalFormatting sqref="B266:H278">
    <cfRule type="expression" dxfId="1192" priority="535">
      <formula>SUM($K$267:$K$275)=0</formula>
    </cfRule>
  </conditionalFormatting>
  <conditionalFormatting sqref="C267:H275">
    <cfRule type="expression" dxfId="1191" priority="542">
      <formula>$K267=0</formula>
    </cfRule>
  </conditionalFormatting>
  <conditionalFormatting sqref="M34 M41 M46 M75 M94 M96 M98 M123 M133 M143 M175 M178 M185 M238 M241 M251 M277 M279 M218 M163 M153">
    <cfRule type="cellIs" dxfId="1190" priority="379" operator="equal">
      <formula>0</formula>
    </cfRule>
  </conditionalFormatting>
  <conditionalFormatting sqref="B127:H127 B137:H137 B147:H147">
    <cfRule type="expression" dxfId="1189" priority="197">
      <formula>AND(RIGHT(Excel_RFA_Number,3)="213",$K127=3)</formula>
    </cfRule>
  </conditionalFormatting>
  <conditionalFormatting sqref="B157:H157">
    <cfRule type="expression" dxfId="1188" priority="194">
      <formula>AND(RIGHT(Excel_RFA_Number,3)="213",$K157=3)</formula>
    </cfRule>
  </conditionalFormatting>
  <conditionalFormatting sqref="B167:H167">
    <cfRule type="expression" dxfId="1187" priority="176">
      <formula>AND(RIGHT(Excel_RFA_Number,3)="213",$K167=3)</formula>
    </cfRule>
  </conditionalFormatting>
  <conditionalFormatting sqref="F154:H154">
    <cfRule type="cellIs" dxfId="1186" priority="282" operator="notEqual">
      <formula>""</formula>
    </cfRule>
  </conditionalFormatting>
  <conditionalFormatting sqref="F155:H155">
    <cfRule type="cellIs" dxfId="1185" priority="283" operator="notEqual">
      <formula>""</formula>
    </cfRule>
  </conditionalFormatting>
  <conditionalFormatting sqref="F164:H164">
    <cfRule type="cellIs" dxfId="1184" priority="184" operator="notEqual">
      <formula>""</formula>
    </cfRule>
  </conditionalFormatting>
  <conditionalFormatting sqref="F165:H165">
    <cfRule type="cellIs" dxfId="1183" priority="186" operator="notEqual">
      <formula>""</formula>
    </cfRule>
  </conditionalFormatting>
  <conditionalFormatting sqref="F157">
    <cfRule type="cellIs" dxfId="1182" priority="285" operator="notEqual">
      <formula>"&lt;select one&gt;"</formula>
    </cfRule>
  </conditionalFormatting>
  <conditionalFormatting sqref="F167">
    <cfRule type="cellIs" dxfId="1181" priority="187" operator="notEqual">
      <formula>"&lt;select one&gt;"</formula>
    </cfRule>
  </conditionalFormatting>
  <conditionalFormatting sqref="F158:H158">
    <cfRule type="expression" dxfId="1180" priority="287">
      <formula>AND(F158&lt;&gt;"",F158&lt;&gt;"&lt;select one&gt;")</formula>
    </cfRule>
  </conditionalFormatting>
  <conditionalFormatting sqref="F168:H168">
    <cfRule type="expression" dxfId="1179" priority="192">
      <formula>AND(F168&lt;&gt;"",F168&lt;&gt;"&lt;select one&gt;")</formula>
    </cfRule>
  </conditionalFormatting>
  <conditionalFormatting sqref="F159">
    <cfRule type="cellIs" dxfId="1178" priority="288" operator="notEqual">
      <formula>""</formula>
    </cfRule>
  </conditionalFormatting>
  <conditionalFormatting sqref="F160">
    <cfRule type="expression" dxfId="1177" priority="289">
      <formula>AND(F160&lt;&gt;"",OR(N(F160)&gt;YEAR(NOW()),N(F160)&lt;YEAR(DS_DevExp_SinceDate)))</formula>
    </cfRule>
    <cfRule type="cellIs" dxfId="1176" priority="290" operator="notEqual">
      <formula>""</formula>
    </cfRule>
  </conditionalFormatting>
  <conditionalFormatting sqref="F169">
    <cfRule type="cellIs" dxfId="1175" priority="204" operator="notEqual">
      <formula>""</formula>
    </cfRule>
  </conditionalFormatting>
  <conditionalFormatting sqref="F170">
    <cfRule type="cellIs" dxfId="1174" priority="183" stopIfTrue="1" operator="notEqual">
      <formula>""</formula>
    </cfRule>
    <cfRule type="expression" dxfId="1173" priority="274">
      <formula>AND(F170&lt;&gt;"",OR(N(F170)&gt;YEAR(NOW()),N(F170)&lt;YEAR(DS_DevExp_SinceDate)))</formula>
    </cfRule>
  </conditionalFormatting>
  <conditionalFormatting sqref="B161:H161">
    <cfRule type="expression" dxfId="1172" priority="305">
      <formula>AND(IFERROR(FIND("missing",$B161),0)&gt;0,OR(AND(IFERROR(FIND("All",$B141),0)&gt;0,IFERROR(FIND("NOT",$B141),0)&gt;0),AND(IFERROR(FIND("All",$B151),0)&gt;0,IFERROR(FIND("NOT",$B151),0))))</formula>
    </cfRule>
  </conditionalFormatting>
  <conditionalFormatting sqref="B171:H171">
    <cfRule type="expression" dxfId="1171" priority="280">
      <formula>AND(IFERROR(FIND("missing",$B171),0)&gt;0,OR(AND(IFERROR(FIND("All",$B151),0)&gt;0,IFERROR(FIND("NOT",$B151),0)&gt;0),AND(IFERROR(FIND("All",$B161),0)&gt;0,IFERROR(FIND("NOT",$B161),0))))</formula>
    </cfRule>
  </conditionalFormatting>
  <conditionalFormatting sqref="B153:H155 B157:H162">
    <cfRule type="expression" dxfId="1170" priority="281">
      <formula>$M$153=0</formula>
    </cfRule>
  </conditionalFormatting>
  <conditionalFormatting sqref="B131:H131 B141:H141 B151:H151 B161:H161 B171:H171">
    <cfRule type="expression" dxfId="1169" priority="147">
      <formula>AND(IFERROR(FIND("NOT",$B131),0)=0,$B131&lt;&gt;"")</formula>
    </cfRule>
    <cfRule type="expression" dxfId="1168" priority="179">
      <formula>OR(IFERROR(FIND("missing",$B131),0)&gt;0,AND(IFERROR(FIND("All",$B131),0)&gt;0,IFERROR(FIND("NOT",$B131),0)&gt;0))</formula>
    </cfRule>
    <cfRule type="expression" dxfId="1167" priority="181">
      <formula>AND(IFERROR(FIND("All",$B$131),0)=0,IFERROR(FIND("NOT",$B131),0)&gt;0)</formula>
    </cfRule>
  </conditionalFormatting>
  <conditionalFormatting sqref="F129 F139 F149 F159 F169 F247 F257">
    <cfRule type="expression" dxfId="1166" priority="157">
      <formula>AND($G129&lt;&gt;"",IFERROR(FIND("NOT meet",$G129),0)&gt;0,IFERROR(FIND("is met",$G129),0)&gt;0)</formula>
    </cfRule>
    <cfRule type="expression" dxfId="1165" priority="161">
      <formula>AND($G129&lt;&gt;"",IFERROR(FIND("NOT meet",$G129),0)&gt;0,IFERROR(FIND("is met",$G129),0)=0)</formula>
    </cfRule>
  </conditionalFormatting>
  <conditionalFormatting sqref="B163:H174">
    <cfRule type="expression" dxfId="1164" priority="269">
      <formula>$M$163=0</formula>
    </cfRule>
  </conditionalFormatting>
  <conditionalFormatting sqref="G129:H129 G139:H139 G149:H149 G159:H159 G169:H169">
    <cfRule type="expression" dxfId="1163" priority="169">
      <formula>OR(AND($G129&lt;&gt;"",$O129="Units-SY",DS_DevExp_MinUnits_Devs&gt;0,LEFT(DevExp_MinUnits_Score,2)="No"),AND($G129&lt;&gt;"",$O129="Units-SNF",DS_DevExp_MinUnits_Devs&gt;0,LEFT(DevExp_MinUnits_Score,3)="Yes"))</formula>
    </cfRule>
    <cfRule type="expression" dxfId="1162" priority="171">
      <formula>AND($G129&lt;&gt;"",$O129="Units-SNF",DS_DevExp_MinUnits_Devs&gt;0,LEFT(DevExp_MinUnits_Score,2)="No")</formula>
    </cfRule>
  </conditionalFormatting>
  <conditionalFormatting sqref="G130:H130 G140:H140 G150:H150 G160:H160 G170:H170">
    <cfRule type="expression" dxfId="1161" priority="174">
      <formula>OR(AND($G130&lt;&gt;"",$K$127&gt;0,$O127="Prgm-SNF",DS_DevExp_PrgmMinDevs&gt;0,LEFT(DevExp_PrgmMinDevs_Score,2)="No"),AND($G130&lt;&gt;"",$O130="Gen-SNF",DS_DevExp_DevsWithSinceDate&gt;0,LEFT(DevExp_DevsWithSinceDate_Score,2)="No"))</formula>
    </cfRule>
    <cfRule type="expression" dxfId="1160" priority="178">
      <formula>AND($G130&lt;&gt;"",OR(AND($O127="Prgm-SY",DS_DevExp_PrgmMinDevs&gt;0,LEFT(DevExp_PrgmMinDevs_Score,2)="No"),AND($O130="Gen-SY",DS_DevExp_DevsWithSinceDate&gt;0,LEFT(DevExp_DevsWithSinceDate_Score,2)="No"),AND($O127="Prgm-SNF",DS_DevExp_PrgmMinDevs&gt;0,LEFT(DevExp_PrgmMinDevs_Score,3)="Yes"),AND($O130="Gen-SNF",DS_DevExp_DevsWithSinceDate&gt;0,LEFT(DevExp_DevsWithSinceDate_Score,3)="Yes")))</formula>
    </cfRule>
  </conditionalFormatting>
  <conditionalFormatting sqref="M123 M133 M143 M153 M163">
    <cfRule type="expression" dxfId="1159" priority="142">
      <formula>AND(DS_DevExp_MinDevs_List&lt;O123,M123&gt;0)</formula>
    </cfRule>
  </conditionalFormatting>
  <conditionalFormatting sqref="B43:H44">
    <cfRule type="expression" dxfId="1158" priority="140">
      <formula>AND(ExcelCheckBox_LessThan80="Yes",ExcelCheckBox_AtLeast80="Yes")</formula>
    </cfRule>
  </conditionalFormatting>
  <conditionalFormatting sqref="B82:H83">
    <cfRule type="expression" dxfId="1157" priority="136">
      <formula>$K82=0</formula>
    </cfRule>
  </conditionalFormatting>
  <conditionalFormatting sqref="G119:H120">
    <cfRule type="cellIs" dxfId="1156" priority="135" operator="notEqual">
      <formula>""</formula>
    </cfRule>
  </conditionalFormatting>
  <conditionalFormatting sqref="D119:H120">
    <cfRule type="expression" dxfId="1155" priority="134">
      <formula>$E$112&lt;&gt;"Yes"</formula>
    </cfRule>
  </conditionalFormatting>
  <conditionalFormatting sqref="G119:H119">
    <cfRule type="cellIs" dxfId="1154" priority="133" operator="notEqual">
      <formula>""</formula>
    </cfRule>
  </conditionalFormatting>
  <conditionalFormatting sqref="G120:H120">
    <cfRule type="cellIs" dxfId="1153" priority="132" operator="notEqual">
      <formula>""</formula>
    </cfRule>
  </conditionalFormatting>
  <conditionalFormatting sqref="G119:H120">
    <cfRule type="expression" dxfId="1152" priority="129">
      <formula>AND($G117="",$K119&gt;0)</formula>
    </cfRule>
    <cfRule type="expression" dxfId="1151" priority="131">
      <formula>AND($G119&lt;&gt;"",$G117="")</formula>
    </cfRule>
  </conditionalFormatting>
  <conditionalFormatting sqref="D119:H120">
    <cfRule type="expression" dxfId="1150" priority="130">
      <formula>AND($G117="",$K119&gt;0)</formula>
    </cfRule>
  </conditionalFormatting>
  <conditionalFormatting sqref="D118:F118">
    <cfRule type="expression" dxfId="1149" priority="128">
      <formula>$K$119+$K$120&gt;0</formula>
    </cfRule>
  </conditionalFormatting>
  <conditionalFormatting sqref="D122">
    <cfRule type="expression" dxfId="1148" priority="127">
      <formula>$E$112&lt;&gt;"Yes"</formula>
    </cfRule>
  </conditionalFormatting>
  <conditionalFormatting sqref="D119:H122">
    <cfRule type="expression" dxfId="1147" priority="126">
      <formula>$K$119+$K$120=0</formula>
    </cfRule>
  </conditionalFormatting>
  <conditionalFormatting sqref="F126">
    <cfRule type="cellIs" dxfId="1146" priority="124" operator="notEqual">
      <formula>""</formula>
    </cfRule>
  </conditionalFormatting>
  <conditionalFormatting sqref="B126:C126 F126">
    <cfRule type="expression" dxfId="1145" priority="125">
      <formula>$K126=0</formula>
    </cfRule>
  </conditionalFormatting>
  <conditionalFormatting sqref="B126:C126">
    <cfRule type="expression" dxfId="1144" priority="123">
      <formula>$E$112&lt;&gt;"Yes"</formula>
    </cfRule>
  </conditionalFormatting>
  <conditionalFormatting sqref="C126:E126">
    <cfRule type="expression" dxfId="1143" priority="97">
      <formula>IFERROR(FIND("NOT",$C126),0)&gt;0</formula>
    </cfRule>
    <cfRule type="expression" dxfId="1142" priority="122">
      <formula>DevExp_natural_person_additional=""</formula>
    </cfRule>
  </conditionalFormatting>
  <conditionalFormatting sqref="F126:H126">
    <cfRule type="expression" dxfId="1141" priority="121">
      <formula>DevExp_natural_person_additional=""</formula>
    </cfRule>
  </conditionalFormatting>
  <conditionalFormatting sqref="F136">
    <cfRule type="cellIs" dxfId="1140" priority="119" operator="notEqual">
      <formula>""</formula>
    </cfRule>
  </conditionalFormatting>
  <conditionalFormatting sqref="B136 F136">
    <cfRule type="expression" dxfId="1139" priority="120">
      <formula>$K136=0</formula>
    </cfRule>
  </conditionalFormatting>
  <conditionalFormatting sqref="B136">
    <cfRule type="expression" dxfId="1138" priority="118">
      <formula>$E$112&lt;&gt;"Yes"</formula>
    </cfRule>
  </conditionalFormatting>
  <conditionalFormatting sqref="F136:H136">
    <cfRule type="expression" dxfId="1137" priority="116">
      <formula>DevExp_natural_person_additional=""</formula>
    </cfRule>
  </conditionalFormatting>
  <conditionalFormatting sqref="F146">
    <cfRule type="cellIs" dxfId="1136" priority="114" operator="notEqual">
      <formula>""</formula>
    </cfRule>
  </conditionalFormatting>
  <conditionalFormatting sqref="B146 F146">
    <cfRule type="expression" dxfId="1135" priority="115">
      <formula>$K146=0</formula>
    </cfRule>
  </conditionalFormatting>
  <conditionalFormatting sqref="B146">
    <cfRule type="expression" dxfId="1134" priority="113">
      <formula>$E$112&lt;&gt;"Yes"</formula>
    </cfRule>
  </conditionalFormatting>
  <conditionalFormatting sqref="F146:H146">
    <cfRule type="expression" dxfId="1133" priority="111">
      <formula>DevExp_natural_person_additional=""</formula>
    </cfRule>
  </conditionalFormatting>
  <conditionalFormatting sqref="F156">
    <cfRule type="cellIs" dxfId="1132" priority="109" operator="notEqual">
      <formula>""</formula>
    </cfRule>
  </conditionalFormatting>
  <conditionalFormatting sqref="B156 F156">
    <cfRule type="expression" dxfId="1131" priority="110">
      <formula>$K156=0</formula>
    </cfRule>
  </conditionalFormatting>
  <conditionalFormatting sqref="B156">
    <cfRule type="expression" dxfId="1130" priority="108">
      <formula>$E$112&lt;&gt;"Yes"</formula>
    </cfRule>
  </conditionalFormatting>
  <conditionalFormatting sqref="F156:H156">
    <cfRule type="expression" dxfId="1129" priority="106">
      <formula>DevExp_natural_person_additional=""</formula>
    </cfRule>
  </conditionalFormatting>
  <conditionalFormatting sqref="F166">
    <cfRule type="cellIs" dxfId="1128" priority="104" operator="notEqual">
      <formula>""</formula>
    </cfRule>
  </conditionalFormatting>
  <conditionalFormatting sqref="B166 F166">
    <cfRule type="expression" dxfId="1127" priority="105">
      <formula>$K166=0</formula>
    </cfRule>
  </conditionalFormatting>
  <conditionalFormatting sqref="B166">
    <cfRule type="expression" dxfId="1126" priority="103">
      <formula>$E$112&lt;&gt;"Yes"</formula>
    </cfRule>
  </conditionalFormatting>
  <conditionalFormatting sqref="F166:H166">
    <cfRule type="expression" dxfId="1125" priority="101">
      <formula>DevExp_natural_person_additional=""</formula>
    </cfRule>
  </conditionalFormatting>
  <conditionalFormatting sqref="H173">
    <cfRule type="expression" dxfId="1124" priority="100">
      <formula>$E$112&lt;&gt;"Yes"</formula>
    </cfRule>
  </conditionalFormatting>
  <conditionalFormatting sqref="H173">
    <cfRule type="cellIs" dxfId="1123" priority="99" operator="equal">
      <formula>"Yes"</formula>
    </cfRule>
  </conditionalFormatting>
  <conditionalFormatting sqref="B173:H174">
    <cfRule type="expression" dxfId="1122" priority="98">
      <formula>$K$126+$K$136+$K$146+$K$156+$K$166=0</formula>
    </cfRule>
  </conditionalFormatting>
  <conditionalFormatting sqref="C136">
    <cfRule type="expression" dxfId="1121" priority="96">
      <formula>$K136=0</formula>
    </cfRule>
  </conditionalFormatting>
  <conditionalFormatting sqref="C136">
    <cfRule type="expression" dxfId="1120" priority="95">
      <formula>$E$112&lt;&gt;"Yes"</formula>
    </cfRule>
  </conditionalFormatting>
  <conditionalFormatting sqref="C136:E136">
    <cfRule type="expression" dxfId="1119" priority="93">
      <formula>IFERROR(FIND("NOT",$C136),0)&gt;0</formula>
    </cfRule>
    <cfRule type="expression" dxfId="1118" priority="94">
      <formula>DevExp_natural_person_additional=""</formula>
    </cfRule>
  </conditionalFormatting>
  <conditionalFormatting sqref="C146">
    <cfRule type="expression" dxfId="1117" priority="92">
      <formula>$K146=0</formula>
    </cfRule>
  </conditionalFormatting>
  <conditionalFormatting sqref="C146">
    <cfRule type="expression" dxfId="1116" priority="91">
      <formula>$E$112&lt;&gt;"Yes"</formula>
    </cfRule>
  </conditionalFormatting>
  <conditionalFormatting sqref="C146:E146">
    <cfRule type="expression" dxfId="1115" priority="89">
      <formula>IFERROR(FIND("NOT",$C146),0)&gt;0</formula>
    </cfRule>
    <cfRule type="expression" dxfId="1114" priority="90">
      <formula>DevExp_natural_person_additional=""</formula>
    </cfRule>
  </conditionalFormatting>
  <conditionalFormatting sqref="C156">
    <cfRule type="expression" dxfId="1113" priority="88">
      <formula>$K156=0</formula>
    </cfRule>
  </conditionalFormatting>
  <conditionalFormatting sqref="C156">
    <cfRule type="expression" dxfId="1112" priority="87">
      <formula>$E$112&lt;&gt;"Yes"</formula>
    </cfRule>
  </conditionalFormatting>
  <conditionalFormatting sqref="C156:E156">
    <cfRule type="expression" dxfId="1111" priority="85">
      <formula>IFERROR(FIND("NOT",$C156),0)&gt;0</formula>
    </cfRule>
    <cfRule type="expression" dxfId="1110" priority="86">
      <formula>DevExp_natural_person_additional=""</formula>
    </cfRule>
  </conditionalFormatting>
  <conditionalFormatting sqref="C166">
    <cfRule type="expression" dxfId="1109" priority="84">
      <formula>$K166=0</formula>
    </cfRule>
  </conditionalFormatting>
  <conditionalFormatting sqref="C166">
    <cfRule type="expression" dxfId="1108" priority="83">
      <formula>$E$112&lt;&gt;"Yes"</formula>
    </cfRule>
  </conditionalFormatting>
  <conditionalFormatting sqref="C166:E166">
    <cfRule type="expression" dxfId="1107" priority="81">
      <formula>IFERROR(FIND("NOT",$C166),0)&gt;0</formula>
    </cfRule>
    <cfRule type="expression" dxfId="1106" priority="82">
      <formula>DevExp_natural_person_additional=""</formula>
    </cfRule>
  </conditionalFormatting>
  <conditionalFormatting sqref="B143:H152">
    <cfRule type="expression" dxfId="1105" priority="80">
      <formula>$M$143=0</formula>
    </cfRule>
  </conditionalFormatting>
  <conditionalFormatting sqref="B153:H162">
    <cfRule type="expression" dxfId="1104" priority="79">
      <formula>$M$153=0</formula>
    </cfRule>
  </conditionalFormatting>
  <conditionalFormatting sqref="B163:H172">
    <cfRule type="expression" dxfId="1103" priority="78">
      <formula>$M$163=0</formula>
    </cfRule>
  </conditionalFormatting>
  <conditionalFormatting sqref="B81:H81">
    <cfRule type="expression" dxfId="1102" priority="77">
      <formula>$K82+$K83=0</formula>
    </cfRule>
  </conditionalFormatting>
  <conditionalFormatting sqref="B77:H80">
    <cfRule type="expression" dxfId="1101" priority="76">
      <formula>$K$82+$K$605=0</formula>
    </cfRule>
  </conditionalFormatting>
  <conditionalFormatting sqref="D220">
    <cfRule type="cellIs" dxfId="1100" priority="74" operator="notEqual">
      <formula>"&lt;select one&gt;"</formula>
    </cfRule>
  </conditionalFormatting>
  <conditionalFormatting sqref="D220">
    <cfRule type="cellIs" dxfId="1099" priority="70" operator="equal">
      <formula>""</formula>
    </cfRule>
  </conditionalFormatting>
  <conditionalFormatting sqref="B218:H221">
    <cfRule type="expression" dxfId="1098" priority="64">
      <formula>$M$218=0</formula>
    </cfRule>
  </conditionalFormatting>
  <conditionalFormatting sqref="K224:M224">
    <cfRule type="expression" dxfId="1097" priority="63">
      <formula>AND($M$218&lt;&gt;0,$K$224&lt;&gt;0)</formula>
    </cfRule>
  </conditionalFormatting>
  <conditionalFormatting sqref="E183">
    <cfRule type="expression" dxfId="1096" priority="61">
      <formula>AND(E183&lt;&gt;"",E183&lt;&gt;"&lt;select one&gt;")</formula>
    </cfRule>
  </conditionalFormatting>
  <conditionalFormatting sqref="E183">
    <cfRule type="cellIs" dxfId="1095" priority="58" operator="equal">
      <formula>""</formula>
    </cfRule>
  </conditionalFormatting>
  <conditionalFormatting sqref="B181:H183">
    <cfRule type="expression" dxfId="1094" priority="53">
      <formula>$K$183=0</formula>
    </cfRule>
  </conditionalFormatting>
  <conditionalFormatting sqref="E179:H179">
    <cfRule type="expression" dxfId="1093" priority="52">
      <formula>AND($M$178&gt;0,IFERROR(FIND("NOT",E179),0)&gt;0,$F$124&lt;&gt;"",$F$125&lt;&gt;"",$F$127&lt;&gt;"&lt;select one&gt;")</formula>
    </cfRule>
  </conditionalFormatting>
  <conditionalFormatting sqref="F18">
    <cfRule type="cellIs" dxfId="1092" priority="47" operator="notEqual">
      <formula>"&lt;select one&gt;"</formula>
    </cfRule>
  </conditionalFormatting>
  <conditionalFormatting sqref="F26">
    <cfRule type="cellIs" dxfId="1091" priority="4933" operator="notEqual">
      <formula>"&lt;select one&gt;"</formula>
    </cfRule>
  </conditionalFormatting>
  <conditionalFormatting sqref="F26">
    <cfRule type="cellIs" dxfId="1090" priority="41" operator="equal">
      <formula>""</formula>
    </cfRule>
  </conditionalFormatting>
  <conditionalFormatting sqref="A4:H5">
    <cfRule type="expression" dxfId="1089" priority="37">
      <formula>$M$4=0</formula>
    </cfRule>
  </conditionalFormatting>
  <conditionalFormatting sqref="A8:H19 A22:H23 A27:B27 A25:H26 A24:B24">
    <cfRule type="expression" dxfId="1088" priority="36">
      <formula>$M$4=1</formula>
    </cfRule>
  </conditionalFormatting>
  <conditionalFormatting sqref="A28:H33 A35:H35 A34:B34 A37:H37 A36:B36">
    <cfRule type="expression" dxfId="1087" priority="4735">
      <formula>$K$32=0</formula>
    </cfRule>
  </conditionalFormatting>
  <conditionalFormatting sqref="G39:H39">
    <cfRule type="cellIs" dxfId="1086" priority="30" operator="notEqual">
      <formula>""</formula>
    </cfRule>
  </conditionalFormatting>
  <conditionalFormatting sqref="B39:H39">
    <cfRule type="expression" dxfId="1085" priority="31">
      <formula>$K$32=0</formula>
    </cfRule>
  </conditionalFormatting>
  <conditionalFormatting sqref="F39">
    <cfRule type="cellIs" dxfId="1084" priority="24" operator="equal">
      <formula>""</formula>
    </cfRule>
    <cfRule type="cellIs" dxfId="1083" priority="29" operator="notEqual">
      <formula>"&lt;select one&gt;"</formula>
    </cfRule>
  </conditionalFormatting>
  <conditionalFormatting sqref="B27:H27">
    <cfRule type="expression" dxfId="1082" priority="28">
      <formula>IFERROR(FIND("NOT",B27),0)&gt;0</formula>
    </cfRule>
  </conditionalFormatting>
  <conditionalFormatting sqref="A38:H40">
    <cfRule type="expression" dxfId="1081" priority="3">
      <formula>$K$39=0</formula>
    </cfRule>
  </conditionalFormatting>
  <conditionalFormatting sqref="A239:H240">
    <cfRule type="expression" dxfId="1080" priority="23">
      <formula>$K$239=0</formula>
    </cfRule>
  </conditionalFormatting>
  <conditionalFormatting sqref="C245:E246">
    <cfRule type="expression" dxfId="1079" priority="22">
      <formula>$K245=0</formula>
    </cfRule>
  </conditionalFormatting>
  <conditionalFormatting sqref="C245:E246">
    <cfRule type="expression" dxfId="1078" priority="20">
      <formula>$E$112&lt;&gt;"Yes"</formula>
    </cfRule>
  </conditionalFormatting>
  <conditionalFormatting sqref="C255:E256">
    <cfRule type="expression" dxfId="1077" priority="19">
      <formula>$K255=0</formula>
    </cfRule>
  </conditionalFormatting>
  <conditionalFormatting sqref="C255:E256">
    <cfRule type="expression" dxfId="1076" priority="18">
      <formula>$E$112&lt;&gt;"Yes"</formula>
    </cfRule>
  </conditionalFormatting>
  <conditionalFormatting sqref="G245:H245">
    <cfRule type="expression" dxfId="1075" priority="17">
      <formula>$K245=0</formula>
    </cfRule>
  </conditionalFormatting>
  <conditionalFormatting sqref="F255:F256">
    <cfRule type="expression" dxfId="1074" priority="13">
      <formula>$M$241=0</formula>
    </cfRule>
  </conditionalFormatting>
  <conditionalFormatting sqref="G255:H255">
    <cfRule type="expression" dxfId="1073" priority="12">
      <formula>$K255=0</formula>
    </cfRule>
  </conditionalFormatting>
  <conditionalFormatting sqref="F246:H246">
    <cfRule type="cellIs" dxfId="1072" priority="9" operator="notEqual">
      <formula>""</formula>
    </cfRule>
    <cfRule type="expression" dxfId="1071" priority="10">
      <formula>K246=3</formula>
    </cfRule>
  </conditionalFormatting>
  <conditionalFormatting sqref="F256">
    <cfRule type="cellIs" dxfId="1070" priority="8" operator="notEqual">
      <formula>""</formula>
    </cfRule>
  </conditionalFormatting>
  <conditionalFormatting sqref="F256:H256">
    <cfRule type="expression" dxfId="1069" priority="7">
      <formula>K256=3</formula>
    </cfRule>
  </conditionalFormatting>
  <conditionalFormatting sqref="F128 F138 F148 F158 F168 F195 F205">
    <cfRule type="expression" dxfId="1068" priority="6">
      <formula>$K128=3</formula>
    </cfRule>
  </conditionalFormatting>
  <conditionalFormatting sqref="A34:H37">
    <cfRule type="expression" dxfId="1067" priority="4">
      <formula>$M$34=0</formula>
    </cfRule>
  </conditionalFormatting>
  <dataValidations count="14">
    <dataValidation type="list" allowBlank="1" showInputMessage="1" showErrorMessage="1" sqref="G67 D73 C263 C292 C296 C300 H60 E90 H90 E198 E208 E112 H56 D220 E183" xr:uid="{EE622EE2-086B-4DC4-9639-FD4DAABD8AFF}">
      <formula1>"&lt;select one&gt;, Yes, No"</formula1>
    </dataValidation>
    <dataValidation type="list" allowBlank="1" showInputMessage="1" showErrorMessage="1" sqref="F285 F233 F272" xr:uid="{1E7D68E6-23C2-4D5B-A015-EB7C1BD60A48}">
      <formula1>DS_States_DDMenu</formula1>
    </dataValidation>
    <dataValidation type="list" allowBlank="1" showInputMessage="1" showErrorMessage="1" sqref="F26:G26 F32 F39" xr:uid="{5D954478-5EEB-42C3-A9C8-44EB7D0B99B4}">
      <formula1>DS_Demo_DDMenu</formula1>
    </dataValidation>
    <dataValidation type="list" allowBlank="1" showInputMessage="1" showErrorMessage="1" sqref="D224:E224" xr:uid="{50D70168-4D9E-461E-BFAD-650DA9629D6F}">
      <formula1>DS_Priority_DDMenu</formula1>
    </dataValidation>
    <dataValidation type="list" allowBlank="1" showInputMessage="1" showErrorMessage="1" sqref="F244 F254" xr:uid="{68019A2E-27E3-4C39-98E7-7A1709A55586}">
      <formula1>DS_Managing_DDMenu</formula1>
    </dataValidation>
    <dataValidation type="custom" allowBlank="1" showInputMessage="1" showErrorMessage="1" sqref="K65 K300 K103:K105 K84 K67 K224 K228:K236 N48:N52 K267:K275 N239 K26 K292 K73 N280:N288 K48:K52 K263 K280:K288 K296 K239 K56 K112 N137:N140 N202:N206 K124:K130 K60 N73 K90 K92 K198 K192:K196 N192:N196 K134:K140 N198 N208 K208 K202:K206 K117:K120 K32 N242:N248 K242:K248 N252:N258 N43:N44 N147:N150 N157:N160 K43:K44 N134:N135 K144:K150 N144:N145 K154:K160 N154:N155 K164:K170 N164:N165 N167:N170 N220 K220 K183 K18 K252:K258" xr:uid="{E109FDF8-245F-47C5-B0C0-C57B6170FA70}">
      <formula1>AND(K18&gt;=0,K18&lt;4,K18=ROUND(K18,0))</formula1>
    </dataValidation>
    <dataValidation type="list" allowBlank="1" showInputMessage="1" showErrorMessage="1" sqref="F204 F137 F147 F194 F127 F157 F167 F245 F255" xr:uid="{96FA4B39-53A5-44BD-BF74-A1AB9F43A448}">
      <formula1>DS_DevExpProgs_DDMenu</formula1>
    </dataValidation>
    <dataValidation type="whole" allowBlank="1" showErrorMessage="1" error="Please enter a whole number." sqref="F140 F150 F130 F160 F170" xr:uid="{FA9075D2-0D99-45E7-AAED-C6AF402F609D}">
      <formula1>0</formula1>
      <formula2>60000</formula2>
    </dataValidation>
    <dataValidation type="whole" allowBlank="1" showErrorMessage="1" error="Please enter a whole number." sqref="F129 F139 F149 F196 F206 F159 F169" xr:uid="{358741F8-ECDC-40B5-A7AC-98BABFA3007D}">
      <formula1>0</formula1>
      <formula2>3000</formula2>
    </dataValidation>
    <dataValidation type="whole" allowBlank="1" showInputMessage="1" showErrorMessage="1" sqref="N119:N120 N124:N130 N136 N146 N156 N166" xr:uid="{21F57029-B3F8-41B2-8B32-D05868B35A67}">
      <formula1>0</formula1>
      <formula2>3</formula2>
    </dataValidation>
    <dataValidation type="list" allowBlank="1" showInputMessage="1" showErrorMessage="1" sqref="C127:E127 C245:E245 C255:E255" xr:uid="{85D4DEB3-D68F-442A-BEF4-9DB9116E07C1}">
      <formula1>DS_DevExpDescription_DDMenu</formula1>
    </dataValidation>
    <dataValidation type="custom" allowBlank="1" showInputMessage="1" showErrorMessage="1" error="Enter either 0 or 3 only" sqref="K82:K83" xr:uid="{D1006316-376F-4401-9720-34A18CEA29D9}">
      <formula1>OR(K82=0,K82=3)</formula1>
    </dataValidation>
    <dataValidation type="whole" allowBlank="1" showInputMessage="1" showErrorMessage="1" sqref="N179" xr:uid="{C39FEFFF-DFE6-4CAC-B90E-9329EB65CB86}">
      <formula1>8</formula1>
      <formula2>12</formula2>
    </dataValidation>
    <dataValidation type="list" allowBlank="1" showInputMessage="1" showErrorMessage="1" sqref="F18:G18" xr:uid="{737E7A90-ECD1-4079-89AA-C43987AFF57F}">
      <formula1>DS_Designation_DDMenu</formula1>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19050</xdr:colOff>
                    <xdr:row>47</xdr:row>
                    <xdr:rowOff>0</xdr:rowOff>
                  </from>
                  <to>
                    <xdr:col>4</xdr:col>
                    <xdr:colOff>114300</xdr:colOff>
                    <xdr:row>47</xdr:row>
                    <xdr:rowOff>219075</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19050</xdr:colOff>
                    <xdr:row>48</xdr:row>
                    <xdr:rowOff>0</xdr:rowOff>
                  </from>
                  <to>
                    <xdr:col>4</xdr:col>
                    <xdr:colOff>114300</xdr:colOff>
                    <xdr:row>48</xdr:row>
                    <xdr:rowOff>219075</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19050</xdr:colOff>
                    <xdr:row>48</xdr:row>
                    <xdr:rowOff>466725</xdr:rowOff>
                  </from>
                  <to>
                    <xdr:col>4</xdr:col>
                    <xdr:colOff>114300</xdr:colOff>
                    <xdr:row>49</xdr:row>
                    <xdr:rowOff>209550</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19050</xdr:colOff>
                    <xdr:row>50</xdr:row>
                    <xdr:rowOff>0</xdr:rowOff>
                  </from>
                  <to>
                    <xdr:col>4</xdr:col>
                    <xdr:colOff>114300</xdr:colOff>
                    <xdr:row>50</xdr:row>
                    <xdr:rowOff>219075</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19050</xdr:colOff>
                    <xdr:row>51</xdr:row>
                    <xdr:rowOff>9525</xdr:rowOff>
                  </from>
                  <to>
                    <xdr:col>4</xdr:col>
                    <xdr:colOff>114300</xdr:colOff>
                    <xdr:row>51</xdr:row>
                    <xdr:rowOff>228600</xdr:rowOff>
                  </to>
                </anchor>
              </controlPr>
            </control>
          </mc:Choice>
        </mc:AlternateContent>
        <mc:AlternateContent xmlns:mc="http://schemas.openxmlformats.org/markup-compatibility/2006">
          <mc:Choice Requires="x14">
            <control shapeId="179210" r:id="rId9" name="Check Box 10">
              <controlPr locked="0" defaultSize="0" autoFill="0" autoLine="0" autoPict="0" altText="">
                <anchor moveWithCells="1">
                  <from>
                    <xdr:col>1</xdr:col>
                    <xdr:colOff>19050</xdr:colOff>
                    <xdr:row>42</xdr:row>
                    <xdr:rowOff>0</xdr:rowOff>
                  </from>
                  <to>
                    <xdr:col>4</xdr:col>
                    <xdr:colOff>104775</xdr:colOff>
                    <xdr:row>42</xdr:row>
                    <xdr:rowOff>219075</xdr:rowOff>
                  </to>
                </anchor>
              </controlPr>
            </control>
          </mc:Choice>
        </mc:AlternateContent>
        <mc:AlternateContent xmlns:mc="http://schemas.openxmlformats.org/markup-compatibility/2006">
          <mc:Choice Requires="x14">
            <control shapeId="179211" r:id="rId10" name="Check Box 11">
              <controlPr locked="0" defaultSize="0" autoFill="0" autoLine="0" autoPict="0" altText="">
                <anchor moveWithCells="1">
                  <from>
                    <xdr:col>1</xdr:col>
                    <xdr:colOff>19050</xdr:colOff>
                    <xdr:row>43</xdr:row>
                    <xdr:rowOff>0</xdr:rowOff>
                  </from>
                  <to>
                    <xdr:col>4</xdr:col>
                    <xdr:colOff>104775</xdr:colOff>
                    <xdr:row>43</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8" stopIfTrue="1" id="{C9E182FF-7CFF-4AAF-9E94-BBECB8DF2E30}">
            <xm:f>Data1!$E$817="Yes"</xm:f>
            <x14:dxf>
              <font>
                <color theme="0"/>
              </font>
              <fill>
                <patternFill>
                  <bgColor theme="0"/>
                </patternFill>
              </fill>
              <border>
                <left/>
                <right/>
                <top/>
                <bottom/>
              </border>
            </x14:dxf>
          </x14:cfRule>
          <xm:sqref>K4:P6 K36:L36 N36:O36 K8:O35 K37:O170 K172:O301 K171:L171 N171:O171 P170</xm:sqref>
        </x14:conditionalFormatting>
        <x14:conditionalFormatting xmlns:xm="http://schemas.microsoft.com/office/excel/2006/main">
          <x14:cfRule type="expression" priority="212" id="{00000000-000E-0000-0800-00000D000000}">
            <xm:f>Data1!$B40=TRUE</xm:f>
            <x14:dxf>
              <fill>
                <patternFill>
                  <bgColor theme="9" tint="0.79998168889431442"/>
                </patternFill>
              </fill>
            </x14:dxf>
          </x14:cfRule>
          <xm:sqref>B48:H52</xm:sqref>
        </x14:conditionalFormatting>
        <x14:conditionalFormatting xmlns:xm="http://schemas.microsoft.com/office/excel/2006/main">
          <x14:cfRule type="expression" priority="26" id="{365C8418-030B-4E58-A386-E09943DBE875}">
            <xm:f>AND(Link_Classification&lt;&gt;Data1!$A$16,$K$39&gt;0)</xm:f>
            <x14:dxf>
              <font>
                <color theme="0" tint="-0.34998626667073579"/>
              </font>
            </x14:dxf>
          </x14:cfRule>
          <xm:sqref>B38:H38</xm:sqref>
        </x14:conditionalFormatting>
        <x14:conditionalFormatting xmlns:xm="http://schemas.microsoft.com/office/excel/2006/main">
          <x14:cfRule type="expression" priority="43" id="{6C615A67-B132-4CAF-B03C-D112EDEB4FA9}">
            <xm:f>AND(Link_Classification&lt;&gt;Data1!$A$14,Link_Classification&lt;&gt;Data1!$A$16,$F$26&lt;&gt;"&lt;select one&gt;")</xm:f>
            <x14:dxf>
              <font>
                <color rgb="FFC00000"/>
              </font>
              <fill>
                <patternFill>
                  <bgColor rgb="FFFFEBFF"/>
                </patternFill>
              </fill>
            </x14:dxf>
          </x14:cfRule>
          <x14:cfRule type="expression" priority="4934" id="{00000000-000E-0000-0400-000002000000}">
            <xm:f>AND(Link_Classification&lt;&gt;Data1!$A$14,Link_Classification&lt;&gt;Data1!$A$16)</xm:f>
            <x14:dxf>
              <font>
                <color theme="0" tint="-4.9989318521683403E-2"/>
              </font>
              <fill>
                <patternFill patternType="solid">
                  <fgColor auto="1"/>
                  <bgColor theme="0" tint="-4.9989318521683403E-2"/>
                </patternFill>
              </fill>
              <border>
                <bottom style="thin">
                  <color theme="1"/>
                </bottom>
              </border>
            </x14:dxf>
          </x14:cfRule>
          <xm:sqref>F26:G26</xm:sqref>
        </x14:conditionalFormatting>
        <x14:conditionalFormatting xmlns:xm="http://schemas.microsoft.com/office/excel/2006/main">
          <x14:cfRule type="expression" priority="5017" id="{5A8090A1-6C64-443F-8FCC-1F355C7D5E70}">
            <xm:f>AND(Link_Classification&lt;&gt;Data1!$A$14,Link_Classification&lt;&gt;Data1!$A$16)</xm:f>
            <x14:dxf>
              <font>
                <color theme="0" tint="-0.34998626667073579"/>
              </font>
            </x14:dxf>
          </x14:cfRule>
          <xm:sqref>A22:H23 A25:H25 A24:B24</xm:sqref>
        </x14:conditionalFormatting>
        <x14:conditionalFormatting xmlns:xm="http://schemas.microsoft.com/office/excel/2006/main">
          <x14:cfRule type="expression" priority="32" id="{2CA7DF7F-807E-41A8-9D24-0C24FD040ECF}">
            <xm:f>AND(Link_Classification&lt;&gt;Data1!$A$14,Link_Classification&lt;&gt;Data1!$A$16,$F$39&lt;&gt;"&lt;select one&gt;")</xm:f>
            <x14:dxf>
              <font>
                <color rgb="FFC00000"/>
              </font>
              <fill>
                <patternFill>
                  <bgColor rgb="FFFFEBFF"/>
                </patternFill>
              </fill>
            </x14:dxf>
          </x14:cfRule>
          <x14:cfRule type="expression" priority="5020" id="{789EB527-6F12-499D-A9DB-63B03C0197A3}">
            <xm:f>AND(Link_Classification&lt;&gt;Data1!$A$16,$K$39&gt;0)</xm:f>
            <x14:dxf>
              <font>
                <color theme="0" tint="-4.9989318521683403E-2"/>
              </font>
              <fill>
                <patternFill>
                  <bgColor theme="0" tint="-4.9989318521683403E-2"/>
                </patternFill>
              </fill>
            </x14:dxf>
          </x14:cfRule>
          <x14:cfRule type="expression" priority="5021" id="{334206F5-6189-4B79-BC2F-F4BBA8077FF1}">
            <xm:f>AND(Link_Classification&lt;&gt;Data1!$A$16,$K$39&gt;0,$F$39&lt;&gt;"&lt;select one&gt;")</xm:f>
            <x14:dxf>
              <font>
                <strike/>
                <color rgb="FFC00000"/>
              </font>
              <fill>
                <patternFill>
                  <bgColor theme="0" tint="-4.9989318521683403E-2"/>
                </patternFill>
              </fill>
            </x14:dxf>
          </x14:cfRule>
          <xm:sqref>F39:G39</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B160"/>
  <sheetViews>
    <sheetView showGridLines="0" zoomScale="110" zoomScaleNormal="110" zoomScaleSheetLayoutView="100" workbookViewId="0">
      <pane ySplit="2" topLeftCell="A3" activePane="bottomLeft" state="frozen"/>
      <selection activeCell="L364" sqref="L364:N364"/>
      <selection pane="bottomLeft" activeCell="G3" sqref="G3:I3"/>
    </sheetView>
  </sheetViews>
  <sheetFormatPr defaultColWidth="9.140625" defaultRowHeight="15"/>
  <cols>
    <col min="1" max="1" width="3" style="6" customWidth="1"/>
    <col min="2" max="3" width="3.5703125" style="6" customWidth="1"/>
    <col min="4" max="4" width="4.42578125" style="6" customWidth="1"/>
    <col min="5" max="5" width="23.85546875" style="6" customWidth="1"/>
    <col min="6" max="7" width="19" style="6" customWidth="1"/>
    <col min="8" max="8" width="16.140625" style="6" customWidth="1"/>
    <col min="9" max="9" width="18.85546875" style="6" customWidth="1"/>
    <col min="10" max="10" width="8.7109375" style="15" customWidth="1"/>
    <col min="11" max="11" width="3.5703125" style="15" customWidth="1"/>
    <col min="12" max="13" width="3.5703125" style="15" hidden="1" customWidth="1"/>
    <col min="14" max="14" width="35.7109375" style="6" hidden="1" customWidth="1"/>
    <col min="15" max="15" width="3.5703125" style="6" hidden="1" customWidth="1"/>
    <col min="16" max="16" width="0" style="6" hidden="1" customWidth="1"/>
    <col min="17" max="16384" width="9.140625" style="6"/>
  </cols>
  <sheetData>
    <row r="1" spans="1:28" ht="35.85" customHeight="1" thickBot="1">
      <c r="A1" s="2979" t="s">
        <v>1030</v>
      </c>
      <c r="B1" s="2980"/>
      <c r="C1" s="2980"/>
      <c r="D1" s="2980"/>
      <c r="E1" s="2980"/>
      <c r="F1" s="2980"/>
      <c r="G1" s="2980"/>
      <c r="H1" s="2980"/>
      <c r="I1" s="2981"/>
      <c r="K1" s="2994" t="str">
        <f>"There are "&amp;TEXT(COUNTIF($L$3:$L$157,"=1")+IF($L$96=1,1,0)+IF($L$97=1,1,0),"0")&amp;" required input fields and "&amp;TEXT(COUNTIF($L$3:$L$157,"=2")+IF($L$96=2,1,0)+IF($L$97=2,1,0),"0")&amp;" optional input fields tracked on this tab."&amp;CHAR(10)&amp;"There "&amp;IF(COUNTIFS($L$3:$L$157,"=1",$M$3:$M$157,"=1")+IF(AND($L$96=1,$F$96&lt;&gt;"",$G$96&lt;&gt;""),1,0)+IF(AND($L$97=1,$F$97&lt;&gt;"",$G$97&lt;&gt;""),1,0)=1,"is 1 required input field ","are "&amp;TEXT(COUNTIFS($L$3:$L$157,"=1",$M$3:$M$157,"=1")+IF(AND($L$96=1,$F$96&lt;&gt;"",$G$96&lt;&gt;""),1,0)+IF(AND($L$97=1,$F$97&lt;&gt;"",$G$97&lt;&gt;""),1,0),"0")&amp;" required input fields")&amp;" and "&amp;TEXT(COUNTIFS($L$3:$L$157,"=2",$M$3:$M$157,"=2")+IF(AND($L$96=2,$F$96&lt;&gt;"",$G$96&lt;&gt;""),1,0)+IF(AND($L$97=2,$F$97&lt;&gt;"",$G$97&lt;&gt;""),1,0),"0")&amp;" optional input field"&amp;IF(COUNTIFS($L$3:$L$157,"=2",$M$3:$M$157,"=2")+IF(AND($L$96=2,$F$96&lt;&gt;"",$G$96&lt;&gt;""),1,0)+IF(AND($L$97=2,$F$97&lt;&gt;"",$G$97&lt;&gt;""),1,0)=1," with an entry","s with entries")&amp;" tracked on this tab."&amp;CHAR(10)&amp;"There "&amp;IF(Data1!G818=1,"is ","are ")&amp;TEXT(Data1!G818,"0")&amp;" required input field"&amp;IF(Data1!G818=1," that need an entry","s that need entries")&amp;" and "&amp;TEXT(Data1!H818,"0")&amp;" optional input field"&amp;IF(Data1!H818=1," that may or may not need an entry","s that may or may not need entries")&amp;" tracked on this tab."</f>
        <v>There are 4 required input fields and 6 optional input fields tracked on this tab.
There is 1 required input field  and 0 optional input fields with entries tracked on this tab.
There are 3 required input fields that need entries and 6 optional input fields that may or may not need entries tracked on this tab.</v>
      </c>
      <c r="L1" s="2994"/>
      <c r="M1" s="2994"/>
      <c r="N1" s="2994"/>
      <c r="O1" s="2994"/>
      <c r="P1" s="2994"/>
      <c r="Q1" s="2994"/>
      <c r="R1" s="2994"/>
      <c r="S1" s="2994"/>
      <c r="T1" s="2994"/>
      <c r="U1" s="2994"/>
      <c r="V1" s="2994"/>
      <c r="W1" s="2994"/>
      <c r="X1" s="2994"/>
      <c r="Y1" s="2994"/>
      <c r="Z1" s="2994"/>
      <c r="AA1" s="2994"/>
      <c r="AB1" s="2994"/>
    </row>
    <row r="2" spans="1:28">
      <c r="K2" s="2994"/>
      <c r="L2" s="2994"/>
      <c r="M2" s="2994"/>
      <c r="N2" s="2994"/>
      <c r="O2" s="2994"/>
      <c r="P2" s="2994"/>
      <c r="Q2" s="2994"/>
      <c r="R2" s="2994"/>
      <c r="S2" s="2994"/>
      <c r="T2" s="2994"/>
      <c r="U2" s="2994"/>
      <c r="V2" s="2994"/>
      <c r="W2" s="2994"/>
      <c r="X2" s="2994"/>
      <c r="Y2" s="2994"/>
      <c r="Z2" s="2994"/>
      <c r="AA2" s="2994"/>
      <c r="AB2" s="2994"/>
    </row>
    <row r="3" spans="1:28" s="17" customFormat="1" ht="17.45" customHeight="1">
      <c r="A3" s="541" t="s">
        <v>955</v>
      </c>
      <c r="B3" s="10" t="str">
        <f>IF($N$6=0,"","(1)   State the ")&amp;"Name of the proposed Development:"</f>
        <v>Name of the proposed Development:</v>
      </c>
      <c r="C3" s="10"/>
      <c r="D3" s="10"/>
      <c r="E3" s="10"/>
      <c r="F3" s="10"/>
      <c r="G3" s="3008"/>
      <c r="H3" s="3008"/>
      <c r="I3" s="3008"/>
      <c r="J3" s="18"/>
      <c r="K3" s="18"/>
      <c r="L3" s="953">
        <v>1</v>
      </c>
      <c r="M3" s="931">
        <f>IF(AND(L3&lt;&gt;0,G3&lt;&gt;""),L3,0)</f>
        <v>0</v>
      </c>
      <c r="N3" s="779" t="str">
        <f>CHOOSE(L3+1,"Not to be included in this RFA","A REQUIRED input field for this RFA","An OPTIONAL input field for this RFA")</f>
        <v>A REQUIRED input field for this RFA</v>
      </c>
      <c r="R3" s="1318"/>
      <c r="S3" s="1318"/>
      <c r="T3" s="1318"/>
      <c r="U3" s="1318"/>
    </row>
    <row r="4" spans="1:28" s="17" customFormat="1" ht="14.45" customHeight="1">
      <c r="C4" s="664" t="str">
        <f>IF(G3="","(The Name of the Proposed Development must have an entry to turn on some of the validation formulas in Exhibit A)","")</f>
        <v>(The Name of the Proposed Development must have an entry to turn on some of the validation formulas in Exhibit A)</v>
      </c>
      <c r="G4" s="18"/>
      <c r="H4" s="18"/>
      <c r="J4" s="18"/>
      <c r="K4" s="18"/>
      <c r="L4" s="2993" t="s">
        <v>943</v>
      </c>
      <c r="M4" s="2993"/>
      <c r="N4" s="2993"/>
      <c r="O4" s="2993"/>
      <c r="P4" s="2993"/>
      <c r="R4" s="1318"/>
      <c r="S4" s="1318"/>
      <c r="T4" s="1318"/>
      <c r="U4" s="1318"/>
    </row>
    <row r="5" spans="1:28" s="2083" customFormat="1" ht="14.45" customHeight="1">
      <c r="C5" s="664"/>
      <c r="G5" s="18"/>
      <c r="H5" s="18"/>
      <c r="J5" s="18"/>
      <c r="K5" s="18"/>
      <c r="L5" s="2084"/>
      <c r="M5" s="2084"/>
      <c r="O5" s="2084"/>
      <c r="P5" s="18"/>
    </row>
    <row r="6" spans="1:28" s="2083" customFormat="1" ht="14.45" hidden="1" customHeight="1">
      <c r="A6" s="10"/>
      <c r="B6" s="2130" t="str">
        <f>"(2)"</f>
        <v>(2)</v>
      </c>
      <c r="C6" s="10" t="str">
        <f>IF(Link_Classification=Data1!$A$16,"With the proposed Development being a "&amp;Data1!A16&amp;", there is no linked Development.","State the Name of the "&amp;IF(Link_Classification=Data1!A14,"Reconstructed ",IF(Link_Classification=Data1!A15,"New ",""))&amp;"Development to which this Application is to be linked.")</f>
        <v>State the Name of the Development to which this Application is to be linked.</v>
      </c>
      <c r="D6" s="10"/>
      <c r="E6" s="10"/>
      <c r="F6" s="10"/>
      <c r="G6" s="10"/>
      <c r="H6" s="10"/>
      <c r="I6" s="10"/>
      <c r="J6" s="18"/>
      <c r="K6" s="18"/>
      <c r="L6" s="2084"/>
      <c r="M6" s="2084"/>
      <c r="N6" s="2390">
        <f>IF('General Information'!$M$4=0,1,0)</f>
        <v>0</v>
      </c>
      <c r="O6" s="2387"/>
      <c r="P6" s="18"/>
    </row>
    <row r="7" spans="1:28" s="2083" customFormat="1" ht="14.45" hidden="1" customHeight="1">
      <c r="C7" s="664"/>
      <c r="G7" s="2961"/>
      <c r="H7" s="2961"/>
      <c r="I7" s="2961"/>
      <c r="J7" s="18"/>
      <c r="K7" s="18"/>
      <c r="L7" s="2194">
        <f>IF($N$6=0,0,IF(Link_Classification=Data1!$A$16,3,1))</f>
        <v>0</v>
      </c>
      <c r="M7" s="2193">
        <f>IF(AND(L7&lt;&gt;0,'Proposed Development Info'!G7&lt;&gt;""),L7,0)</f>
        <v>0</v>
      </c>
      <c r="N7" s="2392" t="str">
        <f>CHOOSE(L7+1,"Not to be included in this RFA","A REQUIRED input field for this RFA","An OPTIONAL input field for this RFA","Not required in this RFA")</f>
        <v>Not to be included in this RFA</v>
      </c>
      <c r="O7" s="2387"/>
      <c r="P7" s="18"/>
    </row>
    <row r="8" spans="1:28" s="2083" customFormat="1" ht="10.35" hidden="1" customHeight="1">
      <c r="C8" s="664"/>
      <c r="G8" s="18"/>
      <c r="H8" s="18"/>
      <c r="J8" s="18"/>
      <c r="K8" s="18"/>
      <c r="L8" s="2191"/>
      <c r="M8" s="2191"/>
      <c r="N8" s="2393"/>
      <c r="O8" s="2387"/>
      <c r="P8" s="18"/>
    </row>
    <row r="9" spans="1:28" s="2083" customFormat="1" ht="50.1" hidden="1" customHeight="1">
      <c r="C9" s="3009" t="str">
        <f>IF(Link_Classification=Data1!$A$16,"",IF(AND(Name_of_proposed_Development="",Name_of_Linked_Development=""),"(The names of the proposed Development and the linked Development need to be entered)",IF(Name_of_proposed_Development="","(The name of the proposed Development needs to be entered)",IF(Name_of_Linked_Development="","(The name of the linked Development needs to be entered)","This Application is for the Development named "&amp;Name_of_proposed_Development&amp;IF('General Information'!$F$18="&lt;select one&gt;",""," (designated as the "&amp;'General Information'!$F$18&amp;")")&amp;" and the Development to which this Development is linked is named "&amp;Name_of_Linked_Development&amp;IF('General Information'!$F$18="&lt;select one&gt;",""," (and required to be the "&amp;IF('General Information'!$F$18=Data1!$A$14,Data1!$A$15,Data1!$A$14)&amp;")")&amp;"."))))</f>
        <v>(The names of the proposed Development and the linked Development need to be entered)</v>
      </c>
      <c r="D9" s="3009"/>
      <c r="E9" s="3009"/>
      <c r="F9" s="3009"/>
      <c r="G9" s="3009"/>
      <c r="H9" s="3009"/>
      <c r="I9" s="3009"/>
      <c r="J9" s="18"/>
      <c r="K9" s="18"/>
      <c r="L9" s="2191"/>
      <c r="M9" s="2191"/>
      <c r="N9" s="2391" t="s">
        <v>2721</v>
      </c>
      <c r="O9" s="2387"/>
      <c r="P9" s="18"/>
    </row>
    <row r="10" spans="1:28" s="2083" customFormat="1" ht="10.35" hidden="1" customHeight="1">
      <c r="C10" s="664"/>
      <c r="G10" s="18"/>
      <c r="H10" s="18"/>
      <c r="J10" s="18"/>
      <c r="K10" s="18"/>
      <c r="L10" s="2191"/>
      <c r="M10" s="2191"/>
      <c r="N10" s="2393"/>
      <c r="O10" s="2387"/>
      <c r="P10" s="18"/>
    </row>
    <row r="11" spans="1:28" s="17" customFormat="1" ht="14.45" customHeight="1">
      <c r="A11" s="542" t="s">
        <v>1031</v>
      </c>
      <c r="B11" s="2975" t="str">
        <f>IF('General Information'!M4=1,"Development Category","Occupied Development, New Development, Reconstructed Development, and Relocation Criteria")</f>
        <v>Development Category</v>
      </c>
      <c r="C11" s="2975"/>
      <c r="D11" s="2975"/>
      <c r="E11" s="2975"/>
      <c r="F11" s="2975"/>
      <c r="G11" s="2975"/>
      <c r="H11" s="2975"/>
      <c r="I11" s="2975"/>
      <c r="J11" s="764"/>
      <c r="K11" s="765"/>
      <c r="L11" s="2189"/>
      <c r="M11" s="2193"/>
      <c r="N11" s="2189"/>
      <c r="O11" s="2189"/>
      <c r="P11" s="2189"/>
      <c r="R11" s="1318"/>
      <c r="S11" s="1318"/>
      <c r="T11" s="1318"/>
      <c r="U11" s="1318"/>
    </row>
    <row r="12" spans="1:28" s="17" customFormat="1" ht="17.45" customHeight="1">
      <c r="B12" s="316">
        <v>1</v>
      </c>
      <c r="C12" s="905" t="s">
        <v>1032</v>
      </c>
      <c r="D12" s="62"/>
      <c r="G12" s="3002" t="s">
        <v>226</v>
      </c>
      <c r="H12" s="3002"/>
      <c r="I12" s="764"/>
      <c r="J12" s="764"/>
      <c r="K12" s="765"/>
      <c r="L12" s="2194">
        <f>IF($N$6=0,1,0)</f>
        <v>1</v>
      </c>
      <c r="M12" s="2193">
        <f>IF(AND(L12&lt;&gt;0,AND(G12&lt;&gt;"&lt;select one&gt;",G12&lt;&gt;"")),L12,0)</f>
        <v>1</v>
      </c>
      <c r="N12" s="779" t="str">
        <f>CHOOSE(L12+1,"Not to be included in this RFA","A REQUIRED input field for this RFA","An OPTIONAL input field for this RFA")</f>
        <v>A REQUIRED input field for this RFA</v>
      </c>
      <c r="O12" s="2189"/>
      <c r="P12" s="2189"/>
      <c r="R12" s="1318"/>
      <c r="S12" s="1318"/>
      <c r="T12" s="1318"/>
      <c r="U12" s="1318"/>
    </row>
    <row r="13" spans="1:28" s="17" customFormat="1" ht="14.45" customHeight="1">
      <c r="F13" s="3003" t="str">
        <f>IF(AND('General Information'!$K$67&lt;&gt;0,Self_Sourced_Applicant="Yes"),IF(Development_Category&lt;&gt;"New Construction","Self-Sourced Applicants must select New Construction",""),"")</f>
        <v/>
      </c>
      <c r="G13" s="3003"/>
      <c r="H13" s="3003"/>
      <c r="I13" s="765"/>
      <c r="J13" s="765"/>
      <c r="K13" s="765"/>
      <c r="L13" s="2189"/>
      <c r="M13" s="2193"/>
      <c r="N13" s="2189"/>
      <c r="O13" s="2189"/>
      <c r="P13" s="2189"/>
      <c r="R13" s="1318"/>
      <c r="S13" s="1318"/>
      <c r="T13" s="1318"/>
      <c r="U13" s="1318"/>
    </row>
    <row r="14" spans="1:28" s="2087" customFormat="1" ht="14.45" hidden="1" customHeight="1">
      <c r="B14" s="316">
        <v>1</v>
      </c>
      <c r="C14" s="2108" t="s">
        <v>2522</v>
      </c>
      <c r="F14" s="2091"/>
      <c r="G14" s="2091"/>
      <c r="H14" s="2091"/>
      <c r="I14" s="765"/>
      <c r="J14" s="765"/>
      <c r="K14" s="765"/>
      <c r="L14" s="2189"/>
      <c r="M14" s="2193"/>
      <c r="N14" s="2390">
        <f>IF('General Information'!$M$4=0,1,0)</f>
        <v>0</v>
      </c>
      <c r="O14" s="2387"/>
      <c r="P14" s="2189"/>
    </row>
    <row r="15" spans="1:28" s="2087" customFormat="1" ht="35.1" hidden="1" customHeight="1">
      <c r="C15" s="2086" t="s">
        <v>965</v>
      </c>
      <c r="D15" s="2943" t="str">
        <f>"If the subject Development is for the "&amp;IF(Link_Classification&lt;&gt;Data1!A15,"New Development"&amp;IF(Data1!B16=1," or "&amp;Data1!$A$16,""),"Reconstructed Development")&amp;" classification"&amp;IF(Link_Classification&lt;&gt;Data1!A15,"s, indicate the information",", indicate the number of set-aside or Naturally Occuring Affordable Housing units")&amp;" below regarding the Occupied Development."</f>
        <v>If the subject Development is for the New Development or Combination Application classifications, indicate the information below regarding the Occupied Development.</v>
      </c>
      <c r="E15" s="2943"/>
      <c r="F15" s="2943"/>
      <c r="G15" s="2943"/>
      <c r="H15" s="2943"/>
      <c r="I15" s="2943"/>
      <c r="J15" s="765"/>
      <c r="K15" s="765"/>
      <c r="L15" s="2189"/>
      <c r="M15" s="2193"/>
      <c r="N15" s="2394"/>
      <c r="O15" s="2387"/>
      <c r="P15" s="2189"/>
    </row>
    <row r="16" spans="1:28" s="2087" customFormat="1" ht="17.45" hidden="1" customHeight="1">
      <c r="D16" s="357" t="s">
        <v>1597</v>
      </c>
      <c r="E16" s="2943" t="s">
        <v>2531</v>
      </c>
      <c r="F16" s="2943"/>
      <c r="G16" s="2943"/>
      <c r="H16" s="2088" t="s">
        <v>59</v>
      </c>
      <c r="I16" s="2184" t="str">
        <f>IF(OR(County_of_Occupied="&lt;select one&gt;",County="&lt;select one&gt;"),"",IF(County_of_Occupied=County,"(Matches)","(Does NOT Match)"))</f>
        <v/>
      </c>
      <c r="J16" s="765"/>
      <c r="K16" s="765"/>
      <c r="L16" s="2194">
        <f>IF($N$6=0,0,IF(OR(Link_Classification=Data1!$A$14,Link_Classification=Data1!$A$16),1,3))</f>
        <v>0</v>
      </c>
      <c r="M16" s="2193">
        <f>IF(AND(L16&lt;&gt;0,'Proposed Development Info'!H16&lt;&gt;"&lt;select one&gt;"),L16,0)</f>
        <v>0</v>
      </c>
      <c r="N16" s="2392" t="str">
        <f>CHOOSE(L16+1,"Not to be included in this RFA","A REQUIRED input field for this RFA","An OPTIONAL input field for this RFA","Not required in this RFA")</f>
        <v>Not to be included in this RFA</v>
      </c>
      <c r="O16" s="2387"/>
      <c r="P16" s="2189"/>
    </row>
    <row r="17" spans="2:21" s="2087" customFormat="1" ht="17.45" hidden="1" customHeight="1">
      <c r="D17" s="357" t="s">
        <v>1597</v>
      </c>
      <c r="E17" s="2943" t="s">
        <v>2532</v>
      </c>
      <c r="F17" s="2943"/>
      <c r="G17" s="2943"/>
      <c r="H17" s="2091"/>
      <c r="I17" s="765"/>
      <c r="J17" s="765"/>
      <c r="K17" s="765"/>
      <c r="L17" s="2189"/>
      <c r="M17" s="2193"/>
      <c r="N17" s="2394"/>
      <c r="O17" s="2387"/>
      <c r="P17" s="2189"/>
    </row>
    <row r="18" spans="2:21" s="2087" customFormat="1" ht="117.95" hidden="1" customHeight="1">
      <c r="E18" s="3007"/>
      <c r="F18" s="3007"/>
      <c r="G18" s="3007"/>
      <c r="H18" s="3007"/>
      <c r="I18" s="3007"/>
      <c r="J18" s="765"/>
      <c r="K18" s="765"/>
      <c r="L18" s="2194">
        <f>IF($N$6=0,0,IF(OR(Link_Classification=Data1!$A$14,Link_Classification=Data1!$A$16),1,3))</f>
        <v>0</v>
      </c>
      <c r="M18" s="2193">
        <f>IF(AND(L18&lt;&gt;0,'Proposed Development Info'!G18&lt;&gt;""),L18,0)</f>
        <v>0</v>
      </c>
      <c r="N18" s="2392" t="str">
        <f>CHOOSE(L18+1,"Not to be included in this RFA","A REQUIRED input field for this RFA","An OPTIONAL input field for this RFA","Not required in this RFA")</f>
        <v>Not to be included in this RFA</v>
      </c>
      <c r="O18" s="2387"/>
      <c r="P18" s="2189"/>
    </row>
    <row r="19" spans="2:21" s="2087" customFormat="1" ht="10.35" hidden="1" customHeight="1">
      <c r="E19" s="2095"/>
      <c r="F19" s="2095"/>
      <c r="G19" s="2095"/>
      <c r="H19" s="2095"/>
      <c r="I19" s="2096"/>
      <c r="J19" s="765"/>
      <c r="K19" s="765"/>
      <c r="L19" s="2189"/>
      <c r="M19" s="2193"/>
      <c r="N19" s="2395"/>
      <c r="O19" s="2387"/>
      <c r="P19" s="2189"/>
    </row>
    <row r="20" spans="2:21" s="2087" customFormat="1" ht="17.45" hidden="1" customHeight="1">
      <c r="D20" s="357" t="s">
        <v>1597</v>
      </c>
      <c r="E20" s="2943" t="s">
        <v>2533</v>
      </c>
      <c r="F20" s="2943"/>
      <c r="G20" s="2943"/>
      <c r="H20" s="2088"/>
      <c r="J20" s="765"/>
      <c r="K20" s="765"/>
      <c r="L20" s="2194">
        <f>IF($N$6=0,0,IF(OR(Link_Classification=Data1!$A$14,Link_Classification=Data1!$A$16),1,3))</f>
        <v>0</v>
      </c>
      <c r="M20" s="2193">
        <f>IF(AND(L20&lt;&gt;0,'Proposed Development Info'!H20&lt;&gt;""),L20,0)</f>
        <v>0</v>
      </c>
      <c r="N20" s="2392" t="str">
        <f>CHOOSE(L20+1,"Not to be included in this RFA","A REQUIRED input field for this RFA","An OPTIONAL input field for this RFA","Not required in this RFA")</f>
        <v>Not to be included in this RFA</v>
      </c>
      <c r="O20" s="2387"/>
      <c r="P20" s="2189"/>
    </row>
    <row r="21" spans="2:21" s="2087" customFormat="1" ht="5.0999999999999996" hidden="1" customHeight="1">
      <c r="D21" s="2106"/>
      <c r="E21" s="2106"/>
      <c r="F21" s="2106"/>
      <c r="G21" s="2106"/>
      <c r="H21" s="765"/>
      <c r="J21" s="765"/>
      <c r="K21" s="765"/>
      <c r="L21" s="2189"/>
      <c r="M21" s="2193"/>
      <c r="N21" s="2394"/>
      <c r="O21" s="2387"/>
      <c r="P21" s="2189"/>
    </row>
    <row r="22" spans="2:21" s="2106" customFormat="1" ht="39.950000000000003" hidden="1" customHeight="1">
      <c r="D22" s="357" t="s">
        <v>1597</v>
      </c>
      <c r="E22" s="2943" t="s">
        <v>2535</v>
      </c>
      <c r="F22" s="2943"/>
      <c r="G22" s="2943"/>
      <c r="H22" s="2107"/>
      <c r="I22" s="2209" t="str">
        <f>"(Must be at least 75% of total units "&amp;IF(N(H20)&gt;0,"("&amp;TEXT(ROUNDUP(75%*N(H20),0),"0")&amp;") ","")&amp;"in Occupied Development)"</f>
        <v>(Must be at least 75% of total units in Occupied Development)</v>
      </c>
      <c r="J22" s="765"/>
      <c r="K22" s="765"/>
      <c r="L22" s="2194">
        <f>IF($N$6=0,0,IF(Link_Classification="&lt;select one&gt;",3,1))</f>
        <v>0</v>
      </c>
      <c r="M22" s="2193">
        <f>IF(AND(L22&lt;&gt;0,'Proposed Development Info'!H22&lt;&gt;""),L22,0)</f>
        <v>0</v>
      </c>
      <c r="N22" s="2392" t="str">
        <f>CHOOSE(L22+1,"Not to be included in this RFA","A REQUIRED input field for this RFA","An OPTIONAL input field for this RFA","Not required in this RFA")</f>
        <v>Not to be included in this RFA</v>
      </c>
      <c r="O22" s="2387"/>
      <c r="P22" s="2189"/>
    </row>
    <row r="23" spans="2:21" s="2087" customFormat="1" ht="5.0999999999999996" hidden="1" customHeight="1">
      <c r="D23" s="2106"/>
      <c r="E23" s="2106"/>
      <c r="F23" s="2106"/>
      <c r="G23" s="2106"/>
      <c r="H23" s="765"/>
      <c r="J23" s="765"/>
      <c r="K23" s="765"/>
      <c r="L23" s="2189"/>
      <c r="M23" s="2193"/>
      <c r="N23" s="2394"/>
      <c r="O23" s="2387"/>
      <c r="P23" s="2189"/>
    </row>
    <row r="24" spans="2:21" s="2087" customFormat="1" ht="17.45" hidden="1" customHeight="1">
      <c r="D24" s="357" t="s">
        <v>1597</v>
      </c>
      <c r="E24" s="2943" t="s">
        <v>2534</v>
      </c>
      <c r="F24" s="2943"/>
      <c r="G24" s="2943"/>
      <c r="H24" s="2090"/>
      <c r="I24" s="2184" t="str">
        <f>IF(H24="No","(Must be Yes)","")</f>
        <v/>
      </c>
      <c r="J24" s="765"/>
      <c r="K24" s="765"/>
      <c r="L24" s="2194">
        <f>IF($N$6=0,0,IF(OR(Link_Classification=Data1!$A$14,Link_Classification=Data1!$A$16),1,3))</f>
        <v>0</v>
      </c>
      <c r="M24" s="2193">
        <f>IF(AND(L24&lt;&gt;0,'Proposed Development Info'!H24&lt;&gt;"&lt;select one&gt;"),L24,0)</f>
        <v>0</v>
      </c>
      <c r="N24" s="2392" t="str">
        <f>CHOOSE(L24+1,"Not to be included in this RFA","A REQUIRED input field for this RFA","An OPTIONAL input field for this RFA","Not required in this RFA")</f>
        <v>Not to be included in this RFA</v>
      </c>
      <c r="O24" s="2387"/>
      <c r="P24" s="2189"/>
    </row>
    <row r="25" spans="2:21" s="2087" customFormat="1" ht="5.0999999999999996" hidden="1" customHeight="1">
      <c r="D25" s="2106"/>
      <c r="E25" s="2106"/>
      <c r="F25" s="2106"/>
      <c r="G25" s="2106"/>
      <c r="H25" s="765"/>
      <c r="J25" s="765"/>
      <c r="K25" s="765"/>
      <c r="L25" s="2189"/>
      <c r="M25" s="2193"/>
      <c r="N25" s="2394"/>
      <c r="O25" s="2387"/>
      <c r="P25" s="2189"/>
    </row>
    <row r="26" spans="2:21" s="2087" customFormat="1" ht="17.45" hidden="1" customHeight="1">
      <c r="D26" s="357" t="s">
        <v>1597</v>
      </c>
      <c r="E26" s="2943" t="s">
        <v>2547</v>
      </c>
      <c r="F26" s="2943"/>
      <c r="G26" s="2943"/>
      <c r="H26" s="2185"/>
      <c r="I26" s="2150" t="str">
        <f ca="1">IF(OR(N(Year_Built_of_Occupied)&lt;1900,Link_Classification=Data1!$A$15,Link_Classification="&lt;select one&gt;"),"",YEAR(NOW())-Year_Built_of_Occupied)</f>
        <v/>
      </c>
      <c r="J26" s="765"/>
      <c r="K26" s="765"/>
      <c r="L26" s="2194">
        <f>IF($N$6=0,0,IF(OR(Link_Classification=Data1!$A$14,Link_Classification=Data1!$A$16),1,3))</f>
        <v>0</v>
      </c>
      <c r="M26" s="2193">
        <f>IF(AND(L26&lt;&gt;0,'Proposed Development Info'!H26&lt;&gt;""),L26,0)</f>
        <v>0</v>
      </c>
      <c r="N26" s="2392" t="str">
        <f>CHOOSE(L26+1,"Not to be included in this RFA","A REQUIRED input field for this RFA","An OPTIONAL input field for this RFA","Not required in this RFA")</f>
        <v>Not to be included in this RFA</v>
      </c>
      <c r="O26" s="2387"/>
      <c r="P26" s="2189"/>
    </row>
    <row r="27" spans="2:21" s="2136" customFormat="1" ht="14.45" hidden="1" customHeight="1">
      <c r="D27" s="357"/>
      <c r="E27" s="2976" t="str">
        <f ca="1">IF(OR(N(Year_Built_of_Occupied)&lt;1900,Link_Classification=Data1!$A$15,Link_Classification="&lt;select one&gt;"),"",IF(YEAR(NOW())-Year_Built_of_Occupied&gt;=30,"The age of the Occupied Development meets the minium of 30 years.","The age of the Occupied Develpment does NOT meet the minimum of 30 years. ")&amp;"The age of the Occupied Development "&amp;IF(YEAR(NOW())-Year_Built_of_Occupied&gt;=50,"qualifies","does NOT qualify")&amp;" for the Age of Development Preference.")</f>
        <v/>
      </c>
      <c r="F27" s="2976"/>
      <c r="G27" s="2976"/>
      <c r="H27" s="2976"/>
      <c r="I27" s="2976"/>
      <c r="J27" s="624"/>
      <c r="K27" s="624"/>
      <c r="L27" s="624"/>
      <c r="M27" s="624"/>
      <c r="N27" s="2396"/>
      <c r="O27" s="2387"/>
      <c r="P27" s="624"/>
    </row>
    <row r="28" spans="2:21" s="2189" customFormat="1" ht="14.45" hidden="1" customHeight="1">
      <c r="D28" s="2806" t="s">
        <v>2557</v>
      </c>
      <c r="E28" s="2806"/>
      <c r="F28" s="2806"/>
      <c r="G28" s="2806"/>
      <c r="H28" s="2806"/>
      <c r="I28" s="2806"/>
      <c r="J28" s="624"/>
      <c r="K28" s="624"/>
      <c r="L28" s="624"/>
      <c r="M28" s="624"/>
      <c r="N28" s="2396"/>
      <c r="O28" s="2387"/>
      <c r="P28" s="624"/>
    </row>
    <row r="29" spans="2:21" s="2087" customFormat="1" ht="10.35" hidden="1" customHeight="1">
      <c r="F29" s="2091"/>
      <c r="G29" s="2091"/>
      <c r="H29" s="2091"/>
      <c r="I29" s="765"/>
      <c r="J29" s="765"/>
      <c r="K29" s="765"/>
      <c r="M29" s="2092"/>
      <c r="N29" s="2394"/>
      <c r="O29" s="2387"/>
    </row>
    <row r="30" spans="2:21" s="17" customFormat="1" ht="17.45" hidden="1" customHeight="1">
      <c r="B30" s="91" t="str">
        <f>IF($N$30=0,"",MAX(B$12:B29)+1)</f>
        <v/>
      </c>
      <c r="C30" s="1881" t="str">
        <f>IF(N6=0,"The Development Category requirements are outlined in Section Four.","New Development")</f>
        <v>The Development Category requirements are outlined in Section Four.</v>
      </c>
      <c r="D30" s="954"/>
      <c r="E30" s="954"/>
      <c r="F30" s="954"/>
      <c r="G30" s="954"/>
      <c r="H30" s="954"/>
      <c r="I30" s="624"/>
      <c r="J30" s="18"/>
      <c r="K30" s="18"/>
      <c r="M30" s="931"/>
      <c r="N30" s="2390">
        <f>IF('General Information'!$M$4=0,1,0)</f>
        <v>0</v>
      </c>
      <c r="R30" s="1318"/>
      <c r="S30" s="1318"/>
      <c r="T30" s="1318"/>
      <c r="U30" s="1318"/>
    </row>
    <row r="31" spans="2:21" s="17" customFormat="1" ht="7.5" hidden="1" customHeight="1">
      <c r="B31" s="80"/>
      <c r="C31" s="922"/>
      <c r="D31" s="922"/>
      <c r="E31" s="922"/>
      <c r="F31" s="922"/>
      <c r="G31" s="922"/>
      <c r="H31" s="946"/>
      <c r="I31" s="720"/>
      <c r="J31" s="18"/>
      <c r="K31" s="18"/>
      <c r="M31" s="931"/>
    </row>
    <row r="32" spans="2:21" s="2106" customFormat="1" ht="14.45" hidden="1" customHeight="1">
      <c r="B32" s="80"/>
      <c r="C32" s="357" t="s">
        <v>1597</v>
      </c>
      <c r="D32" t="s">
        <v>2574</v>
      </c>
      <c r="E32" s="2104"/>
      <c r="F32" s="2104"/>
      <c r="G32" s="2104"/>
      <c r="H32" s="2113"/>
      <c r="I32" s="720"/>
      <c r="J32" s="1535"/>
      <c r="K32" s="18"/>
      <c r="M32" s="2111"/>
      <c r="N32" s="2395"/>
    </row>
    <row r="33" spans="2:15" s="2106" customFormat="1" ht="5.0999999999999996" hidden="1" customHeight="1">
      <c r="B33" s="80"/>
      <c r="C33" s="2104"/>
      <c r="D33" s="2104"/>
      <c r="E33" s="2104"/>
      <c r="F33" s="2104"/>
      <c r="G33" s="2104"/>
      <c r="H33" s="2113"/>
      <c r="I33" s="720"/>
      <c r="J33" s="1535"/>
      <c r="K33" s="18"/>
      <c r="M33" s="2111"/>
      <c r="N33" s="2394"/>
    </row>
    <row r="34" spans="2:15" s="2106" customFormat="1" ht="60" hidden="1" customHeight="1">
      <c r="B34" s="80"/>
      <c r="C34" s="357" t="s">
        <v>1597</v>
      </c>
      <c r="D34" s="2943" t="str">
        <f>"Does the site of the New Development "&amp;IF(Data1!B16=1,"or "&amp;Data1!$A$16&amp;", as applicable, ","")&amp;"qualify for the RFA requirements by either being vacant or, if there are any existing buildings that will be demolished, those buildings do not contain residential units:"</f>
        <v>Does the site of the New Development or Combination Application, as applicable, qualify for the RFA requirements by either being vacant or, if there are any existing buildings that will be demolished, those buildings do not contain residential units:</v>
      </c>
      <c r="E34" s="2943"/>
      <c r="F34" s="2943"/>
      <c r="G34" s="2943"/>
      <c r="H34" s="2110" t="s">
        <v>59</v>
      </c>
      <c r="I34" s="720"/>
      <c r="J34" s="1535"/>
      <c r="K34" s="18"/>
      <c r="L34" s="1530">
        <f>IF('General Information'!$M$4=0,IF(AND(Link_Classification&lt;&gt;Data1!$A$14,Link_Classification&lt;&gt;Data1!$A$16),3,1),0)</f>
        <v>0</v>
      </c>
      <c r="M34" s="2182">
        <f>IF(AND(L34&lt;&gt;0,D34&lt;&gt;"&lt;select one&gt;"),L34,0)</f>
        <v>0</v>
      </c>
      <c r="N34" s="2395" t="str">
        <f>CHOOSE(L34+1,"Not to be included in this RFA","A REQUIRED input field for this RFA","An OPTIONAL input field for this RFA","Not tracked in this RFA")</f>
        <v>Not to be included in this RFA</v>
      </c>
      <c r="O34" s="2183">
        <v>1</v>
      </c>
    </row>
    <row r="35" spans="2:15" s="2106" customFormat="1" ht="10.35" hidden="1" customHeight="1">
      <c r="B35" s="80"/>
      <c r="C35" s="2109"/>
      <c r="D35" s="2109"/>
      <c r="E35" s="2109"/>
      <c r="F35" s="2109"/>
      <c r="G35" s="2109"/>
      <c r="H35" s="620"/>
      <c r="I35" s="720"/>
      <c r="J35" s="1535"/>
      <c r="K35" s="18"/>
      <c r="M35" s="2111"/>
      <c r="N35" s="2394"/>
    </row>
    <row r="36" spans="2:15" s="2106" customFormat="1" ht="14.45" hidden="1" customHeight="1">
      <c r="B36" s="91" t="str">
        <f>IF($N$6=0,"",MAX(B$12:B35)+1)</f>
        <v/>
      </c>
      <c r="C36" s="87" t="s">
        <v>2521</v>
      </c>
      <c r="D36" s="2109"/>
      <c r="E36" s="2109"/>
      <c r="F36" s="2109"/>
      <c r="G36" s="2109"/>
      <c r="H36" s="620"/>
      <c r="I36" s="720"/>
      <c r="J36" s="1535"/>
      <c r="K36" s="18"/>
      <c r="M36" s="2111"/>
      <c r="N36" s="2394"/>
    </row>
    <row r="37" spans="2:15" s="2106" customFormat="1" ht="7.5" hidden="1" customHeight="1">
      <c r="B37" s="80"/>
      <c r="C37" s="2109"/>
      <c r="D37" s="2109"/>
      <c r="E37" s="2109"/>
      <c r="F37" s="2109"/>
      <c r="G37" s="2109"/>
      <c r="H37" s="620"/>
      <c r="I37" s="720"/>
      <c r="J37" s="1535"/>
      <c r="K37" s="18"/>
      <c r="M37" s="2111"/>
      <c r="N37" s="2394"/>
    </row>
    <row r="38" spans="2:15" s="2106" customFormat="1" ht="14.45" hidden="1" customHeight="1">
      <c r="B38" s="80"/>
      <c r="C38" s="1947" t="s">
        <v>2573</v>
      </c>
      <c r="D38" s="2109"/>
      <c r="E38" s="2109"/>
      <c r="F38" s="2109"/>
      <c r="G38" s="2109"/>
      <c r="H38" s="620"/>
      <c r="I38" s="720"/>
      <c r="J38" s="1535"/>
      <c r="K38" s="18"/>
      <c r="M38" s="2111"/>
      <c r="N38" s="2394"/>
    </row>
    <row r="39" spans="2:15" s="2106" customFormat="1" ht="10.35" hidden="1" customHeight="1">
      <c r="B39" s="80"/>
      <c r="C39" s="2109"/>
      <c r="D39" s="2109"/>
      <c r="E39" s="2109"/>
      <c r="F39" s="2109"/>
      <c r="G39" s="2109"/>
      <c r="H39" s="620"/>
      <c r="I39" s="720"/>
      <c r="J39" s="1535"/>
      <c r="K39" s="18"/>
      <c r="M39" s="2111"/>
      <c r="N39" s="2394"/>
    </row>
    <row r="40" spans="2:15" s="2106" customFormat="1" ht="14.45" hidden="1" customHeight="1">
      <c r="B40" s="91" t="str">
        <f>IF($N$6=0,"",MAX(B$12:B39)+1)</f>
        <v/>
      </c>
      <c r="C40" s="87" t="str">
        <f>"Relocation (New Development "&amp;IF(Link_Classification=Data1!A16,"and "&amp;Data1!A16&amp;" ","")&amp;"only)"</f>
        <v>Relocation (New Development only)</v>
      </c>
      <c r="D40" s="2109"/>
      <c r="E40" s="2109"/>
      <c r="F40" s="2109"/>
      <c r="G40" s="2109"/>
      <c r="H40" s="620"/>
      <c r="I40" s="720"/>
      <c r="J40" s="1535"/>
      <c r="K40" s="18"/>
      <c r="M40" s="2111"/>
      <c r="N40" s="2394"/>
    </row>
    <row r="41" spans="2:15" s="2106" customFormat="1" ht="7.5" hidden="1" customHeight="1">
      <c r="B41" s="80"/>
      <c r="C41" s="2109"/>
      <c r="D41" s="2109"/>
      <c r="E41" s="2109"/>
      <c r="F41" s="2109"/>
      <c r="G41" s="2109"/>
      <c r="H41" s="620"/>
      <c r="I41" s="720"/>
      <c r="J41" s="1535"/>
      <c r="K41" s="18"/>
      <c r="M41" s="2111"/>
      <c r="N41" s="2394"/>
    </row>
    <row r="42" spans="2:15" s="2106" customFormat="1" ht="14.45" hidden="1" customHeight="1">
      <c r="B42" s="80"/>
      <c r="C42" s="2105" t="s">
        <v>957</v>
      </c>
      <c r="D42" s="2109" t="s">
        <v>2536</v>
      </c>
      <c r="E42" s="2109"/>
      <c r="F42" s="2109"/>
      <c r="G42" s="2109"/>
      <c r="H42" s="620"/>
      <c r="I42" s="720"/>
      <c r="J42" s="1535"/>
      <c r="K42" s="18"/>
      <c r="M42" s="2111"/>
      <c r="N42" s="2394"/>
    </row>
    <row r="43" spans="2:15" s="2106" customFormat="1" ht="7.5" hidden="1" customHeight="1">
      <c r="B43" s="80"/>
      <c r="C43" s="2109"/>
      <c r="D43" s="2109"/>
      <c r="E43" s="2109"/>
      <c r="F43" s="2109"/>
      <c r="G43" s="2109"/>
      <c r="H43" s="620"/>
      <c r="I43" s="720"/>
      <c r="J43" s="1535"/>
      <c r="K43" s="18"/>
      <c r="M43" s="2111"/>
      <c r="N43" s="2394"/>
    </row>
    <row r="44" spans="2:15" s="2106" customFormat="1" ht="30" hidden="1" customHeight="1">
      <c r="B44" s="80"/>
      <c r="C44" s="2109"/>
      <c r="D44" s="2943" t="s">
        <v>2537</v>
      </c>
      <c r="E44" s="2943"/>
      <c r="F44" s="2943"/>
      <c r="G44" s="2943"/>
      <c r="H44" s="2943"/>
      <c r="I44" s="2943"/>
      <c r="J44" s="1535"/>
      <c r="K44" s="18"/>
      <c r="M44" s="2111"/>
      <c r="N44" s="2394"/>
    </row>
    <row r="45" spans="2:15" s="2106" customFormat="1" ht="7.5" hidden="1" customHeight="1">
      <c r="B45" s="80"/>
      <c r="C45" s="2109"/>
      <c r="D45" s="2109"/>
      <c r="E45" s="2109"/>
      <c r="F45" s="2109"/>
      <c r="G45" s="2109"/>
      <c r="H45" s="620"/>
      <c r="I45" s="720"/>
      <c r="J45" s="1535"/>
      <c r="K45" s="18"/>
      <c r="M45" s="2111"/>
      <c r="N45" s="2394"/>
    </row>
    <row r="46" spans="2:15" s="2106" customFormat="1" ht="14.45" hidden="1" customHeight="1">
      <c r="B46" s="80"/>
      <c r="C46" s="2105" t="s">
        <v>959</v>
      </c>
      <c r="D46" s="2109" t="s">
        <v>2538</v>
      </c>
      <c r="E46" s="2109"/>
      <c r="F46" s="2109"/>
      <c r="G46" s="2109"/>
      <c r="H46" s="620"/>
      <c r="I46" s="720"/>
      <c r="J46" s="1535"/>
      <c r="K46" s="18"/>
      <c r="M46" s="2111"/>
      <c r="N46" s="2394"/>
    </row>
    <row r="47" spans="2:15" s="2106" customFormat="1" ht="7.5" hidden="1" customHeight="1">
      <c r="B47" s="80"/>
      <c r="C47" s="2109"/>
      <c r="D47" s="2109"/>
      <c r="E47" s="2109"/>
      <c r="F47" s="2109"/>
      <c r="G47" s="2109"/>
      <c r="H47" s="620"/>
      <c r="I47" s="720"/>
      <c r="J47" s="1535"/>
      <c r="K47" s="18"/>
      <c r="M47" s="2111"/>
      <c r="N47" s="2394"/>
    </row>
    <row r="48" spans="2:15" s="2106" customFormat="1" ht="30" hidden="1" customHeight="1">
      <c r="B48" s="80"/>
      <c r="C48" s="2109"/>
      <c r="D48" s="2943" t="s">
        <v>2575</v>
      </c>
      <c r="E48" s="2943"/>
      <c r="F48" s="2943"/>
      <c r="G48" s="2943"/>
      <c r="H48" s="2943"/>
      <c r="I48" s="2943"/>
      <c r="J48" s="1535"/>
      <c r="K48" s="18"/>
      <c r="M48" s="2111"/>
      <c r="N48" s="2394"/>
    </row>
    <row r="49" spans="2:24" s="2106" customFormat="1" ht="10.35" hidden="1" customHeight="1">
      <c r="B49" s="80"/>
      <c r="C49" s="2109"/>
      <c r="D49" s="2109"/>
      <c r="E49" s="2109"/>
      <c r="F49" s="2109"/>
      <c r="G49" s="2109"/>
      <c r="H49" s="620"/>
      <c r="I49" s="720"/>
      <c r="J49" s="1535"/>
      <c r="K49" s="18"/>
      <c r="M49" s="2111"/>
      <c r="N49" s="2394"/>
    </row>
    <row r="50" spans="2:24" s="2189" customFormat="1" ht="14.45" hidden="1" customHeight="1">
      <c r="B50" s="91" t="str">
        <f>IF($N$6=0,"",MAX(B$12:B49)+1)</f>
        <v/>
      </c>
      <c r="C50" s="87" t="s">
        <v>2558</v>
      </c>
      <c r="D50" s="2192"/>
      <c r="E50" s="2192"/>
      <c r="F50" s="2192"/>
      <c r="G50" s="2192"/>
      <c r="H50" s="620"/>
      <c r="I50" s="720"/>
      <c r="J50" s="1535"/>
      <c r="K50" s="18"/>
      <c r="M50" s="2193"/>
      <c r="N50" s="2394"/>
    </row>
    <row r="51" spans="2:24" s="2189" customFormat="1" ht="50.1" hidden="1" customHeight="1">
      <c r="B51" s="91"/>
      <c r="C51" s="87"/>
      <c r="D51" s="2943" t="s">
        <v>2559</v>
      </c>
      <c r="E51" s="2943"/>
      <c r="F51" s="2943"/>
      <c r="G51" s="2943"/>
      <c r="H51" s="2943"/>
      <c r="I51" s="2943"/>
      <c r="J51" s="1535"/>
      <c r="K51" s="18"/>
      <c r="M51" s="2193"/>
      <c r="N51" s="2403" t="str">
        <f>"Rows "&amp;TEXT(ROW(A52),"0")&amp;" - "&amp;TEXT(ROW(A53),"0")&amp;" are reserved for large narrative blocks."</f>
        <v>Rows 52 - 53 are reserved for large narrative blocks.</v>
      </c>
    </row>
    <row r="52" spans="2:24" s="2189" customFormat="1" ht="300" hidden="1" customHeight="1">
      <c r="B52" s="80"/>
      <c r="C52" s="3006"/>
      <c r="D52" s="3006"/>
      <c r="E52" s="3006"/>
      <c r="F52" s="3006"/>
      <c r="G52" s="3006"/>
      <c r="H52" s="3006"/>
      <c r="I52" s="3006"/>
      <c r="J52" s="1535"/>
      <c r="K52" s="18"/>
      <c r="L52" s="2194">
        <f>IF('General Information'!$M$4=0,1,0)</f>
        <v>0</v>
      </c>
      <c r="M52" s="2193">
        <f>IF(AND(L52&lt;&gt;0,'Proposed Development Info'!H52&lt;&gt;""),L52,0)</f>
        <v>0</v>
      </c>
      <c r="N52" s="2392" t="str">
        <f>CHOOSE(L52+1,"Not to be included in this RFA","A REQUIRED input field for this RFA","An OPTIONAL input field for this RFA","Not required in this RFA")</f>
        <v>Not to be included in this RFA</v>
      </c>
    </row>
    <row r="53" spans="2:24" s="2189" customFormat="1" ht="300" hidden="1" customHeight="1">
      <c r="B53" s="80"/>
      <c r="C53" s="3006"/>
      <c r="D53" s="3006"/>
      <c r="E53" s="3006"/>
      <c r="F53" s="3006"/>
      <c r="G53" s="3006"/>
      <c r="H53" s="3006"/>
      <c r="I53" s="3006"/>
      <c r="J53" s="1535"/>
      <c r="K53" s="18"/>
      <c r="L53" s="2194">
        <f>IF('General Information'!$M$4=0,2,0)</f>
        <v>0</v>
      </c>
      <c r="M53" s="2193">
        <f>IF(AND(L53&lt;&gt;0,'Proposed Development Info'!H53&lt;&gt;""),L53,0)</f>
        <v>0</v>
      </c>
      <c r="N53" s="2392" t="str">
        <f>CHOOSE(L53+1,"Not to be included in this RFA","A REQUIRED input field for this RFA","An OPTIONAL input field for this RFA","Not required in this RFA")</f>
        <v>Not to be included in this RFA</v>
      </c>
    </row>
    <row r="54" spans="2:24" s="2189" customFormat="1" ht="14.45" hidden="1" customHeight="1">
      <c r="B54" s="80"/>
      <c r="C54" s="2192"/>
      <c r="D54" s="2192"/>
      <c r="E54" s="2192"/>
      <c r="F54" s="2192"/>
      <c r="G54" s="2192"/>
      <c r="H54" s="620"/>
      <c r="I54" s="720"/>
      <c r="J54" s="18"/>
      <c r="K54" s="18"/>
      <c r="M54" s="2193"/>
      <c r="N54" s="2394"/>
    </row>
    <row r="55" spans="2:24" s="1318" customFormat="1" ht="17.45" hidden="1" customHeight="1">
      <c r="B55" s="80"/>
      <c r="C55" s="1317" t="s">
        <v>2777</v>
      </c>
      <c r="D55" s="1316"/>
      <c r="E55" s="1316"/>
      <c r="F55" s="1316"/>
      <c r="G55" s="3005" t="s">
        <v>59</v>
      </c>
      <c r="H55" s="3005"/>
      <c r="I55" s="3005"/>
      <c r="J55" s="18"/>
      <c r="K55" s="18"/>
      <c r="L55" s="1659">
        <f>IF(N6=1,0,IF(Development_SubCategory="&lt;select one&gt;",O55,1))</f>
        <v>0</v>
      </c>
      <c r="M55" s="1319">
        <f>IF(AND(L55&lt;&gt;0,AND(G55&lt;&gt;"&lt;select one&gt;",G55&lt;&gt;"")),L55,0)</f>
        <v>0</v>
      </c>
      <c r="N55" s="1613" t="str">
        <f>CHOOSE(L55+1,"Not to be included in this RFA","A REQUIRED input field for this RFA","An OPTIONAL input field for this RFA")</f>
        <v>Not to be included in this RFA</v>
      </c>
      <c r="O55" s="1640">
        <v>0</v>
      </c>
    </row>
    <row r="56" spans="2:24" s="1318" customFormat="1" ht="7.5" hidden="1" customHeight="1">
      <c r="B56" s="80"/>
      <c r="C56" s="1316"/>
      <c r="D56" s="1316"/>
      <c r="E56" s="1316"/>
      <c r="F56" s="1316"/>
      <c r="G56" s="1316"/>
      <c r="H56" s="1322"/>
      <c r="I56" s="720"/>
      <c r="J56" s="18"/>
      <c r="K56" s="18"/>
      <c r="M56" s="1319"/>
    </row>
    <row r="57" spans="2:24" s="17" customFormat="1" ht="17.45" hidden="1" customHeight="1">
      <c r="B57" s="80"/>
      <c r="C57" s="2943"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57" s="2943"/>
      <c r="E57" s="2943"/>
      <c r="F57" s="2943"/>
      <c r="G57" s="2943"/>
      <c r="H57" s="2943"/>
      <c r="I57" s="2943"/>
      <c r="J57" s="18"/>
      <c r="K57" s="18"/>
      <c r="M57" s="931"/>
      <c r="N57" s="767">
        <v>0</v>
      </c>
      <c r="P57" s="1517" t="s">
        <v>2446</v>
      </c>
    </row>
    <row r="58" spans="2:24" s="17" customFormat="1" ht="7.5" hidden="1" customHeight="1">
      <c r="B58" s="80"/>
      <c r="C58" s="922"/>
      <c r="D58" s="922"/>
      <c r="E58" s="922"/>
      <c r="F58" s="922"/>
      <c r="G58" s="922"/>
      <c r="H58" s="946"/>
      <c r="I58" s="720"/>
      <c r="J58" s="18"/>
      <c r="K58" s="18"/>
      <c r="M58" s="931"/>
    </row>
    <row r="59" spans="2:24" s="17" customFormat="1" ht="35.1" hidden="1" customHeight="1">
      <c r="B59" s="80"/>
      <c r="C59" s="3004" t="str">
        <f>"Does the Unit Characteristics Chart below demonstrate that "&amp;IF(AND(OR(Development_Category="Rehabilitation",Development_Category="Acquisition and Rehabilitation"),Development_SubCategory&lt;&gt;"Preservation (w/ or w/o Acquisition)"),"less than "&amp;TEXT(Data1!B262*100,"0"),IF(AND(OR(Development_Category="Rehabilitation",Development_Category="Acquisition and Rehabilitation"),Development_SubCategory="Preservation (w/ or w/o Acquisition)"),"less than "&amp;TEXT(Data1!B230*100,"0"),IF(AND(Development_Category="New Construction",Development_SubCategory="Redevelopment (w/ or w/o Acquisition)"),"at least "&amp;TEXT(Data1!B215*100,"0"),"at least "&amp;TEXT(Data1!B207*100,"0"))))&amp;" percent of the total units consist of new construction?"</f>
        <v>Does the Unit Characteristics Chart below demonstrate that at least 100 percent of the total units consist of new construction?</v>
      </c>
      <c r="D59" s="3004"/>
      <c r="E59" s="3004"/>
      <c r="F59" s="3004"/>
      <c r="G59" s="3004"/>
      <c r="H59" s="3004"/>
      <c r="I59" s="969" t="str">
        <f>IF(AND(OR(Development_Category="Rehabilitation",Development_Category="Acquisition and Rehabilitation"),Development_SubCategory&lt;&gt;"Preservation (w/ or w/o Acquisition)"),Data1!B265,IF(AND(OR(Development_Category="Rehabilitation",Development_Category="Acquisition and Rehabilitation"),Development_SubCategory="Preservation (w/ or w/o Acquisition)"),Data1!B233,IF(AND(Development_Category="New Construction",Development_SubCategory="Redevelopment (w/ or w/o Acquisition)"),Data1!B218,Data1!B210)))</f>
        <v>TBD</v>
      </c>
      <c r="J59" s="18"/>
      <c r="K59" s="18"/>
      <c r="M59" s="931"/>
      <c r="N59" s="313">
        <v>0</v>
      </c>
      <c r="P59" s="2397" t="s">
        <v>2447</v>
      </c>
      <c r="Q59" s="1536"/>
      <c r="R59" s="1536"/>
      <c r="S59" s="1536"/>
      <c r="T59" s="1536"/>
      <c r="U59" s="1536"/>
      <c r="V59" s="1536"/>
      <c r="W59" s="1536"/>
      <c r="X59" s="1536"/>
    </row>
    <row r="60" spans="2:24" s="17" customFormat="1" ht="7.5" hidden="1" customHeight="1">
      <c r="B60" s="80"/>
      <c r="C60" s="2977"/>
      <c r="D60" s="2977"/>
      <c r="E60" s="2977"/>
      <c r="F60" s="2977"/>
      <c r="G60" s="2977"/>
      <c r="H60" s="2977"/>
      <c r="I60" s="2977"/>
      <c r="J60" s="18"/>
      <c r="K60" s="18"/>
      <c r="M60" s="931"/>
    </row>
    <row r="61" spans="2:24" s="17" customFormat="1" ht="50.1" hidden="1" customHeight="1">
      <c r="B61" s="80"/>
      <c r="C61" s="3004" t="str">
        <f ca="1">"If New Construction is the selected Development Category, did the Applicant indicate it or the General Partner or managing member of the Applicant meets the Rule definition of a Non-Profit at Section 4.A.3.a.("&amp;'General Information'!B71&amp;"). "</f>
        <v xml:space="preserve">If New Construction is the selected Development Category, did the Applicant indicate it or the General Partner or managing member of the Applicant meets the Rule definition of a Non-Profit at Section 4.A.3.a.(3). </v>
      </c>
      <c r="D61" s="3004"/>
      <c r="E61" s="3004"/>
      <c r="F61" s="3004"/>
      <c r="G61" s="3004"/>
      <c r="H61" s="3004"/>
      <c r="I61" s="969" t="str">
        <f>IF(AND(DS_NC_NP_Req="Yes",Development_Category="New Construction",NonProfit_Applicant="Yes"),"Yes",IF(AND(DS_NC_NP_Req="Yes",Development_Category="New Construction",NonProfit_Applicant&lt;&gt;"Yes"),"No","NA"))</f>
        <v>Yes</v>
      </c>
      <c r="J61" s="18"/>
      <c r="K61" s="18"/>
      <c r="M61" s="931"/>
      <c r="N61" s="1537" t="str">
        <f>"(Controlled by ""DS_NC_NP_Req"")
(Data1!B"&amp;TEXT(ROW(DS_NC_NP_Req),"0")&amp;")"</f>
        <v>(Controlled by "DS_NC_NP_Req")
(Data1!B206)</v>
      </c>
      <c r="P61" s="1517" t="s">
        <v>2448</v>
      </c>
    </row>
    <row r="62" spans="2:24" s="17" customFormat="1" ht="7.5" hidden="1" customHeight="1">
      <c r="B62" s="80"/>
      <c r="C62" s="905"/>
      <c r="D62" s="905"/>
      <c r="E62" s="905"/>
      <c r="F62" s="905"/>
      <c r="G62" s="905"/>
      <c r="H62" s="905"/>
      <c r="I62" s="905"/>
      <c r="J62" s="18"/>
      <c r="K62" s="18"/>
      <c r="M62" s="931"/>
    </row>
    <row r="63" spans="2:24" s="17" customFormat="1" ht="35.1" hidden="1" customHeight="1">
      <c r="B63" s="80"/>
      <c r="C63" s="3059"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63" s="3060"/>
      <c r="E63" s="3060"/>
      <c r="F63" s="3060"/>
      <c r="G63" s="3060"/>
      <c r="H63" s="3060"/>
      <c r="I63" s="3061"/>
      <c r="J63" s="18"/>
      <c r="K63" s="18"/>
      <c r="M63" s="931"/>
      <c r="N63" s="1660">
        <v>1</v>
      </c>
      <c r="P63" s="1517" t="s">
        <v>2450</v>
      </c>
    </row>
    <row r="64" spans="2:24" s="17" customFormat="1" ht="35.1" hidden="1" customHeight="1">
      <c r="B64" s="80"/>
      <c r="C64" s="3057"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64" s="2806"/>
      <c r="E64" s="2806"/>
      <c r="F64" s="2806"/>
      <c r="G64" s="2806"/>
      <c r="H64" s="2806"/>
      <c r="I64" s="1064" t="s">
        <v>59</v>
      </c>
      <c r="J64" s="18"/>
      <c r="K64" s="18"/>
      <c r="L64" s="1611">
        <f>IF(OR(AND(Development_Category="New Construction",Development_SubCategory="Redevelopment (w/ or w/o Acquisition)"),AND(OR(Development_Category="Rehabilitation",Development_Category="Acquisition and Rehabilitation"),Development_SubCategory="Preservation (w/ or w/o Acquisition)")),O64,0)</f>
        <v>0</v>
      </c>
      <c r="M64" s="1612">
        <f>IF(AND(L64&lt;&gt;0,AND(DevCat_Redev_FinProgram&lt;&gt;"&lt;select one&gt;",DevCat_Redev_FinProgram&lt;&gt;"")),L64,0)</f>
        <v>0</v>
      </c>
      <c r="N64" s="1613" t="str">
        <f>CHOOSE(L64+1,"Not to be included in this RFA","A REQUIRED input field for this RFA","An OPTIONAL input field for this RFA")</f>
        <v>Not to be included in this RFA</v>
      </c>
      <c r="O64" s="1578">
        <v>1</v>
      </c>
      <c r="P64" s="1517" t="s">
        <v>2449</v>
      </c>
    </row>
    <row r="65" spans="1:16" s="1576" customFormat="1" ht="7.35" hidden="1" customHeight="1">
      <c r="B65" s="80"/>
      <c r="C65" s="1607"/>
      <c r="D65" s="1608"/>
      <c r="E65" s="1608"/>
      <c r="F65" s="1608"/>
      <c r="G65" s="1608"/>
      <c r="H65" s="1608"/>
      <c r="I65" s="1661"/>
      <c r="J65" s="1609"/>
      <c r="K65" s="18"/>
      <c r="M65" s="1577"/>
      <c r="N65" s="1614"/>
    </row>
    <row r="66" spans="1:16" s="17" customFormat="1" ht="50.1" hidden="1" customHeight="1">
      <c r="B66" s="80"/>
      <c r="C66" s="3057"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66" s="2806"/>
      <c r="E66" s="2806"/>
      <c r="F66" s="2806"/>
      <c r="G66" s="2806"/>
      <c r="H66" s="2806"/>
      <c r="I66" s="1064" t="s">
        <v>59</v>
      </c>
      <c r="J66" s="18"/>
      <c r="K66" s="18"/>
      <c r="L66" s="1611">
        <f>IF(OR(AND(Development_Category="New Construction",Development_SubCategory="Redevelopment (w/ or w/o Acquisition)"),AND(OR(Development_Category="Rehabilitation",Development_Category="Acquisition and Rehabilitation"),Development_SubCategory="Preservation (w/ or w/o Acquisition)")),O66,0)</f>
        <v>0</v>
      </c>
      <c r="M66" s="1612">
        <f>IF(AND(L66&lt;&gt;0,AND(DevCat_PHA_DOT_or_Rehabbed&lt;&gt;"&lt;select one&gt;",DevCat_PHA_DOT_or_Rehabbed&lt;&gt;"")),L66,0)</f>
        <v>0</v>
      </c>
      <c r="N66" s="1613" t="str">
        <f>CHOOSE(L66+1,"Not to be included in this RFA","A REQUIRED input field for this RFA","An OPTIONAL input field for this RFA")</f>
        <v>Not to be included in this RFA</v>
      </c>
      <c r="O66" s="1578">
        <v>1</v>
      </c>
      <c r="P66" s="1517" t="s">
        <v>2452</v>
      </c>
    </row>
    <row r="67" spans="1:16" s="17" customFormat="1" ht="7.5" hidden="1" customHeight="1">
      <c r="B67" s="80"/>
      <c r="C67" s="3062"/>
      <c r="D67" s="3063"/>
      <c r="E67" s="3063"/>
      <c r="F67" s="3063"/>
      <c r="G67" s="3063"/>
      <c r="H67" s="3063"/>
      <c r="I67" s="3064"/>
      <c r="J67" s="18"/>
      <c r="K67" s="18"/>
      <c r="M67" s="931"/>
    </row>
    <row r="68" spans="1:16" s="1617" customFormat="1" ht="7.5" hidden="1" customHeight="1">
      <c r="B68" s="80"/>
      <c r="C68" s="307"/>
      <c r="D68" s="307"/>
      <c r="E68" s="307"/>
      <c r="F68" s="307"/>
      <c r="G68" s="307"/>
      <c r="H68" s="307"/>
      <c r="I68" s="307"/>
      <c r="J68" s="18"/>
      <c r="K68" s="18"/>
      <c r="M68" s="1618"/>
    </row>
    <row r="69" spans="1:16" s="17" customFormat="1" ht="51.95" hidden="1" customHeight="1">
      <c r="B69" s="3033"/>
      <c r="C69" s="2997" t="str">
        <f>IF(AND(Data1!B204="Yes",OR(Development_Category="Rehabilitation",Development_Category="Acquisition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Acquisition)"),Data1!B270,Data1!B238)*100,"0")&amp;" percent of the adjusted basis of the acquired building?","This area intentionally left blank.")</f>
        <v>This area intentionally left blank.</v>
      </c>
      <c r="D69" s="2806"/>
      <c r="E69" s="2806"/>
      <c r="F69" s="2806"/>
      <c r="G69" s="2806"/>
      <c r="H69" s="2806"/>
      <c r="I69" s="969" t="str">
        <f>IF(Data1!B$204="Yes",IF(AND(OR(Development_Category="Rehabilitation",Development_Category="Acquisition and Rehabilitation"),Development_SubCategory&lt;&gt;"Preservation (w/ or w/o Acquisition)"),Data1!B275,IF(AND(OR(Development_Category="Rehabilitation",Development_Category="Acquisition and Rehabilitation"),Development_SubCategory="Preservation (w/ or w/o Acquisition)"),Data1!B243,"")),"")</f>
        <v/>
      </c>
      <c r="J69" s="18"/>
      <c r="K69" s="18"/>
      <c r="L69" s="776"/>
      <c r="M69" s="931"/>
      <c r="N69" s="855">
        <f>IF(OR(IFERROR(FIND("Rehab",_xlfn.CONCAT(DS_DevCat_DDMenu)),0)&gt;0,IFERROR(FIND("Pres",_xlfn.CONCAT(DS_DevSubCat_DDMenu)),0)&gt;0),IF(Data1!$B$204="No",0,1),0)</f>
        <v>1</v>
      </c>
    </row>
    <row r="70" spans="1:16" s="17" customFormat="1" ht="57.95" hidden="1" customHeight="1">
      <c r="A70" s="1536"/>
      <c r="B70" s="3033"/>
      <c r="C70" s="3055" t="str">
        <f>IF(AND(Data1!B204="Yes",OR(Development_Category="Rehabilitation",Development_Category="Acquisition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Acquisition)"),IF(LEFT(Data1!B271,1)="(",0,Data1!B271),IF(LEFT(Data1!B239,1)="(",0,Data1!B239)),"$#,##0")&amp;" is "&amp;IF(AND(OR(Development_Category="Rehabilitation",Development_Category="Acquisition and Rehabilitation"),Development_SubCategory&lt;&gt;"Preservation (w/ or w/o Acquisition)"),IF(IF(LEFT(Data1!B271,1)="(",0,Data1!B271)&gt;Data1!B273,"more than",IF(IF(LEFT(Data1!B271,1)="(",0,Data1!B271)=Data1!B273,"equal to",IF(IF(LEFT(Data1!B271,1)="(",0,Data1!B271)&lt;Data1!B273,"less than","TBD"))),IF(IF(LEFT(Data1!B239,1)="(",0,Data1!B239)&gt;Data1!B241,"more than",IF(IF(LEFT(Data1!B239,1)="(",0,Data1!B239)=Data1!B241,"equal to",IF(IF(LEFT(Data1!B239,1)="(",0,Data1!B239)&lt;Data1!B241,"less than","TBD"))))&amp;" "&amp;TEXT(IF(AND(OR(Development_Category="Rehabilitation",Development_Category="Acquisition and Rehabilitation"),Development_SubCategory&lt;&gt;"Preservation (w/ or w/o Acquisition)"),Data1!B270,Data1!B238),"0%")&amp;" of the adjusted basis amount of "&amp;TEXT(IF(AND(OR(Development_Category="Rehabilitation",Development_Category="Acquisition and Rehabilitation"),Development_SubCategory&lt;&gt;"Preservation (w/ or w/o Acquisition)"),IF(LEFT(Data1!B272,1)="(",0,Data1!B272),IF(LEFT(Data1!B240,1)="(",0,Data1!B240)),"$#,##0")&amp;", or "&amp;TEXT(IF(AND(OR(Development_Category="Rehabilitation",Development_Category="Acquisition and Rehabilitation"),Development_SubCategory&lt;&gt;"Preservation (w/ or w/o Acquisition)"),Data1!B273,Data1!B241),"$#,##0")&amp;". "&amp;IF(IF(AND(OR(Development_Category="Rehabilitation",Development_Category="Acquisition and Rehabilitation"),Development_SubCategory&lt;&gt;"Preservation (w/ or w/o Acquisition)"),Data1!B271,Data1!B239)&lt;&gt;'Pro Forma'!H125,"(Certain fees and/or contingency reserves have been adjusted in accordance with RFA requirements to calculate IRS rehabilitation expenditures.)",""),"")</f>
        <v/>
      </c>
      <c r="D70" s="3055"/>
      <c r="E70" s="3055"/>
      <c r="F70" s="3055"/>
      <c r="G70" s="3055"/>
      <c r="H70" s="3055"/>
      <c r="I70" s="3055"/>
      <c r="J70" s="1535"/>
      <c r="K70" s="18"/>
      <c r="L70" s="771"/>
      <c r="M70" s="931"/>
      <c r="N70" s="1972" t="s">
        <v>2451</v>
      </c>
    </row>
    <row r="71" spans="1:16" s="17" customFormat="1" ht="51.95" hidden="1" customHeight="1">
      <c r="B71" s="3033"/>
      <c r="C71" s="2806" t="str">
        <f>IF(AND(Data1!B204="Yes",OR(Development_Category="Rehabilitation",Development_Category="Acquisition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Acquisition)"),Data1!B276,Data1!B244),"$#,##0")&amp;"?","")</f>
        <v/>
      </c>
      <c r="D71" s="2806"/>
      <c r="E71" s="2806"/>
      <c r="F71" s="2806"/>
      <c r="G71" s="2806"/>
      <c r="H71" s="2806"/>
      <c r="I71" s="969" t="str">
        <f>IF(Data1!B$204="Yes",IF(AND(OR(Development_Category="Rehabilitation",Development_Category="Acquisition and Rehabilitation"),Development_SubCategory&lt;&gt;"Preservation (w/ or w/o Acquisition)"),Data1!B282,IF(AND(OR(Development_Category="Rehabilitation",Development_Category="Acquisition and Rehabilitation"),Development_SubCategory="Preservation (w/ or w/o Acquisition)"),Data1!B250,"")),"")</f>
        <v/>
      </c>
      <c r="J71" s="18"/>
      <c r="K71" s="18"/>
      <c r="L71" s="776" t="s">
        <v>1884</v>
      </c>
      <c r="M71" s="931"/>
    </row>
    <row r="72" spans="1:16" s="17" customFormat="1" ht="63" hidden="1" customHeight="1">
      <c r="B72" s="3033"/>
      <c r="C72" s="3056" t="str">
        <f>IF(AND(Data1!B204="Yes",OR(Development_Category="Rehabilitation",Development_Category="Acquisition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Acquisition)"),IF(Data1!B277=1,"not ",""),IF(Data1!B245=1,"not ",""))&amp;"qualify for the basis boost, the adjusted basis of the rehabilitation expenditures is "&amp;TEXT(IF(AND(OR(Development_Category="Rehabilitation",Development_Category="Acquisition and Rehabilitation"),Development_SubCategory&lt;&gt;"Preservation (w/ or w/o Acquisition)"),IF(LEFT(Data1!B280,1)="(",0,Data1!B280),IF(LEFT(Data1!B248,1)="(",0,Data1!B248)),"$#,##0.00")&amp;" ("&amp;TEXT(IF(AND(OR(Development_Category="Rehabilitation",Development_Category="Acquisition and Rehabilitation"),Development_SubCategory&lt;&gt;"Preservation (w/ or w/o Acquisition)"),IF(LEFT(Data1!B271,1)="(",0,Data1!B271),IF(LEFT(Data1!B239,1)="(",0,Data1!B239)),"$#,##0.00")&amp;" x "&amp;TEXT(IF(AND(OR(Development_Category="Rehabilitation",Development_Category="Acquisition and Rehabilitation"),Development_SubCategory&lt;&gt;"Preservation (w/ or w/o Acquisition)"),Data1!B277,Data1!B245),"0.00x")&amp;" Basis Boost x "&amp;TEXT(IF(AND(OR(Development_Category="Rehabilitation",Development_Category="Acquisition and Rehabilitation"),Development_SubCategory&lt;&gt;"Preservation (w/ or w/o Acquisition)"),N(Data1!B278),N(Data1!B246)),"0%")&amp;" Applicable Fraction). The qualified basis per housing credit unit is "&amp;TEXT(IF(AND(OR(Development_Category="Rehabilitation",Development_Category="Acquisition and Rehabilitation"),Development_SubCategory&lt;&gt;"Preservation (w/ or w/o Acquisition)"),IF(LEFT(Data1!B281,1)="(",0,Data1!B281),IF(LEFT(Data1!B249,1)="(",0,Data1!B249)),"$#,##0.00")&amp;", which is "&amp;IF(AND(OR(Development_Category="Rehabilitation",Development_Category="Acquisition and Rehabilitation"),Development_SubCategory&lt;&gt;"Preservation (w/ or w/o Acquisition)"),IF(IF(LEFT(Data1!B281,1)="(",0,Data1!B281)&gt;Data1!B276,"greater than ",IF(IF(LEFT(Data1!B281,1)="(",0,Data1!B281)=Data1!B276,"equal to ","less than ")),IF(IF(LEFT(Data1!B249,1)="(",0,Data1!B249)&gt;Data1!B244,"greater than ",IF(IF(LEFT(Data1!B249,1)="(",0,Data1!B249)=Data1!B244,"equal to ","less than ")))&amp;TEXT(IF(AND(OR(Development_Category="Rehabilitation",Development_Category="Acquisition and Rehabilitation"),Development_SubCategory&lt;&gt;"Preservation (w/ or w/o Acquisition)"),Data1!B276,Data1!B244),"$#,##0")&amp;".","")</f>
        <v/>
      </c>
      <c r="D72" s="3056"/>
      <c r="E72" s="3056"/>
      <c r="F72" s="3056"/>
      <c r="G72" s="3056"/>
      <c r="H72" s="3056"/>
      <c r="I72" s="3056"/>
      <c r="J72" s="18"/>
      <c r="K72" s="18"/>
      <c r="L72" s="771" t="s">
        <v>1883</v>
      </c>
      <c r="M72" s="931"/>
      <c r="N72" s="1057"/>
    </row>
    <row r="73" spans="1:16" s="1477" customFormat="1" ht="51" hidden="1" customHeight="1">
      <c r="B73" s="1478"/>
      <c r="C73" s="3065" t="str">
        <f>IF(AND(Data1!B204="Yes",OR(Development_Category="Rehabilitation",Development_Category="Acquisition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Acquisition)"),Data1!B283,Data1!B251),"$#,##0")&amp;"?","")</f>
        <v/>
      </c>
      <c r="D73" s="3065"/>
      <c r="E73" s="3065"/>
      <c r="F73" s="3065"/>
      <c r="G73" s="3065"/>
      <c r="H73" s="3065"/>
      <c r="I73" s="1513" t="str">
        <f>IF(Data1!B$204="Yes",IF(AND(OR(Development_Category="Rehabilitation",Development_Category="Acquisition and Rehabilitation"),Development_SubCategory&lt;&gt;"Preservation (w/ or w/o Acquisition)"),Data1!B286,IF(AND(OR(Development_Category="Rehabilitation",Development_Category="Acquisition and Rehabilitation"),Development_SubCategory="Preservation (w/ or w/o Acquisition)"),Data1!B254,"")),"")</f>
        <v/>
      </c>
      <c r="J73" s="1535"/>
      <c r="K73" s="18"/>
      <c r="L73" s="771"/>
      <c r="M73" s="1479"/>
      <c r="N73" s="1572"/>
    </row>
    <row r="74" spans="1:16" s="1477" customFormat="1" ht="63" hidden="1" customHeight="1">
      <c r="B74" s="1478"/>
      <c r="C74" s="3058" t="str">
        <f>IF(AND(Data1!B204="Yes",OR(Development_Category="Rehabilitation",Development_Category="Acquisition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"&amp;TEXT(IF(N(Total_Units)=0,0,(N(Actual_Constructioncost_total)+N(Contingency_Hard_total))/N(Total_Units)),"$#,##0")&amp;" per unit for the "&amp;TEXT(N(Total_Units),"0")&amp;" units, which is "&amp;IF(IF(N(Total_Units)=0,0,(N(Actual_Constructioncost_total)+N(Contingency_Hard_total))/N(Total_Units))&gt;=40000,"equal to or greater","less")&amp;" than "&amp;TEXT(IF(AND(OR(Development_Category="Rehabilitation",Development_Category="Acquisition and Rehabilitation"),Development_SubCategory&lt;&gt;"Preservation (w/ or w/o Acquisition)"),Data1!B283,Data1!B251),"$#,##0")&amp;".","")</f>
        <v/>
      </c>
      <c r="D74" s="3058"/>
      <c r="E74" s="3058"/>
      <c r="F74" s="3058"/>
      <c r="G74" s="3058"/>
      <c r="H74" s="3058"/>
      <c r="I74" s="3058"/>
      <c r="J74" s="1535"/>
      <c r="K74" s="18"/>
      <c r="L74" s="771"/>
      <c r="M74" s="1479"/>
      <c r="N74" s="1480"/>
    </row>
    <row r="75" spans="1:16" s="17" customFormat="1" ht="7.5" hidden="1" customHeight="1">
      <c r="B75" s="80"/>
      <c r="C75" s="3035"/>
      <c r="D75" s="3035"/>
      <c r="E75" s="3035"/>
      <c r="F75" s="3035"/>
      <c r="G75" s="3035"/>
      <c r="H75" s="3035"/>
      <c r="I75" s="3035"/>
      <c r="J75" s="18"/>
      <c r="K75" s="18"/>
      <c r="M75" s="931"/>
    </row>
    <row r="76" spans="1:16" s="17" customFormat="1" ht="65.099999999999994" hidden="1" customHeight="1">
      <c r="B76" s="80"/>
      <c r="C76" s="2943" t="s">
        <v>1771</v>
      </c>
      <c r="D76" s="2943"/>
      <c r="E76" s="2943"/>
      <c r="F76" s="2943"/>
      <c r="G76" s="2943"/>
      <c r="H76" s="2943"/>
      <c r="I76" s="2943"/>
      <c r="J76" s="18"/>
      <c r="K76" s="18"/>
      <c r="M76" s="931"/>
      <c r="N76" s="313">
        <v>0</v>
      </c>
      <c r="P76" s="3052" t="s">
        <v>2738</v>
      </c>
    </row>
    <row r="77" spans="1:16" s="17" customFormat="1" ht="35.1" hidden="1" customHeight="1">
      <c r="B77" s="2116" t="str">
        <f>IF(DS_ExcelCheckBox_DevCat_CorpPortfolio=TRUE,"Yes","No")</f>
        <v>No</v>
      </c>
      <c r="C77" s="1096"/>
      <c r="D77" s="922"/>
      <c r="E77" s="2806" t="s">
        <v>1772</v>
      </c>
      <c r="F77" s="2806"/>
      <c r="G77" s="2806"/>
      <c r="H77" s="2806"/>
      <c r="I77" s="2806"/>
      <c r="J77" s="18"/>
      <c r="K77" s="18"/>
      <c r="M77" s="931"/>
      <c r="N77" s="1553"/>
      <c r="P77" s="3053"/>
    </row>
    <row r="78" spans="1:16" s="17" customFormat="1" ht="39.950000000000003" hidden="1" customHeight="1">
      <c r="B78" s="925"/>
      <c r="C78" s="922"/>
      <c r="D78" s="922"/>
      <c r="E78" s="2806" t="s">
        <v>1773</v>
      </c>
      <c r="F78" s="2806"/>
      <c r="G78" s="2806"/>
      <c r="H78" s="2806"/>
      <c r="I78" s="1097"/>
      <c r="J78" s="18"/>
      <c r="K78" s="18"/>
      <c r="L78" s="1611">
        <f>IF(OR($N$30=0,$N$59=0,$N$76=0),0,O78)</f>
        <v>0</v>
      </c>
      <c r="M78" s="1612">
        <f>IF(AND(L78&lt;&gt;0,AND(Data1!L240&lt;&gt;"&lt;select one&gt;",Data1!L240&lt;&gt;"")),L78,0)</f>
        <v>0</v>
      </c>
      <c r="N78" s="1613" t="str">
        <f>CHOOSE(L78+1,"Not to be included in this RFA","A REQUIRED input field for this RFA","An OPTIONAL input field for this RFA")</f>
        <v>Not to be included in this RFA</v>
      </c>
      <c r="O78" s="1578">
        <f>IF(DS_ExcelCheckBox_DevCat_CorpPortfolio=TRUE,1,2)</f>
        <v>2</v>
      </c>
      <c r="P78" s="3053"/>
    </row>
    <row r="79" spans="1:16" s="17" customFormat="1" ht="54.95" hidden="1" customHeight="1">
      <c r="B79" s="2116" t="str">
        <f>IF(DS_ExcelCheckBox_DevCat_RDPortfolio=TRUE,"Yes","No")</f>
        <v>No</v>
      </c>
      <c r="C79" s="1096"/>
      <c r="D79" s="922"/>
      <c r="E79" s="2806" t="s">
        <v>1774</v>
      </c>
      <c r="F79" s="2806"/>
      <c r="G79" s="2806"/>
      <c r="H79" s="2806"/>
      <c r="I79" s="2806"/>
      <c r="J79" s="18"/>
      <c r="K79" s="18"/>
      <c r="M79" s="931"/>
      <c r="P79" s="3053"/>
    </row>
    <row r="80" spans="1:16" s="17" customFormat="1" ht="30" hidden="1" customHeight="1">
      <c r="B80" s="80"/>
      <c r="C80" s="2806" t="s">
        <v>1775</v>
      </c>
      <c r="D80" s="2806"/>
      <c r="E80" s="2806"/>
      <c r="F80" s="2806"/>
      <c r="G80" s="2806"/>
      <c r="H80" s="2806"/>
      <c r="I80" s="999" t="s">
        <v>59</v>
      </c>
      <c r="J80" s="18"/>
      <c r="K80" s="18"/>
      <c r="L80" s="1611">
        <f>IF(OR($N$30=0,$N$59=0,$N$76=0),0,O80)</f>
        <v>0</v>
      </c>
      <c r="M80" s="1612">
        <f>IF(AND(L80&lt;&gt;0,AND(Data1!L242&lt;&gt;"&lt;select one&gt;",Data1!L242&lt;&gt;"")),L80,0)</f>
        <v>0</v>
      </c>
      <c r="N80" s="1613" t="str">
        <f>CHOOSE(L80+1,"Not to be included in this RFA","A REQUIRED input field for this RFA","An OPTIONAL input field for this RFA")</f>
        <v>Not to be included in this RFA</v>
      </c>
      <c r="O80" s="1578">
        <f>IF(DS_ExcelCheckBox_DevCat_RDPortfolio=TRUE,1,2)</f>
        <v>2</v>
      </c>
      <c r="P80" s="3053"/>
    </row>
    <row r="81" spans="2:24" s="17" customFormat="1" ht="10.35" hidden="1" customHeight="1">
      <c r="B81" s="80"/>
      <c r="C81" s="1089"/>
      <c r="D81" s="1089"/>
      <c r="E81" s="1089"/>
      <c r="F81" s="1089"/>
      <c r="G81" s="1089"/>
      <c r="H81" s="1089"/>
      <c r="I81" s="1089"/>
      <c r="J81" s="18"/>
      <c r="K81" s="18"/>
      <c r="M81" s="931"/>
      <c r="N81" s="17" t="s">
        <v>1780</v>
      </c>
      <c r="P81" s="3054"/>
    </row>
    <row r="82" spans="2:24" s="17" customFormat="1" ht="51" hidden="1" customHeight="1">
      <c r="B82" s="80"/>
      <c r="C82" s="3004" t="str">
        <f>"Does the proposed Development's criteria qualify it for the Development Category "&amp;IF(Development_SubCategory&lt;&gt;"&lt;select one&gt;","and Development Subcategory ","")&amp;"selected above?"</f>
        <v>Does the proposed Development's criteria qualify it for the Development Category selected above?</v>
      </c>
      <c r="D82" s="3004"/>
      <c r="E82" s="3004"/>
      <c r="F82" s="3004"/>
      <c r="G82" s="3004"/>
      <c r="H82" s="3004"/>
      <c r="I82" s="1325" t="str" cm="1">
        <f t="array" ref="I82">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204="Yes",AND(OR(Data1!B267="Yes",Data1!B267="NA"),OR(Data1!B268="Yes",Data1!B268="NA"),OR(Data1!B269="Yes",Data1!B269="NA")),TRUE),IF(AND(RIGHT(Excel_RFA_Number,3)="104",AND(OR(Development_Category="Rehabilitation",Development_Category="Acquisition and Rehabilitation"),Development_SubCategory&lt;&gt;"Preservation (w/ or w/o Acquisition)")),AND(Data1!B267="Yes",Data1!B268="Yes",Data1!B269="Yes"),TRUE)),"Yes","No"),IF(AND(Development_Category="New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TBD</v>
      </c>
      <c r="J82" s="18"/>
      <c r="K82" s="18"/>
      <c r="M82" s="931"/>
      <c r="N82" s="337"/>
      <c r="O82" s="337"/>
      <c r="P82" s="337"/>
      <c r="Q82" s="337"/>
      <c r="R82" s="337"/>
      <c r="S82" s="337"/>
      <c r="T82" s="337"/>
    </row>
    <row r="83" spans="2:24" s="17" customFormat="1" ht="7.5" hidden="1" customHeight="1">
      <c r="B83" s="80"/>
      <c r="C83" s="926"/>
      <c r="D83" s="926"/>
      <c r="E83" s="926"/>
      <c r="F83" s="926"/>
      <c r="G83" s="926"/>
      <c r="H83" s="926"/>
      <c r="I83" s="915"/>
      <c r="J83" s="18"/>
      <c r="K83" s="18"/>
      <c r="M83" s="931"/>
    </row>
    <row r="84" spans="2:24" s="17" customFormat="1" ht="155.1" hidden="1" customHeight="1">
      <c r="B84" s="80"/>
      <c r="C84" s="3009" t="str">
        <f>IF(G3="","This area intentionally left blank.",IF(AND(Development_Category="New Construction",Development_SubCategory&lt;&gt;"Redevelopment (w/ or w/o Acquisition)"),Data1!G211,IF(AND(Development_Category="New Construction",Development_SubCategory="Redevelopment (w/ or w/o Acquisition)"),Data1!G226,IF(AND(OR(Development_Category="Rehabilitation",Development_Category="Acquisition and Rehabilitation"),Development_SubCategory="Preservation (w/ or w/o Acquisition)"),Data1!G258,IF(AND(OR(Development_Category="Rehabilitation",Development_Category="Acquisition and Rehabilitation"),Development_SubCategory&lt;&gt;"Preservation (w/ or w/o Acquisition)"),Data1!G287,"This area intentionally left blank.")))))</f>
        <v>This area intentionally left blank.</v>
      </c>
      <c r="D84" s="3009"/>
      <c r="E84" s="3009"/>
      <c r="F84" s="3009"/>
      <c r="G84" s="3009"/>
      <c r="H84" s="3009"/>
      <c r="I84" s="3009"/>
      <c r="J84" s="18"/>
      <c r="K84" s="18"/>
      <c r="M84" s="931"/>
    </row>
    <row r="85" spans="2:24" s="2521" customFormat="1" ht="10.35" hidden="1" customHeight="1">
      <c r="B85" s="80"/>
      <c r="C85" s="2522"/>
      <c r="D85" s="2522"/>
      <c r="E85" s="2522"/>
      <c r="F85" s="2522"/>
      <c r="G85" s="2522"/>
      <c r="H85" s="2522"/>
      <c r="I85" s="2522"/>
      <c r="J85" s="18"/>
      <c r="K85" s="18"/>
      <c r="M85" s="2523"/>
    </row>
    <row r="86" spans="2:24" s="2521" customFormat="1" ht="17.45" hidden="1" customHeight="1">
      <c r="B86" s="80"/>
      <c r="C86" s="2520" t="s">
        <v>965</v>
      </c>
      <c r="D86" s="2521" t="s">
        <v>2859</v>
      </c>
      <c r="E86" s="2520"/>
      <c r="F86" s="2520"/>
      <c r="G86" s="2520"/>
      <c r="H86" s="2520"/>
      <c r="I86" s="2616" t="str">
        <f>IF(AND(Demographic="Family",Development_SubCategory=Data1!A200,DevCat_Qualifications_Met="Yes"),"Yes","No")</f>
        <v>No</v>
      </c>
      <c r="J86" s="18"/>
      <c r="K86" s="18"/>
      <c r="L86" s="2529">
        <v>0</v>
      </c>
      <c r="M86" s="2523">
        <f>IF(AND(L86&lt;&gt;0,AND(C86&lt;&gt;"&lt;select one&gt;",C86&lt;&gt;"")),L86,0)</f>
        <v>0</v>
      </c>
      <c r="N86" s="2524" t="str">
        <f>CHOOSE(L86+1,"Not to be included in this RFA","A REQUIRED input field for this RFA","An OPTIONAL input field for this RFA","Not tracked in this RFA")</f>
        <v>Not to be included in this RFA</v>
      </c>
    </row>
    <row r="87" spans="2:24" s="2521" customFormat="1" ht="10.35" hidden="1" customHeight="1">
      <c r="B87" s="80"/>
      <c r="C87" s="2522"/>
      <c r="D87" s="2522"/>
      <c r="E87" s="2522"/>
      <c r="F87" s="2522"/>
      <c r="G87" s="2522"/>
      <c r="H87" s="2522"/>
      <c r="I87" s="2522"/>
      <c r="J87" s="18"/>
      <c r="K87" s="18"/>
      <c r="M87" s="2523"/>
    </row>
    <row r="88" spans="2:24" s="17" customFormat="1" ht="17.45" hidden="1" customHeight="1">
      <c r="B88" s="316" t="str">
        <f>IF($N$88=0,"",MAX(B$12:B84)+1)</f>
        <v/>
      </c>
      <c r="C88" s="905" t="s">
        <v>1033</v>
      </c>
      <c r="D88" s="62"/>
      <c r="F88" s="905"/>
      <c r="G88" s="905"/>
      <c r="H88" s="1058"/>
      <c r="I88" s="1059"/>
      <c r="J88" s="18"/>
      <c r="K88" s="18"/>
      <c r="M88" s="931"/>
      <c r="N88" s="313">
        <v>0</v>
      </c>
    </row>
    <row r="89" spans="2:24" s="17" customFormat="1" ht="14.45" hidden="1" customHeight="1">
      <c r="B89" s="905"/>
      <c r="C89" s="77" t="s">
        <v>957</v>
      </c>
      <c r="D89" s="905" t="s">
        <v>1034</v>
      </c>
      <c r="F89" s="905"/>
      <c r="G89" s="905"/>
      <c r="H89" s="359"/>
      <c r="I89" s="358"/>
      <c r="J89" s="18"/>
      <c r="K89" s="18"/>
      <c r="M89" s="931"/>
    </row>
    <row r="90" spans="2:24" s="17" customFormat="1" ht="34.35" hidden="1" customHeight="1">
      <c r="E90" s="2943" t="s">
        <v>1035</v>
      </c>
      <c r="F90" s="2943"/>
      <c r="G90" s="2943"/>
      <c r="H90" s="2943"/>
      <c r="I90" s="2943"/>
      <c r="J90" s="18"/>
      <c r="K90" s="18"/>
      <c r="M90" s="931"/>
      <c r="N90" s="931"/>
    </row>
    <row r="91" spans="2:24" s="17" customFormat="1" ht="17.45" hidden="1" customHeight="1">
      <c r="C91" s="77" t="s">
        <v>959</v>
      </c>
      <c r="D91" s="905" t="str">
        <f>"Calculating the RA Level"&amp;IF(AND(Development_Category="New Construction",Development_SubCategory="Redevelopment (w/ or w/o Acquisition)")," and Confirmation of Development Category status","")</f>
        <v>Calculating the RA Level</v>
      </c>
      <c r="H91" s="902"/>
      <c r="J91" s="18"/>
      <c r="K91" s="18"/>
      <c r="M91" s="931"/>
    </row>
    <row r="92" spans="2:24" s="17" customFormat="1" ht="50.1" hidden="1" customHeight="1">
      <c r="E92" s="2943" t="str">
        <f>"Using the information provided in the Development Category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Development Category Qualification Letter, complete the following information which will be used by the Corporation to calculate the Rental Assistance (RA Level):</v>
      </c>
      <c r="F92" s="2943"/>
      <c r="G92" s="2943"/>
      <c r="H92" s="2943"/>
      <c r="I92" s="2943"/>
      <c r="J92" s="242"/>
      <c r="K92" s="242"/>
      <c r="M92" s="931"/>
    </row>
    <row r="93" spans="2:24" s="17" customFormat="1" ht="17.45" hidden="1" customHeight="1">
      <c r="E93" s="925" t="s">
        <v>1036</v>
      </c>
      <c r="F93" s="1073"/>
      <c r="G93" s="3034" t="str">
        <f ca="1">IF(F93&lt;&gt;"",IF(year_built&gt;YEAR(NOW()),"Enter a valid four-digit year",YEAR(DS_AppDeadline)-F93),"")</f>
        <v/>
      </c>
      <c r="H93" s="3034"/>
      <c r="I93" s="3034"/>
      <c r="J93" s="18"/>
      <c r="K93" s="18"/>
      <c r="L93" s="929">
        <f>IF(N$88=0,0,O93)</f>
        <v>0</v>
      </c>
      <c r="M93" s="931">
        <f>IF(AND(L93&lt;&gt;0,F93&lt;&gt;""),L93,0)</f>
        <v>0</v>
      </c>
      <c r="N93" s="779" t="str">
        <f>CHOOSE(L93+1,"Not to be included in this RFA","A REQUIRED input field for this RFA","An OPTIONAL input field for this RFA")</f>
        <v>Not to be included in this RFA</v>
      </c>
      <c r="O93" s="953">
        <f>IF(Development_SubCategory="Preservation (w/ or w/o Acquisition)",1,2)</f>
        <v>2</v>
      </c>
      <c r="Q93" s="18"/>
      <c r="R93" s="18"/>
      <c r="S93" s="18"/>
      <c r="T93" s="18"/>
      <c r="U93" s="18"/>
      <c r="V93" s="18"/>
      <c r="W93" s="18"/>
      <c r="X93" s="18"/>
    </row>
    <row r="94" spans="2:24" s="17" customFormat="1" ht="10.35" hidden="1" customHeight="1">
      <c r="E94" s="920"/>
      <c r="F94" s="954"/>
      <c r="G94" s="1563" t="s">
        <v>1665</v>
      </c>
      <c r="H94" s="351"/>
      <c r="J94" s="18"/>
      <c r="K94" s="18"/>
      <c r="M94" s="931"/>
      <c r="N94" s="781"/>
      <c r="O94" s="633"/>
      <c r="Q94" s="18"/>
      <c r="R94" s="18"/>
      <c r="S94" s="18"/>
      <c r="T94" s="18"/>
      <c r="U94" s="18"/>
      <c r="V94" s="18"/>
      <c r="W94" s="18"/>
      <c r="X94" s="18"/>
    </row>
    <row r="95" spans="2:24" s="17" customFormat="1" ht="65.099999999999994" hidden="1" customHeight="1">
      <c r="D95" s="3045" t="str">
        <f>IF(LDA_Notice&lt;&gt;"LDA","","A proposed Development in an LDA must be classifed as RA Level 1 or 2 (it is a Level "&amp;TEXT(Data1!F314,"0")&amp;"), RA units must be greater than 75% of Total Units (it is at "&amp;TEXT(Data1!D312,"0.00%")&amp;").")</f>
        <v/>
      </c>
      <c r="E95" s="3046"/>
      <c r="F95" s="1072" t="s">
        <v>2856</v>
      </c>
      <c r="G95" s="1072" t="s">
        <v>1708</v>
      </c>
      <c r="H95" s="1070"/>
      <c r="J95" s="18"/>
      <c r="K95" s="18"/>
      <c r="M95" s="931"/>
      <c r="Q95" s="18"/>
      <c r="R95" s="18"/>
      <c r="S95" s="18"/>
      <c r="T95" s="18"/>
      <c r="U95" s="18"/>
      <c r="V95" s="18"/>
      <c r="W95" s="18"/>
      <c r="X95" s="18"/>
    </row>
    <row r="96" spans="2:24" s="17" customFormat="1" ht="30" hidden="1" customHeight="1">
      <c r="D96" s="3044" t="s">
        <v>1677</v>
      </c>
      <c r="E96" s="3044"/>
      <c r="F96" s="1061"/>
      <c r="G96" s="1061"/>
      <c r="H96" s="3043" t="str">
        <f>IF(OR(F96+F97+IF(OR(Development_Category="New Construction",Development_Category="Rehabilitation",Development_Category="Acquisition and Rehabilitation"),F98,0)&gt;N(Total_Units),G96+G97+IF(OR(Development_Category="New Construction",Development_Category="Rehabilitation",Development_Category="Acquisition and Rehabilitation"),G98,0)&gt;N(Total_Units)),"  The number of "&amp;IF(F96+F97+IF(OR(Development_Category="New Construction",Development_Category="Rehabilitation",Development_Category="Acquisition and Rehabilitation"),F98,0)&gt;N(Total_Units),"currently","")&amp;IF(AND(F96+F97+IF(OR(Development_Category="New Construction",Development_Category="Rehabilitation",Development_Category="Acquisition and Rehabilitation"),F98,0)&gt;N(Total_Units),G96+G97+IF(OR(Development_Category="New Construction",Development_Category="Rehabilitation",Development_Category="Acquisition and Rehabilitation"),G98,0)&gt;N(Total_Units))," and ","")&amp;IF(G96+G97+IF(OR(Development_Category="New Construction",Development_Category="Rehabilitation",Development_Category="Acquisition and Rehabilitation"),G98,0)&gt;N(Total_Units),"future","")&amp;" receiving Rental Assistance Units entered exceeds Total Units.","")</f>
        <v/>
      </c>
      <c r="I96" s="3043"/>
      <c r="J96" s="18"/>
      <c r="K96" s="18"/>
      <c r="L96" s="929">
        <f>IF(N$88=0,0,IF(AND(Development_SubCategory="Preservation (w/ or w/o Acquisition)",F96="",G96="",F97="",G97=""),1,IF(AND(Development_SubCategory="Preservation (w/ or w/o Acquisition)",OR(F96&lt;&gt;"",G96&lt;&gt;"")),1,O96)))</f>
        <v>0</v>
      </c>
      <c r="M96" s="931">
        <f>IF(AND(L96&lt;&gt;0,F96&lt;&gt;""),L96,0)</f>
        <v>0</v>
      </c>
      <c r="N96" s="779" t="str">
        <f>CHOOSE(L96+1,"Not to be included in this RFA","A REQUIRED input field for this RFA","An OPTIONAL input field for this RFA")</f>
        <v>Not to be included in this RFA</v>
      </c>
      <c r="O96" s="953">
        <v>2</v>
      </c>
      <c r="Q96" s="18"/>
      <c r="R96" s="18"/>
      <c r="S96" s="18"/>
      <c r="T96" s="18"/>
      <c r="U96" s="18"/>
      <c r="V96" s="18"/>
      <c r="W96" s="18"/>
      <c r="X96" s="18"/>
    </row>
    <row r="97" spans="1:24" s="17" customFormat="1" ht="30" hidden="1" customHeight="1">
      <c r="D97" s="3044" t="s">
        <v>1678</v>
      </c>
      <c r="E97" s="3044"/>
      <c r="F97" s="1061"/>
      <c r="G97" s="1061"/>
      <c r="H97" s="3043"/>
      <c r="I97" s="3043"/>
      <c r="J97" s="18"/>
      <c r="K97" s="18"/>
      <c r="L97" s="929">
        <f>IF(N$88=0,0,IF(L96=1,O97,IF(Development_SubCategory="Preservation (w/ or w/o Acquisition)",1,O97)))</f>
        <v>0</v>
      </c>
      <c r="M97" s="931">
        <f>IF(AND(L97&lt;&gt;0,F97&lt;&gt;""),L97,0)</f>
        <v>0</v>
      </c>
      <c r="N97" s="779" t="str">
        <f>CHOOSE(L97+1,"Not to be included in this RFA","A REQUIRED input field for this RFA","An OPTIONAL input field for this RFA")</f>
        <v>Not to be included in this RFA</v>
      </c>
      <c r="O97" s="953">
        <v>2</v>
      </c>
      <c r="Q97" s="18"/>
      <c r="R97" s="18"/>
      <c r="S97" s="18"/>
      <c r="T97" s="18"/>
      <c r="U97" s="18"/>
      <c r="V97" s="18"/>
      <c r="W97" s="18"/>
      <c r="X97" s="18"/>
    </row>
    <row r="98" spans="1:24" s="17" customFormat="1" ht="30" hidden="1" customHeight="1">
      <c r="D98" s="3051" t="s">
        <v>1710</v>
      </c>
      <c r="E98" s="3051"/>
      <c r="F98" s="1528"/>
      <c r="G98" s="1061"/>
      <c r="H98" s="3042"/>
      <c r="I98" s="3043"/>
      <c r="J98" s="18"/>
      <c r="K98" s="18"/>
      <c r="L98" s="929">
        <f>IF(N$88=0,0,O98)</f>
        <v>0</v>
      </c>
      <c r="M98" s="931">
        <f>IF(AND(L98&lt;&gt;0,F98&lt;&gt;""),L98,0)</f>
        <v>0</v>
      </c>
      <c r="N98" s="933" t="str">
        <f>CHOOSE(L98+1,"Not to be included in this RFA","A REQUIRED input field for this RFA","An OPTIONAL input field for this RFA")</f>
        <v>Not to be included in this RFA</v>
      </c>
      <c r="O98" s="248">
        <v>0</v>
      </c>
      <c r="Q98" s="18"/>
      <c r="R98" s="18"/>
      <c r="S98" s="18"/>
      <c r="T98" s="18"/>
      <c r="U98" s="18"/>
      <c r="V98" s="18"/>
      <c r="W98" s="18"/>
      <c r="X98" s="18"/>
    </row>
    <row r="99" spans="1:24" s="17" customFormat="1" ht="30" hidden="1" customHeight="1">
      <c r="D99" s="3047" t="s">
        <v>1709</v>
      </c>
      <c r="E99" s="3047"/>
      <c r="F99" s="1529"/>
      <c r="G99" s="1062" t="s">
        <v>59</v>
      </c>
      <c r="H99" s="3042"/>
      <c r="I99" s="3043"/>
      <c r="J99" s="18"/>
      <c r="K99" s="18"/>
      <c r="L99" s="1040">
        <f>L98</f>
        <v>0</v>
      </c>
      <c r="M99" s="931">
        <f>IF(AND(L99&lt;&gt;0,F99&lt;&gt;""),L99,0)</f>
        <v>0</v>
      </c>
      <c r="N99" s="933" t="str">
        <f>CHOOSE(L99+1,"Not to be included in this RFA","A REQUIRED input field for this RFA","An OPTIONAL input field for this RFA")</f>
        <v>Not to be included in this RFA</v>
      </c>
    </row>
    <row r="100" spans="1:24" s="17" customFormat="1" ht="17.45" hidden="1" customHeight="1">
      <c r="D100" s="3047" t="s">
        <v>1711</v>
      </c>
      <c r="E100" s="3047"/>
      <c r="F100" s="1482">
        <f>PBRA_Units_Currently+ACC_Units_Currently</f>
        <v>0</v>
      </c>
      <c r="G100" s="1482">
        <f>PBRA_Units_Future+ACC_Units_Future+IF(OR(Development_Category="New Construction",Development_Category="Acquisition and Rehabilitation",Development_Category="Rehabilitation"),Other_Federal_assist_units_future,0)</f>
        <v>0</v>
      </c>
      <c r="H100" s="1060"/>
      <c r="I100" s="1060"/>
      <c r="J100" s="18"/>
      <c r="K100" s="18"/>
      <c r="L100" s="933"/>
      <c r="M100" s="931"/>
      <c r="N100" s="933"/>
    </row>
    <row r="101" spans="1:24" s="17" customFormat="1" ht="17.45" hidden="1" customHeight="1">
      <c r="D101" s="3047" t="s">
        <v>1712</v>
      </c>
      <c r="E101" s="3047"/>
      <c r="F101" s="1483">
        <f>IF(N(Total_Units)=0,0,F100/N(Total_Units))</f>
        <v>0</v>
      </c>
      <c r="G101" s="1483">
        <f>IF(N(Total_Units)=0,0,G100/N(Total_Units))</f>
        <v>0</v>
      </c>
      <c r="H101" s="1060"/>
      <c r="I101" s="1060"/>
      <c r="J101" s="18"/>
      <c r="K101" s="18"/>
      <c r="L101" s="933"/>
      <c r="M101" s="931"/>
      <c r="N101" s="933"/>
    </row>
    <row r="102" spans="1:24" s="17" customFormat="1" ht="14.45" hidden="1" customHeight="1">
      <c r="E102" s="1076" t="s">
        <v>1037</v>
      </c>
      <c r="F102" s="954"/>
      <c r="G102" s="954"/>
      <c r="H102" s="351"/>
      <c r="J102" s="18"/>
      <c r="K102" s="18"/>
      <c r="M102" s="931"/>
      <c r="N102" s="781"/>
    </row>
    <row r="103" spans="1:24" s="17" customFormat="1" ht="45.75" hidden="1" customHeight="1">
      <c r="E103" s="2806" t="str">
        <f>IF(Data1!D313=0,"This Application qualifies for RA Level 6.","The "&amp;TEXT(Data1!D313,"0")&amp;" unit"&amp;IF(Data1!D313&gt;1,"s","")&amp;" entered to receive Rental Assistance represents "&amp;TEXT(Data1!D312,"0.00%")&amp;" of Total Units. This data indicates the proposed Development qualifies for a Rental Assistance Level of "&amp;TEXT(Data1!F314,"0")&amp;" via the "&amp;IF(Data1!D314="Percent","Percentage of Total Units method",IF(Data1!D314="Num","Number of RA Units method",IF(Data1!D314="Both","either method","neither method")))&amp;".")</f>
        <v>This Application qualifies for RA Level 6.</v>
      </c>
      <c r="F103" s="2806"/>
      <c r="G103" s="2806"/>
      <c r="H103" s="2806"/>
      <c r="I103" s="2806"/>
      <c r="J103" s="18"/>
      <c r="K103" s="18"/>
      <c r="L103" s="355"/>
      <c r="M103" s="931"/>
    </row>
    <row r="104" spans="1:24" s="17" customFormat="1" ht="10.35" hidden="1" customHeight="1">
      <c r="E104" s="49"/>
      <c r="F104" s="49"/>
      <c r="G104" s="49"/>
      <c r="H104" s="49"/>
      <c r="J104" s="18"/>
      <c r="K104" s="18"/>
      <c r="L104" s="246"/>
      <c r="M104" s="931"/>
    </row>
    <row r="105" spans="1:24" s="17" customFormat="1" ht="14.45" hidden="1" customHeight="1">
      <c r="B105" s="316" t="str">
        <f>IF($N$105=0,"",MAX(B$12:B103)+1)</f>
        <v/>
      </c>
      <c r="C105" s="17" t="s">
        <v>1038</v>
      </c>
      <c r="D105" s="19"/>
      <c r="H105" s="902"/>
      <c r="J105" s="18"/>
      <c r="K105" s="18"/>
      <c r="L105" s="246"/>
      <c r="M105" s="931"/>
      <c r="N105" s="313">
        <v>0</v>
      </c>
    </row>
    <row r="106" spans="1:24" s="17" customFormat="1" ht="34.35" hidden="1" customHeight="1">
      <c r="D106" s="2943" t="s">
        <v>1039</v>
      </c>
      <c r="E106" s="2943"/>
      <c r="F106" s="2943"/>
      <c r="G106" s="2943"/>
      <c r="H106" s="2943"/>
      <c r="I106" s="2943"/>
      <c r="J106" s="18"/>
      <c r="K106" s="18"/>
      <c r="L106" s="246"/>
      <c r="M106" s="931"/>
    </row>
    <row r="107" spans="1:24" s="17" customFormat="1" ht="30" hidden="1" customHeight="1">
      <c r="D107" s="3008" t="s">
        <v>59</v>
      </c>
      <c r="E107" s="3008"/>
      <c r="F107" s="2976" t="str">
        <f>IF(Development_Category="New Construction","(The selected Development Category of "&amp;Development_Category&amp;" automatically qualifies for the Development Category Funding Preference)","")</f>
        <v>(The selected Development Category of New Construction automatically qualifies for the Development Category Funding Preference)</v>
      </c>
      <c r="G107" s="2976"/>
      <c r="H107" s="2976"/>
      <c r="I107" s="2976"/>
      <c r="J107" s="18"/>
      <c r="K107" s="18"/>
      <c r="L107" s="929">
        <f>IF(N105=0,0,IF(OR(Development_Category="Rehabilitation",Development_Category="Acquisition and Rehabilitation"),1,2))</f>
        <v>0</v>
      </c>
      <c r="M107" s="931">
        <f>IF(AND(L107&lt;&gt;0,AND(D107&lt;&gt;"&lt;select one&gt;",D107&lt;&gt;"")),L107,0)</f>
        <v>0</v>
      </c>
      <c r="N107" s="905" t="str">
        <f>CHOOSE(L107+1,"Not to be included in this RFA","A REQUIRED input field for this RFA","An OPTIONAL input field for this RFA")</f>
        <v>Not to be included in this RFA</v>
      </c>
    </row>
    <row r="108" spans="1:24" s="17" customFormat="1" ht="8.25" hidden="1" customHeight="1">
      <c r="E108" s="33"/>
      <c r="H108" s="902"/>
      <c r="J108" s="18"/>
      <c r="K108" s="18"/>
      <c r="L108" s="246"/>
      <c r="M108" s="931"/>
    </row>
    <row r="109" spans="1:24" s="17" customFormat="1" ht="45.95" hidden="1" customHeight="1">
      <c r="E109" s="2943" t="s">
        <v>1040</v>
      </c>
      <c r="F109" s="2943"/>
      <c r="G109" s="2943"/>
      <c r="H109" s="2943"/>
      <c r="I109" s="2943"/>
      <c r="J109" s="18"/>
      <c r="K109" s="18"/>
      <c r="L109" s="246"/>
      <c r="M109" s="931"/>
      <c r="P109" s="15"/>
    </row>
    <row r="110" spans="1:24" s="17" customFormat="1" ht="10.35" hidden="1" customHeight="1">
      <c r="E110" s="902"/>
      <c r="F110" s="902"/>
      <c r="G110" s="902"/>
      <c r="H110" s="902"/>
      <c r="J110" s="18"/>
      <c r="K110" s="18"/>
      <c r="L110" s="246"/>
      <c r="M110" s="931"/>
      <c r="P110" s="15"/>
    </row>
    <row r="111" spans="1:24" s="17" customFormat="1" ht="14.45" customHeight="1">
      <c r="A111" s="543" t="str" cm="1">
        <f t="array" ref="A111">IF($L113=0,"",CHAR(CODE(LOOKUP(2,1/(COUNTIF(A$3:A110,"&gt;"&amp;A$3:A110&amp;"*")=0),A$3:A110))+1))</f>
        <v>c</v>
      </c>
      <c r="B111" s="87" t="s">
        <v>1041</v>
      </c>
      <c r="C111" s="87"/>
      <c r="D111" s="87"/>
      <c r="E111" s="87"/>
      <c r="F111" s="3016" t="str">
        <f>IF(AND(RIGHT(Excel_RFA_Number,3)="104",Development_Category="New Construction",DevType&lt;&gt;"&lt;select one&gt;",DevType&lt;&gt;"Garden Apartments"),"",IF(RIGHT(Excel_RFA_Number,3)="104","If the Development Category is new construction, the Development Type must be Garden Apartments."&amp;CHAR(10),""))&amp;IF(AND(C113="&lt;select one&gt;",total_units_in_unit_desc_chart=0),"",IF(AND(RIGHT(Excel_RFA_Number,3)="104",Development_Category="New Construction",DevType&lt;&gt;"Garden Apartments"),"If the Development Category is New Construction, the Development Type must be Garden Apartments.",IF(H$150&lt;N(Total_Units),"(Please complete the Unit Characteristics table in "&amp;A122&amp;". below)",IF(AND(C113="&lt;select one&gt;",total_units_in_unit_desc_chart&gt;0),"(You have NOT yet selected a Development Type for this question.)",IF(OR(AND(Development_Category="New Construction",DS_UnitTypeMatch=1),AND(Development_Category&lt;&gt;"New Construction",DS_UnitTypeMatch=1,LEFT(DevType,8)=LEFT(Data1!C348,8))),"(Your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below"&amp;IF(Other_ESS_NC_units+Other_Non_ESS_NC_units+Other_ESS_AR_units&gt;Data1!B347,", unless the 'Other Dev Type*' unit description is comprised of more than 1 eligible Development Type and one of those Types has at least "&amp;TEXT(Data1!C340,"0")&amp;"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c>
      <c r="G111" s="3016"/>
      <c r="H111" s="3016"/>
      <c r="I111" s="3016"/>
      <c r="J111" s="18"/>
      <c r="K111" s="18"/>
      <c r="L111" s="246"/>
      <c r="M111" s="931"/>
      <c r="P111" s="15"/>
    </row>
    <row r="112" spans="1:24" s="17" customFormat="1" ht="14.45" customHeight="1">
      <c r="A112" s="543"/>
      <c r="B112" s="316">
        <v>1</v>
      </c>
      <c r="C112" s="941" t="s">
        <v>1042</v>
      </c>
      <c r="D112" s="87"/>
      <c r="E112" s="87"/>
      <c r="F112" s="3016"/>
      <c r="G112" s="3016"/>
      <c r="H112" s="3016"/>
      <c r="I112" s="3016"/>
      <c r="J112" s="18"/>
      <c r="K112" s="18"/>
      <c r="L112" s="246"/>
      <c r="M112" s="931"/>
      <c r="P112" s="15"/>
    </row>
    <row r="113" spans="1:16" s="17" customFormat="1" ht="17.45" customHeight="1">
      <c r="C113" s="3008" t="s">
        <v>59</v>
      </c>
      <c r="D113" s="3008"/>
      <c r="E113" s="3008"/>
      <c r="F113" s="3016"/>
      <c r="G113" s="3016"/>
      <c r="H113" s="3016"/>
      <c r="I113" s="3016"/>
      <c r="J113" s="18"/>
      <c r="K113" s="18"/>
      <c r="L113" s="953">
        <v>1</v>
      </c>
      <c r="M113" s="931">
        <f>IF(AND(L113&lt;&gt;0,AND(C113&lt;&gt;"&lt;select one&gt;",C113&lt;&gt;"")),L113,0)</f>
        <v>0</v>
      </c>
      <c r="N113" s="933" t="str">
        <f>CHOOSE(L113+1,"Not to be included in this RFA","A REQUIRED input field for this RFA","An OPTIONAL input field for this RFA")</f>
        <v>A REQUIRED input field for this RFA</v>
      </c>
      <c r="P113" s="15"/>
    </row>
    <row r="114" spans="1:16" s="17" customFormat="1" ht="10.35" customHeight="1">
      <c r="E114" s="20"/>
      <c r="F114" s="3016"/>
      <c r="G114" s="3016"/>
      <c r="H114" s="3016"/>
      <c r="I114" s="3016"/>
      <c r="J114" s="18"/>
      <c r="K114" s="18"/>
      <c r="L114" s="246"/>
      <c r="M114" s="931"/>
      <c r="P114" s="15"/>
    </row>
    <row r="115" spans="1:16" s="17" customFormat="1" ht="45" customHeight="1">
      <c r="D115" s="2994" t="str">
        <f>"Based on the input in the Unit Characteristics Table below, "&amp;IF(OR(Total_Units=0,N(total_units_in_unit_desc_chart)&lt;&gt;Total_Units),"the predominant unit type is yet to be determined as the table input is not complete.","there "&amp;IF(Data1!O339&gt;1,"are ","is ")&amp;Data1!O339&amp;" predominant unit type"&amp;IF(Data1!O339&gt;1,"s and they are "," and it is ")&amp;Data1!O347&amp;".")</f>
        <v>Based on the input in the Unit Characteristics Table below, the predominant unit type is yet to be determined as the table input is not complete.</v>
      </c>
      <c r="E115" s="2994"/>
      <c r="F115" s="2994"/>
      <c r="G115" s="2994"/>
      <c r="H115" s="2994"/>
      <c r="I115" s="2994"/>
      <c r="J115" s="18"/>
      <c r="K115" s="18"/>
      <c r="L115" s="246"/>
      <c r="M115" s="931"/>
      <c r="N115" s="537"/>
      <c r="P115" s="15"/>
    </row>
    <row r="116" spans="1:16" s="17" customFormat="1" ht="14.45" customHeight="1">
      <c r="B116" s="316">
        <f>IF($L$113=0,"",MAX(B$112:B114)+1)</f>
        <v>2</v>
      </c>
      <c r="C116" s="6" t="s">
        <v>1043</v>
      </c>
      <c r="D116" s="916"/>
      <c r="E116" s="916"/>
      <c r="F116" s="916"/>
      <c r="G116" s="916"/>
      <c r="H116" s="916"/>
      <c r="I116" s="916"/>
      <c r="J116" s="18"/>
      <c r="K116" s="18"/>
      <c r="L116" s="246"/>
      <c r="M116" s="931"/>
      <c r="N116" s="537"/>
      <c r="P116" s="15"/>
    </row>
    <row r="117" spans="1:16" s="17" customFormat="1" ht="6.75" customHeight="1">
      <c r="E117" s="20"/>
      <c r="F117" s="921"/>
      <c r="G117" s="921"/>
      <c r="H117" s="921"/>
      <c r="I117" s="921"/>
      <c r="J117" s="18"/>
      <c r="K117" s="18"/>
      <c r="L117" s="246"/>
      <c r="M117" s="931"/>
      <c r="P117" s="15"/>
    </row>
    <row r="118" spans="1:16" s="21" customFormat="1" ht="14.45" hidden="1" customHeight="1">
      <c r="A118" s="559" t="str" cm="1">
        <f t="array" ref="A118">IF($L120=0,"",CHAR(CODE(LOOKUP(2,1/(COUNTIF(A$3:A114,"&gt;"&amp;A$3:A114&amp;"*")=0),A$3:A114))+1))</f>
        <v/>
      </c>
      <c r="B118" s="243" t="s">
        <v>1044</v>
      </c>
      <c r="C118" s="22"/>
      <c r="D118" s="22"/>
      <c r="E118" s="22"/>
      <c r="F118" s="557"/>
      <c r="G118" s="557"/>
      <c r="H118" s="558"/>
      <c r="I118" s="557"/>
      <c r="J118" s="243"/>
      <c r="K118" s="243"/>
      <c r="L118" s="247"/>
      <c r="M118" s="245"/>
      <c r="P118" s="15"/>
    </row>
    <row r="119" spans="1:16" s="17" customFormat="1" ht="30" hidden="1" customHeight="1">
      <c r="A119" s="536"/>
      <c r="B119" s="3015" t="s">
        <v>1045</v>
      </c>
      <c r="C119" s="3015"/>
      <c r="D119" s="3015"/>
      <c r="E119" s="3015"/>
      <c r="F119" s="3015"/>
      <c r="G119" s="3015"/>
      <c r="H119" s="3015"/>
      <c r="I119" s="3015"/>
      <c r="J119" s="18"/>
      <c r="K119" s="18"/>
      <c r="L119" s="246"/>
      <c r="M119" s="931"/>
      <c r="P119" s="15"/>
    </row>
    <row r="120" spans="1:16" s="17" customFormat="1" ht="17.45" hidden="1" customHeight="1">
      <c r="B120" s="22"/>
      <c r="C120" s="3048" t="str">
        <f>IF(L120=0,"",IF(H150=0,"Units must be entered in the Unit Characteristics table below to evaluate the Funding Preference.",IF(AND(H150&gt;0,H150&lt;&gt;N(Total_Units)),"Total Units in the Unit Characteristics table below does not match Total Units entered in Section 4.A.6.a.",IF(SUMIF(F127:G142,"ESS Construction",B127:B142)&gt;=ROUNDUP(50%*N(Total_Units),0),"Yes, at least 50% of Total Units ("&amp;TEXT(SUMIF(F127:G142,"ESS Construction",B127:B142),"0")&amp;" of "&amp;TEXT(N(Total_Units),"0")&amp;", or "&amp;TEXT(SUMIF(F127:G142,"ESS Construction",B127:B142)/N(Total_Units),"0%")&amp;") indicate they meet the Funding Preference requirement.","No, less than 50% of Total Units ("&amp;TEXT(SUMIF(F127:G142,"ESS Construction",B127:B142),"0")&amp;" of "&amp;TEXT(N(Total_Units),"0")&amp;", or "&amp;TEXT(SUMIF(F127:G142,"ESS Construction",B127:B142)/N(Total_Units),"0%")&amp;") indicate they meet the Funding Preference requirement."))))</f>
        <v/>
      </c>
      <c r="D120" s="3048"/>
      <c r="E120" s="3048"/>
      <c r="F120" s="3048"/>
      <c r="G120" s="3048"/>
      <c r="H120" s="3048"/>
      <c r="I120" s="3048"/>
      <c r="J120" s="18"/>
      <c r="K120" s="18"/>
      <c r="L120" s="953">
        <v>0</v>
      </c>
      <c r="M120" s="931">
        <f>IF(AND(L120&lt;&gt;0,AND(C120&lt;&gt;"&lt;select one&gt;",C120&lt;&gt;"")),L120,0)</f>
        <v>0</v>
      </c>
      <c r="N120" s="620" t="str">
        <f>CHOOSE(L120+1,"Not to be included in this RFA","A REQUIRED input field for this RFA","An OPTIONAL input field for this RFA")</f>
        <v>Not to be included in this RFA</v>
      </c>
    </row>
    <row r="121" spans="1:16" s="17" customFormat="1" ht="6.75" hidden="1" customHeight="1">
      <c r="F121" s="534"/>
      <c r="G121" s="534"/>
      <c r="H121" s="534"/>
      <c r="I121" s="534"/>
      <c r="J121" s="18"/>
      <c r="K121" s="18"/>
      <c r="L121" s="246"/>
      <c r="M121" s="931"/>
    </row>
    <row r="122" spans="1:16" s="17" customFormat="1" ht="14.45" customHeight="1">
      <c r="A122" s="543" t="str" cm="1">
        <f t="array" ref="A122">IF(SUM($L127:$L142)=0,"",CHAR(CODE(LOOKUP(2,1/(COUNTIF(A$3:A121,"&gt;"&amp;A$3:A121&amp;"*")=0),A$3:A121))+1))</f>
        <v>d</v>
      </c>
      <c r="B122" s="87" t="s">
        <v>1046</v>
      </c>
      <c r="C122" s="87"/>
      <c r="D122" s="87"/>
      <c r="E122" s="87"/>
      <c r="F122" s="87"/>
      <c r="G122" s="87"/>
      <c r="H122" s="87"/>
      <c r="I122" s="902"/>
      <c r="J122" s="18"/>
      <c r="K122" s="18"/>
      <c r="L122" s="246"/>
      <c r="M122" s="931"/>
    </row>
    <row r="123" spans="1:16" s="17" customFormat="1" ht="47.25" customHeight="1">
      <c r="B123" s="2943" t="s">
        <v>1047</v>
      </c>
      <c r="C123" s="2943"/>
      <c r="D123" s="2943"/>
      <c r="E123" s="2943"/>
      <c r="F123" s="2943"/>
      <c r="G123" s="2943"/>
      <c r="H123" s="2943"/>
      <c r="I123" s="2943"/>
      <c r="J123" s="18"/>
      <c r="K123" s="18"/>
      <c r="L123" s="246"/>
      <c r="M123" s="931"/>
    </row>
    <row r="124" spans="1:16" ht="10.35" customHeight="1">
      <c r="B124" s="23"/>
      <c r="C124" s="23"/>
      <c r="D124" s="23"/>
      <c r="E124" s="23"/>
      <c r="F124" s="922"/>
      <c r="G124" s="922"/>
      <c r="H124" s="922"/>
      <c r="I124" s="922"/>
      <c r="L124" s="246"/>
      <c r="M124" s="931"/>
    </row>
    <row r="125" spans="1:16" ht="18" customHeight="1">
      <c r="B125" s="315"/>
      <c r="C125" s="3036" t="s">
        <v>1048</v>
      </c>
      <c r="D125" s="3037"/>
      <c r="E125" s="3037"/>
      <c r="F125" s="3037"/>
      <c r="G125" s="3038"/>
      <c r="H125" s="3050" t="s">
        <v>1049</v>
      </c>
      <c r="I125" s="3049" t="s">
        <v>1050</v>
      </c>
      <c r="L125" s="246"/>
      <c r="M125" s="931"/>
    </row>
    <row r="126" spans="1:16" ht="18" customHeight="1">
      <c r="B126" s="315"/>
      <c r="C126" s="3039"/>
      <c r="D126" s="3040"/>
      <c r="E126" s="3040"/>
      <c r="F126" s="3040"/>
      <c r="G126" s="3041"/>
      <c r="H126" s="3050"/>
      <c r="I126" s="3049"/>
      <c r="L126" s="246"/>
      <c r="M126" s="931"/>
    </row>
    <row r="127" spans="1:16" ht="17.45" customHeight="1">
      <c r="A127" s="701" t="str">
        <f>IF(H$150=0,"",IF(COUNTIF(H$127:H$149,MAX(H$127:H$149))=1,"",IF(COUNTA(F$127:F127)=IFERROR(MATCH(MAX(H$127:H$149),H$127:H$149,0),""),"",IF(N(H127)=MAX(H$127:H$149),COUNTA(F$127:F127),""))))</f>
        <v/>
      </c>
      <c r="B127" s="815">
        <f t="shared" ref="B127:B136" si="0">N(H127)</f>
        <v>0</v>
      </c>
      <c r="C127" s="3025" t="s">
        <v>226</v>
      </c>
      <c r="D127" s="3026"/>
      <c r="E127" s="314" t="s">
        <v>287</v>
      </c>
      <c r="F127" s="3010" t="s">
        <v>1051</v>
      </c>
      <c r="G127" s="3011"/>
      <c r="H127" s="1061"/>
      <c r="I127" s="330">
        <f>DS_Lev_MP_GA*DS_Lev_MP_ESS</f>
        <v>0.93</v>
      </c>
      <c r="K127" s="701"/>
      <c r="L127" s="929">
        <f>IF(O127=1,IF(OR(H$150=0,H$150&lt;N(Total_Units),AND(H$150=N(Total_Units),H127&gt;0)),1,2),O127)</f>
        <v>1</v>
      </c>
      <c r="M127" s="931">
        <f t="shared" ref="M127:M135" si="1">IF(AND(L127&lt;&gt;0,H127&lt;&gt;""),L127,0)</f>
        <v>0</v>
      </c>
      <c r="N127" s="905" t="str">
        <f t="shared" ref="N127:N142" si="2">CHOOSE(L127+1,"Not to be included in this RFA","A REQUIRED input field for this RFA","An OPTIONAL input field for this RFA")</f>
        <v>A REQUIRED input field for this RFA</v>
      </c>
      <c r="O127" s="953">
        <v>1</v>
      </c>
      <c r="P127" s="15"/>
    </row>
    <row r="128" spans="1:16" ht="17.45" customHeight="1">
      <c r="A128" s="701" t="str">
        <f>IF(H$150=0,"",IF(COUNTIF(H$127:H$149,MAX(H$127:H$149))=1,"",IF(COUNTA(F$127:F128)=IFERROR(MATCH(MAX(H$127:H$149),H$127:H$149,0),""),"",IF(N(H128)=MAX(H$127:H$149),COUNTA(F$127:F128),""))))</f>
        <v/>
      </c>
      <c r="B128" s="815">
        <f t="shared" si="0"/>
        <v>0</v>
      </c>
      <c r="C128" s="3027"/>
      <c r="D128" s="3028"/>
      <c r="E128" s="44" t="s">
        <v>287</v>
      </c>
      <c r="F128" s="3010" t="s">
        <v>1052</v>
      </c>
      <c r="G128" s="3011"/>
      <c r="H128" s="1061"/>
      <c r="I128" s="330">
        <f>DS_Lev_MP_GA*1</f>
        <v>1</v>
      </c>
      <c r="K128" s="701"/>
      <c r="L128" s="929">
        <f>IF(O128=1,IF(OR(AND(H$150&lt;N(Total_Units),COUNTIF(O$127:O128,1)=COUNTIF(H$127:H128,"&gt;0")+1,H128=0),AND(H$150&lt;N(Total_Units),COUNTIF(L$127:L127,1)=COUNTIF(H$127:H127,"&gt;0"),H128=0),AND(H$150=N(Total_Units),H128&gt;0)),1,2),O128)</f>
        <v>2</v>
      </c>
      <c r="M128" s="931">
        <f t="shared" si="1"/>
        <v>0</v>
      </c>
      <c r="N128" s="905" t="str">
        <f t="shared" si="2"/>
        <v>An OPTIONAL input field for this RFA</v>
      </c>
      <c r="O128" s="248">
        <v>1</v>
      </c>
      <c r="P128" s="15"/>
    </row>
    <row r="129" spans="1:17" ht="17.45" customHeight="1">
      <c r="A129" s="701" t="str">
        <f>IF(H$150=0,"",IF(COUNTIF(H$127:H$149,MAX(H$127:H$149))=1,"",IF(COUNTA(F$127:F129)=IFERROR(MATCH(MAX(H$127:H$149),H$127:H$149,0),""),"",IF(N(H129)=MAX(H$127:H$149),COUNTA(F$127:F129),""))))</f>
        <v/>
      </c>
      <c r="B129" s="815">
        <f t="shared" si="0"/>
        <v>0</v>
      </c>
      <c r="C129" s="3027"/>
      <c r="D129" s="3028"/>
      <c r="E129" s="44" t="s">
        <v>289</v>
      </c>
      <c r="F129" s="3010" t="s">
        <v>1051</v>
      </c>
      <c r="G129" s="3011"/>
      <c r="H129" s="1061"/>
      <c r="I129" s="330">
        <f>DS_Lev_MP_MR*DS_Lev_MP_ESS</f>
        <v>0.90210000000000001</v>
      </c>
      <c r="K129" s="701"/>
      <c r="L129" s="929">
        <f>IF(O129=1,IF(OR(AND(H$150&lt;N(Total_Units),COUNTIF(O$127:O129,1)=COUNTIF(H$127:H129,"&gt;0")+1,H129=0),AND(H$150&lt;N(Total_Units),COUNTIF(L$127:L128,1)=COUNTIF(H$127:H128,"&gt;0"),H129=0),AND(H$150=N(Total_Units),H129&gt;0)),1,2),O129)</f>
        <v>2</v>
      </c>
      <c r="M129" s="931">
        <f t="shared" si="1"/>
        <v>0</v>
      </c>
      <c r="N129" s="905" t="str">
        <f t="shared" si="2"/>
        <v>An OPTIONAL input field for this RFA</v>
      </c>
      <c r="O129" s="248">
        <v>1</v>
      </c>
      <c r="P129" s="15"/>
    </row>
    <row r="130" spans="1:17" ht="17.45" customHeight="1">
      <c r="A130" s="701" t="str">
        <f>IF(H$150=0,"",IF(COUNTIF(H$127:H$149,MAX(H$127:H$149))=1,"",IF(COUNTA(F$127:F130)=IFERROR(MATCH(MAX(H$127:H$149),H$127:H$149,0),""),"",IF(N(H130)=MAX(H$127:H$149),COUNTA(F$127:F130),""))))</f>
        <v/>
      </c>
      <c r="B130" s="815">
        <f t="shared" si="0"/>
        <v>0</v>
      </c>
      <c r="C130" s="3027"/>
      <c r="D130" s="3028"/>
      <c r="E130" s="44" t="s">
        <v>289</v>
      </c>
      <c r="F130" s="3010" t="s">
        <v>1052</v>
      </c>
      <c r="G130" s="3011"/>
      <c r="H130" s="1061"/>
      <c r="I130" s="330">
        <f>DS_Lev_MP_MR*1</f>
        <v>0.97</v>
      </c>
      <c r="K130" s="701"/>
      <c r="L130" s="929">
        <f>IF(O130=1,IF(OR(AND(H$150&lt;N(Total_Units),COUNTIF(O$127:O130,1)=COUNTIF(H$127:H130,"&gt;0")+1,H130=0),AND(H$150&lt;N(Total_Units),COUNTIF(L$127:L129,1)=COUNTIF(H$127:H129,"&gt;0"),H130=0),AND(H$150=N(Total_Units),H130&gt;0)),1,2),O130)</f>
        <v>2</v>
      </c>
      <c r="M130" s="931">
        <f t="shared" si="1"/>
        <v>0</v>
      </c>
      <c r="N130" s="905" t="str">
        <f t="shared" si="2"/>
        <v>An OPTIONAL input field for this RFA</v>
      </c>
      <c r="O130" s="248">
        <v>1</v>
      </c>
      <c r="P130" s="15"/>
    </row>
    <row r="131" spans="1:17" ht="17.45" customHeight="1">
      <c r="A131" s="701" t="str">
        <f>IF(H$150=0,"",IF(COUNTIF(H$127:H$149,MAX(H$127:H$149))=1,"",IF(COUNTA(F$127:F131)=IFERROR(MATCH(MAX(H$127:H$149),H$127:H$149,0),""),"",IF(N(H131)=MAX(H$127:H$149),COUNTA(F$127:F131),""))))</f>
        <v/>
      </c>
      <c r="B131" s="815">
        <f t="shared" si="0"/>
        <v>0</v>
      </c>
      <c r="C131" s="3027"/>
      <c r="D131" s="3028"/>
      <c r="E131" s="44" t="s">
        <v>288</v>
      </c>
      <c r="F131" s="3010" t="s">
        <v>1051</v>
      </c>
      <c r="G131" s="3011"/>
      <c r="H131" s="1061"/>
      <c r="I131" s="330">
        <f>DS_Lev_MP_HR*DS_Lev_MP_ESS</f>
        <v>0.88349999999999995</v>
      </c>
      <c r="K131" s="701"/>
      <c r="L131" s="929">
        <f>IF(O131=1,IF(OR(AND(H$150&lt;N(Total_Units),COUNTIF(O$127:O131,1)=COUNTIF(H$127:H131,"&gt;0")+1,H131=0),AND(H$150&lt;N(Total_Units),COUNTIF(L$127:L130,1)=COUNTIF(H$127:H130,"&gt;0"),H131=0),AND(H$150=N(Total_Units),H131&gt;0)),1,2),O131)</f>
        <v>2</v>
      </c>
      <c r="M131" s="931">
        <f t="shared" si="1"/>
        <v>0</v>
      </c>
      <c r="N131" s="905" t="str">
        <f t="shared" si="2"/>
        <v>An OPTIONAL input field for this RFA</v>
      </c>
      <c r="O131" s="248">
        <v>1</v>
      </c>
      <c r="P131" s="15"/>
      <c r="Q131" s="15"/>
    </row>
    <row r="132" spans="1:17" ht="17.45" hidden="1" customHeight="1">
      <c r="A132" s="701" t="str">
        <f>IF(H$150=0,"",IF(COUNTIF(H$127:H$149,MAX(H$127:H$149))=1,"",IF(COUNTA(F$127:F132)=IFERROR(MATCH(MAX(H$127:H$149),H$127:H$149,0),""),"",IF(N(H132)=MAX(H$127:H$149),COUNTA(F$127:F132),""))))</f>
        <v/>
      </c>
      <c r="B132" s="815">
        <f t="shared" si="0"/>
        <v>0</v>
      </c>
      <c r="C132" s="3027"/>
      <c r="D132" s="3028"/>
      <c r="E132" s="44" t="s">
        <v>291</v>
      </c>
      <c r="F132" s="3010" t="s">
        <v>1051</v>
      </c>
      <c r="G132" s="3011"/>
      <c r="H132" s="1061"/>
      <c r="I132" s="330">
        <f>DS_Lev_MP_Oth*DS_Lev_MP_ESS</f>
        <v>0.93</v>
      </c>
      <c r="K132" s="701"/>
      <c r="L132" s="929">
        <f>IF(O132=1,IF(OR(AND(H$150&lt;N(Total_Units),COUNTIF(O$127:O132,1)=COUNTIF(H$127:H132,"&gt;0")+1,H132=0),AND(H$150&lt;N(Total_Units),COUNTIF(L$127:L131,1)=COUNTIF(H$127:H131,"&gt;0"),H132=0),AND(H$150=N(Total_Units),H132&gt;0)),1,2),O132)</f>
        <v>0</v>
      </c>
      <c r="M132" s="931">
        <f t="shared" si="1"/>
        <v>0</v>
      </c>
      <c r="N132" s="905" t="str">
        <f t="shared" si="2"/>
        <v>Not to be included in this RFA</v>
      </c>
      <c r="O132" s="248">
        <v>0</v>
      </c>
      <c r="P132" s="15"/>
    </row>
    <row r="133" spans="1:17" ht="17.45" hidden="1" customHeight="1">
      <c r="A133" s="701" t="str">
        <f>IF(H$150=0,"",IF(COUNTIF(H$127:H$149,MAX(H$127:H$149))=1,"",IF(COUNTA(F$127:F133)=IFERROR(MATCH(MAX(H$127:H$149),H$127:H$149,0),""),"",IF(N(H133)=MAX(H$127:H$149),COUNTA(F$127:F133),""))))</f>
        <v/>
      </c>
      <c r="B133" s="815">
        <f t="shared" si="0"/>
        <v>0</v>
      </c>
      <c r="C133" s="3027"/>
      <c r="D133" s="3028"/>
      <c r="E133" s="44" t="s">
        <v>291</v>
      </c>
      <c r="F133" s="3010" t="s">
        <v>1052</v>
      </c>
      <c r="G133" s="3011"/>
      <c r="H133" s="1061"/>
      <c r="I133" s="330">
        <f>DS_Lev_MP_Oth*1</f>
        <v>1</v>
      </c>
      <c r="K133" s="701"/>
      <c r="L133" s="929">
        <f>IF(O133=1,IF(OR(AND(H$150&lt;N(Total_Units),COUNTIF(O$127:O133,1)=COUNTIF(H$127:H133,"&gt;0")+1,H133=0),AND(H$150&lt;N(Total_Units),COUNTIF(L$127:L132,1)=COUNTIF(H$127:H132,"&gt;0"),H133=0),AND(H$150=N(Total_Units),H133&gt;0)),1,2),O133)</f>
        <v>0</v>
      </c>
      <c r="M133" s="931">
        <f t="shared" si="1"/>
        <v>0</v>
      </c>
      <c r="N133" s="905" t="str">
        <f t="shared" si="2"/>
        <v>Not to be included in this RFA</v>
      </c>
      <c r="O133" s="248">
        <v>0</v>
      </c>
      <c r="P133" s="15"/>
    </row>
    <row r="134" spans="1:17" ht="17.45" customHeight="1">
      <c r="A134" s="701" t="str">
        <f>IF(H$150=0,"",IF(COUNTIF(H$127:H$149,MAX(H$127:H$149))=1,"",IF(COUNTA(F$127:F134)=IFERROR(MATCH(MAX(H$127:H$149),H$127:H$149,0),""),"",IF(N(H134)=MAX(H$127:H$149),COUNTA(F$127:F134),""))))</f>
        <v/>
      </c>
      <c r="B134" s="815">
        <f t="shared" si="0"/>
        <v>0</v>
      </c>
      <c r="C134" s="3027"/>
      <c r="D134" s="3028"/>
      <c r="E134" s="45" t="s">
        <v>290</v>
      </c>
      <c r="F134" s="3010" t="s">
        <v>1051</v>
      </c>
      <c r="G134" s="3011"/>
      <c r="H134" s="1061"/>
      <c r="I134" s="330">
        <f>DS_Lev_MP_Oth*DS_Lev_MP_ESS</f>
        <v>0.93</v>
      </c>
      <c r="K134" s="701"/>
      <c r="L134" s="929">
        <f>IF(O134=1,IF(OR(AND(H$150&lt;N(Total_Units),COUNTIF(O$127:O134,1)=COUNTIF(H$127:H134,"&gt;0")+1,H134=0),AND(H$150&lt;N(Total_Units),COUNTIF(L$127:L133,1)=COUNTIF(H$127:H133,"&gt;0"),H134=0),AND(H$150=N(Total_Units),H134&gt;0)),1,2),O134)</f>
        <v>2</v>
      </c>
      <c r="M134" s="931">
        <f t="shared" si="1"/>
        <v>0</v>
      </c>
      <c r="N134" s="905" t="str">
        <f t="shared" si="2"/>
        <v>An OPTIONAL input field for this RFA</v>
      </c>
      <c r="O134" s="248">
        <v>1</v>
      </c>
      <c r="P134" s="15"/>
    </row>
    <row r="135" spans="1:17" ht="17.45" customHeight="1" thickBot="1">
      <c r="A135" s="701" t="str">
        <f>IF(H$150=0,"",IF(COUNTIF(H$127:H$149,MAX(H$127:H$149))=1,"",IF(COUNTA(F$127:F135)=IFERROR(MATCH(MAX(H$127:H$149),H$127:H$149,0),""),"",IF(N(#REF!)=MAX(H$127:H$149),COUNTA(F$127:F135),""))))</f>
        <v/>
      </c>
      <c r="B135" s="815">
        <f t="shared" si="0"/>
        <v>0</v>
      </c>
      <c r="C135" s="3029"/>
      <c r="D135" s="3030"/>
      <c r="E135" s="45" t="s">
        <v>290</v>
      </c>
      <c r="F135" s="3010" t="s">
        <v>1052</v>
      </c>
      <c r="G135" s="3011"/>
      <c r="H135" s="1061"/>
      <c r="I135" s="330">
        <f>DS_Lev_MP_Oth*1</f>
        <v>1</v>
      </c>
      <c r="K135" s="701"/>
      <c r="L135" s="1574">
        <f>IF(O135=1,IF(OR(AND(H$150&lt;N(Total_Units),COUNTIF(O$127:O135,1)=COUNTIF(H$127:H135,"&gt;0")+1,H135=0),AND(H$150&lt;N(Total_Units),COUNTIF(L$127:L134,1)=COUNTIF(H$127:H134,"&gt;0"),H135=0),AND(H$150=N(Total_Units),H135&gt;0)),1,2),O135)</f>
        <v>2</v>
      </c>
      <c r="M135" s="1573">
        <f t="shared" si="1"/>
        <v>0</v>
      </c>
      <c r="N135" s="905" t="str">
        <f t="shared" si="2"/>
        <v>An OPTIONAL input field for this RFA</v>
      </c>
      <c r="O135" s="248">
        <v>1</v>
      </c>
      <c r="P135" s="15"/>
    </row>
    <row r="136" spans="1:17" ht="17.45" hidden="1" customHeight="1">
      <c r="A136" s="701" t="str">
        <f>IF(H$150=0,"",IF(COUNTIF(H$127:H$149,MAX(H$127:H$149))=1,"",IF(COUNTA(F$127:F136)=IFERROR(MATCH(MAX(H$127:H$149),H$127:H$149,0),""),"",IF(N(H135)=MAX(H$127:H$149),COUNTA(F$127:F136),""))))</f>
        <v/>
      </c>
      <c r="B136" s="815">
        <f t="shared" si="0"/>
        <v>0</v>
      </c>
      <c r="C136" s="3017" t="s">
        <v>2548</v>
      </c>
      <c r="D136" s="3018"/>
      <c r="E136" s="928" t="s">
        <v>287</v>
      </c>
      <c r="F136" s="3014" t="s">
        <v>1051</v>
      </c>
      <c r="G136" s="3014"/>
      <c r="H136" s="1662"/>
      <c r="I136" s="330">
        <v>1</v>
      </c>
      <c r="K136" s="701"/>
      <c r="L136" s="929">
        <f>IF(O136=1,IF(OR(AND(H$150&lt;N(Total_Units),COUNTIF(O$127:O136,1)=COUNTIF(H$127:H135,"&gt;0")+1,H135=0),AND(H$150&lt;N(Total_Units),COUNTIF(L$127:L135,1)=COUNTIF(H$127:H135,"&gt;0"),H135=0),AND(H$150=N(Total_Units),H135&gt;0)),1,2),O136)</f>
        <v>0</v>
      </c>
      <c r="M136" s="931">
        <f>IF(AND(L136&lt;&gt;0,H135&lt;&gt;""),L136,0)</f>
        <v>0</v>
      </c>
      <c r="N136" s="905" t="str">
        <f t="shared" si="2"/>
        <v>Not to be included in this RFA</v>
      </c>
      <c r="O136" s="248">
        <v>0</v>
      </c>
      <c r="P136" s="15"/>
    </row>
    <row r="137" spans="1:17" ht="17.45" hidden="1" customHeight="1">
      <c r="A137" s="701" t="str">
        <f>IF(H$150=0,"",IF(COUNTIF(H$127:H$149,MAX(H$127:H$149))=1,"",IF(COUNTA(F$127:F137)=IFERROR(MATCH(MAX(H$127:H$149),H$127:H$149,0),""),"",IF(N(H137)=MAX(H$127:H$149),COUNTA(F$127:F137),""))))</f>
        <v/>
      </c>
      <c r="B137" s="815">
        <f t="shared" ref="B137:B149" si="3">N(H137)</f>
        <v>0</v>
      </c>
      <c r="C137" s="3019"/>
      <c r="D137" s="3020"/>
      <c r="E137" s="928" t="s">
        <v>287</v>
      </c>
      <c r="F137" s="3014" t="s">
        <v>1052</v>
      </c>
      <c r="G137" s="3014"/>
      <c r="H137" s="1061"/>
      <c r="I137" s="330">
        <v>1</v>
      </c>
      <c r="K137" s="701"/>
      <c r="L137" s="929">
        <f>IF(O137=1,IF(OR(AND(H$150&lt;N(Total_Units),COUNTIF(O$127:O137,1)=COUNTIF(H$127:H137,"&gt;0")+1,H137=0),AND(H$150&lt;N(Total_Units),COUNTIF(L$127:L136,1)=COUNTIF(H$127:H135,"&gt;0"),H137=0),AND(H$150=N(Total_Units),H137&gt;0)),1,2),O137)</f>
        <v>0</v>
      </c>
      <c r="M137" s="931">
        <f t="shared" ref="M137:M149" si="4">IF(AND(L137&lt;&gt;0,H137&lt;&gt;""),L137,0)</f>
        <v>0</v>
      </c>
      <c r="N137" s="905" t="str">
        <f t="shared" si="2"/>
        <v>Not to be included in this RFA</v>
      </c>
      <c r="O137" s="248">
        <v>0</v>
      </c>
      <c r="P137" s="15"/>
    </row>
    <row r="138" spans="1:17" ht="17.45" hidden="1" customHeight="1">
      <c r="A138" s="701" t="str">
        <f>IF(H$150=0,"",IF(COUNTIF(H$127:H$149,MAX(H$127:H$149))=1,"",IF(COUNTA(F$127:F138)=IFERROR(MATCH(MAX(H$127:H$149),H$127:H$149,0),""),"",IF(N(H138)=MAX(H$127:H$149),COUNTA(F$127:F138),""))))</f>
        <v/>
      </c>
      <c r="B138" s="815">
        <f t="shared" si="3"/>
        <v>0</v>
      </c>
      <c r="C138" s="3019"/>
      <c r="D138" s="3020"/>
      <c r="E138" s="2336" t="s">
        <v>289</v>
      </c>
      <c r="F138" s="3012" t="s">
        <v>1051</v>
      </c>
      <c r="G138" s="3012"/>
      <c r="H138" s="1061"/>
      <c r="I138" s="330">
        <v>1</v>
      </c>
      <c r="K138" s="701"/>
      <c r="L138" s="929">
        <f>IF(O138=1,IF(OR(AND(H$150&lt;N(Total_Units),COUNTIF(O$127:O138,1)=COUNTIF(H$127:H138,"&gt;0")+1,H138=0),AND(H$150&lt;N(Total_Units),COUNTIF(L$127:L137,1)=COUNTIF(H$127:H137,"&gt;0"),H138=0),AND(H$150=N(Total_Units),H138&gt;0)),1,2),O138)</f>
        <v>0</v>
      </c>
      <c r="M138" s="931">
        <f t="shared" si="4"/>
        <v>0</v>
      </c>
      <c r="N138" s="905" t="str">
        <f t="shared" si="2"/>
        <v>Not to be included in this RFA</v>
      </c>
      <c r="O138" s="248">
        <v>0</v>
      </c>
      <c r="P138" s="15"/>
    </row>
    <row r="139" spans="1:17" ht="17.45" hidden="1" customHeight="1">
      <c r="A139" s="701" t="str">
        <f>IF(H$150=0,"",IF(COUNTIF(H$127:H$149,MAX(H$127:H$149))=1,"",IF(COUNTA(F$127:F139)=IFERROR(MATCH(MAX(H$127:H$149),H$127:H$149,0),""),"",IF(N(H139)=MAX(H$127:H$149),COUNTA(F$127:F139),""))))</f>
        <v/>
      </c>
      <c r="B139" s="815">
        <f t="shared" si="3"/>
        <v>0</v>
      </c>
      <c r="C139" s="3019"/>
      <c r="D139" s="3020"/>
      <c r="E139" s="2336" t="s">
        <v>289</v>
      </c>
      <c r="F139" s="3012" t="s">
        <v>1052</v>
      </c>
      <c r="G139" s="3012"/>
      <c r="H139" s="1061"/>
      <c r="I139" s="330">
        <v>1</v>
      </c>
      <c r="K139" s="701"/>
      <c r="L139" s="929">
        <f>IF(O139=1,IF(OR(AND(H$150&lt;N(Total_Units),COUNTIF(O$127:O139,1)=COUNTIF(H$127:H139,"&gt;0")+1,H139=0),AND(H$150&lt;N(Total_Units),COUNTIF(L$127:L138,1)=COUNTIF(H$127:H138,"&gt;0"),H139=0),AND(H$150=N(Total_Units),H139&gt;0)),1,2),O139)</f>
        <v>0</v>
      </c>
      <c r="M139" s="931">
        <f t="shared" si="4"/>
        <v>0</v>
      </c>
      <c r="N139" s="905" t="str">
        <f t="shared" si="2"/>
        <v>Not to be included in this RFA</v>
      </c>
      <c r="O139" s="248">
        <v>0</v>
      </c>
      <c r="P139" s="15"/>
    </row>
    <row r="140" spans="1:17" s="2339" customFormat="1" ht="17.45" hidden="1" customHeight="1">
      <c r="A140" s="701"/>
      <c r="B140" s="815"/>
      <c r="C140" s="3019"/>
      <c r="D140" s="3020"/>
      <c r="E140" s="2336" t="s">
        <v>288</v>
      </c>
      <c r="F140" s="3031" t="s">
        <v>1051</v>
      </c>
      <c r="G140" s="3032"/>
      <c r="H140" s="1603"/>
      <c r="I140" s="556">
        <v>1</v>
      </c>
      <c r="J140" s="15"/>
      <c r="K140" s="701"/>
      <c r="L140" s="2338">
        <f>IF(O140=1,IF(OR(AND(H$150&lt;N(Total_Units),COUNTIF(O$127:O140,1)=COUNTIF(H$127:H140,"&gt;0")+1,H140=0),AND(H$150&lt;N(Total_Units),COUNTIF(L$127:L139,1)=COUNTIF(H$127:H139,"&gt;0"),H140=0),AND(H$150=N(Total_Units),H140&gt;0)),1,2),O140)</f>
        <v>0</v>
      </c>
      <c r="M140" s="2337">
        <f t="shared" ref="M140" si="5">IF(AND(L140&lt;&gt;0,H140&lt;&gt;""),L140,0)</f>
        <v>0</v>
      </c>
      <c r="N140" s="2335" t="str">
        <f t="shared" ref="N140" si="6">CHOOSE(L140+1,"Not to be included in this RFA","A REQUIRED input field for this RFA","An OPTIONAL input field for this RFA")</f>
        <v>Not to be included in this RFA</v>
      </c>
      <c r="O140" s="248">
        <v>0</v>
      </c>
      <c r="P140" s="15"/>
    </row>
    <row r="141" spans="1:17" ht="17.45" hidden="1" customHeight="1">
      <c r="A141" s="701" t="str">
        <f>IF(H$150=0,"",IF(COUNTIF(H$127:H$149,MAX(H$127:H$149))=1,"",IF(COUNTA(F$127:F141)=IFERROR(MATCH(MAX(H$127:H$149),H$127:H$149,0),""),"",IF(N(H141)=MAX(H$127:H$149),COUNTA(F$127:F141),""))))</f>
        <v/>
      </c>
      <c r="B141" s="815">
        <f t="shared" si="3"/>
        <v>0</v>
      </c>
      <c r="C141" s="3019"/>
      <c r="D141" s="3020"/>
      <c r="E141" s="45" t="s">
        <v>290</v>
      </c>
      <c r="F141" s="3013" t="s">
        <v>1051</v>
      </c>
      <c r="G141" s="3013"/>
      <c r="H141" s="1603"/>
      <c r="I141" s="556">
        <v>1</v>
      </c>
      <c r="J141" s="1571"/>
      <c r="K141" s="701"/>
      <c r="L141" s="929">
        <f>IF(O141=1,IF(OR(AND(H$150&lt;N(Total_Units),COUNTIF(O$127:O141,1)=COUNTIF(H$127:H141,"&gt;0")+1,H141=0),AND(H$150&lt;N(Total_Units),COUNTIF(L$127:L139,1)=COUNTIF(H$127:H139,"&gt;0"),H141=0),AND(H$150=N(Total_Units),H141&gt;0)),1,2),O141)</f>
        <v>0</v>
      </c>
      <c r="M141" s="931">
        <f t="shared" si="4"/>
        <v>0</v>
      </c>
      <c r="N141" s="905" t="str">
        <f t="shared" si="2"/>
        <v>Not to be included in this RFA</v>
      </c>
      <c r="O141" s="248">
        <v>0</v>
      </c>
      <c r="P141" s="15"/>
    </row>
    <row r="142" spans="1:17" ht="17.45" hidden="1" customHeight="1">
      <c r="A142" s="701" t="str">
        <f>IF(H$150=0,"",IF(COUNTIF(H$127:H$149,MAX(H$127:H$149))=1,"",IF(COUNTA(F$127:F149)=IFERROR(MATCH(MAX(H$127:H$149),H$127:H$149,0),""),"",IF(N(H149)=MAX(H$127:H$149),COUNTA(F$127:F149),""))))</f>
        <v/>
      </c>
      <c r="B142" s="815">
        <f t="shared" si="3"/>
        <v>0</v>
      </c>
      <c r="C142" s="3021"/>
      <c r="D142" s="3022"/>
      <c r="E142" s="45" t="s">
        <v>290</v>
      </c>
      <c r="F142" s="3013" t="s">
        <v>1052</v>
      </c>
      <c r="G142" s="3023"/>
      <c r="H142" s="1061"/>
      <c r="I142" s="556">
        <v>1</v>
      </c>
      <c r="J142" s="1571"/>
      <c r="K142" s="701"/>
      <c r="L142" s="929">
        <f>IF(O142=1,IF(OR(AND(H$150&lt;N(Total_Units),COUNTIF(O$127:O142,1)=COUNTIF(H$127:H142,"&gt;0")+1,H142=0),AND(H$150&lt;N(Total_Units),COUNTIF(L$127:L141,1)=COUNTIF(H$127:H141,"&gt;0"),H142=0),AND(H$150=N(Total_Units),H142&gt;0)),1,2),O142)</f>
        <v>0</v>
      </c>
      <c r="M142" s="931">
        <f t="shared" si="4"/>
        <v>0</v>
      </c>
      <c r="N142" s="905" t="str">
        <f t="shared" si="2"/>
        <v>Not to be included in this RFA</v>
      </c>
      <c r="O142" s="248">
        <v>0</v>
      </c>
    </row>
    <row r="143" spans="1:17" s="2143" customFormat="1" ht="17.45" hidden="1" customHeight="1">
      <c r="A143" s="701" t="str">
        <f>IF(H$150=0,"",IF(COUNTIF(H$127:H$149,MAX(H$127:H$149))=1,"",IF(COUNTA(F$127:F150)=IFERROR(MATCH(MAX(H$127:H$149),H$127:H$149,0),""),"",IF(N(H150)=MAX(H$127:H$149),COUNTA(F$127:F150),""))))</f>
        <v/>
      </c>
      <c r="B143" s="2154">
        <f t="shared" si="3"/>
        <v>0</v>
      </c>
      <c r="C143" s="3017" t="s">
        <v>2549</v>
      </c>
      <c r="D143" s="3018"/>
      <c r="E143" s="2140" t="s">
        <v>287</v>
      </c>
      <c r="F143" s="3014" t="s">
        <v>1051</v>
      </c>
      <c r="G143" s="3014"/>
      <c r="H143" s="1662"/>
      <c r="I143" s="330">
        <v>1</v>
      </c>
      <c r="J143" s="15"/>
      <c r="K143" s="701"/>
      <c r="L143" s="2142">
        <f>IF(O143=1,IF(OR(AND(H$150&lt;N(Total_Units),COUNTIF(O$127:O143,1)=COUNTIF(H$127:H143,"&gt;0")+1,H143=0),AND(H$150&lt;N(Total_Units),COUNTIF(L$127:L142,1)=COUNTIF(H$127:H142,"&gt;0"),H143=0),AND(H$150=N(Total_Units),H143&gt;0)),1,2),O143)</f>
        <v>0</v>
      </c>
      <c r="M143" s="2141">
        <f t="shared" si="4"/>
        <v>0</v>
      </c>
      <c r="N143" s="2139" t="str">
        <f t="shared" ref="N143:N149" si="7">CHOOSE(L143+1,"Not to be included in this RFA","A REQUIRED input field for this RFA","An OPTIONAL input field for this RFA")</f>
        <v>Not to be included in this RFA</v>
      </c>
      <c r="O143" s="248">
        <v>0</v>
      </c>
    </row>
    <row r="144" spans="1:17" s="2143" customFormat="1" ht="17.45" hidden="1" customHeight="1">
      <c r="A144" s="701" t="str">
        <f>IF(H$150=0,"",IF(COUNTIF(H$127:H$149,MAX(H$127:H$149))=1,"",IF(COUNTA(F$127:F151)=IFERROR(MATCH(MAX(H$127:H$149),H$127:H$149,0),""),"",IF(N(H151)=MAX(H$127:H$149),COUNTA(F$127:F151),""))))</f>
        <v/>
      </c>
      <c r="B144" s="2154">
        <f t="shared" si="3"/>
        <v>0</v>
      </c>
      <c r="C144" s="3019"/>
      <c r="D144" s="3020"/>
      <c r="E144" s="2140" t="s">
        <v>287</v>
      </c>
      <c r="F144" s="3014" t="s">
        <v>1052</v>
      </c>
      <c r="G144" s="3014"/>
      <c r="H144" s="1061"/>
      <c r="I144" s="330">
        <v>1</v>
      </c>
      <c r="J144" s="15"/>
      <c r="K144" s="701"/>
      <c r="L144" s="2142">
        <f>IF(O144=1,IF(OR(AND(H$150&lt;N(Total_Units),COUNTIF(O$127:O144,1)=COUNTIF(H$127:H144,"&gt;0")+1,H144=0),AND(H$150&lt;N(Total_Units),COUNTIF(L$127:L143,1)=COUNTIF(H$127:H143,"&gt;0"),H144=0),AND(H$150=N(Total_Units),H144&gt;0)),1,2),O144)</f>
        <v>0</v>
      </c>
      <c r="M144" s="2141">
        <f t="shared" si="4"/>
        <v>0</v>
      </c>
      <c r="N144" s="2139" t="str">
        <f t="shared" si="7"/>
        <v>Not to be included in this RFA</v>
      </c>
      <c r="O144" s="248">
        <v>0</v>
      </c>
    </row>
    <row r="145" spans="1:21" s="2143" customFormat="1" ht="17.45" hidden="1" customHeight="1">
      <c r="A145" s="701" t="str">
        <f>IF(H$150=0,"",IF(COUNTIF(H$127:H$149,MAX(H$127:H$149))=1,"",IF(COUNTA(F$127:F152)=IFERROR(MATCH(MAX(H$127:H$149),H$127:H$149,0),""),"",IF(N(H152)=MAX(H$127:H$149),COUNTA(F$127:F152),""))))</f>
        <v/>
      </c>
      <c r="B145" s="2154">
        <f t="shared" si="3"/>
        <v>0</v>
      </c>
      <c r="C145" s="3019"/>
      <c r="D145" s="3020"/>
      <c r="E145" s="2341" t="s">
        <v>289</v>
      </c>
      <c r="F145" s="3012" t="s">
        <v>1051</v>
      </c>
      <c r="G145" s="3012"/>
      <c r="H145" s="1061"/>
      <c r="I145" s="330">
        <v>1</v>
      </c>
      <c r="J145" s="15"/>
      <c r="K145" s="701"/>
      <c r="L145" s="2142">
        <f>IF(O145=1,IF(OR(AND(H$150&lt;N(Total_Units),COUNTIF(O$127:O145,1)=COUNTIF(H$127:H145,"&gt;0")+1,H145=0),AND(H$150&lt;N(Total_Units),COUNTIF(L$127:L144,1)=COUNTIF(H$127:H144,"&gt;0"),H145=0),AND(H$150=N(Total_Units),H145&gt;0)),1,2),O145)</f>
        <v>0</v>
      </c>
      <c r="M145" s="2141">
        <f t="shared" si="4"/>
        <v>0</v>
      </c>
      <c r="N145" s="2139" t="str">
        <f t="shared" si="7"/>
        <v>Not to be included in this RFA</v>
      </c>
      <c r="O145" s="248">
        <v>0</v>
      </c>
    </row>
    <row r="146" spans="1:21" s="2143" customFormat="1" ht="17.45" hidden="1" customHeight="1">
      <c r="A146" s="701" t="str">
        <f>IF(H$150=0,"",IF(COUNTIF(H$127:H$149,MAX(H$127:H$149))=1,"",IF(COUNTA(F$127:F153)=IFERROR(MATCH(MAX(H$127:H$149),H$127:H$149,0),""),"",IF(N(H153)=MAX(H$127:H$149),COUNTA(F$127:F153),""))))</f>
        <v/>
      </c>
      <c r="B146" s="2154">
        <f t="shared" si="3"/>
        <v>0</v>
      </c>
      <c r="C146" s="3019"/>
      <c r="D146" s="3020"/>
      <c r="E146" s="2341" t="s">
        <v>289</v>
      </c>
      <c r="F146" s="3012" t="s">
        <v>1052</v>
      </c>
      <c r="G146" s="3012"/>
      <c r="H146" s="1061"/>
      <c r="I146" s="330">
        <v>1</v>
      </c>
      <c r="J146" s="15"/>
      <c r="K146" s="701"/>
      <c r="L146" s="2142">
        <f>IF(O146=1,IF(OR(AND(H$150&lt;N(Total_Units),COUNTIF(O$127:O146,1)=COUNTIF(H$127:H146,"&gt;0")+1,H146=0),AND(H$150&lt;N(Total_Units),COUNTIF(L$127:L145,1)=COUNTIF(H$127:H145,"&gt;0"),H146=0),AND(H$150=N(Total_Units),H146&gt;0)),1,2),O146)</f>
        <v>0</v>
      </c>
      <c r="M146" s="2141">
        <f t="shared" si="4"/>
        <v>0</v>
      </c>
      <c r="N146" s="2139" t="str">
        <f t="shared" si="7"/>
        <v>Not to be included in this RFA</v>
      </c>
      <c r="O146" s="248">
        <v>0</v>
      </c>
    </row>
    <row r="147" spans="1:21" s="2339" customFormat="1" ht="17.45" hidden="1" customHeight="1">
      <c r="A147" s="701"/>
      <c r="B147" s="2154"/>
      <c r="C147" s="3019"/>
      <c r="D147" s="3020"/>
      <c r="E147" s="2341" t="s">
        <v>288</v>
      </c>
      <c r="F147" s="3012" t="s">
        <v>1051</v>
      </c>
      <c r="G147" s="3012"/>
      <c r="H147" s="1603"/>
      <c r="I147" s="556">
        <v>1</v>
      </c>
      <c r="J147" s="15"/>
      <c r="K147" s="701"/>
      <c r="L147" s="2338">
        <f>IF(O147=1,IF(OR(AND(H$150&lt;N(Total_Units),COUNTIF(O$127:O147,1)=COUNTIF(H$127:H147,"&gt;0")+1,H147=0),AND(H$150&lt;N(Total_Units),COUNTIF(L$127:L146,1)=COUNTIF(H$127:H146,"&gt;0"),H147=0),AND(H$150=N(Total_Units),H147&gt;0)),1,2),O147)</f>
        <v>0</v>
      </c>
      <c r="M147" s="2337">
        <f t="shared" ref="M147" si="8">IF(AND(L147&lt;&gt;0,H147&lt;&gt;""),L147,0)</f>
        <v>0</v>
      </c>
      <c r="N147" s="2335" t="str">
        <f t="shared" si="7"/>
        <v>Not to be included in this RFA</v>
      </c>
      <c r="O147" s="248">
        <v>0</v>
      </c>
    </row>
    <row r="148" spans="1:21" s="2143" customFormat="1" ht="17.45" hidden="1" customHeight="1">
      <c r="A148" s="701" t="str">
        <f>IF(H$150=0,"",IF(COUNTIF(H$127:H$149,MAX(H$127:H$149))=1,"",IF(COUNTA(F$127:F154)=IFERROR(MATCH(MAX(H$127:H$149),H$127:H$149,0),""),"",IF(N(H154)=MAX(H$127:H$149),COUNTA(F$127:F154),""))))</f>
        <v/>
      </c>
      <c r="B148" s="2154">
        <f t="shared" si="3"/>
        <v>0</v>
      </c>
      <c r="C148" s="3019"/>
      <c r="D148" s="3020"/>
      <c r="E148" s="45" t="s">
        <v>290</v>
      </c>
      <c r="F148" s="3013" t="s">
        <v>1051</v>
      </c>
      <c r="G148" s="3013"/>
      <c r="H148" s="1603"/>
      <c r="I148" s="556">
        <v>1</v>
      </c>
      <c r="J148" s="15"/>
      <c r="K148" s="701"/>
      <c r="L148" s="2142">
        <f>IF(O148=1,IF(OR(AND(H$150&lt;N(Total_Units),COUNTIF(O$127:O148,1)=COUNTIF(H$127:H148,"&gt;0")+1,H148=0),AND(H$150&lt;N(Total_Units),COUNTIF(L$127:L146,1)=COUNTIF(H$127:H146,"&gt;0"),H148=0),AND(H$150=N(Total_Units),H148&gt;0)),1,2),O148)</f>
        <v>0</v>
      </c>
      <c r="M148" s="2141">
        <f t="shared" si="4"/>
        <v>0</v>
      </c>
      <c r="N148" s="2139" t="str">
        <f t="shared" si="7"/>
        <v>Not to be included in this RFA</v>
      </c>
      <c r="O148" s="248">
        <v>0</v>
      </c>
    </row>
    <row r="149" spans="1:21" s="2143" customFormat="1" ht="17.45" hidden="1" customHeight="1" thickBot="1">
      <c r="A149" s="701" t="str">
        <f>IF(H$150=0,"",IF(COUNTIF(H$127:H$149,MAX(H$127:H$149))=1,"",IF(COUNTA(F$127:F155)=IFERROR(MATCH(MAX(H$127:H$149),H$127:H$149,0),""),"",IF(N(H155)=MAX(H$127:H$149),COUNTA(F$127:F155),""))))</f>
        <v/>
      </c>
      <c r="B149" s="2154">
        <f t="shared" si="3"/>
        <v>0</v>
      </c>
      <c r="C149" s="3021"/>
      <c r="D149" s="3024"/>
      <c r="E149" s="45" t="s">
        <v>290</v>
      </c>
      <c r="F149" s="3013" t="s">
        <v>1052</v>
      </c>
      <c r="G149" s="3013"/>
      <c r="H149" s="1603"/>
      <c r="I149" s="556">
        <v>1</v>
      </c>
      <c r="J149" s="15"/>
      <c r="K149" s="701"/>
      <c r="L149" s="2142">
        <f>IF(O149=1,IF(OR(AND(H$150&lt;N(Total_Units),COUNTIF(O$127:O149,1)=COUNTIF(H$127:H149,"&gt;0")+1,H149=0),AND(H$150&lt;N(Total_Units),COUNTIF(L$127:L148,1)=COUNTIF(H$127:H148,"&gt;0"),H149=0),AND(H$150=N(Total_Units),H149&gt;0)),1,2),O149)</f>
        <v>0</v>
      </c>
      <c r="M149" s="2141">
        <f t="shared" si="4"/>
        <v>0</v>
      </c>
      <c r="N149" s="2139" t="str">
        <f t="shared" si="7"/>
        <v>Not to be included in this RFA</v>
      </c>
      <c r="O149" s="248">
        <v>0</v>
      </c>
    </row>
    <row r="150" spans="1:21" ht="17.45" customHeight="1" thickTop="1">
      <c r="A150" s="15"/>
      <c r="B150" s="922"/>
      <c r="C150" s="786"/>
      <c r="D150" s="786"/>
      <c r="E150" s="786"/>
      <c r="F150" s="787"/>
      <c r="G150" s="82" t="s">
        <v>1054</v>
      </c>
      <c r="H150" s="1604">
        <f>SUM(H127:H149)</f>
        <v>0</v>
      </c>
      <c r="I150" s="331">
        <f>IF(H150=0,0,SUMPRODUCT(H127:H149,I127:I149)/H150)</f>
        <v>0</v>
      </c>
      <c r="K150" s="954"/>
      <c r="L150" s="954"/>
      <c r="M150" s="954"/>
      <c r="N150" s="954"/>
      <c r="O150" s="954"/>
      <c r="P150" s="954"/>
      <c r="Q150" s="954"/>
      <c r="R150" s="954"/>
      <c r="S150" s="954"/>
      <c r="T150" s="954"/>
      <c r="U150" s="954"/>
    </row>
    <row r="151" spans="1:21" ht="10.35" customHeight="1">
      <c r="B151" s="922"/>
      <c r="C151" s="922"/>
      <c r="D151" s="922"/>
      <c r="E151" s="922"/>
      <c r="F151" s="922"/>
      <c r="G151" s="922"/>
      <c r="J151" s="954"/>
      <c r="K151" s="954"/>
      <c r="L151" s="954"/>
      <c r="M151" s="954"/>
      <c r="N151" s="954"/>
      <c r="O151" s="954"/>
      <c r="P151" s="954"/>
      <c r="Q151" s="954"/>
      <c r="R151" s="954"/>
      <c r="S151" s="954"/>
      <c r="T151" s="954"/>
      <c r="U151" s="954"/>
    </row>
    <row r="152" spans="1:21" ht="35.1" customHeight="1">
      <c r="B152" s="922"/>
      <c r="C152" s="2960"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Construction",N($H$136)+N($H$137)+N($H$138)+N($H$139)+N($H$141)+N($H$142)+N($H$143)+N($H$144)+N($H$145)+N($H$146)+N($H$148)+N($H$149)&gt;0)," Rehab units are NOT allowed when New Construction is the designated Development Category in this RFA.","")</f>
        <v>The number of units calculated here matches the 0 units in stated at 6.a.</v>
      </c>
      <c r="D152" s="2960"/>
      <c r="E152" s="2960"/>
      <c r="F152" s="2960"/>
      <c r="G152" s="2960"/>
      <c r="H152" s="2960"/>
      <c r="I152" s="2960"/>
      <c r="J152" s="902"/>
      <c r="K152" s="902"/>
      <c r="L152" s="902"/>
      <c r="M152" s="902"/>
      <c r="N152" s="902">
        <f>Garden_ESS_NC_units+Garden_non_ESS_NC_units+Garden_ESS_AR_units+Garden_non_ESS_AR_units</f>
        <v>0</v>
      </c>
      <c r="O152" s="902"/>
      <c r="P152" s="902"/>
      <c r="Q152" s="902"/>
      <c r="R152" s="902"/>
      <c r="S152" s="902"/>
      <c r="T152" s="902"/>
      <c r="U152" s="902"/>
    </row>
    <row r="153" spans="1:21" ht="10.35" customHeight="1">
      <c r="B153" s="922"/>
      <c r="C153" s="922"/>
      <c r="D153" s="922"/>
      <c r="E153" s="922"/>
      <c r="F153" s="922"/>
      <c r="G153" s="922"/>
      <c r="J153" s="902"/>
      <c r="K153" s="902"/>
      <c r="L153" s="902"/>
      <c r="M153" s="902"/>
      <c r="N153" s="902"/>
      <c r="O153" s="902"/>
      <c r="P153" s="902"/>
      <c r="Q153" s="902"/>
      <c r="R153" s="902"/>
      <c r="S153" s="902"/>
      <c r="T153" s="902"/>
      <c r="U153" s="902"/>
    </row>
    <row r="154" spans="1:21" ht="30" customHeight="1">
      <c r="B154" s="2943" t="s">
        <v>1055</v>
      </c>
      <c r="C154" s="2943"/>
      <c r="D154" s="2943"/>
      <c r="E154" s="2943"/>
      <c r="F154" s="2943"/>
      <c r="G154" s="2943"/>
      <c r="H154" s="2943"/>
      <c r="I154" s="2943"/>
      <c r="J154" s="954"/>
      <c r="K154" s="954"/>
      <c r="L154" s="954"/>
      <c r="M154" s="954"/>
      <c r="N154" s="954"/>
      <c r="O154" s="954"/>
      <c r="P154" s="954"/>
    </row>
    <row r="155" spans="1:21" ht="78" customHeight="1">
      <c r="B155" s="2943" t="str" cm="1">
        <f t="array" aca="1" ref="B155"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155" s="2943"/>
      <c r="D155" s="2943"/>
      <c r="E155" s="2943"/>
      <c r="F155" s="2943"/>
      <c r="G155" s="2943"/>
      <c r="H155" s="2943"/>
      <c r="I155" s="2943"/>
      <c r="K155" s="15" t="s">
        <v>735</v>
      </c>
    </row>
    <row r="156" spans="1:21" ht="10.35" customHeight="1">
      <c r="A156" s="15"/>
      <c r="B156" s="15"/>
      <c r="C156" s="15"/>
      <c r="D156" s="15"/>
      <c r="E156" s="15"/>
      <c r="F156" s="15"/>
      <c r="G156" s="15"/>
      <c r="H156" s="15"/>
      <c r="I156" s="15"/>
    </row>
    <row r="157" spans="1:21" ht="17.45" hidden="1" customHeight="1">
      <c r="A157" s="543" t="str" cm="1">
        <f t="array" ref="A157">IF($L157=0,"",CHAR(CODE(LOOKUP(2,1/(COUNTIF(A$3:A156,"&gt;"&amp;A$3:A156&amp;"*")=0),A$3:A156))+1))</f>
        <v/>
      </c>
      <c r="B157" s="15" t="s">
        <v>1056</v>
      </c>
      <c r="C157" s="15"/>
      <c r="D157" s="15"/>
      <c r="E157" s="15"/>
      <c r="F157" s="15"/>
      <c r="G157" s="15"/>
      <c r="I157" s="702" t="s">
        <v>59</v>
      </c>
      <c r="L157" s="953">
        <v>0</v>
      </c>
      <c r="M157" s="931">
        <f>IF(AND(L157&lt;&gt;0,AND(C159&lt;&gt;"&lt;select one&gt;",C159&lt;&gt;"")),L157,0)</f>
        <v>0</v>
      </c>
      <c r="N157" s="933" t="str">
        <f>CHOOSE(L157+1,"Not to be included in this RFA","A REQUIRED input field for this RFA","An OPTIONAL input field for this RFA")</f>
        <v>Not to be included in this RFA</v>
      </c>
    </row>
    <row r="158" spans="1:21" ht="10.35" hidden="1" customHeight="1">
      <c r="A158" s="15"/>
      <c r="B158" s="15"/>
      <c r="C158" s="15"/>
      <c r="D158" s="15"/>
      <c r="E158" s="15"/>
      <c r="F158" s="15"/>
      <c r="G158" s="15"/>
      <c r="H158" s="15"/>
      <c r="I158" s="15"/>
    </row>
    <row r="159" spans="1:21" hidden="1">
      <c r="A159" s="15"/>
      <c r="B159" t="s">
        <v>1057</v>
      </c>
      <c r="C159" s="15"/>
      <c r="D159" s="15"/>
      <c r="E159" s="15"/>
      <c r="F159" s="15"/>
      <c r="G159" s="15"/>
      <c r="H159" s="15"/>
      <c r="I159" s="15"/>
    </row>
    <row r="160" spans="1:21" ht="10.35" hidden="1" customHeight="1"/>
  </sheetData>
  <sheetProtection algorithmName="SHA-512" hashValue="VFyRTJOlorJ65IAXmHmgqFSp88fBbY5JyHnsfK7Mx2txtJCkaOq/WD52r5jY5d20re1QdpOH7W7arnmAVWqV9g==" saltValue="nCjRT87m95jjyE9XRyqlaw==" spinCount="100000" sheet="1" formatRows="0" selectLockedCells="1"/>
  <sortState xmlns:xlrd2="http://schemas.microsoft.com/office/spreadsheetml/2017/richdata2" ref="T3:T30">
    <sortCondition ref="T3:T30"/>
  </sortState>
  <mergeCells count="105">
    <mergeCell ref="P76:P81"/>
    <mergeCell ref="C61:H61"/>
    <mergeCell ref="C84:I84"/>
    <mergeCell ref="C69:H69"/>
    <mergeCell ref="C70:I70"/>
    <mergeCell ref="C71:H71"/>
    <mergeCell ref="C72:I72"/>
    <mergeCell ref="C76:I76"/>
    <mergeCell ref="E77:I77"/>
    <mergeCell ref="E78:H78"/>
    <mergeCell ref="E79:I79"/>
    <mergeCell ref="C80:H80"/>
    <mergeCell ref="C66:H66"/>
    <mergeCell ref="C64:H64"/>
    <mergeCell ref="C74:I74"/>
    <mergeCell ref="C63:I63"/>
    <mergeCell ref="C82:H82"/>
    <mergeCell ref="C67:I67"/>
    <mergeCell ref="C73:H73"/>
    <mergeCell ref="B69:B72"/>
    <mergeCell ref="G93:I93"/>
    <mergeCell ref="F107:I107"/>
    <mergeCell ref="C75:I75"/>
    <mergeCell ref="C125:G126"/>
    <mergeCell ref="H98:I99"/>
    <mergeCell ref="E90:I90"/>
    <mergeCell ref="E92:I92"/>
    <mergeCell ref="D96:E96"/>
    <mergeCell ref="D95:E95"/>
    <mergeCell ref="E103:I103"/>
    <mergeCell ref="D100:E100"/>
    <mergeCell ref="C120:I120"/>
    <mergeCell ref="I125:I126"/>
    <mergeCell ref="B123:I123"/>
    <mergeCell ref="H125:H126"/>
    <mergeCell ref="D101:E101"/>
    <mergeCell ref="D99:E99"/>
    <mergeCell ref="D98:E98"/>
    <mergeCell ref="D97:E97"/>
    <mergeCell ref="H96:I97"/>
    <mergeCell ref="F142:G142"/>
    <mergeCell ref="F135:G135"/>
    <mergeCell ref="C143:D149"/>
    <mergeCell ref="F143:G143"/>
    <mergeCell ref="F144:G144"/>
    <mergeCell ref="F145:G145"/>
    <mergeCell ref="F146:G146"/>
    <mergeCell ref="F148:G148"/>
    <mergeCell ref="F149:G149"/>
    <mergeCell ref="C127:D135"/>
    <mergeCell ref="F131:G131"/>
    <mergeCell ref="F134:G134"/>
    <mergeCell ref="F127:G127"/>
    <mergeCell ref="F128:G128"/>
    <mergeCell ref="F129:G129"/>
    <mergeCell ref="F130:G130"/>
    <mergeCell ref="F140:G140"/>
    <mergeCell ref="F147:G147"/>
    <mergeCell ref="K1:AB2"/>
    <mergeCell ref="A1:I1"/>
    <mergeCell ref="G3:I3"/>
    <mergeCell ref="G7:I7"/>
    <mergeCell ref="C9:I9"/>
    <mergeCell ref="L4:P4"/>
    <mergeCell ref="B155:I155"/>
    <mergeCell ref="E109:I109"/>
    <mergeCell ref="D106:I106"/>
    <mergeCell ref="D107:E107"/>
    <mergeCell ref="C113:E113"/>
    <mergeCell ref="B154:I154"/>
    <mergeCell ref="F132:G132"/>
    <mergeCell ref="F133:G133"/>
    <mergeCell ref="F139:G139"/>
    <mergeCell ref="F141:G141"/>
    <mergeCell ref="F138:G138"/>
    <mergeCell ref="F136:G136"/>
    <mergeCell ref="B119:I119"/>
    <mergeCell ref="F111:I114"/>
    <mergeCell ref="D115:I115"/>
    <mergeCell ref="F137:G137"/>
    <mergeCell ref="C152:I152"/>
    <mergeCell ref="C136:D142"/>
    <mergeCell ref="B11:I11"/>
    <mergeCell ref="D34:G34"/>
    <mergeCell ref="D44:I44"/>
    <mergeCell ref="D48:I48"/>
    <mergeCell ref="E22:G22"/>
    <mergeCell ref="E20:G20"/>
    <mergeCell ref="E24:G24"/>
    <mergeCell ref="E26:G26"/>
    <mergeCell ref="D15:I15"/>
    <mergeCell ref="E18:I18"/>
    <mergeCell ref="E16:G16"/>
    <mergeCell ref="E17:G17"/>
    <mergeCell ref="E27:I27"/>
    <mergeCell ref="C60:I60"/>
    <mergeCell ref="G12:H12"/>
    <mergeCell ref="C57:I57"/>
    <mergeCell ref="F13:H13"/>
    <mergeCell ref="C59:H59"/>
    <mergeCell ref="G55:I55"/>
    <mergeCell ref="D28:I28"/>
    <mergeCell ref="D51:I51"/>
    <mergeCell ref="C52:I52"/>
    <mergeCell ref="C53:I53"/>
  </mergeCells>
  <conditionalFormatting sqref="G3 H127:H149">
    <cfRule type="cellIs" dxfId="1057" priority="5" operator="notEqual">
      <formula>""</formula>
    </cfRule>
  </conditionalFormatting>
  <conditionalFormatting sqref="G12:H12">
    <cfRule type="cellIs" dxfId="1056" priority="11" operator="notEqual">
      <formula>"&lt;select one&gt;"</formula>
    </cfRule>
  </conditionalFormatting>
  <conditionalFormatting sqref="F93 I78">
    <cfRule type="cellIs" dxfId="1055" priority="186" operator="notEqual">
      <formula>""</formula>
    </cfRule>
  </conditionalFormatting>
  <conditionalFormatting sqref="C113">
    <cfRule type="cellIs" dxfId="1054" priority="271" operator="notEqual">
      <formula>"&lt;select one&gt;"</formula>
    </cfRule>
  </conditionalFormatting>
  <conditionalFormatting sqref="H150">
    <cfRule type="cellIs" dxfId="1053" priority="2463" stopIfTrue="1" operator="notEqual">
      <formula>Total_Units</formula>
    </cfRule>
    <cfRule type="expression" dxfId="1052" priority="2726">
      <formula>AND(H150=Total_Units,H150&lt;&gt;0)</formula>
    </cfRule>
  </conditionalFormatting>
  <conditionalFormatting sqref="B30:I54">
    <cfRule type="expression" dxfId="1051" priority="4">
      <formula>$N$30=0</formula>
    </cfRule>
  </conditionalFormatting>
  <conditionalFormatting sqref="H96:I101">
    <cfRule type="cellIs" dxfId="1050" priority="190" operator="notEqual">
      <formula>""</formula>
    </cfRule>
  </conditionalFormatting>
  <conditionalFormatting sqref="F111:F112">
    <cfRule type="expression" dxfId="1049" priority="266">
      <formula>FIND("NOT",F111)</formula>
    </cfRule>
  </conditionalFormatting>
  <conditionalFormatting sqref="D99:I99 E127:I149">
    <cfRule type="expression" dxfId="1048" priority="195">
      <formula>$L99=0</formula>
    </cfRule>
  </conditionalFormatting>
  <conditionalFormatting sqref="A118:I121">
    <cfRule type="expression" dxfId="1047" priority="277">
      <formula>$L$120=0</formula>
    </cfRule>
  </conditionalFormatting>
  <conditionalFormatting sqref="A88:I104">
    <cfRule type="expression" dxfId="1046" priority="184">
      <formula>$N$88=0</formula>
    </cfRule>
  </conditionalFormatting>
  <conditionalFormatting sqref="A105:I106 A108:I110 A107:F107">
    <cfRule type="expression" dxfId="1045" priority="206">
      <formula>$N$105=0</formula>
    </cfRule>
  </conditionalFormatting>
  <conditionalFormatting sqref="B59:I85 B87:I87 B86">
    <cfRule type="expression" dxfId="1044" priority="119">
      <formula>$N$59=0</formula>
    </cfRule>
  </conditionalFormatting>
  <conditionalFormatting sqref="B57:I58">
    <cfRule type="expression" dxfId="1043" priority="116">
      <formula>$N$57=0</formula>
    </cfRule>
  </conditionalFormatting>
  <conditionalFormatting sqref="C69">
    <cfRule type="expression" dxfId="1042" priority="153">
      <formula>IFERROR(FIND("NOT",$C69)&gt;0,0)&gt;0</formula>
    </cfRule>
    <cfRule type="expression" dxfId="1041" priority="154">
      <formula>IFERROR(FIND("Applicant still needs to",$C69)&gt;0,0)&gt;0</formula>
    </cfRule>
  </conditionalFormatting>
  <conditionalFormatting sqref="C59 C70:C71">
    <cfRule type="expression" dxfId="1040" priority="121">
      <formula>IFERROR(FIND("NOT",$C59)&gt;0,0)&gt;0</formula>
    </cfRule>
    <cfRule type="expression" dxfId="1039" priority="122">
      <formula>IFERROR(FIND("Applicant still needs to",$C59)&gt;0,0)&gt;0</formula>
    </cfRule>
  </conditionalFormatting>
  <conditionalFormatting sqref="C84:I85 C87:I87">
    <cfRule type="expression" dxfId="1038" priority="182">
      <formula>AND($C84&lt;&gt;"This area intentionally left blank.",$C84&lt;&gt;"",C$84&lt;&gt;DS_DevCat_Note_05)</formula>
    </cfRule>
  </conditionalFormatting>
  <conditionalFormatting sqref="A111:I117">
    <cfRule type="expression" dxfId="1037" priority="265">
      <formula>$L$113=0</formula>
    </cfRule>
  </conditionalFormatting>
  <conditionalFormatting sqref="C72:C74">
    <cfRule type="expression" dxfId="1036" priority="163">
      <formula>IFERROR(FIND("Applicant still needs to",$C72)&gt;0,0)&gt;0</formula>
    </cfRule>
    <cfRule type="expression" dxfId="1035" priority="165">
      <formula>IFERROR(FIND("NOT",$C72)&gt;0,0)&gt;0</formula>
    </cfRule>
  </conditionalFormatting>
  <conditionalFormatting sqref="C72:I72 I73 C74:I74 B69:B74">
    <cfRule type="expression" dxfId="1034" priority="167">
      <formula>$C$69="This area intentionally left blank."</formula>
    </cfRule>
  </conditionalFormatting>
  <conditionalFormatting sqref="C75:I75">
    <cfRule type="expression" dxfId="1033" priority="168">
      <formula>$C$69="This area intentionally left blank."</formula>
    </cfRule>
  </conditionalFormatting>
  <conditionalFormatting sqref="C70:I70">
    <cfRule type="expression" dxfId="1032" priority="162">
      <formula>$C$69="This area intentionally left blank."</formula>
    </cfRule>
  </conditionalFormatting>
  <conditionalFormatting sqref="C57 C69 C84:C85 C87">
    <cfRule type="cellIs" dxfId="1031" priority="117" operator="equal">
      <formula>"This area intentionally left blank."</formula>
    </cfRule>
  </conditionalFormatting>
  <conditionalFormatting sqref="C69:I75">
    <cfRule type="expression" dxfId="1030" priority="155">
      <formula>$N$69=0</formula>
    </cfRule>
  </conditionalFormatting>
  <conditionalFormatting sqref="B154:I154">
    <cfRule type="expression" dxfId="1029" priority="4632">
      <formula>$O$134+$O$135+$O$141+$O$142=0</formula>
    </cfRule>
  </conditionalFormatting>
  <conditionalFormatting sqref="C120:I120">
    <cfRule type="expression" dxfId="1028" priority="279">
      <formula>IFERROR(LEFT($C120,2),"")="No"</formula>
    </cfRule>
    <cfRule type="expression" dxfId="1027" priority="313">
      <formula>IFERROR(LEFT($C120,3),"")="Yes"</formula>
    </cfRule>
  </conditionalFormatting>
  <conditionalFormatting sqref="E103:I103">
    <cfRule type="cellIs" dxfId="1026" priority="205" operator="equal">
      <formula>"This Application qualifies for RA Level 6."</formula>
    </cfRule>
  </conditionalFormatting>
  <conditionalFormatting sqref="A157:I160">
    <cfRule type="expression" dxfId="1025" priority="4662">
      <formula>$L$157=0</formula>
    </cfRule>
  </conditionalFormatting>
  <conditionalFormatting sqref="I157">
    <cfRule type="cellIs" dxfId="1024" priority="5040" operator="notEqual">
      <formula>"&lt;select one&gt;"</formula>
    </cfRule>
  </conditionalFormatting>
  <conditionalFormatting sqref="D106:I106 E109:I109 D107:E107">
    <cfRule type="expression" dxfId="1023" priority="212">
      <formula>AND(Development_Category&lt;&gt;"&lt;select one&gt;",Development_Category&lt;&gt;"Rehabilitation",Development_Category&lt;&gt;"Acquisition and Rehabilitation",Development_SubCategory&lt;&gt;"Preservation (w/ or w/o Acquisition")</formula>
    </cfRule>
  </conditionalFormatting>
  <conditionalFormatting sqref="D107:E107">
    <cfRule type="expression" dxfId="1022" priority="215">
      <formula>AND(Development_Category&lt;&gt;"&lt;select one&gt;",Development_Category&lt;&gt;"Rehabilitation",Development_Category&lt;&gt;"Acquisition and Rehabilitation",Development_SubCategory&lt;&gt;"Preservation (w/ or w/o Acquisition")</formula>
    </cfRule>
  </conditionalFormatting>
  <conditionalFormatting sqref="C63:I68">
    <cfRule type="expression" dxfId="1021" priority="137">
      <formula>OR($N$63=0,$L$55=0)</formula>
    </cfRule>
  </conditionalFormatting>
  <conditionalFormatting sqref="D96:I97">
    <cfRule type="expression" dxfId="1020" priority="188">
      <formula>$L96=0</formula>
    </cfRule>
  </conditionalFormatting>
  <conditionalFormatting sqref="D99:E99">
    <cfRule type="expression" dxfId="1019" priority="194">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63:I63">
    <cfRule type="expression" dxfId="1018" priority="133" stopIfTrue="1">
      <formula>OR(Development_SubCategory="Redevelopment (w/ or w/o Acquisition)",Development_SubCategory="Preservation (w/ or w/o Acquisition)")</formula>
    </cfRule>
  </conditionalFormatting>
  <conditionalFormatting sqref="D98:E98">
    <cfRule type="expression" dxfId="1017" priority="191">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98">
    <cfRule type="expression" dxfId="1016" priority="193">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77:E79">
    <cfRule type="expression" dxfId="1015" priority="174">
      <formula>$N$30=0</formula>
    </cfRule>
  </conditionalFormatting>
  <conditionalFormatting sqref="C77:E79">
    <cfRule type="expression" dxfId="1014" priority="175">
      <formula>$N$59=0</formula>
    </cfRule>
  </conditionalFormatting>
  <conditionalFormatting sqref="C76:I81">
    <cfRule type="expression" dxfId="1013" priority="171">
      <formula>$N$76=0</formula>
    </cfRule>
  </conditionalFormatting>
  <conditionalFormatting sqref="C77:I77">
    <cfRule type="expression" dxfId="1012" priority="172">
      <formula>DS_ExcelCheckBox_DevCat_CorpPortfolio=TRUE</formula>
    </cfRule>
  </conditionalFormatting>
  <conditionalFormatting sqref="C77:I77 C79:I79">
    <cfRule type="expression" dxfId="1011" priority="177">
      <formula>AND(DS_ExcelCheckBox_DevCat_CorpPortfolio=TRUE,DS_ExcelCheckBox_DevCat_RDPortfolio=TRUE)</formula>
    </cfRule>
  </conditionalFormatting>
  <conditionalFormatting sqref="C79:I79">
    <cfRule type="expression" dxfId="1010" priority="180">
      <formula>DS_ExcelCheckBox_DevCat_RDPortfolio=TRUE</formula>
    </cfRule>
  </conditionalFormatting>
  <conditionalFormatting sqref="F111:I114">
    <cfRule type="cellIs" dxfId="1009" priority="270" operator="equal">
      <formula>"If the Development Category is New Construction, the Development Type must be Garden Apartments."</formula>
    </cfRule>
  </conditionalFormatting>
  <conditionalFormatting sqref="I78">
    <cfRule type="expression" dxfId="1008" priority="178">
      <formula>AND(I78="",DS_ExcelCheckBox_DevCat_CorpPortfolio=TRUE)</formula>
    </cfRule>
  </conditionalFormatting>
  <conditionalFormatting sqref="C61:I62">
    <cfRule type="expression" dxfId="1007" priority="132">
      <formula>DS_NC_NP_Req&lt;&gt;"Yes"</formula>
    </cfRule>
  </conditionalFormatting>
  <conditionalFormatting sqref="D107 I80">
    <cfRule type="cellIs" dxfId="1006" priority="217" operator="notEqual">
      <formula>"&lt;select one&gt;"</formula>
    </cfRule>
  </conditionalFormatting>
  <conditionalFormatting sqref="G12:H12 I80 G99 D107:E107 C113:E113 I157">
    <cfRule type="cellIs" dxfId="1005" priority="12" operator="equal">
      <formula>""</formula>
    </cfRule>
  </conditionalFormatting>
  <conditionalFormatting sqref="G55">
    <cfRule type="cellIs" dxfId="1004" priority="114" operator="notEqual">
      <formula>"&lt;select one&gt;"</formula>
    </cfRule>
  </conditionalFormatting>
  <conditionalFormatting sqref="G55">
    <cfRule type="cellIs" dxfId="1003" priority="102" operator="equal">
      <formula>""</formula>
    </cfRule>
  </conditionalFormatting>
  <conditionalFormatting sqref="B55:I56">
    <cfRule type="expression" dxfId="1002" priority="99">
      <formula>$L$55=0</formula>
    </cfRule>
  </conditionalFormatting>
  <conditionalFormatting sqref="F96:G97 G98">
    <cfRule type="cellIs" dxfId="1001" priority="189" operator="notEqual">
      <formula>""</formula>
    </cfRule>
  </conditionalFormatting>
  <conditionalFormatting sqref="G55:I55">
    <cfRule type="expression" dxfId="1000" priority="108">
      <formula>AND(Development_Category&lt;&gt;"Rehabilitation",Development_Category&lt;&gt;"Acquisition and Rehabilitation",Development_SubCategory="Preservation (w/ or w/o Acquisition)")</formula>
    </cfRule>
    <cfRule type="expression" dxfId="999" priority="110">
      <formula>AND(Development_Category&lt;&gt;"New Construction",Development_SubCategory="Redevelopment (w/ or w/o Acquisition)")</formula>
    </cfRule>
    <cfRule type="expression" dxfId="998" priority="111">
      <formula>AND(Development_Category="&lt;select one&gt;",Development_SubCategory&lt;&gt;"&lt;select one&gt;")</formula>
    </cfRule>
    <cfRule type="expression" dxfId="997" priority="113">
      <formula>AND(Development_Category="&lt;select one&gt;",Development_SubCategory="&lt;select one&gt;")</formula>
    </cfRule>
  </conditionalFormatting>
  <conditionalFormatting sqref="H136:H149">
    <cfRule type="expression" dxfId="996" priority="323">
      <formula>AND(DS_100Percent_NC_Units="Yes",Development_Category="New Construction")</formula>
    </cfRule>
  </conditionalFormatting>
  <conditionalFormatting sqref="E136:I137 H138:I140 E141:I149">
    <cfRule type="expression" dxfId="995" priority="322">
      <formula>AND(DS_100Percent_NC_Units="Yes",Development_Category="New Construction",N($H136)&gt;0)</formula>
    </cfRule>
  </conditionalFormatting>
  <conditionalFormatting sqref="C152:I152">
    <cfRule type="expression" dxfId="994" priority="3975">
      <formula>IFERROR(FIND("NOT",C152),0)&gt;0</formula>
    </cfRule>
  </conditionalFormatting>
  <conditionalFormatting sqref="G99">
    <cfRule type="expression" dxfId="993" priority="197">
      <formula>OR(AND(OR(Development_Category="Rehabilitation",Development_Category="Acquisition and Rehabilitation"),Development_SubCategory="Preservation (w/ or w/o Acquisition)"),AND(Development_Category="New Construction",Development_SubCategory="Redevelopment (w/ or w/o Acquisition)"))</formula>
    </cfRule>
    <cfRule type="cellIs" dxfId="992" priority="198" operator="notEqual">
      <formula>"&lt;select one&gt;"</formula>
    </cfRule>
  </conditionalFormatting>
  <conditionalFormatting sqref="A12:I13">
    <cfRule type="expression" dxfId="991" priority="10">
      <formula>$L$12=0</formula>
    </cfRule>
  </conditionalFormatting>
  <conditionalFormatting sqref="I80">
    <cfRule type="expression" dxfId="990" priority="181">
      <formula>AND(I80="&lt;select one&gt;",DS_ExcelCheckBox_DevCat_RDPortfolio=TRUE)</formula>
    </cfRule>
  </conditionalFormatting>
  <conditionalFormatting sqref="C64:H64">
    <cfRule type="expression" dxfId="989" priority="139">
      <formula>OR(Development_SubCategory="Redevelopment (w/ or w/o Acquisition)",Development_SubCategory="Preservation (w/ or w/o Acquisition)")</formula>
    </cfRule>
  </conditionalFormatting>
  <conditionalFormatting sqref="C67:I67">
    <cfRule type="expression" dxfId="988" priority="144">
      <formula>OR(Development_SubCategory="Redevelopment (w/ or w/o Acquisition)",Development_SubCategory="Preservation (w/ or w/o Acquisition)")</formula>
    </cfRule>
    <cfRule type="expression" dxfId="987" priority="146">
      <formula>$C$69="This area intentionally left blank."</formula>
    </cfRule>
  </conditionalFormatting>
  <conditionalFormatting sqref="C68:I68">
    <cfRule type="expression" dxfId="986" priority="150">
      <formula>$C$69="This area intentionally left blank."</formula>
    </cfRule>
  </conditionalFormatting>
  <conditionalFormatting sqref="N30 N57 N59 N63 N76 N88 N105">
    <cfRule type="cellIs" dxfId="985" priority="176" operator="equal">
      <formula>0</formula>
    </cfRule>
  </conditionalFormatting>
  <conditionalFormatting sqref="I59 I61 I69 I71 I73 I82">
    <cfRule type="expression" dxfId="984" priority="128">
      <formula>AND($I59="No",Name_of_proposed_Development&lt;&gt;"")</formula>
    </cfRule>
    <cfRule type="cellIs" dxfId="983" priority="130" operator="equal">
      <formula>"Yes"</formula>
    </cfRule>
  </conditionalFormatting>
  <conditionalFormatting sqref="G7">
    <cfRule type="cellIs" dxfId="982" priority="8" operator="notEqual">
      <formula>""</formula>
    </cfRule>
  </conditionalFormatting>
  <conditionalFormatting sqref="G7">
    <cfRule type="expression" dxfId="981" priority="7">
      <formula>$L$7=0</formula>
    </cfRule>
  </conditionalFormatting>
  <conditionalFormatting sqref="H16">
    <cfRule type="expression" dxfId="980" priority="18">
      <formula>I16="(Does NOT Match)"</formula>
    </cfRule>
    <cfRule type="cellIs" dxfId="979" priority="42" operator="notEqual">
      <formula>"&lt;select one&gt;"</formula>
    </cfRule>
  </conditionalFormatting>
  <conditionalFormatting sqref="H16">
    <cfRule type="cellIs" dxfId="978" priority="19" operator="equal">
      <formula>""</formula>
    </cfRule>
  </conditionalFormatting>
  <conditionalFormatting sqref="E18">
    <cfRule type="cellIs" dxfId="977" priority="29" operator="notEqual">
      <formula>""</formula>
    </cfRule>
  </conditionalFormatting>
  <conditionalFormatting sqref="H24">
    <cfRule type="cellIs" dxfId="976" priority="43" operator="notEqual">
      <formula>"&lt;select one&gt;"</formula>
    </cfRule>
    <cfRule type="cellIs" dxfId="975" priority="46" operator="equal">
      <formula>"No"</formula>
    </cfRule>
  </conditionalFormatting>
  <conditionalFormatting sqref="H24">
    <cfRule type="cellIs" dxfId="974" priority="44" operator="equal">
      <formula>""</formula>
    </cfRule>
  </conditionalFormatting>
  <conditionalFormatting sqref="H20 H22 H26">
    <cfRule type="cellIs" dxfId="973" priority="33" operator="notEqual">
      <formula>""</formula>
    </cfRule>
  </conditionalFormatting>
  <conditionalFormatting sqref="I59 I61">
    <cfRule type="cellIs" dxfId="972" priority="126" operator="equal">
      <formula>"NA"</formula>
    </cfRule>
  </conditionalFormatting>
  <conditionalFormatting sqref="C59:H59 C61:H61">
    <cfRule type="expression" dxfId="971" priority="120">
      <formula>$I59="NA"</formula>
    </cfRule>
  </conditionalFormatting>
  <conditionalFormatting sqref="H34">
    <cfRule type="cellIs" dxfId="970" priority="63" operator="notEqual">
      <formula>"&lt;select one&gt;"</formula>
    </cfRule>
  </conditionalFormatting>
  <conditionalFormatting sqref="H34">
    <cfRule type="cellIs" dxfId="969" priority="64" operator="equal">
      <formula>""</formula>
    </cfRule>
  </conditionalFormatting>
  <conditionalFormatting sqref="B6:I10">
    <cfRule type="expression" dxfId="968" priority="6">
      <formula>$N$6=0</formula>
    </cfRule>
  </conditionalFormatting>
  <conditionalFormatting sqref="C30">
    <cfRule type="expression" dxfId="967" priority="50">
      <formula>$N$6=1</formula>
    </cfRule>
  </conditionalFormatting>
  <conditionalFormatting sqref="C36 C40">
    <cfRule type="expression" dxfId="966" priority="71">
      <formula>$N$6=1</formula>
    </cfRule>
  </conditionalFormatting>
  <conditionalFormatting sqref="B14:I29">
    <cfRule type="expression" dxfId="965" priority="14">
      <formula>$N$14=0</formula>
    </cfRule>
  </conditionalFormatting>
  <conditionalFormatting sqref="D16:G17">
    <cfRule type="expression" dxfId="964" priority="15">
      <formula>AND($N$14=1,$L$16&lt;&gt;1)</formula>
    </cfRule>
  </conditionalFormatting>
  <conditionalFormatting sqref="I16">
    <cfRule type="cellIs" dxfId="963" priority="28" operator="equal">
      <formula>"(Does NOT Match)"</formula>
    </cfRule>
  </conditionalFormatting>
  <conditionalFormatting sqref="I24">
    <cfRule type="expression" dxfId="962" priority="47">
      <formula>H24="No"</formula>
    </cfRule>
  </conditionalFormatting>
  <conditionalFormatting sqref="B14:I15">
    <cfRule type="expression" dxfId="961" priority="13">
      <formula>Link_Classification="&lt;select one&gt;"</formula>
    </cfRule>
  </conditionalFormatting>
  <conditionalFormatting sqref="D16:G17 D20:G26">
    <cfRule type="expression" dxfId="960" priority="16">
      <formula>Link_Classification="&lt;select one&gt;"</formula>
    </cfRule>
  </conditionalFormatting>
  <conditionalFormatting sqref="H20 H26">
    <cfRule type="expression" dxfId="959" priority="31">
      <formula>Link_Classification="&lt;select one&gt;"</formula>
    </cfRule>
  </conditionalFormatting>
  <conditionalFormatting sqref="H22">
    <cfRule type="expression" dxfId="958" priority="32">
      <formula>Link_Classification="&lt;select one&gt;"</formula>
    </cfRule>
  </conditionalFormatting>
  <conditionalFormatting sqref="C52:C53">
    <cfRule type="cellIs" dxfId="957" priority="96" operator="notEqual">
      <formula>""</formula>
    </cfRule>
  </conditionalFormatting>
  <conditionalFormatting sqref="C50:C51">
    <cfRule type="expression" dxfId="956" priority="90">
      <formula>$N$6=1</formula>
    </cfRule>
  </conditionalFormatting>
  <conditionalFormatting sqref="H22:I22">
    <cfRule type="expression" dxfId="955" priority="35">
      <formula>AND(N($H20)&gt;0,N($H22)&gt;0,ROUNDUP(N($H22)&lt;N($H20)*75%,0))</formula>
    </cfRule>
  </conditionalFormatting>
  <conditionalFormatting sqref="D20:G26">
    <cfRule type="expression" dxfId="954" priority="30">
      <formula>AND($N$14=1,$L20&lt;&gt;1)</formula>
    </cfRule>
  </conditionalFormatting>
  <conditionalFormatting sqref="A32:I51">
    <cfRule type="expression" dxfId="953" priority="49">
      <formula>$L$34=0</formula>
    </cfRule>
  </conditionalFormatting>
  <conditionalFormatting sqref="C69:I69">
    <cfRule type="expression" dxfId="952" priority="151">
      <formula>$C$69="This area intentionally left blank."</formula>
    </cfRule>
  </conditionalFormatting>
  <conditionalFormatting sqref="E138:G140">
    <cfRule type="expression" dxfId="951" priority="1805">
      <formula>$L138=0</formula>
    </cfRule>
  </conditionalFormatting>
  <conditionalFormatting sqref="E138:G139 E140:F140">
    <cfRule type="expression" dxfId="950" priority="325">
      <formula>AND(a="Yes",aa="New Construction",N($H138)&gt;0)</formula>
    </cfRule>
  </conditionalFormatting>
  <conditionalFormatting sqref="A52:I53">
    <cfRule type="expression" dxfId="949" priority="92">
      <formula>$L52=0</formula>
    </cfRule>
  </conditionalFormatting>
  <conditionalFormatting sqref="A54:I54">
    <cfRule type="expression" dxfId="948" priority="3">
      <formula>$L52+$L53=0</formula>
    </cfRule>
  </conditionalFormatting>
  <conditionalFormatting sqref="A85:I87">
    <cfRule type="expression" dxfId="947" priority="1">
      <formula>$L$86=0</formula>
    </cfRule>
  </conditionalFormatting>
  <dataValidations count="12">
    <dataValidation type="list" allowBlank="1" showInputMessage="1" showErrorMessage="1" sqref="E108 D107 I157 I80 H24 H34" xr:uid="{B5EE8E3B-0709-4B9E-AE62-1DC2AA9646C6}">
      <formula1>"&lt;select one&gt;, Yes, No"</formula1>
    </dataValidation>
    <dataValidation type="list" allowBlank="1" showInputMessage="1" showErrorMessage="1" sqref="G12:H12" xr:uid="{964FFFAA-1FAD-4533-B6F5-97867934EA41}">
      <formula1>DS_DevCat_DDMenu</formula1>
    </dataValidation>
    <dataValidation type="list" allowBlank="1" showInputMessage="1" showErrorMessage="1" sqref="G99" xr:uid="{4ADEDEAD-22E4-47E7-96BC-E9B92E801898}">
      <formula1>DS_RA_Source_DDMenu</formula1>
    </dataValidation>
    <dataValidation type="whole" operator="greaterThanOrEqual" allowBlank="1" showInputMessage="1" showErrorMessage="1" sqref="F96:G98" xr:uid="{1DCF8483-F436-43DD-8662-E041D85C294D}">
      <formula1>0</formula1>
    </dataValidation>
    <dataValidation type="list" allowBlank="1" showInputMessage="1" showErrorMessage="1" sqref="I64" xr:uid="{E6F588C8-1876-4F2C-95F9-C3C112B90A9C}">
      <formula1>DS_RedevCat_Financing_DDMenu</formula1>
    </dataValidation>
    <dataValidation type="list" allowBlank="1" showInputMessage="1" showErrorMessage="1" sqref="G55" xr:uid="{85207D1D-EBCE-438A-84F4-DF337FB3251D}">
      <formula1>DS_DevSubCat_DDMenu</formula1>
    </dataValidation>
    <dataValidation type="list" allowBlank="1" showInputMessage="1" showErrorMessage="1" sqref="I66"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136:H149" xr:uid="{311F6E40-D030-4A5D-AF18-A211ABD1E82B}">
      <formula1>AND(DS_100Percent_NC_Units="Yes",Development_Category="New Construction")=FALSE</formula1>
    </dataValidation>
    <dataValidation type="custom" allowBlank="1" showInputMessage="1" showErrorMessage="1" sqref="L12 L7 L16 L24 L18 L22 L20 L26 L52:L53" xr:uid="{C2508BEC-DF5E-4183-A063-C9BA2D06D4D1}">
      <formula1>AND(L7&gt;=0,L7&lt;4,L7=ROUND(L7,0))</formula1>
    </dataValidation>
    <dataValidation type="list" allowBlank="1" showInputMessage="1" showErrorMessage="1" sqref="H16" xr:uid="{218499A4-59A9-4CF0-810A-3491D3187383}">
      <formula1>DS_Counties_DDMenu</formula1>
    </dataValidation>
    <dataValidation type="whole" allowBlank="1" showInputMessage="1" showErrorMessage="1" error="Please enter a reasonable 4-digit year (1900-1994)" sqref="H26" xr:uid="{B32546AE-3CFE-4791-AACC-B1F926803E8F}">
      <formula1>1900</formula1>
      <formula2>1994</formula2>
    </dataValidation>
    <dataValidation type="whole" allowBlank="1" showErrorMessage="1" error="Please enter a whole number." sqref="H20 H22" xr:uid="{500765F9-049A-4EB0-91FF-AB177D01B894}">
      <formula1>0</formula1>
      <formula2>999</formula2>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9525</xdr:colOff>
                    <xdr:row>76</xdr:row>
                    <xdr:rowOff>19050</xdr:rowOff>
                  </from>
                  <to>
                    <xdr:col>4</xdr:col>
                    <xdr:colOff>333375</xdr:colOff>
                    <xdr:row>111</xdr:row>
                    <xdr:rowOff>38100</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19050</xdr:colOff>
                    <xdr:row>78</xdr:row>
                    <xdr:rowOff>38100</xdr:rowOff>
                  </from>
                  <to>
                    <xdr:col>4</xdr:col>
                    <xdr:colOff>342900</xdr:colOff>
                    <xdr:row>111</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stopIfTrue="1" id="{BC88F2F8-6902-4443-A600-178F6A8F1684}">
            <xm:f>Data1!$E$818="Yes"</xm:f>
            <x14:dxf>
              <font>
                <color theme="0"/>
              </font>
              <fill>
                <patternFill>
                  <bgColor theme="0"/>
                </patternFill>
              </fill>
              <border>
                <left/>
                <right/>
                <top/>
                <bottom/>
              </border>
            </x14:dxf>
          </x14:cfRule>
          <xm:sqref>L3:P3 L5:P85 L87:P160</xm:sqref>
        </x14:conditionalFormatting>
        <x14:conditionalFormatting xmlns:xm="http://schemas.microsoft.com/office/excel/2006/main">
          <x14:cfRule type="expression" priority="158" id="{00000000-000E-0000-0400-000021000000}">
            <xm:f>OR(Data1!$B$204="No",AND(Development_Category&lt;&gt;"Rehabilitation",Development_Category&lt;&gt;"Acquisition and Rehabilitation"))</xm:f>
            <x14:dxf>
              <font>
                <color theme="0"/>
              </font>
              <border>
                <left/>
                <right style="thin">
                  <color auto="1"/>
                </right>
                <top/>
                <bottom/>
                <vertical/>
                <horizontal/>
              </border>
            </x14:dxf>
          </x14:cfRule>
          <xm:sqref>I69 I71</xm:sqref>
        </x14:conditionalFormatting>
        <x14:conditionalFormatting xmlns:xm="http://schemas.microsoft.com/office/excel/2006/main">
          <x14:cfRule type="expression" priority="187" id="{8C9C4CB1-FC7B-40CB-A54B-46C5970DCD2F}">
            <xm:f>AND(LDA_Notice="LDA",OR(Data1!$F$314&gt;2,Data1!$D$312&lt;=75%))</xm:f>
            <x14:dxf>
              <font>
                <color rgb="FFC00000"/>
              </font>
              <fill>
                <patternFill>
                  <bgColor rgb="FFFFE6FF"/>
                </patternFill>
              </fill>
              <border>
                <left style="thin">
                  <color rgb="FFC00000"/>
                </left>
                <top style="thin">
                  <color rgb="FFC00000"/>
                </top>
                <vertical/>
                <horizontal/>
              </border>
            </x14:dxf>
          </x14:cfRule>
          <xm:sqref>D95:E95</xm:sqref>
        </x14:conditionalFormatting>
        <x14:conditionalFormatting xmlns:xm="http://schemas.microsoft.com/office/excel/2006/main">
          <x14:cfRule type="expression" priority="140" id="{00000000-000E-0000-0500-000024000000}">
            <xm:f>AND(Data1!$E$295="Yes",OR(AND(Development_Category="New Construction",Development_SubCategory="Redevelopment (w/ or w/o Acquisition)"),AND(OR(Development_Category="Rehabilitation",Development_Category="Acquisition and Rehabilitation"),Development_SubCategory="Preservation (w/ or w/o Acquisition)")),$I$64="&lt;select one&gt;")</xm:f>
            <x14:dxf>
              <font>
                <color rgb="FF0000FF"/>
              </font>
              <fill>
                <patternFill>
                  <bgColor theme="7" tint="0.79998168889431442"/>
                </patternFill>
              </fill>
              <border>
                <left/>
                <right style="thin">
                  <color auto="1"/>
                </right>
                <bottom style="thin">
                  <color rgb="FF0000FF"/>
                </bottom>
                <vertical/>
                <horizontal/>
              </border>
            </x14:dxf>
          </x14:cfRule>
          <x14:cfRule type="expression" priority="141" id="{AF785A9D-7274-40C3-A1B0-D88C2D3EDD48}">
            <xm:f>AND(Data1!$E$295="Yes",OR(AND(Development_Category="New Construction",Development_SubCategory="Redevelopment (w/ or w/o Acquisition)"),AND(OR(Development_Category="Rehabilitation",Development_Category="Acquisition and Rehabilitation"),Development_SubCategory="Preservation (w/ or w/o Acquisition)")),$I$64&lt;&gt;"&lt;select one&gt;")</xm:f>
            <x14:dxf>
              <font>
                <color rgb="FF0000FF"/>
              </font>
              <fill>
                <patternFill>
                  <bgColor theme="9" tint="0.79998168889431442"/>
                </patternFill>
              </fill>
              <border>
                <right style="thin">
                  <color auto="1"/>
                </right>
                <bottom style="thin">
                  <color rgb="FF0000FF"/>
                </bottom>
              </border>
            </x14:dxf>
          </x14:cfRule>
          <xm:sqref>I64</xm:sqref>
        </x14:conditionalFormatting>
        <x14:conditionalFormatting xmlns:xm="http://schemas.microsoft.com/office/excel/2006/main">
          <x14:cfRule type="expression" priority="142" id="{67FD1651-8204-4A93-9986-7BF9E74EB709}">
            <xm:f>AND(Data1!$E$295="Yes",OR(AND(Development_Category="New Construction",Development_SubCategory="Redevelopment (w/ or w/o Acquisition)"),AND(OR(Development_Category="Rehabilitation",Development_Category="Acquisition and Rehabilitation"),Development_SubCategory="Preservation (w/ or w/o Acquisition)")),$I$66="&lt;select one&gt;")</xm:f>
            <x14:dxf>
              <font>
                <color rgb="FF0000FF"/>
              </font>
              <fill>
                <patternFill>
                  <bgColor theme="7" tint="0.79998168889431442"/>
                </patternFill>
              </fill>
              <border>
                <right style="thin">
                  <color auto="1"/>
                </right>
                <bottom style="thin">
                  <color rgb="FF0000FF"/>
                </bottom>
                <vertical/>
                <horizontal/>
              </border>
            </x14:dxf>
          </x14:cfRule>
          <x14:cfRule type="expression" priority="143" id="{5AF37CF2-39D3-45D7-BA75-4AACC3EA5EAD}">
            <xm:f>AND(Data1!$E$295="Yes",OR(AND(Development_Category="New Construction",Development_SubCategory="Redevelopment (w/ or w/o Acquisition)"),AND(OR(Development_Category="Rehabilitation",Development_Category="Acquisition and Rehabilitation"),Development_SubCategory="Preservation (w/ or w/o Acquisition)")),$I$66&lt;&gt;"&lt;select one&gt;")</xm:f>
            <x14:dxf>
              <font>
                <color rgb="FF0000FF"/>
              </font>
              <fill>
                <patternFill>
                  <bgColor theme="9" tint="0.79998168889431442"/>
                </patternFill>
              </fill>
              <border>
                <right style="thin">
                  <color auto="1"/>
                </right>
                <bottom style="thin">
                  <color rgb="FF0000FF"/>
                </bottom>
                <vertical/>
                <horizontal/>
              </border>
            </x14:dxf>
          </x14:cfRule>
          <xm:sqref>I66</xm:sqref>
        </x14:conditionalFormatting>
        <x14:conditionalFormatting xmlns:xm="http://schemas.microsoft.com/office/excel/2006/main">
          <x14:cfRule type="expression" priority="115" id="{00000000-000E-0000-0400-0000110F0000}">
            <xm:f>Data1!$S$229=0</xm:f>
            <x14:dxf>
              <fill>
                <patternFill patternType="darkUp">
                  <fgColor theme="0" tint="-0.24994659260841701"/>
                </patternFill>
              </fill>
            </x14:dxf>
          </x14:cfRule>
          <xm:sqref>B56:I58</xm:sqref>
        </x14:conditionalFormatting>
        <x14:conditionalFormatting xmlns:xm="http://schemas.microsoft.com/office/excel/2006/main">
          <x14:cfRule type="expression" priority="3641" id="{6A24685D-6F75-43C3-9658-14700296D782}">
            <xm:f>$H$150&lt;&gt;'Units, Set-Asides, Bldgs'!$K$3</xm:f>
            <x14:dxf>
              <font>
                <b val="0"/>
                <i val="0"/>
                <strike val="0"/>
                <color rgb="FFC00000"/>
              </font>
              <fill>
                <patternFill>
                  <bgColor rgb="FFFFE6FF"/>
                </patternFill>
              </fill>
            </x14:dxf>
          </x14:cfRule>
          <xm:sqref>C152</xm:sqref>
        </x14:conditionalFormatting>
        <x14:conditionalFormatting xmlns:xm="http://schemas.microsoft.com/office/excel/2006/main">
          <x14:cfRule type="expression" priority="319" id="{7CB2D855-4418-4F34-A29C-678657834227}">
            <xm:f>OR(Funding!$N$492=0,Funding!$N$534=0)</xm:f>
            <x14:dxf>
              <font>
                <color theme="0"/>
              </font>
              <border>
                <right/>
                <top/>
                <bottom/>
                <vertical/>
                <horizontal/>
              </border>
            </x14:dxf>
          </x14:cfRule>
          <xm:sqref>I125:I150</xm:sqref>
        </x14:conditionalFormatting>
        <x14:conditionalFormatting xmlns:xm="http://schemas.microsoft.com/office/excel/2006/main">
          <x14:cfRule type="expression" priority="4661" id="{9A694E20-528E-49FF-B2D3-822161172C10}">
            <xm:f>OR(Funding!$N$492=0,Funding!$N$534=0)</xm:f>
            <x14:dxf>
              <fill>
                <patternFill patternType="darkUp">
                  <fgColor theme="0" tint="-0.24994659260841701"/>
                </patternFill>
              </fill>
            </x14:dxf>
          </x14:cfRule>
          <xm:sqref>A155:I155</xm:sqref>
        </x14:conditionalFormatting>
        <x14:conditionalFormatting xmlns:xm="http://schemas.microsoft.com/office/excel/2006/main">
          <x14:cfRule type="expression" priority="21" id="{71DF80EB-43A4-48D3-8984-A32AE1761239}">
            <xm:f>OR(Link_Classification=Data1!$A$15,Link_Classification="&lt;select one&gt;")</xm:f>
            <x14:dxf>
              <font>
                <strike/>
                <color rgb="FFC00000"/>
              </font>
              <fill>
                <patternFill patternType="solid">
                  <fgColor auto="1"/>
                  <bgColor theme="0" tint="-4.9989318521683403E-2"/>
                </patternFill>
              </fill>
              <border>
                <bottom style="thin">
                  <color theme="1"/>
                </bottom>
              </border>
            </x14:dxf>
          </x14:cfRule>
          <xm:sqref>E18:I18 H20 H26</xm:sqref>
        </x14:conditionalFormatting>
        <x14:conditionalFormatting xmlns:xm="http://schemas.microsoft.com/office/excel/2006/main">
          <x14:cfRule type="expression" priority="61" id="{95277570-DF93-40D0-8DE9-5FEB0DF60AD8}">
            <xm:f>AND($L34=3,Link_Classification=Data1!$A$15,$H$34&lt;&gt;"&lt;select one&gt;")</xm:f>
            <x14:dxf>
              <font>
                <strike/>
                <color rgb="FFC00000"/>
              </font>
              <fill>
                <patternFill patternType="darkUp">
                  <fgColor theme="0" tint="-0.24994659260841701"/>
                </patternFill>
              </fill>
            </x14:dxf>
          </x14:cfRule>
          <x14:cfRule type="expression" priority="62" id="{EEE7AC9E-FAF1-4E3B-BA1E-A7AC6C1B7370}">
            <xm:f>AND($L34=3,Link_Classification=Data1!$A$15)</xm:f>
            <x14:dxf>
              <font>
                <color theme="0" tint="-0.14996795556505021"/>
              </font>
              <fill>
                <patternFill patternType="darkUp">
                  <fgColor theme="0" tint="-0.24994659260841701"/>
                </patternFill>
              </fill>
            </x14:dxf>
          </x14:cfRule>
          <xm:sqref>H34</xm:sqref>
        </x14:conditionalFormatting>
        <x14:conditionalFormatting xmlns:xm="http://schemas.microsoft.com/office/excel/2006/main">
          <x14:cfRule type="expression" priority="54" id="{65F33DF8-C485-4A9A-862E-E66FFB259DCE}">
            <xm:f>AND(OR(Link_Classification=Data1!$A$15,Link_Classification="&lt;select one&gt;"),New_Development_Land="&lt;select one&gt;")</xm:f>
            <x14:dxf>
              <font>
                <color theme="0" tint="-4.9989318521683403E-2"/>
              </font>
              <fill>
                <patternFill patternType="solid">
                  <fgColor auto="1"/>
                  <bgColor theme="0" tint="-4.9989318521683403E-2"/>
                </patternFill>
              </fill>
              <border>
                <bottom style="thin">
                  <color theme="1"/>
                </bottom>
              </border>
            </x14:dxf>
          </x14:cfRule>
          <x14:cfRule type="expression" priority="60" id="{DF895CAD-3817-4706-AB0B-01C2D240D966}">
            <xm:f>AND(OR(Link_Classification=Data1!$A$15,Link_Classification="&lt;select one&gt;"),New_Development_Land&lt;&gt;"&lt;select one&gt;")</xm:f>
            <x14:dxf>
              <font>
                <strike/>
                <color rgb="FFC00000"/>
              </font>
              <fill>
                <patternFill patternType="solid">
                  <fgColor auto="1"/>
                  <bgColor theme="0" tint="-4.9989318521683403E-2"/>
                </patternFill>
              </fill>
              <border>
                <bottom style="thin">
                  <color theme="1"/>
                </bottom>
              </border>
            </x14:dxf>
          </x14:cfRule>
          <xm:sqref>H34</xm:sqref>
        </x14:conditionalFormatting>
        <x14:conditionalFormatting xmlns:xm="http://schemas.microsoft.com/office/excel/2006/main">
          <x14:cfRule type="expression" priority="48" id="{F1C12376-DC59-42A8-B1CF-8A8732D4B5BF}">
            <xm:f>AND($N$14=1,OR(Link_Classification=Data1!$A$15,Link_Classification="&lt;select one&gt;"))</xm:f>
            <x14:dxf>
              <font>
                <color theme="0" tint="-0.34998626667073579"/>
              </font>
            </x14:dxf>
          </x14:cfRule>
          <xm:sqref>B30:G34</xm:sqref>
        </x14:conditionalFormatting>
        <x14:conditionalFormatting xmlns:xm="http://schemas.microsoft.com/office/excel/2006/main">
          <x14:cfRule type="expression" priority="66" id="{C18A5914-B29A-4265-8952-97596DEFCB5A}">
            <xm:f>AND($N$14=1,OR(Link_Classification=Data1!$A$14,Link_Classification="&lt;select one&gt;"))</xm:f>
            <x14:dxf>
              <font>
                <color theme="0" tint="-0.34998626667073579"/>
              </font>
            </x14:dxf>
          </x14:cfRule>
          <xm:sqref>B36:I39</xm:sqref>
        </x14:conditionalFormatting>
        <x14:conditionalFormatting xmlns:xm="http://schemas.microsoft.com/office/excel/2006/main">
          <x14:cfRule type="expression" priority="9" id="{DE160948-0715-4A87-94CD-988119D4F36E}">
            <xm:f>Link_Classification=Data1!$A$16</xm:f>
            <x14:dxf>
              <font>
                <strike/>
                <color rgb="FFC00000"/>
              </font>
              <fill>
                <patternFill>
                  <bgColor theme="0" tint="-4.9989318521683403E-2"/>
                </patternFill>
              </fill>
            </x14:dxf>
          </x14:cfRule>
          <xm:sqref>G7:I7</xm:sqref>
        </x14:conditionalFormatting>
        <x14:conditionalFormatting xmlns:xm="http://schemas.microsoft.com/office/excel/2006/main">
          <x14:cfRule type="expression" priority="17" id="{15DBEAAC-C77F-4925-A53E-CC9CE3FF3343}">
            <xm:f>OR(Link_Classification=Data1!$A$15,Link_Classification="&lt;select one&gt;")</xm:f>
            <x14:dxf>
              <font>
                <color theme="0" tint="-0.34998626667073579"/>
              </font>
            </x14:dxf>
          </x14:cfRule>
          <xm:sqref>D16:G17 D20:G20 D24:G26</xm:sqref>
        </x14:conditionalFormatting>
        <x14:conditionalFormatting xmlns:xm="http://schemas.microsoft.com/office/excel/2006/main">
          <x14:cfRule type="expression" priority="85" id="{F358646E-7A7F-4F37-8340-DF950198AE2B}">
            <xm:f>AND($N$14=1,Link_Classification&lt;&gt;Data1!$A$14,Link_Classification&lt;&gt;Data1!$A$16)</xm:f>
            <x14:dxf>
              <font>
                <color theme="0" tint="-0.34998626667073579"/>
              </font>
            </x14:dxf>
          </x14:cfRule>
          <xm:sqref>B40:I49 B54:I54</xm:sqref>
        </x14:conditionalFormatting>
        <x14:conditionalFormatting xmlns:xm="http://schemas.microsoft.com/office/excel/2006/main">
          <x14:cfRule type="expression" priority="22" id="{3DCA7040-28B3-4766-B546-C9D990EABB8D}">
            <xm:f>AND(OR(Link_Classification=Data1!$A$15,Link_Classification="&lt;select one&gt;"),H16&lt;&gt;"&lt;select one&gt;")</xm:f>
            <x14:dxf>
              <font>
                <strike/>
                <color rgb="FFC00000"/>
              </font>
              <fill>
                <patternFill patternType="solid">
                  <fgColor auto="1"/>
                  <bgColor theme="0" tint="-4.9989318521683403E-2"/>
                </patternFill>
              </fill>
              <border>
                <bottom style="thin">
                  <color theme="1"/>
                </bottom>
              </border>
            </x14:dxf>
          </x14:cfRule>
          <x14:cfRule type="expression" priority="27" id="{4F9E9B5A-71C5-420D-9698-2B46A7009B82}">
            <xm:f>AND(OR(Link_Classification=Data1!$A$15,Link_Classification="&lt;select one&gt;"),H16="&lt;select one&gt;")</xm:f>
            <x14:dxf>
              <font>
                <strike val="0"/>
                <color theme="0" tint="-4.9989318521683403E-2"/>
              </font>
              <fill>
                <patternFill patternType="solid">
                  <fgColor auto="1"/>
                  <bgColor theme="0" tint="-4.9989318521683403E-2"/>
                </patternFill>
              </fill>
              <border>
                <bottom style="thin">
                  <color theme="1"/>
                </bottom>
              </border>
            </x14:dxf>
          </x14:cfRule>
          <xm:sqref>H16 H24</xm:sqref>
        </x14:conditionalFormatting>
        <x14:conditionalFormatting xmlns:xm="http://schemas.microsoft.com/office/excel/2006/main">
          <x14:cfRule type="expression" priority="2" stopIfTrue="1" id="{2E8E1D26-0959-4333-BA2A-F651F44B610D}">
            <xm:f>Data1!$E$818="Yes"</xm:f>
            <x14:dxf>
              <font>
                <color theme="0"/>
              </font>
              <fill>
                <patternFill>
                  <bgColor theme="0"/>
                </patternFill>
              </fill>
              <border>
                <left/>
                <right/>
                <top/>
                <bottom/>
              </border>
            </x14:dxf>
          </x14:cfRule>
          <xm:sqref>L86:N86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Data1!$F$325:$F$337</xm:f>
          </x14:formula1>
          <xm:sqref>C113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55"/>
  <sheetViews>
    <sheetView showGridLines="0" zoomScale="110" zoomScaleNormal="110" zoomScaleSheetLayoutView="100" workbookViewId="0">
      <pane ySplit="2" topLeftCell="A3" activePane="bottomLeft" state="frozen"/>
      <selection activeCell="L364" sqref="L364:N364"/>
      <selection pane="bottomLeft" activeCell="E3" sqref="E3"/>
    </sheetView>
  </sheetViews>
  <sheetFormatPr defaultColWidth="8.5703125" defaultRowHeight="15"/>
  <cols>
    <col min="1" max="1" width="3" customWidth="1"/>
    <col min="2" max="3" width="3.5703125" customWidth="1"/>
    <col min="4" max="4" width="4.42578125" customWidth="1"/>
    <col min="5" max="6" width="23.42578125" customWidth="1"/>
    <col min="7" max="7" width="16.42578125" customWidth="1"/>
    <col min="8" max="8" width="13.5703125" customWidth="1"/>
    <col min="9" max="9" width="11.42578125" customWidth="1"/>
    <col min="11" max="11" width="8.7109375" customWidth="1"/>
    <col min="12" max="12" width="3.5703125" customWidth="1"/>
    <col min="13" max="14" width="3.5703125" hidden="1" customWidth="1"/>
    <col min="15" max="15" width="35.7109375" hidden="1" customWidth="1"/>
    <col min="16" max="16" width="3.5703125" hidden="1" customWidth="1"/>
  </cols>
  <sheetData>
    <row r="1" spans="1:31" ht="35.85" customHeight="1" thickBot="1">
      <c r="A1" s="2979" t="s">
        <v>1058</v>
      </c>
      <c r="B1" s="2980"/>
      <c r="C1" s="2980"/>
      <c r="D1" s="2980"/>
      <c r="E1" s="2980"/>
      <c r="F1" s="2980"/>
      <c r="G1" s="2980"/>
      <c r="H1" s="2980"/>
      <c r="I1" s="2980"/>
      <c r="J1" s="2981"/>
      <c r="L1" s="2994" t="str">
        <f>"There are "&amp;TEXT(COUNTIF($M$3:$M$55,"=1"),"0")&amp;" required input fields and "&amp;TEXT(COUNTIF($M$3:$M$55,"=2"),"0")&amp;" optional input fields tracked on this tab."&amp;CHAR(10)&amp;"There "&amp;IF(COUNTIFS($M$3:$M$55,"=1",$N$3:$N$55,"=1")=1,"is 1 required input field","are "&amp;TEXT(COUNTIFS($M$3:$M$55,"=1",$N$3:$N$55,"=1"),"0")&amp;" required input fields")&amp;" and "&amp;TEXT(COUNTIFS($M$3:$M$55,"=2",$N$3:$N$55,"=2"),"0")&amp;" optional input field"&amp;IF(COUNTIFS($M$3:$M$55,"=2",$N$3:$N$55,"=2")=1," with an entry","s with entries")&amp;" tracked on this tab."&amp;CHAR(10)&amp;"There "&amp;IF(Data1!G819=1,"is ","are ")&amp;TEXT(Data1!G819,"0")&amp;" required input field"&amp;IF(Data1!G819=1," that need an entry","s that need entries")&amp;" and "&amp;TEXT(Data1!H819,"0")&amp;" optional input field"&amp;IF(Data1!H819=1," that may or may not need an entry","s that may or may not need entries")&amp;" tracked on this tab."</f>
        <v>There are 6 required input fields and 1 optional input fields tracked on this tab.
There are 0 required input fields and 0 optional input fields with entries tracked on this tab.
There are 6 required input fields that need entries and 1 optional input field that may or may not need an entry tracked on this tab.</v>
      </c>
      <c r="M1" s="2994"/>
      <c r="N1" s="2994"/>
      <c r="O1" s="2994"/>
      <c r="P1" s="2994"/>
      <c r="Q1" s="2994"/>
      <c r="R1" s="2994"/>
      <c r="S1" s="2994"/>
      <c r="T1" s="2994"/>
      <c r="U1" s="2994"/>
      <c r="V1" s="2994"/>
      <c r="W1" s="2994"/>
      <c r="X1" s="2994"/>
      <c r="Y1" s="2994"/>
      <c r="Z1" s="2994"/>
      <c r="AA1" s="2994"/>
      <c r="AB1" s="2994"/>
      <c r="AC1" s="2994"/>
      <c r="AD1" s="2994"/>
      <c r="AE1" s="2994"/>
    </row>
    <row r="2" spans="1:31" ht="14.45" customHeight="1">
      <c r="L2" s="2994"/>
      <c r="M2" s="2994"/>
      <c r="N2" s="2994"/>
      <c r="O2" s="2994"/>
      <c r="P2" s="2994"/>
      <c r="Q2" s="2994"/>
      <c r="R2" s="2994"/>
      <c r="S2" s="2994"/>
      <c r="T2" s="2994"/>
      <c r="U2" s="2994"/>
      <c r="V2" s="2994"/>
      <c r="W2" s="2994"/>
      <c r="X2" s="2994"/>
      <c r="Y2" s="2994"/>
      <c r="Z2" s="2994"/>
      <c r="AA2" s="2994"/>
      <c r="AB2" s="2994"/>
      <c r="AC2" s="2994"/>
      <c r="AD2" s="2994"/>
      <c r="AE2" s="2994"/>
    </row>
    <row r="3" spans="1:31" ht="17.45" customHeight="1">
      <c r="A3" s="545" t="s">
        <v>1059</v>
      </c>
      <c r="B3" s="2998" t="s">
        <v>1060</v>
      </c>
      <c r="C3" s="2998"/>
      <c r="D3" s="2998"/>
      <c r="E3" s="970" t="s">
        <v>59</v>
      </c>
      <c r="F3" s="338" t="s">
        <v>1061</v>
      </c>
      <c r="G3" s="881" t="str">
        <f>IF(County="&lt;select one&gt;","",LOOKUP(County,Data1!A354:A420,Data1!H354:H420))</f>
        <v/>
      </c>
      <c r="H3" s="43" t="str">
        <f>Data1!J353&amp;":"</f>
        <v>Tier:</v>
      </c>
      <c r="I3" s="1291" t="str">
        <f>IF(DS_County_Classification_Active&lt;&gt;"Yes","",IF(County="&lt;select one&gt;","",LOOKUP(County,Data1!G354:G420,Data1!J354:J420)))</f>
        <v/>
      </c>
      <c r="J3" s="9" t="str">
        <f>IF(LDA_Selection_Location="Yes","LDA","")</f>
        <v/>
      </c>
      <c r="M3" s="953">
        <v>1</v>
      </c>
      <c r="N3" s="931">
        <f>IF(AND(M3&lt;&gt;0,AND(E3&lt;&gt;"&lt;select one&gt;",E3&lt;&gt;"")),M3,0)</f>
        <v>0</v>
      </c>
      <c r="O3" s="905" t="str">
        <f>CHOOSE(M3+1,"Not to be included in this RFA","A REQUIRED input field for this RFA","An OPTIONAL input field for this RFA")</f>
        <v>A REQUIRED input field for this RFA</v>
      </c>
    </row>
    <row r="4" spans="1:31" ht="14.45" customHeight="1">
      <c r="C4" s="664" t="str">
        <f>IF(E3="&lt;select one&gt;","(The proposed Development's County must have an entry to turn on some of the validation formulas in Exhibit A)","")</f>
        <v>(The proposed Development's County must have an entry to turn on some of the validation formulas in Exhibit A)</v>
      </c>
      <c r="M4" s="2993" t="s">
        <v>943</v>
      </c>
      <c r="N4" s="2993"/>
      <c r="O4" s="2993"/>
      <c r="P4" s="2993"/>
    </row>
    <row r="5" spans="1:31" ht="50.1" hidden="1" customHeight="1">
      <c r="B5" s="87" t="str">
        <f>IF(M5&lt;&gt;0,"(1)","(-)")</f>
        <v>(-)</v>
      </c>
      <c r="C5" s="2943" t="s">
        <v>2779</v>
      </c>
      <c r="D5" s="2943"/>
      <c r="E5" s="2943"/>
      <c r="F5" s="2943"/>
      <c r="G5" s="2943"/>
      <c r="H5" s="3079" t="s">
        <v>59</v>
      </c>
      <c r="I5" s="3079"/>
      <c r="J5" s="3079"/>
      <c r="M5" s="929">
        <f>IF(P5=0,0,IF(County="Monroe",1,2))</f>
        <v>0</v>
      </c>
      <c r="N5" s="931">
        <f>IF(AND(M5&lt;&gt;0,AND(H5&lt;&gt;"&lt;select one&gt;",H5&lt;&gt;"")),M5,0)</f>
        <v>0</v>
      </c>
      <c r="O5" s="905" t="str">
        <f>CHOOSE(M5+1,"Not to be included in this RFA","A REQUIRED input field for this RFA","An OPTIONAL input field for this RFA")</f>
        <v>Not to be included in this RFA</v>
      </c>
      <c r="P5" s="953">
        <v>0</v>
      </c>
    </row>
    <row r="6" spans="1:31" ht="10.5" hidden="1" customHeight="1">
      <c r="M6" s="24"/>
    </row>
    <row r="7" spans="1:31" ht="35.1" hidden="1" customHeight="1">
      <c r="B7" s="87" t="str">
        <f>IF(AND(M7&lt;&gt;0,M5&lt;&gt;0),"(2)",IF(AND(M7&lt;&gt;0,M5=0),"(1)","(-)"))</f>
        <v>(-)</v>
      </c>
      <c r="C7" s="2943" t="s">
        <v>1062</v>
      </c>
      <c r="D7" s="2943"/>
      <c r="E7" s="2943"/>
      <c r="F7" s="2943"/>
      <c r="G7" s="2943"/>
      <c r="H7" s="3079" t="s">
        <v>59</v>
      </c>
      <c r="I7" s="3079"/>
      <c r="J7" s="3079"/>
      <c r="M7" s="929">
        <f>IF(P7=0,0,IF(County="Miami-Dade",1,2))</f>
        <v>0</v>
      </c>
      <c r="N7" s="931">
        <f>IF(AND(M7&lt;&gt;0,AND(H7&lt;&gt;"&lt;select one&gt;",H7&lt;&gt;"")),M7,0)</f>
        <v>0</v>
      </c>
      <c r="O7" s="905" t="str">
        <f>CHOOSE(M7+1,"Not to be included in this RFA","A REQUIRED input field for this RFA","An OPTIONAL input field for this RFA")</f>
        <v>Not to be included in this RFA</v>
      </c>
      <c r="P7" s="953">
        <v>0</v>
      </c>
    </row>
    <row r="8" spans="1:31" ht="10.35" hidden="1" customHeight="1">
      <c r="B8" s="268"/>
    </row>
    <row r="9" spans="1:31" ht="17.45" customHeight="1">
      <c r="B9" s="268"/>
      <c r="F9" s="1932" t="s">
        <v>2415</v>
      </c>
      <c r="G9" s="3063" t="str">
        <f>IF(OR(County="&lt;select one&gt;",County="",O9=0),"",IF(VLOOKUP(County,DS_County_Sizes,5)="","",VLOOKUP(County,DS_County_Sizes,5)))</f>
        <v/>
      </c>
      <c r="H9" s="3063"/>
      <c r="O9" s="313">
        <v>1</v>
      </c>
    </row>
    <row r="10" spans="1:31" ht="17.45" hidden="1" customHeight="1">
      <c r="B10" s="268"/>
      <c r="F10" s="1932" t="s">
        <v>2713</v>
      </c>
      <c r="G10" s="2961" t="s">
        <v>59</v>
      </c>
      <c r="H10" s="2961"/>
      <c r="I10" s="2961"/>
      <c r="J10" s="2961"/>
      <c r="M10" s="2383">
        <v>0</v>
      </c>
      <c r="N10" s="2381">
        <f>IF(AND(M10&lt;&gt;0,E10&lt;&gt;""),M10,0)</f>
        <v>0</v>
      </c>
      <c r="O10" s="2378" t="str">
        <f>CHOOSE(M10+1,"Not to be included in this RFA","A REQUIRED input field for this RFA","An OPTIONAL input field for this RFA")</f>
        <v>Not to be included in this RFA</v>
      </c>
    </row>
    <row r="11" spans="1:31" ht="17.45" hidden="1" customHeight="1">
      <c r="B11" s="268"/>
      <c r="F11" s="1932" t="s">
        <v>2714</v>
      </c>
      <c r="G11" s="3073" t="str">
        <f>IFERROR(_xlfn.XLOOKUP(Military_Installation,DS_Military_DataNames,DS_Military_Region)&amp;" Region","")</f>
        <v/>
      </c>
      <c r="H11" s="3073"/>
      <c r="I11" s="15"/>
    </row>
    <row r="12" spans="1:31" ht="17.45" hidden="1" customHeight="1">
      <c r="B12" s="268"/>
      <c r="F12" s="1932" t="s">
        <v>2778</v>
      </c>
      <c r="G12" s="2628" t="str">
        <f>IF(OR(County="&lt;select one&gt;",County="",O12=0),"",IF(VLOOKUP(County,DS_County_Sizes,11)="","",VLOOKUP(County,DS_County_Sizes,11)))</f>
        <v/>
      </c>
      <c r="H12" s="2628"/>
      <c r="I12" s="3067" t="str">
        <f>IF(IFERROR(FIND("*",G12),0)&gt;0,"(*limited area(s) only)","")</f>
        <v/>
      </c>
      <c r="J12" s="3067"/>
      <c r="O12" s="313">
        <v>0</v>
      </c>
    </row>
    <row r="13" spans="1:31" ht="10.35" customHeight="1">
      <c r="B13" s="268"/>
    </row>
    <row r="14" spans="1:31" ht="14.45" customHeight="1">
      <c r="A14" s="544" t="str" cm="1">
        <f t="array" ref="A14">IF($M16=0,"",CHAR(CODE(LOOKUP(2,1/(COUNTIF(A$3:A8,"&gt;"&amp;A$3:A8&amp;"*")=0),A$3:A8))+1))</f>
        <v>b</v>
      </c>
      <c r="B14" s="3077" t="s">
        <v>1063</v>
      </c>
      <c r="C14" s="3077"/>
      <c r="D14" s="3077"/>
      <c r="E14" s="3077"/>
      <c r="F14" s="3077"/>
      <c r="M14" s="336" t="s">
        <v>1064</v>
      </c>
    </row>
    <row r="15" spans="1:31" ht="14.45" customHeight="1">
      <c r="B15" t="s">
        <v>1065</v>
      </c>
      <c r="M15" s="336" t="s">
        <v>1066</v>
      </c>
    </row>
    <row r="16" spans="1:31" ht="117.95" customHeight="1">
      <c r="E16" s="3078"/>
      <c r="F16" s="3078"/>
      <c r="G16" s="3078"/>
      <c r="H16" s="3078"/>
      <c r="I16" s="3078"/>
      <c r="J16" s="3078"/>
      <c r="M16" s="953">
        <v>1</v>
      </c>
      <c r="N16" s="931">
        <f>IF(AND(M16&lt;&gt;0,E16&lt;&gt;""),M16,0)</f>
        <v>0</v>
      </c>
      <c r="O16" s="905" t="str">
        <f>CHOOSE(M16+1,"Not to be included in this RFA","A REQUIRED input field for this RFA","An OPTIONAL input field for this RFA")</f>
        <v>A REQUIRED input field for this RFA</v>
      </c>
    </row>
    <row r="17" spans="1:15" ht="10.5" customHeight="1">
      <c r="E17" s="42"/>
      <c r="F17" s="42"/>
      <c r="G17" s="42"/>
      <c r="H17" s="42"/>
      <c r="I17" s="42"/>
      <c r="J17" s="42"/>
    </row>
    <row r="18" spans="1:15" ht="17.45" customHeight="1">
      <c r="E18" s="2806" t="s">
        <v>1067</v>
      </c>
      <c r="F18" s="2806"/>
      <c r="G18" s="3008"/>
      <c r="H18" s="3008"/>
      <c r="I18" s="3008"/>
      <c r="J18" s="3008"/>
      <c r="M18" s="953">
        <v>1</v>
      </c>
      <c r="N18" s="931">
        <f>IF(AND(M18&lt;&gt;0,G18&lt;&gt;""),M18,0)</f>
        <v>0</v>
      </c>
      <c r="O18" s="905" t="str">
        <f>CHOOSE(M18+1,"Not to be included in this RFA","A REQUIRED input field for this RFA","An OPTIONAL input field for this RFA")</f>
        <v>A REQUIRED input field for this RFA</v>
      </c>
    </row>
    <row r="19" spans="1:15" ht="14.45" customHeight="1">
      <c r="E19" s="94" t="s">
        <v>1068</v>
      </c>
    </row>
    <row r="20" spans="1:15" ht="10.35" customHeight="1"/>
    <row r="21" spans="1:15" ht="14.45" customHeight="1">
      <c r="A21" s="544" t="str" cm="1">
        <f t="array" ref="A21">IF($M23=0,"",CHAR(CODE(LOOKUP(2,1/(COUNTIF(A$3:A20,"&gt;"&amp;A$3:A20&amp;"*")=0),A$3:A20))+1))</f>
        <v>c</v>
      </c>
      <c r="B21" s="25" t="s">
        <v>1069</v>
      </c>
    </row>
    <row r="22" spans="1:15" ht="10.35" customHeight="1"/>
    <row r="23" spans="1:15" ht="17.45" customHeight="1">
      <c r="B23" s="2132" t="str">
        <f>"(1)"</f>
        <v>(1)</v>
      </c>
      <c r="C23" s="941" t="s">
        <v>1070</v>
      </c>
      <c r="G23" s="874" t="s">
        <v>59</v>
      </c>
      <c r="M23" s="953">
        <v>1</v>
      </c>
      <c r="N23" s="931">
        <f>IF(AND(M23&lt;&gt;0,AND(G23&lt;&gt;"&lt;select one&gt;",G23&lt;&gt;"")),M23,0)</f>
        <v>0</v>
      </c>
      <c r="O23" s="905" t="str">
        <f>CHOOSE(M23+1,"Not to be included in this RFA","A REQUIRED input field for this RFA","An OPTIONAL input field for this RFA")</f>
        <v>A REQUIRED input field for this RFA</v>
      </c>
    </row>
    <row r="24" spans="1:15" ht="10.35" customHeight="1"/>
    <row r="25" spans="1:15" ht="14.45" customHeight="1">
      <c r="A25" s="544" t="str" cm="1">
        <f t="array" ref="A25">IF($M28=0,"",CHAR(CODE(LOOKUP(2,1/(COUNTIF(A$3:A24,"&gt;"&amp;A$3:A24&amp;"*")=0),A$3:A24))+1))</f>
        <v>d</v>
      </c>
      <c r="B25" s="25" t="s">
        <v>1071</v>
      </c>
      <c r="C25" s="25"/>
      <c r="D25" s="25"/>
      <c r="E25" s="25"/>
      <c r="F25" s="25"/>
      <c r="J25" s="338"/>
    </row>
    <row r="26" spans="1:15" ht="14.45" customHeight="1">
      <c r="B26" s="2132" t="str">
        <f>"(1)"</f>
        <v>(1)</v>
      </c>
      <c r="C26" s="941" t="s">
        <v>1072</v>
      </c>
      <c r="D26" s="941"/>
      <c r="E26" s="941"/>
      <c r="O26" t="str">
        <f>J27</f>
        <v/>
      </c>
    </row>
    <row r="27" spans="1:15" ht="14.45" customHeight="1">
      <c r="F27" s="941"/>
      <c r="G27" s="585"/>
      <c r="H27" s="585"/>
      <c r="I27" s="585"/>
      <c r="J27" s="766"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28" spans="1:15" ht="17.45" customHeight="1">
      <c r="D28" t="s">
        <v>1073</v>
      </c>
      <c r="H28" s="3069"/>
      <c r="I28" s="3069"/>
      <c r="J28" s="3069"/>
      <c r="M28" s="953">
        <v>1</v>
      </c>
      <c r="N28" s="931">
        <f>IF(AND(M28&lt;&gt;0,H28&lt;&gt;""),M28,0)</f>
        <v>0</v>
      </c>
      <c r="O28" s="905" t="str">
        <f>CHOOSE(M28+1,"Not to be included in this RFA","A REQUIRED input field for this RFA","An OPTIONAL input field for this RFA")</f>
        <v>A REQUIRED input field for this RFA</v>
      </c>
    </row>
    <row r="29" spans="1:15" ht="17.45" customHeight="1">
      <c r="D29" t="s">
        <v>1074</v>
      </c>
      <c r="H29" s="3072"/>
      <c r="I29" s="3072"/>
      <c r="J29" s="3072"/>
      <c r="M29" s="248">
        <v>1</v>
      </c>
      <c r="N29" s="931">
        <f>IF(AND(M29&lt;&gt;0,H29&lt;&gt;""),M29,0)</f>
        <v>0</v>
      </c>
      <c r="O29" s="905" t="str">
        <f>CHOOSE(M29+1,"Not to be included in this RFA","A REQUIRED input field for this RFA","An OPTIONAL input field for this RFA")</f>
        <v>A REQUIRED input field for this RFA</v>
      </c>
    </row>
    <row r="31" spans="1:15" ht="50.1" customHeight="1">
      <c r="B31" s="79" t="s">
        <v>946</v>
      </c>
      <c r="C31" s="2943" t="s">
        <v>1075</v>
      </c>
      <c r="D31" s="2943"/>
      <c r="E31" s="2943"/>
      <c r="F31" s="2943"/>
      <c r="G31" s="2943"/>
      <c r="H31" s="2943"/>
      <c r="I31" s="2943"/>
      <c r="J31" s="2943"/>
    </row>
    <row r="32" spans="1:15" ht="9.75" customHeight="1"/>
    <row r="33" spans="1:15" ht="36" customHeight="1">
      <c r="E33" s="3006"/>
      <c r="F33" s="3006"/>
      <c r="G33" s="3006"/>
      <c r="H33" s="3006"/>
      <c r="I33" s="3006"/>
      <c r="J33" s="3006"/>
      <c r="M33" s="3071">
        <f>IF(G23="No",0,IF(G23="Yes",1,2))</f>
        <v>2</v>
      </c>
      <c r="N33" s="3070">
        <f>IF(AND(M33&lt;&gt;0,E33&lt;&gt;""),M33,0)</f>
        <v>0</v>
      </c>
      <c r="O33" s="3068" t="str">
        <f>CHOOSE(M33+1,"Not to be included in this RFA","A REQUIRED input field for this RFA","An OPTIONAL input field for this RFA")</f>
        <v>An OPTIONAL input field for this RFA</v>
      </c>
    </row>
    <row r="34" spans="1:15">
      <c r="E34" s="3006"/>
      <c r="F34" s="3006"/>
      <c r="G34" s="3006"/>
      <c r="H34" s="3006"/>
      <c r="I34" s="3006"/>
      <c r="J34" s="3006"/>
      <c r="M34" s="3071"/>
      <c r="N34" s="3070"/>
      <c r="O34" s="3068"/>
    </row>
    <row r="35" spans="1:15">
      <c r="E35" s="3006"/>
      <c r="F35" s="3006"/>
      <c r="G35" s="3006"/>
      <c r="H35" s="3006"/>
      <c r="I35" s="3006"/>
      <c r="J35" s="3006"/>
      <c r="M35" s="3071"/>
      <c r="N35" s="3070"/>
      <c r="O35" s="3068"/>
    </row>
    <row r="36" spans="1:15">
      <c r="E36" s="3076"/>
      <c r="F36" s="3076"/>
      <c r="G36" s="3076"/>
      <c r="H36" s="3076"/>
      <c r="I36" s="3076"/>
      <c r="J36" s="3076"/>
      <c r="M36" s="3071"/>
      <c r="N36" s="3070"/>
      <c r="O36" s="3068"/>
    </row>
    <row r="37" spans="1:15" ht="10.35" customHeight="1"/>
    <row r="38" spans="1:15" hidden="1">
      <c r="A38" s="544" t="str" cm="1">
        <f t="array" ref="A38">IF($O38=0,"",CHAR(CODE(LOOKUP(2,1/(COUNTIF(A$3:A37,"&gt;"&amp;A$3:A37&amp;"*")=0),A$3:A37))+1))</f>
        <v/>
      </c>
      <c r="B38" s="25" t="s">
        <v>1076</v>
      </c>
      <c r="C38" s="25"/>
      <c r="D38" s="25"/>
      <c r="E38" s="25"/>
      <c r="F38" s="25"/>
      <c r="J38" s="338"/>
      <c r="M38" s="17"/>
      <c r="N38" s="931"/>
      <c r="O38" s="313">
        <v>0</v>
      </c>
    </row>
    <row r="39" spans="1:15" ht="10.35" hidden="1" customHeight="1">
      <c r="A39" s="544"/>
      <c r="J39" s="338"/>
      <c r="N39" s="931"/>
      <c r="O39" s="905"/>
    </row>
    <row r="40" spans="1:15" ht="40.15" hidden="1" customHeight="1">
      <c r="B40" s="2943" t="s">
        <v>1077</v>
      </c>
      <c r="C40" s="2943"/>
      <c r="D40" s="2943"/>
      <c r="E40" s="2943"/>
      <c r="F40" s="2943"/>
      <c r="G40" s="2943"/>
      <c r="H40" s="2943"/>
      <c r="I40" s="2943"/>
      <c r="J40" s="2943"/>
    </row>
    <row r="41" spans="1:15" hidden="1">
      <c r="B41" t="s">
        <v>1078</v>
      </c>
    </row>
    <row r="42" spans="1:15" ht="10.35" hidden="1" customHeight="1"/>
    <row r="43" spans="1:15" hidden="1">
      <c r="A43" s="544" t="str" cm="1">
        <f t="array" ref="A43">IF($O43=0,"",CHAR(CODE(LOOKUP(2,1/(COUNTIF(A$3:A42,"&gt;"&amp;A$3:A42&amp;"*")=0),A$3:A42))+1))</f>
        <v/>
      </c>
      <c r="B43" s="25" t="s">
        <v>1079</v>
      </c>
      <c r="C43" s="25"/>
      <c r="D43" s="25"/>
      <c r="E43" s="25"/>
      <c r="F43" s="25"/>
      <c r="J43" s="338"/>
      <c r="M43" s="17"/>
      <c r="N43" s="931"/>
      <c r="O43" s="313">
        <v>0</v>
      </c>
    </row>
    <row r="44" spans="1:15" ht="10.35" hidden="1" customHeight="1">
      <c r="A44" s="544"/>
      <c r="J44" s="338"/>
      <c r="N44" s="931"/>
      <c r="O44" s="905"/>
    </row>
    <row r="45" spans="1:15" ht="35.1" hidden="1" customHeight="1">
      <c r="B45" s="2943" t="s">
        <v>1080</v>
      </c>
      <c r="C45" s="2943"/>
      <c r="D45" s="2943"/>
      <c r="E45" s="2943"/>
      <c r="F45" s="2943"/>
      <c r="G45" s="2943"/>
      <c r="H45" s="2943"/>
      <c r="I45" s="2943"/>
      <c r="J45" s="2943"/>
    </row>
    <row r="46" spans="1:15" ht="10.35" hidden="1" customHeight="1"/>
    <row r="47" spans="1:15" hidden="1">
      <c r="A47" s="544" t="str" cm="1">
        <f t="array" ref="A47">IF($O47=0,"",CHAR(CODE(LOOKUP(2,1/(COUNTIF(A$3:A46,"&gt;"&amp;A$3:A46&amp;"*")=0),A$3:A46))+1))</f>
        <v/>
      </c>
      <c r="B47" s="25" t="s">
        <v>2167</v>
      </c>
      <c r="O47" s="313">
        <v>0</v>
      </c>
    </row>
    <row r="48" spans="1:15" ht="10.35" hidden="1" customHeight="1"/>
    <row r="49" spans="1:15" hidden="1">
      <c r="B49" s="2806" t="s">
        <v>1782</v>
      </c>
      <c r="C49" s="2806"/>
      <c r="D49" s="2806"/>
      <c r="E49" s="2806"/>
      <c r="F49" s="2806"/>
      <c r="G49" s="2806"/>
      <c r="H49" s="2806"/>
      <c r="I49" s="3066" t="str">
        <f>IF($O$47=0,"",IF(IFERROR(VLOOKUP(County,DS_LDA_Counties,13),"No")="Yes",IF(AND(IFERROR(RIGHT(Excel_RFA_Number,3),"0")="104",OR(Development_Category=Data1!A188,Development_Category=Data1!A189),ExcelCheckBox_DevCat_CorpPortfolio="Yes",SAIL_CorpPortfolio_AppNumber&lt;&gt;""),"No","Yes"),IF(County="&lt;select one&gt;","Select a County","No")))</f>
        <v/>
      </c>
      <c r="J49" s="3066"/>
      <c r="O49" s="312" t="s">
        <v>2168</v>
      </c>
    </row>
    <row r="50" spans="1:15" ht="10.35" hidden="1" customHeight="1"/>
    <row r="51" spans="1:15" ht="15" hidden="1" customHeight="1">
      <c r="A51" s="2371" t="str" cm="1">
        <f t="array" ref="A51">IF($O51=0,"",CHAR(CODE(LOOKUP(2,1/(COUNTIF(A$3:A50,"&gt;"&amp;A$3:A50&amp;"*")=0),A$3:A50))+1))</f>
        <v/>
      </c>
      <c r="B51" s="25" t="s">
        <v>2686</v>
      </c>
      <c r="O51" s="313">
        <v>0</v>
      </c>
    </row>
    <row r="52" spans="1:15" ht="10.35" hidden="1" customHeight="1">
      <c r="A52" s="365"/>
    </row>
    <row r="53" spans="1:15" ht="65.099999999999994" hidden="1" customHeight="1">
      <c r="A53" s="365"/>
      <c r="B53" s="2943" t="s">
        <v>2687</v>
      </c>
      <c r="C53" s="2943"/>
      <c r="D53" s="2943"/>
      <c r="E53" s="2943"/>
      <c r="F53" s="2943"/>
      <c r="G53" s="2943"/>
      <c r="H53" s="2943"/>
      <c r="I53" s="2943"/>
      <c r="J53" s="2943"/>
    </row>
    <row r="54" spans="1:15" ht="50.1" hidden="1" customHeight="1">
      <c r="E54" s="3074"/>
      <c r="F54" s="3074"/>
      <c r="G54" s="3074"/>
      <c r="H54" s="3074"/>
      <c r="I54" s="3074"/>
      <c r="J54" s="3074"/>
      <c r="M54" s="2357">
        <v>0</v>
      </c>
      <c r="N54" s="355">
        <f>IF(AND(M54&lt;&gt;0,E54&lt;&gt;""),M54,0)</f>
        <v>0</v>
      </c>
      <c r="O54" s="50" t="str">
        <f>CHOOSE(M54+1,"Not to be included in this RFA","A REQUIRED input field for this RFA","An OPTIONAL input field for this RFA")</f>
        <v>Not to be included in this RFA</v>
      </c>
    </row>
    <row r="55" spans="1:15" ht="65.099999999999994" hidden="1" customHeight="1">
      <c r="B55" s="3075" t="s">
        <v>2688</v>
      </c>
      <c r="C55" s="3075"/>
      <c r="D55" s="3075"/>
      <c r="E55" s="3075"/>
      <c r="F55" s="3075"/>
      <c r="G55" s="3075"/>
      <c r="H55" s="3075"/>
      <c r="I55" s="3075"/>
      <c r="J55" s="3075"/>
    </row>
  </sheetData>
  <sheetProtection algorithmName="SHA-512" hashValue="l/nRInCav7O3PH2GDDToKbCt7cV22Ak4ZNkUmusijsCyDv6c+TVftsiZcyJbPiczzkzWyv1mvJJck/+VZ0lP+A==" saltValue="xF+GDPepz7tepASjndMf1w==" spinCount="100000" sheet="1" formatRows="0" selectLockedCells="1"/>
  <mergeCells count="31">
    <mergeCell ref="B53:J53"/>
    <mergeCell ref="E54:J54"/>
    <mergeCell ref="B55:J55"/>
    <mergeCell ref="L1:AE2"/>
    <mergeCell ref="M4:P4"/>
    <mergeCell ref="E33:J36"/>
    <mergeCell ref="C31:J31"/>
    <mergeCell ref="C5:G5"/>
    <mergeCell ref="C7:G7"/>
    <mergeCell ref="A1:J1"/>
    <mergeCell ref="B14:F14"/>
    <mergeCell ref="E18:F18"/>
    <mergeCell ref="E16:J16"/>
    <mergeCell ref="G18:J18"/>
    <mergeCell ref="H5:J5"/>
    <mergeCell ref="H7:J7"/>
    <mergeCell ref="B3:D3"/>
    <mergeCell ref="O33:O36"/>
    <mergeCell ref="H28:J28"/>
    <mergeCell ref="G9:H9"/>
    <mergeCell ref="N33:N36"/>
    <mergeCell ref="M33:M36"/>
    <mergeCell ref="H29:J29"/>
    <mergeCell ref="G10:J10"/>
    <mergeCell ref="G11:H11"/>
    <mergeCell ref="B49:H49"/>
    <mergeCell ref="I49:J49"/>
    <mergeCell ref="B45:J45"/>
    <mergeCell ref="B40:J40"/>
    <mergeCell ref="G12:H12"/>
    <mergeCell ref="I12:J12"/>
  </mergeCells>
  <conditionalFormatting sqref="E16:J16 G18:J18 H28:H29">
    <cfRule type="cellIs" dxfId="922" priority="7" operator="notEqual">
      <formula>""</formula>
    </cfRule>
  </conditionalFormatting>
  <conditionalFormatting sqref="H5:J5">
    <cfRule type="expression" dxfId="921" priority="9">
      <formula>AND(County&lt;&gt;"Monroe",$H5&lt;&gt;"&lt;select one&gt;")</formula>
    </cfRule>
    <cfRule type="expression" dxfId="920" priority="18">
      <formula>County&lt;&gt;"Monroe"</formula>
    </cfRule>
    <cfRule type="expression" dxfId="919" priority="32" stopIfTrue="1">
      <formula>AND(County&lt;&gt;"Monroe",$H$5&lt;&gt;"&lt;select one&gt;")</formula>
    </cfRule>
    <cfRule type="expression" dxfId="918" priority="35">
      <formula>AND(County="Monroe",$H$5&lt;&gt;"&lt;select one&gt;")</formula>
    </cfRule>
  </conditionalFormatting>
  <conditionalFormatting sqref="H7:J7">
    <cfRule type="expression" dxfId="917" priority="8">
      <formula>AND(County&lt;&gt;"Miami-Dade",$H7&lt;&gt;"&lt;select one&gt;")</formula>
    </cfRule>
    <cfRule type="expression" dxfId="916" priority="16">
      <formula>County&lt;&gt;"Miami-Dade"</formula>
    </cfRule>
    <cfRule type="expression" dxfId="915" priority="38" stopIfTrue="1">
      <formula>AND(County&lt;&gt;"Miami-Dade",$H$7&lt;&gt;"&lt;select one&gt;")</formula>
    </cfRule>
    <cfRule type="expression" dxfId="914" priority="41">
      <formula>AND(County="Miami-Dade",$H$7&lt;&gt;"&lt;select one&gt;")</formula>
    </cfRule>
  </conditionalFormatting>
  <conditionalFormatting sqref="E3 G23">
    <cfRule type="cellIs" dxfId="913" priority="26" operator="notEqual">
      <formula>"&lt;select one&gt;"</formula>
    </cfRule>
  </conditionalFormatting>
  <conditionalFormatting sqref="B5:J6">
    <cfRule type="expression" dxfId="912" priority="29">
      <formula>$M$5=0</formula>
    </cfRule>
  </conditionalFormatting>
  <conditionalFormatting sqref="B7:J8">
    <cfRule type="expression" dxfId="911" priority="37">
      <formula>$M$7=0</formula>
    </cfRule>
  </conditionalFormatting>
  <conditionalFormatting sqref="A14:J20">
    <cfRule type="expression" dxfId="910" priority="44">
      <formula>$M$16=0</formula>
    </cfRule>
  </conditionalFormatting>
  <conditionalFormatting sqref="B18:J20">
    <cfRule type="expression" dxfId="909" priority="46">
      <formula>$M$18=0</formula>
    </cfRule>
  </conditionalFormatting>
  <conditionalFormatting sqref="A21:J24">
    <cfRule type="expression" dxfId="908" priority="49">
      <formula>$M$23=0</formula>
    </cfRule>
  </conditionalFormatting>
  <conditionalFormatting sqref="A25:J37">
    <cfRule type="expression" dxfId="907" priority="5">
      <formula>$M$28+$M$29=0</formula>
    </cfRule>
  </conditionalFormatting>
  <conditionalFormatting sqref="H5:J5 H7:J7">
    <cfRule type="expression" dxfId="906" priority="33">
      <formula>AND($H$5&lt;&gt;"&lt;select one&gt;",$H$7&lt;&gt;"&lt;select one&gt;")</formula>
    </cfRule>
  </conditionalFormatting>
  <conditionalFormatting sqref="D27:J27">
    <cfRule type="expression" dxfId="905" priority="51">
      <formula>$J27&lt;&gt;""</formula>
    </cfRule>
  </conditionalFormatting>
  <conditionalFormatting sqref="A38:J42">
    <cfRule type="expression" dxfId="904" priority="57">
      <formula>$O$38=0</formula>
    </cfRule>
  </conditionalFormatting>
  <conditionalFormatting sqref="A43:J46">
    <cfRule type="expression" dxfId="903" priority="58">
      <formula>$O$43=0</formula>
    </cfRule>
  </conditionalFormatting>
  <conditionalFormatting sqref="B31:J31">
    <cfRule type="expression" dxfId="902" priority="50">
      <formula>Scattered_Sites&lt;&gt;"Yes"</formula>
    </cfRule>
  </conditionalFormatting>
  <conditionalFormatting sqref="A47:J50">
    <cfRule type="expression" dxfId="901" priority="82">
      <formula>$O$47=0</formula>
    </cfRule>
  </conditionalFormatting>
  <conditionalFormatting sqref="E3 H5:J5 H7:J7 G23">
    <cfRule type="cellIs" dxfId="900" priority="25" operator="equal">
      <formula>""</formula>
    </cfRule>
  </conditionalFormatting>
  <conditionalFormatting sqref="I49:J49">
    <cfRule type="expression" dxfId="899" priority="1107">
      <formula>AND($O$47&lt;&gt;0,LDA_Selection_Location&lt;&gt;"Select a County",LDA_Selection_Location&lt;&gt;"")</formula>
    </cfRule>
  </conditionalFormatting>
  <conditionalFormatting sqref="H3:I3">
    <cfRule type="expression" dxfId="898" priority="27">
      <formula>DS_County_Classification_Active&lt;&gt;"Yes"</formula>
    </cfRule>
  </conditionalFormatting>
  <conditionalFormatting sqref="J3">
    <cfRule type="cellIs" dxfId="897" priority="28" operator="equal">
      <formula>"LDA"</formula>
    </cfRule>
  </conditionalFormatting>
  <conditionalFormatting sqref="E33:J36">
    <cfRule type="expression" dxfId="896" priority="3">
      <formula>AND($E$33&lt;&gt;"",$G$23="Yes")</formula>
    </cfRule>
    <cfRule type="expression" dxfId="895" priority="45">
      <formula>AND(Scattered_Sites&lt;&gt;"Yes",Scattered_Sites_lat_long&lt;&gt;"")</formula>
    </cfRule>
    <cfRule type="expression" dxfId="894" priority="55">
      <formula>AND(Scattered_Sites&lt;&gt;"Yes",Scattered_Sites_lat_long="")</formula>
    </cfRule>
  </conditionalFormatting>
  <conditionalFormatting sqref="O9 O12 O38 O43 O47 O51">
    <cfRule type="cellIs" dxfId="893" priority="39" operator="equal">
      <formula>0</formula>
    </cfRule>
  </conditionalFormatting>
  <conditionalFormatting sqref="B9:J9 B12:I12">
    <cfRule type="expression" dxfId="892" priority="21">
      <formula>$O9=0</formula>
    </cfRule>
  </conditionalFormatting>
  <conditionalFormatting sqref="B13:J13">
    <cfRule type="expression" dxfId="891" priority="20">
      <formula>$O$9+$M$10+$O$12=0</formula>
    </cfRule>
  </conditionalFormatting>
  <conditionalFormatting sqref="B5:G5">
    <cfRule type="expression" dxfId="890" priority="19">
      <formula>County&lt;&gt;"Monroe"</formula>
    </cfRule>
  </conditionalFormatting>
  <conditionalFormatting sqref="B7:G7">
    <cfRule type="expression" dxfId="889" priority="17">
      <formula>County&lt;&gt;"Miami-Dade"</formula>
    </cfRule>
  </conditionalFormatting>
  <conditionalFormatting sqref="A51:J55">
    <cfRule type="expression" dxfId="888" priority="4">
      <formula>$M$54=0</formula>
    </cfRule>
    <cfRule type="expression" dxfId="887" priority="15">
      <formula>$O$51=0</formula>
    </cfRule>
  </conditionalFormatting>
  <conditionalFormatting sqref="E54:J54">
    <cfRule type="cellIs" dxfId="886" priority="14" operator="notEqual">
      <formula>""</formula>
    </cfRule>
  </conditionalFormatting>
  <conditionalFormatting sqref="B10:J11">
    <cfRule type="expression" dxfId="885" priority="12">
      <formula>$M$10=0</formula>
    </cfRule>
  </conditionalFormatting>
  <conditionalFormatting sqref="G10:J10">
    <cfRule type="cellIs" dxfId="884" priority="2" operator="notEqual">
      <formula>"&lt;select one&gt;"</formula>
    </cfRule>
    <cfRule type="expression" dxfId="883" priority="11">
      <formula>AND($O$9=0,$M$10&gt;0)</formula>
    </cfRule>
  </conditionalFormatting>
  <conditionalFormatting sqref="G12:H12">
    <cfRule type="expression" dxfId="882" priority="10">
      <formula>AND($O$12&gt;0,$M$10=0)</formula>
    </cfRule>
  </conditionalFormatting>
  <conditionalFormatting sqref="G9:H9 G11:H12">
    <cfRule type="cellIs" dxfId="881" priority="1" operator="notEqual">
      <formula>""</formula>
    </cfRule>
  </conditionalFormatting>
  <dataValidations count="7">
    <dataValidation type="list" allowBlank="1" showInputMessage="1" showErrorMessage="1" sqref="G23"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6 M18 M23 M28:M29 M7 M3 P7 M5 M33 M54 M10"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7:J7" xr:uid="{2CEDBA48-37F7-4E39-A0D5-B2903101116E}">
      <formula1>DS_MDCounty_DDMenu</formula1>
    </dataValidation>
    <dataValidation type="custom" allowBlank="1" showInputMessage="1" showErrorMessage="1" error="Do not enter an input beginning with &quot;www&quot; or &quot;http&quot;" prompt="Do not enter the internet address of an active URL link. (i.e., remove &quot;www&quot; and &quot;http&quot; from the beginning)." sqref="E54:J54" xr:uid="{16B329F8-FEFE-42AE-98D3-F149270181F5}">
      <formula1>AND(LEFT($E54,3)&lt;&gt;"www",LEFT($E54,4)&lt;&gt;"http")</formula1>
    </dataValidation>
    <dataValidation type="list" allowBlank="1" showInputMessage="1" showErrorMessage="1" sqref="G10" xr:uid="{AA12ED81-18ED-4C6A-8385-4040F68E6D39}">
      <formula1>DS_Military_DDMenu</formula1>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ignoredErrors>
    <ignoredError sqref="B31" numberStoredAsText="1"/>
  </ignoredErrors>
  <extLst>
    <ext xmlns:x14="http://schemas.microsoft.com/office/spreadsheetml/2009/9/main" uri="{78C0D931-6437-407d-A8EE-F0AAD7539E65}">
      <x14:conditionalFormattings>
        <x14:conditionalFormatting xmlns:xm="http://schemas.microsoft.com/office/excel/2006/main">
          <x14:cfRule type="expression" priority="24" stopIfTrue="1" id="{A18EE100-DC28-4727-BF16-026884928911}">
            <xm:f>Data1!$E$819="Yes"</xm:f>
            <x14:dxf>
              <font>
                <color theme="0"/>
              </font>
              <fill>
                <patternFill>
                  <bgColor theme="0"/>
                </patternFill>
              </fill>
              <border>
                <left/>
                <right/>
                <top/>
                <bottom/>
              </border>
            </x14:dxf>
          </x14:cfRule>
          <xm:sqref>M3:P3 M5:P55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tabColor rgb="FF00B0F0"/>
  </sheetPr>
  <dimension ref="A1:AD109"/>
  <sheetViews>
    <sheetView showGridLines="0" zoomScaleNormal="100" zoomScaleSheetLayoutView="100" workbookViewId="0">
      <pane ySplit="2" topLeftCell="A3" activePane="bottomLeft" state="frozen"/>
      <selection activeCell="L364" sqref="L364:N364"/>
      <selection pane="bottomLeft" activeCell="F24" sqref="F24"/>
    </sheetView>
  </sheetViews>
  <sheetFormatPr defaultColWidth="8.5703125" defaultRowHeight="15"/>
  <cols>
    <col min="1" max="1" width="3" customWidth="1"/>
    <col min="2" max="3" width="3.5703125" customWidth="1"/>
    <col min="4" max="4" width="4.42578125" customWidth="1"/>
    <col min="5" max="7" width="22.42578125" customWidth="1"/>
    <col min="8" max="8" width="16.7109375" customWidth="1"/>
    <col min="9" max="9" width="12.85546875" customWidth="1"/>
    <col min="10" max="10" width="8.7109375" customWidth="1"/>
    <col min="11" max="13" width="3.5703125" customWidth="1"/>
    <col min="14" max="14" width="35.7109375" customWidth="1"/>
    <col min="15" max="15" width="3.5703125" customWidth="1"/>
  </cols>
  <sheetData>
    <row r="1" spans="1:30" ht="35.85" customHeight="1" thickBot="1">
      <c r="A1" s="2979" t="s">
        <v>1081</v>
      </c>
      <c r="B1" s="2980"/>
      <c r="C1" s="2980"/>
      <c r="D1" s="2980"/>
      <c r="E1" s="2980"/>
      <c r="F1" s="2980"/>
      <c r="G1" s="2980"/>
      <c r="H1" s="2980"/>
      <c r="I1" s="2981"/>
      <c r="K1" s="2943" t="str">
        <f>"There are "&amp;TEXT(COUNTIF($L$7:$L$79,"=1"),"0")&amp;" required input fields and "&amp;TEXT(COUNTIF($L$7:$L$79,"=2"),"0")&amp;"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"&amp;IF(Data1!G820=1,"is ","are ")&amp;TEXT(Data1!G820,"0")&amp;" required input field"&amp;IF(Data1!G820=1," that need an entry","s that need entries")&amp;" and "&amp;TEXT(Data1!H820,"0")&amp;" optional input field"&amp;IF(Data1!H820=1," that may or may not need an entry","s that may or may not need entries")&amp;" tracked on this tab."</f>
        <v>There are 7 required input fields and 11 optional input fields tracked on this tab.
There are 0 required input fields and 1 optional input field with an entry tracked on this tab.
There are 0 required input fields that need entries and 0 optional input fields that may or may not need entries tracked on this tab.</v>
      </c>
      <c r="L1" s="2943"/>
      <c r="M1" s="2943"/>
      <c r="N1" s="2943"/>
      <c r="O1" s="2943"/>
      <c r="P1" s="2943"/>
      <c r="Q1" s="2943"/>
      <c r="R1" s="2943"/>
      <c r="S1" s="2943"/>
      <c r="T1" s="2943"/>
      <c r="U1" s="2943"/>
      <c r="V1" s="2943"/>
      <c r="W1" s="2943"/>
      <c r="X1" s="2943"/>
      <c r="Y1" s="2943"/>
      <c r="Z1" s="2943"/>
      <c r="AA1" s="2943"/>
      <c r="AB1" s="2943"/>
      <c r="AC1" s="2943"/>
      <c r="AD1" s="2943"/>
    </row>
    <row r="2" spans="1:30">
      <c r="I2" s="3093" t="s">
        <v>2722</v>
      </c>
      <c r="K2" s="2943"/>
      <c r="L2" s="2943"/>
      <c r="M2" s="2943"/>
      <c r="N2" s="2943"/>
      <c r="O2" s="2943"/>
      <c r="P2" s="2943"/>
      <c r="Q2" s="2943"/>
      <c r="R2" s="2943"/>
      <c r="S2" s="2943"/>
      <c r="T2" s="2943"/>
      <c r="U2" s="2943"/>
      <c r="V2" s="2943"/>
      <c r="W2" s="2943"/>
      <c r="X2" s="2943"/>
      <c r="Y2" s="2943"/>
      <c r="Z2" s="2943"/>
      <c r="AA2" s="2943"/>
      <c r="AB2" s="2943"/>
      <c r="AC2" s="2943"/>
      <c r="AD2" s="2943"/>
    </row>
    <row r="3" spans="1:30" ht="17.45" customHeight="1">
      <c r="A3" s="545" t="str" cm="1">
        <f t="array" ref="A3">IF($L7+$L11+$N23+$N45=0,"",CHAR(CODE(LOOKUP(2,1/(COUNTIF('Development Location'!A$3:A37,"&gt;"&amp;'Development Location'!A$3:A37&amp;"*")=0),'Development Location'!A$3:A37))+1))</f>
        <v>e</v>
      </c>
      <c r="B3" s="10" t="s">
        <v>1082</v>
      </c>
      <c r="I3" s="3094"/>
      <c r="L3" s="2993" t="s">
        <v>943</v>
      </c>
      <c r="M3" s="2993"/>
      <c r="N3" s="2993"/>
      <c r="O3" s="2993"/>
    </row>
    <row r="4" spans="1:30" ht="14.45" customHeight="1">
      <c r="B4" s="1065">
        <f>IF(L7+L11=0,"",1)</f>
        <v>1</v>
      </c>
      <c r="C4" s="941" t="str">
        <f>IF(L7=0,"","PHA")&amp;IF(AND(L7&gt;0,L11&gt;0)," or","")&amp;IF(L11=0,""," RD 515")&amp;" Proximity Point Boost"</f>
        <v>PHA or RD 515 Proximity Point Boost</v>
      </c>
      <c r="I4" s="3095"/>
      <c r="L4" s="337" t="s">
        <v>1885</v>
      </c>
    </row>
    <row r="5" spans="1:30" ht="10.35" customHeight="1">
      <c r="B5" s="3"/>
      <c r="C5" s="3"/>
      <c r="I5" s="3099" t="str">
        <f>IF($L$7&lt;&gt;0,"Points awarded for Proximity ","")&amp;"Point Boost*"</f>
        <v>Points awarded for Proximity Point Boost*</v>
      </c>
      <c r="L5" s="6"/>
    </row>
    <row r="6" spans="1:30" ht="14.45" customHeight="1">
      <c r="C6" s="87" t="s">
        <v>957</v>
      </c>
      <c r="D6" s="2943" t="s">
        <v>1083</v>
      </c>
      <c r="E6" s="2943"/>
      <c r="F6" s="2943"/>
      <c r="G6" s="2943"/>
      <c r="H6" s="2943"/>
      <c r="I6" s="3100"/>
      <c r="L6" s="337" t="s">
        <v>1066</v>
      </c>
    </row>
    <row r="7" spans="1:30" ht="17.45" customHeight="1">
      <c r="D7" s="2961" t="s">
        <v>59</v>
      </c>
      <c r="E7" s="2961"/>
      <c r="I7" s="3100"/>
      <c r="L7" s="953">
        <v>2</v>
      </c>
      <c r="M7" s="931">
        <f>IF(AND(L7&lt;&gt;0,D7&lt;&gt;"&lt;select one&gt;"),L7,0)</f>
        <v>0</v>
      </c>
      <c r="N7" s="905" t="str">
        <f>CHOOSE(L7+1,"Not to be included in this RFA","A REQUIRED input field for this RFA","An OPTIONAL input field for this RFA","Input is not tracked")</f>
        <v>An OPTIONAL input field for this RFA</v>
      </c>
    </row>
    <row r="8" spans="1:30" ht="14.45" customHeight="1">
      <c r="D8" t="s">
        <v>1084</v>
      </c>
      <c r="H8" s="3083">
        <f>Boost_Points</f>
        <v>0</v>
      </c>
      <c r="I8" s="3100"/>
      <c r="N8" s="268"/>
    </row>
    <row r="9" spans="1:30" ht="14.1" customHeight="1">
      <c r="D9" s="941"/>
      <c r="G9" s="1045" t="s">
        <v>1670</v>
      </c>
      <c r="H9" s="3083"/>
      <c r="I9" s="3100"/>
      <c r="N9" s="268"/>
    </row>
    <row r="10" spans="1:30" ht="14.45" customHeight="1">
      <c r="C10" s="87" t="str">
        <f>IF(L7=0,"(a)","(b)")</f>
        <v>(b)</v>
      </c>
      <c r="D10" s="2943" t="s">
        <v>1085</v>
      </c>
      <c r="E10" s="2943"/>
      <c r="F10" s="2943"/>
      <c r="G10" s="2943"/>
      <c r="H10" s="2943"/>
      <c r="I10" s="3102">
        <f>IF(D7="Yes",Data1!C448,IF(AND(D7&lt;&gt;"Yes",D11="Yes"),Data1!C449,0))</f>
        <v>0</v>
      </c>
    </row>
    <row r="11" spans="1:30" ht="17.45" customHeight="1">
      <c r="D11" s="2961" t="s">
        <v>59</v>
      </c>
      <c r="E11" s="2961"/>
      <c r="H11" s="24"/>
      <c r="I11" s="3103"/>
      <c r="L11" s="1905">
        <v>2</v>
      </c>
      <c r="M11" s="931">
        <f>IF(AND(L11&lt;&gt;0,D11&lt;&gt;"&lt;select one&gt;"),L11,0)</f>
        <v>0</v>
      </c>
      <c r="N11" s="905" t="str">
        <f>CHOOSE(L11+1,"Not to be included in this RFA","A REQUIRED input field for this RFA","An OPTIONAL input field for this RFA","Input is not tracked")</f>
        <v>An OPTIONAL input field for this RFA</v>
      </c>
    </row>
    <row r="12" spans="1:30" ht="14.45" customHeight="1">
      <c r="D12" t="s">
        <v>2090</v>
      </c>
      <c r="H12" s="24"/>
      <c r="I12" s="1045" t="s">
        <v>1670</v>
      </c>
      <c r="N12" s="3089">
        <v>0</v>
      </c>
    </row>
    <row r="13" spans="1:30" ht="10.5" customHeight="1">
      <c r="N13" s="3090"/>
    </row>
    <row r="14" spans="1:30" ht="14.45" customHeight="1">
      <c r="B14" s="1065">
        <f>IF(L7+L11+N18=0,"",MAX(B$4:B13)+1)</f>
        <v>2</v>
      </c>
      <c r="C14" t="s">
        <v>1086</v>
      </c>
      <c r="N14" s="3090"/>
    </row>
    <row r="15" spans="1:30" ht="10.5" customHeight="1">
      <c r="N15" s="3091"/>
    </row>
    <row r="16" spans="1:30" ht="35.1" customHeight="1">
      <c r="C16" s="2943" t="str">
        <f>IF(N18&gt;0,"Applicants may select Private Transportation or provide the location information and distance for one of the remaining ","Applicants may provide the location information and distance for one of the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943"/>
      <c r="E16" s="2943"/>
      <c r="F16" s="2943"/>
      <c r="G16" s="2943"/>
      <c r="H16" s="2943"/>
      <c r="I16" s="2943"/>
    </row>
    <row r="17" spans="3:14" ht="10.35" customHeight="1">
      <c r="D17" s="902"/>
      <c r="E17" s="902"/>
      <c r="F17" s="902"/>
      <c r="G17" s="902"/>
      <c r="H17" s="902"/>
      <c r="I17" s="3099" t="s">
        <v>1092</v>
      </c>
    </row>
    <row r="18" spans="3:14" ht="35.1" customHeight="1">
      <c r="C18" s="87" t="s">
        <v>957</v>
      </c>
      <c r="D18" s="2943" t="s">
        <v>2400</v>
      </c>
      <c r="E18" s="2943"/>
      <c r="F18" s="2943"/>
      <c r="G18" s="2943"/>
      <c r="H18" s="2943"/>
      <c r="I18" s="3100"/>
      <c r="N18" s="313">
        <v>1</v>
      </c>
    </row>
    <row r="19" spans="3:14" ht="17.45" customHeight="1">
      <c r="D19" s="2961" t="s">
        <v>59</v>
      </c>
      <c r="E19" s="2961"/>
      <c r="F19" s="3101" t="str">
        <f>IF(OR(Demographic="Elderly ALF",Demographic="Elderly Non-ALF"),"(The proposed Development's Demographic Commitment is "&amp;Demographic&amp;", which qualifies to select this option for "&amp;TEXT(Data1!$B$452,"0")&amp;" transit points.)",IF(AND(Private_transportation&lt;&gt;"Yes",OR(Demographic="&lt;select one&gt;",Demographic="")),"","(The proposed Development does not qualify to select this option with a Demographic Commitment of "&amp;Demographic&amp;".)"))</f>
        <v>(The proposed Development does not qualify to select this option with a Demographic Commitment of Homeless.)</v>
      </c>
      <c r="G19" s="3101"/>
      <c r="H19" s="3101"/>
      <c r="I19" s="579">
        <f>IF(AND(OR(Demographic="Elderly ALF",Demographic="Elderly Non-ALF"),Private_transportation="Yes"),2,0)</f>
        <v>0</v>
      </c>
      <c r="L19" s="929">
        <f>IF(N18=0,0,IF(AND(Demographic&lt;&gt;"Elderly Non-ALF",Demographic&lt;&gt;"Elderly ALF",Demographic&lt;&gt;"&lt;select one&gt;"),3,IF(OR(County_Size="Small",County_Size="Medium",LGAO_Designation="Yes",LGAO_Documentation="Yes"),3,N18)))</f>
        <v>3</v>
      </c>
      <c r="M19" s="931">
        <f>IF(AND(L19&lt;&gt;0,D19&lt;&gt;"&lt;select one&gt;"),L19,0)</f>
        <v>0</v>
      </c>
      <c r="N19" s="905" t="str">
        <f>CHOOSE(L19+1,"Not to be included in this RFA","A REQUIRED input field for this RFA","An OPTIONAL input field for this RFA","Input is not tracked")</f>
        <v>Input is not tracked</v>
      </c>
    </row>
    <row r="20" spans="3:14" ht="9.75" customHeight="1">
      <c r="F20" s="3101"/>
      <c r="G20" s="3101"/>
      <c r="H20" s="3101"/>
      <c r="I20" s="1039"/>
    </row>
    <row r="21" spans="3:14">
      <c r="C21" s="87" t="str">
        <f>IF(L19=0,"(a)","(b)")</f>
        <v>(b)</v>
      </c>
      <c r="D21" s="941" t="s">
        <v>1087</v>
      </c>
      <c r="G21" s="3003" t="str">
        <f>IF(AND(County="&lt;select one&gt;",OR(Transit_PBS_points&lt;&gt;"",Transit_BTS_points&lt;&gt;"",Transit_PBRTS_points&lt;&gt;"",Transit_Rail_points&lt;&gt;"")),"Please select a County in the Development Location tab.","")</f>
        <v/>
      </c>
      <c r="H21" s="3003"/>
      <c r="I21" s="3003"/>
      <c r="N21" s="268"/>
    </row>
    <row r="22" spans="3:14" ht="10.5" customHeight="1"/>
    <row r="23" spans="3:14" ht="45">
      <c r="E23" s="26" t="s">
        <v>1088</v>
      </c>
      <c r="F23" s="48" t="s">
        <v>1089</v>
      </c>
      <c r="G23" s="48" t="s">
        <v>1090</v>
      </c>
      <c r="H23" s="900" t="s">
        <v>1091</v>
      </c>
      <c r="I23" s="48" t="s">
        <v>1092</v>
      </c>
      <c r="J23" s="29"/>
      <c r="K23" s="29"/>
      <c r="L23" s="1038"/>
      <c r="N23" s="313">
        <v>2</v>
      </c>
    </row>
    <row r="24" spans="3:14" ht="30" customHeight="1">
      <c r="E24" s="95" t="s">
        <v>439</v>
      </c>
      <c r="F24" s="1376"/>
      <c r="G24" s="1376"/>
      <c r="H24" s="1373"/>
      <c r="I24" s="3084"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851"/>
      <c r="L24" s="929">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31">
        <f t="shared" ref="M24:M29" si="0">IF(AND(L24&lt;&gt;0,AND(F24&lt;&gt;"",G24&lt;&gt;"",H24&lt;&gt;"")),L24,0)</f>
        <v>0</v>
      </c>
      <c r="N24" s="1415" t="str">
        <f t="shared" ref="N24:N29" si="1">CHOOSE(L24+1,"Not to be included in this RFA","A REQUIRED input field for this RFA","An OPTIONAL input field for this RFA","Input is not tracked")</f>
        <v>A REQUIRED input field for this RFA</v>
      </c>
    </row>
    <row r="25" spans="3:14" ht="30" customHeight="1">
      <c r="E25" s="95" t="s">
        <v>440</v>
      </c>
      <c r="F25" s="1377"/>
      <c r="G25" s="1377"/>
      <c r="H25" s="1375"/>
      <c r="I25" s="3085"/>
      <c r="K25" s="942"/>
      <c r="L25" s="929">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31">
        <f t="shared" si="0"/>
        <v>0</v>
      </c>
      <c r="N25" s="905" t="str">
        <f t="shared" si="1"/>
        <v>An OPTIONAL input field for this RFA</v>
      </c>
    </row>
    <row r="26" spans="3:14" ht="30" customHeight="1">
      <c r="E26" s="95" t="s">
        <v>441</v>
      </c>
      <c r="F26" s="1377"/>
      <c r="G26" s="1377"/>
      <c r="H26" s="1375"/>
      <c r="I26" s="3086"/>
      <c r="K26" s="942"/>
      <c r="L26" s="929">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31">
        <f t="shared" si="0"/>
        <v>0</v>
      </c>
      <c r="N26" s="905" t="str">
        <f t="shared" si="1"/>
        <v>An OPTIONAL input field for this RFA</v>
      </c>
    </row>
    <row r="27" spans="3:14" ht="30" customHeight="1">
      <c r="E27" s="96" t="s">
        <v>442</v>
      </c>
      <c r="F27" s="1377"/>
      <c r="G27" s="1377"/>
      <c r="H27" s="1375"/>
      <c r="I27" s="1308"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42"/>
      <c r="L27" s="1040">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31">
        <f t="shared" si="0"/>
        <v>0</v>
      </c>
      <c r="N27" s="905" t="str">
        <f t="shared" si="1"/>
        <v>An OPTIONAL input field for this RFA</v>
      </c>
    </row>
    <row r="28" spans="3:14" ht="30" customHeight="1">
      <c r="E28" s="96" t="s">
        <v>443</v>
      </c>
      <c r="F28" s="1377"/>
      <c r="G28" s="1377"/>
      <c r="H28" s="1375"/>
      <c r="I28" s="1308"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42"/>
      <c r="L28" s="1040">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31">
        <f t="shared" si="0"/>
        <v>0</v>
      </c>
      <c r="N28" s="905" t="str">
        <f t="shared" si="1"/>
        <v>An OPTIONAL input field for this RFA</v>
      </c>
    </row>
    <row r="29" spans="3:14" ht="30" customHeight="1">
      <c r="E29" s="96" t="s">
        <v>444</v>
      </c>
      <c r="F29" s="1377"/>
      <c r="G29" s="1377"/>
      <c r="H29" s="1375"/>
      <c r="I29" s="1308"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42"/>
      <c r="L29" s="1040">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31">
        <f t="shared" si="0"/>
        <v>0</v>
      </c>
      <c r="N29" s="905" t="str">
        <f t="shared" si="1"/>
        <v>An OPTIONAL input field for this RFA</v>
      </c>
    </row>
    <row r="30" spans="3:14" ht="7.5" customHeight="1">
      <c r="E30" s="8"/>
      <c r="H30" s="555"/>
      <c r="L30" s="350"/>
      <c r="M30" s="931"/>
    </row>
    <row r="31" spans="3:14" ht="21.75" customHeight="1">
      <c r="E31" s="3097" t="str">
        <f>IF(OR(AND(Private_transportation="Yes",OR(Transit_PBS_points&lt;&gt;"",Transit_BTS_points&lt;&gt;"",Transit_PBRTS_points&lt;&gt;"",Transit_Rail_points&lt;&gt;"")),COUNT(I24:I29)&gt;1),"Only one type of transit may be selected.","This area intentionally left blank.")</f>
        <v>This area intentionally left blank.</v>
      </c>
      <c r="F31" s="3097"/>
      <c r="G31" s="3097"/>
      <c r="H31" s="3097"/>
      <c r="I31" s="3097"/>
    </row>
    <row r="32" spans="3:14" ht="7.5" customHeight="1">
      <c r="E32" s="933"/>
    </row>
    <row r="33" spans="2:16" ht="63.95" customHeight="1">
      <c r="E33" s="3015" t="str">
        <f>IF(Data1!O464&lt;&gt;"","PB Stop 1: "&amp;Data1!O464,"")&amp;IF(AND(Data1!O464&lt;&gt;"",OR(Data1!O465&lt;&gt;"",Data1!O466&lt;&gt;"",Data1!O467&lt;&gt;"",Data1!O468&lt;&gt;"",Data1!O469&lt;&gt;"")),"; ","")&amp;IF(Data1!O465&lt;&gt;"","PB Stop 2: "&amp;Data1!O465,"")&amp;IF(AND(Data1!O465&lt;&gt;"",OR(Data1!O466&lt;&gt;"",Data1!O467&lt;&gt;"",Data1!O468&lt;&gt;"",Data1!O469&lt;&gt;"")),"; ","")&amp;IF(Data1!O466&lt;&gt;"","PB Stop 3: "&amp;Data1!O466,"")&amp;IF(AND(Data1!O466&lt;&gt;"",OR(Data1!O467&lt;&gt;"",Data1!O468&lt;&gt;"",Data1!O469&lt;&gt;"")),"; ","")&amp;IF(Data1!O467&lt;&gt;"","PB Transfer Stop: "&amp;Data1!O467,"")&amp;IF(AND(Data1!O467&lt;&gt;"",OR(Data1!O468&lt;&gt;"",Data1!O469&lt;&gt;"")),"; ","")&amp;IF(Data1!O468&lt;&gt;"","PB Rapid Transit Stop: "&amp;Data1!O468,"")&amp;IF(AND(Data1!O468&lt;&gt;"",Data1!O469&lt;&gt;""),"; ","")&amp;IF(Data1!O469&lt;&gt;"","PB Rail Station: "&amp;Data1!O469,IF(E$31="This area intentionally left blank.","","This area intentionally left blank."))</f>
        <v/>
      </c>
      <c r="F33" s="3015"/>
      <c r="G33" s="3015"/>
      <c r="H33" s="3015"/>
      <c r="I33" s="3015"/>
    </row>
    <row r="34" spans="2:16" ht="10.5" customHeight="1">
      <c r="E34" s="933"/>
    </row>
    <row r="35" spans="2:16" ht="14.45" customHeight="1">
      <c r="C35" s="87" t="str">
        <f>IF(L19=0,"(b)","(c)")</f>
        <v>(c)</v>
      </c>
      <c r="D35" t="s">
        <v>1093</v>
      </c>
      <c r="N35" s="313">
        <v>1</v>
      </c>
    </row>
    <row r="36" spans="2:16" ht="14.45" customHeight="1">
      <c r="D36" t="s">
        <v>1094</v>
      </c>
    </row>
    <row r="37" spans="2:16" ht="17.45" customHeight="1">
      <c r="D37" s="2961" t="s">
        <v>59</v>
      </c>
      <c r="E37" s="2961"/>
      <c r="I37" s="923"/>
      <c r="L37" s="929">
        <f>IF(N35=0,0,IF(OR(County_Size="Small",County_Size="Medium",LGAO_Designation="Yes",LGAO_Documentation="Yes"),3,N35))</f>
        <v>1</v>
      </c>
      <c r="M37" s="931">
        <f>IF(AND(L37&lt;&gt;0,AND(D37&lt;&gt;"&lt;select one&gt;",D37&lt;&gt;"")),L37,0)</f>
        <v>0</v>
      </c>
      <c r="N37" s="1852" t="str">
        <f>CHOOSE(L37+1,"Not to be included in this RFA","A REQUIRED input field for this RFA","An OPTIONAL input field for this RFA","Input is not tracked")</f>
        <v>A REQUIRED input field for this RFA</v>
      </c>
    </row>
    <row r="38" spans="2:16" ht="10.35" customHeight="1"/>
    <row r="39" spans="2:16" ht="14.45" customHeight="1">
      <c r="D39" t="s">
        <v>1095</v>
      </c>
      <c r="N39" s="336" t="str">
        <f>IF(AND(N35=1,O37=0),"Need to enter a 1 in cell N35","")</f>
        <v>Need to enter a 1 in cell N35</v>
      </c>
    </row>
    <row r="40" spans="2:16" ht="30" customHeight="1">
      <c r="D40" s="2951" t="s">
        <v>59</v>
      </c>
      <c r="E40" s="2951"/>
      <c r="F40" s="2951"/>
      <c r="G40" s="2951"/>
      <c r="H40" s="2951"/>
      <c r="I40" s="2951"/>
      <c r="L40" s="929">
        <f>IF(N35=0,0,IF(OR(D37="No",County_Size="Small",County_Size="Medium",LGAO_Designation="Yes",LGAO_Documentation="Yes"),3,IF(D37="Yes",1,L37)))</f>
        <v>1</v>
      </c>
      <c r="M40" s="931">
        <f>IF(AND(L40&lt;&gt;0,AND(D37&lt;&gt;"&lt;select one&gt;",D40&lt;&gt;"&lt;select one&gt;")),L40,0)</f>
        <v>0</v>
      </c>
      <c r="N40" s="905" t="str">
        <f>CHOOSE(L40+1,"Not to be included in this RFA","A REQUIRED input field for this RFA","An OPTIONAL input field for this RFA","Input is not tracked")</f>
        <v>A REQUIRED input field for this RFA</v>
      </c>
    </row>
    <row r="41" spans="2:16" ht="10.35" customHeight="1"/>
    <row r="42" spans="2:16" ht="14.45" customHeight="1">
      <c r="B42" s="1449">
        <f>IF(N45=0,"",MAX(B$4:B41)+1)</f>
        <v>3</v>
      </c>
      <c r="C42" s="941" t="s">
        <v>1096</v>
      </c>
    </row>
    <row r="43" spans="2:16" ht="14.45" customHeight="1">
      <c r="C43" s="2943" t="s">
        <v>1097</v>
      </c>
      <c r="D43" s="2943"/>
      <c r="E43" s="2943"/>
      <c r="F43" s="2943"/>
      <c r="G43" s="2943"/>
      <c r="H43" s="2943"/>
      <c r="I43" s="2943"/>
    </row>
    <row r="44" spans="2:16" ht="10.35" customHeight="1"/>
    <row r="45" spans="2:16" ht="60">
      <c r="E45" s="900" t="s">
        <v>1088</v>
      </c>
      <c r="F45" s="900" t="s">
        <v>1098</v>
      </c>
      <c r="G45" s="900" t="s">
        <v>1099</v>
      </c>
      <c r="H45" s="900" t="s">
        <v>1091</v>
      </c>
      <c r="I45" s="48" t="s">
        <v>1100</v>
      </c>
      <c r="L45" s="1038"/>
      <c r="N45" s="313">
        <v>1</v>
      </c>
      <c r="P45" s="268"/>
    </row>
    <row r="46" spans="2:16" ht="30" customHeight="1">
      <c r="E46" s="95" t="s">
        <v>445</v>
      </c>
      <c r="F46" s="1372"/>
      <c r="G46" s="1372"/>
      <c r="H46" s="1373"/>
      <c r="I46" s="634"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329"/>
      <c r="L46" s="929">
        <f>IF($N$45=0,0,IF(OR(LGAO_Designation="Yes",LGAO_Documentation="Yes",Data1!D$448&gt;=IF(County_Size="Small",Data1!B$464,IF(County_Size="Medium",Data1!B$463,Data1!B$462))),3,IF(Data1!D$448+SUM(I$45:I45)&gt;=IF(County_Size="Small",Data1!B$464,IF(County_Size="Medium",Data1!B$463,Data1!B$462)),3,IF(IF(N(I$46)&gt;0,1,0)+IF(N(I$47)&gt;0,1,0)+IF(N(I$48)&gt;0,1,0)+IF(N(I$49)&gt;0,1,0)&lt;Data1!B$459,IF(OR(COUNTA(E$46:E46)&lt;Data1!B$459+1,N(I46)&gt;0),1,3),IF(IF(N(I$46)&gt;0,1,0)+IF(N(I$47)&gt;0,1,0)+IF(N(I$48)&gt;0,1,0)+IF(N(I$49)&gt;0,1,0)=Data1!B$459,IF(N(I46)&gt;0,1,3),IF(COUNTIF(I$46:I46,"&gt;0")&lt;=Data1!B$459,1,3))))))</f>
        <v>1</v>
      </c>
      <c r="M46" s="931">
        <f>IF(AND(L46&lt;&gt;0,AND(F46&lt;&gt;"",G46&lt;&gt;"",H46&lt;&gt;"")),L46,0)</f>
        <v>0</v>
      </c>
      <c r="N46" s="1415" t="str">
        <f>CHOOSE(L46+1,"Not to be included in this RFA","A REQUIRED input field for this RFA","An OPTIONAL input field for this RFA","Input is not tracked")</f>
        <v>A REQUIRED input field for this RFA</v>
      </c>
    </row>
    <row r="47" spans="2:16" ht="30" customHeight="1">
      <c r="E47" s="95" t="s">
        <v>446</v>
      </c>
      <c r="F47" s="1374"/>
      <c r="G47" s="1374"/>
      <c r="H47" s="1375"/>
      <c r="I47" s="634"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329"/>
      <c r="L47" s="1829">
        <f>IF($N$45=0,0,IF(OR(LGAO_Designation="Yes",LGAO_Documentation="Yes",Data1!D$448&gt;=IF(County_Size="Small",Data1!B$464,IF(County_Size="Medium",Data1!B$463,Data1!B$462))),3,IF(Data1!D$448+SUM(I$45:I46)&gt;=IF(County_Size="Small",Data1!B$464,IF(County_Size="Medium",Data1!B$463,Data1!B$462)),3,IF(IF(N(I$46)&gt;0,1,0)+IF(N(I$47)&gt;0,1,0)+IF(N(I$48)&gt;0,1,0)+IF(N(I$49)&gt;0,1,0)&lt;Data1!B$459,IF(OR(COUNTA(E$46:E47)&lt;Data1!B$459+1,N(I47)&gt;0),1,3),IF(IF(N(I$46)&gt;0,1,0)+IF(N(I$47)&gt;0,1,0)+IF(N(I$48)&gt;0,1,0)+IF(N(I$49)&gt;0,1,0)=Data1!B$459,IF(N(I47)&gt;0,1,3),IF(COUNTIF(I$46:I47,"&gt;0")&lt;=Data1!B$459,1,3))))))</f>
        <v>1</v>
      </c>
      <c r="M47" s="931">
        <f>IF(AND(L47&lt;&gt;0,AND(F47&lt;&gt;"",G47&lt;&gt;"",H47&lt;&gt;"")),L47,0)</f>
        <v>0</v>
      </c>
      <c r="N47" s="1415" t="str">
        <f>CHOOSE(L47+1,"Not to be included in this RFA","A REQUIRED input field for this RFA","An OPTIONAL input field for this RFA","Input is not tracked")</f>
        <v>A REQUIRED input field for this RFA</v>
      </c>
      <c r="P47" s="268"/>
    </row>
    <row r="48" spans="2:16" ht="30" customHeight="1">
      <c r="E48" s="95" t="s">
        <v>447</v>
      </c>
      <c r="F48" s="1374"/>
      <c r="G48" s="1374"/>
      <c r="H48" s="1375"/>
      <c r="I48" s="634"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329"/>
      <c r="L48" s="1829">
        <f>IF($N$45=0,0,IF(OR(LGAO_Designation="Yes",LGAO_Documentation="Yes",Data1!D$448&gt;=IF(County_Size="Small",Data1!B$464,IF(County_Size="Medium",Data1!B$463,Data1!B$462))),3,IF(Data1!D$448+SUM(I$45:I47)&gt;=IF(County_Size="Small",Data1!B$464,IF(County_Size="Medium",Data1!B$463,Data1!B$462)),3,IF(IF(N(I$46)&gt;0,1,0)+IF(N(I$47)&gt;0,1,0)+IF(N(I$48)&gt;0,1,0)+IF(N(I$49)&gt;0,1,0)&lt;Data1!B$459,IF(OR(COUNTA(E$46:E48)&lt;Data1!B$459+1,N(I48)&gt;0),1,3),IF(IF(N(I$46)&gt;0,1,0)+IF(N(I$47)&gt;0,1,0)+IF(N(I$48)&gt;0,1,0)+IF(N(I$49)&gt;0,1,0)=Data1!B$459,IF(N(I48)&gt;0,1,3),IF(COUNTIF(I$46:I48,"&gt;0")&lt;=Data1!B$459,1,3))))))</f>
        <v>1</v>
      </c>
      <c r="M48" s="931">
        <f>IF(AND(L48&lt;&gt;0,AND(F48&lt;&gt;"",G48&lt;&gt;"",H48&lt;&gt;"")),L48,0)</f>
        <v>0</v>
      </c>
      <c r="N48" s="1415" t="str">
        <f>CHOOSE(L48+1,"Not to be included in this RFA","A REQUIRED input field for this RFA","An OPTIONAL input field for this RFA","Input is not tracked")</f>
        <v>A REQUIRED input field for this RFA</v>
      </c>
    </row>
    <row r="49" spans="1:17" ht="30" customHeight="1">
      <c r="E49" s="95" t="s">
        <v>438</v>
      </c>
      <c r="F49" s="1374"/>
      <c r="G49" s="1374"/>
      <c r="H49" s="1375"/>
      <c r="I49" s="634"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329"/>
      <c r="L49" s="1829">
        <f>IF($N$45=0,0,IF(OR(LGAO_Designation="Yes",LGAO_Documentation="Yes",Data1!D$448&gt;=IF(County_Size="Small",Data1!B$464,IF(County_Size="Medium",Data1!B$463,Data1!B$462))),3,IF(Data1!D$448+SUM(I$45:I48)&gt;=IF(County_Size="Small",Data1!B$464,IF(County_Size="Medium",Data1!B$463,Data1!B$462)),3,IF(IF(N(I$46)&gt;0,1,0)+IF(N(I$47)&gt;0,1,0)+IF(N(I$48)&gt;0,1,0)+IF(N(I$49)&gt;0,1,0)&lt;Data1!B$459,IF(OR(COUNTA(E$46:E49)&lt;Data1!B$459+1,N(I49)&gt;0),1,3),IF(IF(N(I$46)&gt;0,1,0)+IF(N(I$47)&gt;0,1,0)+IF(N(I$48)&gt;0,1,0)+IF(N(I$49)&gt;0,1,0)=Data1!B$459,IF(N(I49)&gt;0,1,3),IF(COUNTIF(I$46:I49,"&gt;0")&lt;=Data1!B$459,1,3))))))</f>
        <v>3</v>
      </c>
      <c r="M49" s="931">
        <f>IF(AND(L49&lt;&gt;0,AND(F49&lt;&gt;"",G49&lt;&gt;"",H49&lt;&gt;"")),L49,0)</f>
        <v>0</v>
      </c>
      <c r="N49" s="1415" t="str">
        <f>CHOOSE(L49+1,"Not to be included in this RFA","A REQUIRED input field for this RFA","An OPTIONAL input field for this RFA","Input is not tracked")</f>
        <v>Input is not tracked</v>
      </c>
      <c r="Q49" s="268"/>
    </row>
    <row r="50" spans="1:17" ht="20.100000000000001" customHeight="1">
      <c r="E50" s="6" t="str">
        <f>IF(AND(Grocery_points&lt;&gt;"",Medical_points&lt;&gt;"",Pharmacy_points&lt;&gt;"",School_points&lt;&gt;""),"Only three Community Services may be selected.","")</f>
        <v/>
      </c>
      <c r="K50" s="1329"/>
    </row>
    <row r="51" spans="1:17" ht="63.75" customHeight="1">
      <c r="B51" s="2943" t="s">
        <v>1101</v>
      </c>
      <c r="C51" s="2943"/>
      <c r="D51" s="2943"/>
      <c r="E51" s="2943"/>
      <c r="F51" s="2943"/>
      <c r="G51" s="2943"/>
      <c r="H51" s="2943"/>
      <c r="I51" s="2943"/>
      <c r="N51" s="905"/>
    </row>
    <row r="52" spans="1:17" ht="10.35" customHeight="1"/>
    <row r="53" spans="1:17" ht="14.45" customHeight="1">
      <c r="A53" s="543" t="str" cm="1">
        <f t="array" ref="A53">IF($L55+$L58=0,"",IFERROR(CHAR(CODE(LOOKUP(2,1/(COUNTIF(A$3:A52,"&gt;"&amp;A$3:A52&amp;"*")=0),A$3:A52))+1),CHAR(CODE(LOOKUP(2,1/(COUNTIF('Development Location'!A$3:A37,"&gt;"&amp;'Development Location'!A$3:A37&amp;"*")=0),'Development Location'!A$3:A37))+1)))</f>
        <v>f</v>
      </c>
      <c r="B53" s="87" t="s">
        <v>1102</v>
      </c>
      <c r="C53" s="25"/>
    </row>
    <row r="54" spans="1:17">
      <c r="B54" s="3098" t="s">
        <v>1103</v>
      </c>
      <c r="C54" s="3098"/>
      <c r="D54" s="3098"/>
      <c r="E54" s="3098"/>
      <c r="F54" s="3098"/>
      <c r="G54" s="3098"/>
      <c r="H54" s="3098"/>
      <c r="I54" s="3098"/>
    </row>
    <row r="55" spans="1:17" ht="17.45" customHeight="1">
      <c r="B55" s="2961" t="s">
        <v>59</v>
      </c>
      <c r="C55" s="2961"/>
      <c r="D55" s="2961"/>
      <c r="E55" s="2961"/>
      <c r="F55" s="3096" t="str">
        <f>IF(LDA_Notice&lt;&gt;"LDA","","LDA Developments do not automatically qualify.")</f>
        <v/>
      </c>
      <c r="G55" s="3096"/>
      <c r="H55" s="3096"/>
      <c r="I55" s="3096"/>
      <c r="L55" s="929">
        <f>IF(OR(LGAO_Designation="Yes",LGAO_Documentation="Yes",SunRail_Goal="Yes"),3,O55)</f>
        <v>2</v>
      </c>
      <c r="M55" s="931">
        <f>IF(AND(L55&lt;&gt;0,AND(B55&lt;&gt;"&lt;select one&gt;",B55&lt;&gt;"")),L55,0)</f>
        <v>0</v>
      </c>
      <c r="N55" s="1415" t="str">
        <f>CHOOSE(L55+1,"Not to be included in this RFA","A REQUIRED input field for this RFA","An OPTIONAL input field for this RFA","Input is not tracked")</f>
        <v>An OPTIONAL input field for this RFA</v>
      </c>
      <c r="O55" s="953">
        <v>2</v>
      </c>
    </row>
    <row r="56" spans="1:17" ht="9" customHeight="1"/>
    <row r="57" spans="1:17" ht="49.35" customHeight="1">
      <c r="B57" s="2943" t="s">
        <v>1104</v>
      </c>
      <c r="C57" s="2943"/>
      <c r="D57" s="2943"/>
      <c r="E57" s="2943"/>
      <c r="F57" s="2943"/>
      <c r="G57" s="2943"/>
      <c r="H57" s="2943"/>
      <c r="I57" s="2943"/>
      <c r="L57" s="239"/>
      <c r="M57" s="239"/>
      <c r="N57" s="239"/>
      <c r="O57" s="239"/>
    </row>
    <row r="58" spans="1:17" ht="17.45" customHeight="1">
      <c r="B58" s="3087" t="s">
        <v>59</v>
      </c>
      <c r="C58" s="3087"/>
      <c r="D58" s="3087"/>
      <c r="E58" s="3087"/>
      <c r="L58" s="2388">
        <f>IF(L55=0,0,O58)</f>
        <v>1</v>
      </c>
      <c r="M58" s="931">
        <f>IF(AND(L58&lt;&gt;0,AND(B58&lt;&gt;"&lt;select one&gt;",B58&lt;&gt;"")),L58,0)</f>
        <v>0</v>
      </c>
      <c r="N58" s="1415" t="str">
        <f>CHOOSE(L58+1,"Not to be included in this RFA","A REQUIRED input field for this RFA","An OPTIONAL input field for this RFA","Input is not tracked")</f>
        <v>A REQUIRED input field for this RFA</v>
      </c>
      <c r="O58" s="1539">
        <v>1</v>
      </c>
    </row>
    <row r="59" spans="1:17" ht="10.35" customHeight="1"/>
    <row r="60" spans="1:17" ht="45" customHeight="1">
      <c r="B60" s="2943" t="s">
        <v>1105</v>
      </c>
      <c r="C60" s="2943"/>
      <c r="D60" s="2943"/>
      <c r="E60" s="2943"/>
      <c r="F60" s="2943"/>
      <c r="G60" s="2943"/>
      <c r="H60" s="2943"/>
      <c r="I60" s="2943"/>
    </row>
    <row r="61" spans="1:17" ht="17.45" customHeight="1">
      <c r="B61" s="2961" t="s">
        <v>59</v>
      </c>
      <c r="C61" s="2961"/>
      <c r="D61" s="2961"/>
      <c r="E61" s="2961"/>
      <c r="F61" s="2961"/>
      <c r="G61" s="589"/>
      <c r="H61" s="3082"/>
      <c r="I61" s="3082"/>
      <c r="L61" s="929">
        <f>IF(B58="Yes",1,IF(L55=0,0,O61))</f>
        <v>3</v>
      </c>
      <c r="M61" s="931">
        <f>IF(AND(L61&lt;&gt;0,B61&lt;&gt;"&lt;select one&gt;"),L61,0)</f>
        <v>0</v>
      </c>
      <c r="N61" s="905" t="str">
        <f>CHOOSE(L61+1,"Not to be included in this RFA","A REQUIRED input field for this RFA","An OPTIONAL input field for this RFA","Input is not tracked")</f>
        <v>Input is not tracked</v>
      </c>
      <c r="O61" s="953">
        <v>3</v>
      </c>
    </row>
    <row r="62" spans="1:17" ht="17.45" customHeight="1">
      <c r="B62" s="3081" t="s">
        <v>59</v>
      </c>
      <c r="C62" s="3081"/>
      <c r="D62" s="3081"/>
      <c r="E62" s="3081"/>
      <c r="F62" s="3081"/>
      <c r="G62" s="589"/>
      <c r="H62" s="3082"/>
      <c r="I62" s="3082"/>
    </row>
    <row r="63" spans="1:17" ht="17.45" customHeight="1">
      <c r="B63" s="3081" t="s">
        <v>59</v>
      </c>
      <c r="C63" s="3081"/>
      <c r="D63" s="3081"/>
      <c r="E63" s="3081"/>
      <c r="F63" s="3081"/>
      <c r="G63" s="589"/>
      <c r="H63" s="3082"/>
      <c r="I63" s="3082"/>
      <c r="L63" s="3080"/>
      <c r="M63" s="3080"/>
      <c r="N63" s="3080"/>
      <c r="O63" s="3080"/>
    </row>
    <row r="64" spans="1:17" ht="17.45" customHeight="1">
      <c r="B64" s="3081" t="s">
        <v>59</v>
      </c>
      <c r="C64" s="3081"/>
      <c r="D64" s="3081"/>
      <c r="E64" s="3081"/>
      <c r="F64" s="3081"/>
      <c r="G64" s="589"/>
      <c r="H64" s="3082"/>
      <c r="I64" s="3082"/>
      <c r="L64" s="931"/>
      <c r="M64" s="931"/>
      <c r="N64" s="905"/>
    </row>
    <row r="65" spans="1:15" ht="17.45" customHeight="1">
      <c r="B65" s="3088" t="s">
        <v>59</v>
      </c>
      <c r="C65" s="3088"/>
      <c r="D65" s="3088"/>
      <c r="E65" s="3088"/>
      <c r="F65" s="3088"/>
      <c r="G65" s="589"/>
      <c r="H65" s="3082"/>
      <c r="I65" s="3082"/>
      <c r="L65" s="931"/>
      <c r="M65" s="931"/>
      <c r="N65" s="905"/>
    </row>
    <row r="66" spans="1:15" ht="10.35" customHeight="1"/>
    <row r="67" spans="1:15" ht="17.45" customHeight="1">
      <c r="A67" s="339" t="str" cm="1">
        <f t="array" ref="A67">IF($L67=0,"",CHAR(CODE(LOOKUP(2,1/(COUNTIF(A$3:A66,"&gt;"&amp;A$3:A66&amp;"*")=0),A$3:A66))+1))</f>
        <v>g</v>
      </c>
      <c r="B67" s="25" t="s">
        <v>2167</v>
      </c>
      <c r="L67" s="1701">
        <f>IF(COUNTIF(DS_LDA_Listed,"=Yes")&gt;0,IF(O67&gt;0,2,0),0)</f>
        <v>2</v>
      </c>
      <c r="M67" s="1479">
        <f>IF(AND(L67&lt;&gt;0,AND(B67&lt;&gt;"&lt;select one&gt;",B67&lt;&gt;"")),L67,0)</f>
        <v>2</v>
      </c>
      <c r="N67" s="1476" t="str">
        <f>CHOOSE(L67+1,"Not to be included in this RFA","A REQUIRED input field for this RFA","An OPTIONAL input field for this RFA","Input is not tracked")</f>
        <v>An OPTIONAL input field for this RFA</v>
      </c>
      <c r="O67" s="1703">
        <v>2</v>
      </c>
    </row>
    <row r="68" spans="1:15" ht="17.45" customHeight="1">
      <c r="B68" s="1476" t="s">
        <v>1782</v>
      </c>
      <c r="H68" s="3092" t="str">
        <f>IF(IFERROR(VLOOKUP(County,DS_LDA_Counties,13),"No")="Yes","Yes",IF(County="&lt;select one&gt;","Select a County","No"))</f>
        <v>Select a County</v>
      </c>
      <c r="I68" s="3092"/>
      <c r="J68" s="1329"/>
    </row>
    <row r="69" spans="1:15" ht="10.35" customHeight="1"/>
    <row r="70" spans="1:15">
      <c r="A70" s="339" t="str" cm="1">
        <f t="array" ref="A70">IF($L72=0,"",CHAR(CODE(LOOKUP(2,1/(COUNTIF(A$3:A69,"&gt;"&amp;A$3:A69&amp;"*")=0),A$3:A69))+1))</f>
        <v>h</v>
      </c>
      <c r="B70" s="25" t="s">
        <v>1106</v>
      </c>
      <c r="C70" s="25"/>
    </row>
    <row r="71" spans="1:15" ht="14.45" customHeight="1">
      <c r="B71" s="2806" t="s">
        <v>1107</v>
      </c>
      <c r="C71" s="2806"/>
      <c r="D71" s="2806"/>
      <c r="E71" s="2806"/>
      <c r="F71" s="2806"/>
      <c r="G71" s="2806"/>
      <c r="H71" s="2806"/>
      <c r="I71" s="2806"/>
    </row>
    <row r="72" spans="1:15" ht="35.1" customHeight="1">
      <c r="B72" s="3008" t="s">
        <v>59</v>
      </c>
      <c r="C72" s="3008"/>
      <c r="D72" s="3008"/>
      <c r="E72" s="3008"/>
      <c r="F72" s="2942" t="str" cm="1">
        <f t="array" ref="F72">IF(RECAP&lt;&gt;"Yes","","Eligibility for funding is "&amp;IF(OR(RECAP_Except_1="Yes",RECAP_Except_2="Yes"),"","NOT ")&amp;"met from the responses below"&amp;IF(AND(RECAP_Except_1="No",RECAP_Except_2="Yes"),", subject to verification of RFA criteria.","."))</f>
        <v/>
      </c>
      <c r="G72" s="2942"/>
      <c r="H72" s="2942"/>
      <c r="I72" s="2942"/>
      <c r="L72" s="929">
        <f>IF(OR(LGAO_Designation="Yes",LGAO_Documentation="Yes",SunRail_Goal="Yes",Development_Category="Redevelopment",Development_Category="Acquisition and Redevelopment"),3,O72)</f>
        <v>2</v>
      </c>
      <c r="M72" s="931">
        <f>IF(AND(L72&lt;&gt;0,AND(B72&lt;&gt;"&lt;select one&gt;",B72&lt;&gt;"")),L72,0)</f>
        <v>0</v>
      </c>
      <c r="N72" s="905" t="str">
        <f>CHOOSE(L72+1,"Not to be included in this RFA","A REQUIRED input field for this RFA","An OPTIONAL input field for this RFA","Input is not tracked")</f>
        <v>An OPTIONAL input field for this RFA</v>
      </c>
      <c r="O72" s="953">
        <v>2</v>
      </c>
    </row>
    <row r="73" spans="1:15" ht="10.35" customHeight="1"/>
    <row r="74" spans="1:15" ht="35.1" customHeight="1">
      <c r="B74" s="2132" t="str">
        <f>IF(1&lt;2,"(1)","")</f>
        <v>(1)</v>
      </c>
      <c r="C74" s="2943" t="s">
        <v>2169</v>
      </c>
      <c r="D74" s="2943"/>
      <c r="E74" s="2943"/>
      <c r="F74" s="2943"/>
      <c r="G74" s="2943"/>
      <c r="H74" s="2943"/>
      <c r="I74" s="1515" t="str">
        <f>IF(RECAP&lt;&gt;"Yes","",IF(AND(Development_Category="New Construction",Development_SubCategory="Redevelopment (w/ or w/o Acquisition)",Data1!B224="Yes")=TRUE,"Yes","No"))</f>
        <v/>
      </c>
      <c r="N74" s="1514">
        <v>2</v>
      </c>
    </row>
    <row r="75" spans="1:15" ht="7.35" customHeight="1">
      <c r="B75" s="79"/>
      <c r="C75" s="1475"/>
      <c r="D75" s="1475"/>
      <c r="E75" s="1475"/>
      <c r="F75" s="1475"/>
      <c r="G75" s="1475"/>
      <c r="H75" s="1475"/>
      <c r="I75" s="1516"/>
    </row>
    <row r="76" spans="1:15" ht="60" customHeight="1">
      <c r="B76" s="2132" t="str">
        <f>IF(1&lt;2,"(2)","")</f>
        <v>(2)</v>
      </c>
      <c r="C76" s="2943" t="s">
        <v>2170</v>
      </c>
      <c r="D76" s="2943"/>
      <c r="E76" s="2943"/>
      <c r="F76" s="2943"/>
      <c r="G76" s="2943"/>
      <c r="H76" s="2943"/>
      <c r="I76" s="1635" t="s">
        <v>59</v>
      </c>
      <c r="L76" s="1474">
        <f>IF(L72=0,0,IF(RECAP&lt;&gt;"Yes",3,IF(RECAP_Except_1="No",1,2)))</f>
        <v>3</v>
      </c>
      <c r="M76" s="1479">
        <f>IF(L76&lt;&gt;0,L76,0)</f>
        <v>3</v>
      </c>
      <c r="N76" s="1476" t="str">
        <f>CHOOSE(L76+1,"Not to be included in this RFA","A REQUIRED input field for this RFA","An OPTIONAL input field for this RFA","Input is not tracked")</f>
        <v>Input is not tracked</v>
      </c>
    </row>
    <row r="77" spans="1:15" ht="10.35" customHeight="1"/>
    <row r="78" spans="1:15" ht="15" customHeight="1">
      <c r="A78" s="339" t="str" cm="1">
        <f t="array" ref="A78">IF($L79=0,"",CHAR(CODE(LOOKUP(2,1/(COUNTIF(A$3:A77,"&gt;"&amp;A$3:A77&amp;"*")=0),A$3:A77))+1))</f>
        <v>i</v>
      </c>
      <c r="B78" s="25" t="s">
        <v>1108</v>
      </c>
      <c r="C78" s="25"/>
      <c r="L78" s="1715" t="s">
        <v>2295</v>
      </c>
      <c r="N78" s="1714"/>
    </row>
    <row r="79" spans="1:15" ht="17.45" customHeight="1">
      <c r="B79" s="2132" t="str">
        <f>IF(1&lt;2,"(1)","")</f>
        <v>(1)</v>
      </c>
      <c r="C79" s="941" t="s">
        <v>1109</v>
      </c>
      <c r="D79" s="941"/>
      <c r="E79" s="941"/>
      <c r="F79" s="941"/>
      <c r="G79" s="941"/>
      <c r="H79" s="2970" t="s">
        <v>59</v>
      </c>
      <c r="I79" s="2970"/>
      <c r="L79" s="953">
        <v>2</v>
      </c>
      <c r="M79" s="931">
        <f>IF(AND(L79&lt;&gt;0,AND(H79&lt;&gt;"&lt;select one&gt;",H79&lt;&gt;"")),L79,0)</f>
        <v>0</v>
      </c>
      <c r="N79" s="905" t="str">
        <f>CHOOSE(L79+1,"Not to be included in this RFA","A REQUIRED input field for this RFA","An OPTIONAL input field for this RFA","Input is not tracked")</f>
        <v>An OPTIONAL input field for this RFA</v>
      </c>
    </row>
    <row r="80" spans="1:15" ht="7.35" customHeight="1">
      <c r="B80" s="2132"/>
      <c r="C80" s="1560"/>
      <c r="D80" s="1560"/>
      <c r="E80" s="1560"/>
      <c r="F80" s="1560"/>
      <c r="G80" s="1560"/>
      <c r="H80" s="1568"/>
      <c r="I80" s="1568"/>
      <c r="L80" s="1564"/>
      <c r="M80" s="1558"/>
      <c r="N80" s="1557"/>
    </row>
    <row r="81" spans="1:15" ht="65.099999999999994" customHeight="1">
      <c r="B81" s="2132" t="str">
        <f>IF(1&lt;2,"(2)","")</f>
        <v>(2)</v>
      </c>
      <c r="C81" s="2943" t="s">
        <v>2002</v>
      </c>
      <c r="D81" s="2943"/>
      <c r="E81" s="2943"/>
      <c r="F81" s="2943"/>
      <c r="G81" s="2943"/>
      <c r="H81" s="1562" t="s">
        <v>59</v>
      </c>
      <c r="I81" s="971" t="str">
        <f>IFERROR(VLOOKUP(UrbanCenter_Name,Data2!$EA$93:$EB$103,2),"")</f>
        <v>Tier</v>
      </c>
      <c r="L81" s="929">
        <f>IF(UrbanCenter="Yes",1,L79)</f>
        <v>2</v>
      </c>
      <c r="M81" s="931"/>
      <c r="N81" s="905" t="str">
        <f>CHOOSE(L81+1,"Not to be included in this RFA","A REQUIRED input field for this RFA","An OPTIONAL input field for this RFA","Input is not tracked")</f>
        <v>An OPTIONAL input field for this RFA</v>
      </c>
    </row>
    <row r="82" spans="1:15" ht="17.45" customHeight="1">
      <c r="C82" s="879" t="s">
        <v>1110</v>
      </c>
    </row>
    <row r="83" spans="1:15" ht="10.35" customHeight="1"/>
    <row r="84" spans="1:15" ht="15" customHeight="1">
      <c r="A84" s="339"/>
      <c r="B84" s="25" t="s">
        <v>1995</v>
      </c>
      <c r="C84" s="25"/>
      <c r="L84" s="1715" t="s">
        <v>2295</v>
      </c>
    </row>
    <row r="85" spans="1:15" ht="17.45" customHeight="1">
      <c r="B85" s="2386" t="str">
        <f>IF(1&lt;2,"(3)","")</f>
        <v>(3)</v>
      </c>
      <c r="C85" s="1341" t="s">
        <v>1996</v>
      </c>
      <c r="D85" s="1341"/>
      <c r="E85" s="1341"/>
      <c r="F85" s="1341"/>
      <c r="G85" s="1341"/>
      <c r="H85" s="2970" t="s">
        <v>59</v>
      </c>
      <c r="I85" s="2970"/>
      <c r="L85" s="1343">
        <v>2</v>
      </c>
      <c r="M85" s="1337">
        <f>IF(AND(L85&lt;&gt;0,AND(H85&lt;&gt;"&lt;select one&gt;",H85&lt;&gt;"")),L85,0)</f>
        <v>0</v>
      </c>
      <c r="N85" s="1335" t="str">
        <f>CHOOSE(L85+1,"Not to be included in this RFA","A REQUIRED input field for this RFA","An OPTIONAL input field for this RFA","Input is not tracked")</f>
        <v>An OPTIONAL input field for this RFA</v>
      </c>
    </row>
    <row r="86" spans="1:15" ht="7.35" customHeight="1">
      <c r="B86" s="79"/>
      <c r="C86" s="1560"/>
      <c r="D86" s="1560"/>
      <c r="E86" s="1560"/>
      <c r="F86" s="1560"/>
      <c r="G86" s="1565"/>
      <c r="H86" s="1569"/>
      <c r="I86" s="1569"/>
      <c r="L86" s="1566"/>
      <c r="M86" s="1558"/>
      <c r="N86" s="1557"/>
    </row>
    <row r="87" spans="1:15" ht="50.1" customHeight="1">
      <c r="B87" s="2130" t="str">
        <f>IF(1&lt;2,"(4)","")</f>
        <v>(4)</v>
      </c>
      <c r="C87" s="3104" t="s">
        <v>2003</v>
      </c>
      <c r="D87" s="3104"/>
      <c r="E87" s="3104"/>
      <c r="F87" s="3104"/>
      <c r="G87" s="3104"/>
      <c r="H87" s="1562" t="s">
        <v>59</v>
      </c>
      <c r="I87" s="1567" t="str">
        <f>IFERROR(VLOOKUP(MetroRail_Name,Data2!DV93:DW116,2),"")</f>
        <v>Tier</v>
      </c>
      <c r="L87" s="1338">
        <f>IF(MetroRail="Yes",1,L85)</f>
        <v>2</v>
      </c>
      <c r="M87" s="1337"/>
      <c r="N87" s="1335" t="str">
        <f>CHOOSE(L87+1,"Not to be included in this RFA","A REQUIRED input field for this RFA","An OPTIONAL input field for this RFA","Input is not tracked")</f>
        <v>An OPTIONAL input field for this RFA</v>
      </c>
    </row>
    <row r="88" spans="1:15" ht="10.35" customHeight="1"/>
    <row r="89" spans="1:15" ht="15" customHeight="1">
      <c r="A89" s="544" t="str" cm="1">
        <f t="array" ref="A89">IF($N91=0,"",CHAR(CODE(LOOKUP(2,1/(COUNTIF(A$3:A88,"&gt;"&amp;A$3:A88&amp;"*")=0),A$3:A88))+1))</f>
        <v>j</v>
      </c>
      <c r="B89" s="25" t="s">
        <v>1781</v>
      </c>
    </row>
    <row r="90" spans="1:15" ht="7.35" customHeight="1"/>
    <row r="91" spans="1:15" ht="17.25" customHeight="1">
      <c r="B91" s="2806" t="s">
        <v>1782</v>
      </c>
      <c r="C91" s="2806"/>
      <c r="D91" s="2806"/>
      <c r="E91" s="2806"/>
      <c r="F91" s="2806"/>
      <c r="G91" s="2806"/>
      <c r="H91" s="3066" t="str">
        <f>IF(LDA_Notice="LDA","Yes","No")</f>
        <v>No</v>
      </c>
      <c r="I91" s="3066"/>
      <c r="J91" s="1329"/>
      <c r="N91" s="1716">
        <f>IF(COUNTIF(DS_LDA_Listed,"=Yes")&gt;0,IF(O91&gt;0,2,0),0)</f>
        <v>2</v>
      </c>
      <c r="O91" s="1703">
        <v>2</v>
      </c>
    </row>
    <row r="92" spans="1:15" ht="7.35" customHeight="1">
      <c r="A92" s="1329"/>
      <c r="B92" s="1447"/>
      <c r="C92" s="1447"/>
      <c r="D92" s="1447"/>
      <c r="E92" s="1447"/>
      <c r="F92" s="1447"/>
      <c r="G92" s="1447"/>
      <c r="H92" s="1663"/>
      <c r="I92" s="1663"/>
    </row>
    <row r="93" spans="1:15" ht="17.45" customHeight="1">
      <c r="B93" s="6" t="s">
        <v>1111</v>
      </c>
      <c r="C93" s="6"/>
      <c r="D93" s="6"/>
      <c r="E93" s="6"/>
      <c r="F93" s="6"/>
      <c r="G93" s="6"/>
      <c r="H93" s="769">
        <f>IF(E31="Only one type of transit may be selected.","too many Transit Services",IF(Private_transportation="Yes",Data1!B452,0)+SUM(I24:I29))</f>
        <v>0</v>
      </c>
    </row>
    <row r="94" spans="1:15" ht="17.45" customHeight="1">
      <c r="B94" s="6" t="s">
        <v>1112</v>
      </c>
      <c r="C94" s="6"/>
      <c r="D94" s="6"/>
      <c r="E94" s="6"/>
      <c r="F94" s="6"/>
      <c r="G94" s="6"/>
      <c r="H94" s="807">
        <f>IF(E50="Only three Community Services may be selected.","too many Comm. Services",SUM(I46:I49))</f>
        <v>0</v>
      </c>
    </row>
    <row r="95" spans="1:15" ht="17.45" customHeight="1" thickBot="1">
      <c r="B95" s="6" t="s">
        <v>1113</v>
      </c>
      <c r="C95" s="6"/>
      <c r="D95" s="6"/>
      <c r="E95" s="6"/>
      <c r="F95" s="6"/>
      <c r="G95" s="6"/>
      <c r="H95" s="770">
        <f>IF(PHA_Prox_boost="Yes",Data1!B448,IF(RD_Prox_boost="Yes",Data1!B449,0))</f>
        <v>0</v>
      </c>
    </row>
    <row r="96" spans="1:15" ht="7.5" customHeight="1" thickTop="1">
      <c r="H96" s="24"/>
    </row>
    <row r="97" spans="2:17">
      <c r="B97" s="25" t="s">
        <v>1114</v>
      </c>
      <c r="H97" s="966">
        <f>SUM(H93:H95)</f>
        <v>0</v>
      </c>
    </row>
    <row r="98" spans="2:17" ht="10.35" customHeight="1">
      <c r="H98" s="24"/>
    </row>
    <row r="99" spans="2:17" ht="30.95" customHeight="1">
      <c r="B99" s="2806" t="s">
        <v>1115</v>
      </c>
      <c r="C99" s="2806"/>
      <c r="D99" s="2806"/>
      <c r="E99" s="2806"/>
      <c r="F99" s="2806"/>
      <c r="G99" s="2806"/>
      <c r="H99" s="1350" t="str">
        <f>IF(OR(LGAO_Designation="Yes",LGAO_Documentation="Yes"),"Yes","No")</f>
        <v>No</v>
      </c>
      <c r="I99" s="24"/>
      <c r="J99" s="6"/>
      <c r="M99" s="931"/>
      <c r="N99" s="768">
        <v>0</v>
      </c>
      <c r="Q99" s="317"/>
    </row>
    <row r="100" spans="2:17" ht="34.9" customHeight="1">
      <c r="B100" s="2806" t="s">
        <v>1675</v>
      </c>
      <c r="C100" s="2806"/>
      <c r="D100" s="2806"/>
      <c r="E100" s="2806"/>
      <c r="F100" s="2806"/>
      <c r="G100" s="2806"/>
      <c r="H100" s="1350" t="str">
        <f>IF(AND(SunRail_Goal="Yes",SunRail_Name&lt;&gt;"&lt;select one&gt;",Transit_Rail_distance&lt;=0.5),"Yes","No")</f>
        <v>No</v>
      </c>
      <c r="N100" s="768">
        <v>0</v>
      </c>
      <c r="Q100" s="268"/>
    </row>
    <row r="101" spans="2:17" ht="50.1" customHeight="1">
      <c r="B101" s="2806" t="s">
        <v>1116</v>
      </c>
      <c r="C101" s="2806"/>
      <c r="D101" s="2806"/>
      <c r="E101" s="2806"/>
      <c r="F101" s="2806"/>
      <c r="G101" s="2806"/>
      <c r="H101" s="1054" t="str">
        <f>IF(DS_ExcelCheckbox_LGAO_Prior_App_1YR=TRUE,"Yes","No")</f>
        <v>No</v>
      </c>
      <c r="N101" s="768">
        <v>0</v>
      </c>
    </row>
    <row r="102" spans="2:17" ht="50.1" customHeight="1">
      <c r="B102" s="3105" t="s">
        <v>2780</v>
      </c>
      <c r="C102" s="3105"/>
      <c r="D102" s="3105"/>
      <c r="E102" s="3105"/>
      <c r="F102" s="3105"/>
      <c r="G102" s="3105"/>
      <c r="H102" s="1349" t="str">
        <f>IF(OR(AND(UrbanCenter="Yes",UrbanCenter_Name&lt;&gt;"&lt;select one&gt;",N(Transit_PBS_points)+N(Transit_BTS_points)+N(Transit_PBRTS_points)+N(Transit_Rail_points)&gt;=5),AND(MetroRail="Yes",MetroRail_Name&lt;&gt;"&lt;select one&gt;",N(Transit_Rail_points)&gt;=5.5)),"Yes","No")</f>
        <v>No</v>
      </c>
      <c r="N102" s="768">
        <v>0</v>
      </c>
    </row>
    <row r="103" spans="2:17" ht="35.1" customHeight="1">
      <c r="B103" s="883" t="s">
        <v>1846</v>
      </c>
      <c r="C103" s="883"/>
      <c r="D103" s="883"/>
      <c r="E103" s="883"/>
      <c r="F103" s="883"/>
      <c r="G103" s="883"/>
      <c r="H103" s="884"/>
      <c r="N103" s="768">
        <v>0</v>
      </c>
    </row>
    <row r="104" spans="2:17">
      <c r="B104" s="484"/>
      <c r="C104" s="484"/>
      <c r="D104" s="484"/>
      <c r="E104" s="484"/>
      <c r="F104" s="484"/>
      <c r="G104" s="484"/>
      <c r="H104" s="590"/>
    </row>
    <row r="105" spans="2:17" ht="30.95" customHeight="1">
      <c r="B105" s="2806" t="s">
        <v>1117</v>
      </c>
      <c r="C105" s="2806"/>
      <c r="D105" s="2806"/>
      <c r="E105" s="2806"/>
      <c r="F105" s="2806"/>
      <c r="G105" s="2806"/>
      <c r="H105" s="971" t="str">
        <f>IF(OR(County_Size="Medium",County_Size="Small",AND(N99=1,H99="Yes"),AND(N100=1,H100="Yes"),AND(N103=1,H103="Yes")),"Yes - automatically",IF(AND(OR(PHA_Prox_boost="Yes",RD_Prox_boost="Yes"),transit_points_achieved&gt;=Data1!B470),"Yes",IF(transit_points_achieved&gt;=Data1!B471,"Yes","No")))</f>
        <v>No</v>
      </c>
      <c r="N105" s="768">
        <v>1</v>
      </c>
    </row>
    <row r="106" spans="2:17" ht="30.95" customHeight="1">
      <c r="B106" s="2806" t="s">
        <v>1118</v>
      </c>
      <c r="C106" s="2806"/>
      <c r="D106" s="2806"/>
      <c r="E106" s="2806"/>
      <c r="F106" s="2806"/>
      <c r="G106" s="2806"/>
      <c r="H106" s="971" t="str">
        <f>IF(OR(AND(N99=1,H99="Yes"),AND(N100=1,H100="Yes"),AND(N103=1,H103="Yes")),"Yes - automatically",IF(AND(County_Size="Small",total_proximity_points_achieved&gt;=Data1!B464),"Yes",IF(AND(County_Size="Medium",total_proximity_points_achieved&gt;=Data1!B463),"Yes",IF(AND(County_Size="Large",total_proximity_points_achieved&gt;=Data1!B462),"Yes","No"))))</f>
        <v>No</v>
      </c>
      <c r="N106" s="768">
        <v>1</v>
      </c>
    </row>
    <row r="107" spans="2:17" ht="30.95" customHeight="1">
      <c r="B107" s="2806" t="s">
        <v>1119</v>
      </c>
      <c r="C107" s="2806"/>
      <c r="D107" s="2806"/>
      <c r="E107" s="2806"/>
      <c r="F107" s="2806"/>
      <c r="G107" s="2806"/>
      <c r="H107" s="966" t="str">
        <f>IF(AND(County_Size="Small",total_proximity_points_achieved&gt;=Data1!B468),"Yes",IF(AND(County_Size="Medium",total_proximity_points_achieved&gt;=Data1!B467),"Yes",IF(AND(County_Size="Large",total_proximity_points_achieved&gt;=Data1!B466),"Yes","No")))</f>
        <v>No</v>
      </c>
      <c r="N107" s="768">
        <v>1</v>
      </c>
    </row>
    <row r="108" spans="2:17" ht="30.95" customHeight="1">
      <c r="B108" s="2806" t="s">
        <v>2401</v>
      </c>
      <c r="C108" s="2806"/>
      <c r="D108" s="2806"/>
      <c r="E108" s="2806"/>
      <c r="F108" s="2806"/>
      <c r="G108" s="2806"/>
      <c r="H108" s="291">
        <f>total_proximity_points_achieved-PHA_or_RD_points_achieved</f>
        <v>0</v>
      </c>
      <c r="N108" s="768">
        <v>1</v>
      </c>
    </row>
    <row r="109" spans="2:17" ht="10.35" customHeight="1"/>
  </sheetData>
  <sheetProtection algorithmName="SHA-512" hashValue="DI9Um8mvtaAX1Q/qz94IFUGRnb++AE9UTJy+G12UbkdGujyA1ixKsEl8z78bTI3F50KLdapRjQmYzvDvT58uTw==" saltValue="nURWtfPrrzTodQnWDO4rFw==" spinCount="100000" sheet="1" selectLockedCells="1"/>
  <mergeCells count="62">
    <mergeCell ref="B105:G105"/>
    <mergeCell ref="B99:G99"/>
    <mergeCell ref="B71:I71"/>
    <mergeCell ref="B100:G100"/>
    <mergeCell ref="C81:G81"/>
    <mergeCell ref="H79:I79"/>
    <mergeCell ref="C87:G87"/>
    <mergeCell ref="H85:I85"/>
    <mergeCell ref="B102:G102"/>
    <mergeCell ref="F72:I72"/>
    <mergeCell ref="B72:E72"/>
    <mergeCell ref="H91:I91"/>
    <mergeCell ref="B91:G91"/>
    <mergeCell ref="C74:H74"/>
    <mergeCell ref="C76:H76"/>
    <mergeCell ref="A1:I1"/>
    <mergeCell ref="D6:H6"/>
    <mergeCell ref="D7:E7"/>
    <mergeCell ref="B54:I54"/>
    <mergeCell ref="B57:I57"/>
    <mergeCell ref="I5:I9"/>
    <mergeCell ref="D18:H18"/>
    <mergeCell ref="F19:H20"/>
    <mergeCell ref="I17:I18"/>
    <mergeCell ref="I10:I11"/>
    <mergeCell ref="H68:I68"/>
    <mergeCell ref="I2:I4"/>
    <mergeCell ref="H64:I64"/>
    <mergeCell ref="H65:I65"/>
    <mergeCell ref="L3:O3"/>
    <mergeCell ref="H61:I61"/>
    <mergeCell ref="B60:I60"/>
    <mergeCell ref="D37:E37"/>
    <mergeCell ref="D10:H10"/>
    <mergeCell ref="D19:E19"/>
    <mergeCell ref="E33:I33"/>
    <mergeCell ref="F55:I55"/>
    <mergeCell ref="E31:I31"/>
    <mergeCell ref="C16:I16"/>
    <mergeCell ref="D11:E11"/>
    <mergeCell ref="G21:I21"/>
    <mergeCell ref="K1:AD2"/>
    <mergeCell ref="B108:G108"/>
    <mergeCell ref="B101:G101"/>
    <mergeCell ref="B107:G107"/>
    <mergeCell ref="I24:I26"/>
    <mergeCell ref="B106:G106"/>
    <mergeCell ref="B64:F64"/>
    <mergeCell ref="B55:E55"/>
    <mergeCell ref="B58:E58"/>
    <mergeCell ref="B51:I51"/>
    <mergeCell ref="C43:I43"/>
    <mergeCell ref="B65:F65"/>
    <mergeCell ref="B63:F63"/>
    <mergeCell ref="D40:I40"/>
    <mergeCell ref="B61:F61"/>
    <mergeCell ref="N12:N15"/>
    <mergeCell ref="L63:O63"/>
    <mergeCell ref="B62:F62"/>
    <mergeCell ref="H62:I62"/>
    <mergeCell ref="H63:I63"/>
    <mergeCell ref="H8:H9"/>
  </mergeCells>
  <conditionalFormatting sqref="F46:H49 F24:H29">
    <cfRule type="cellIs" dxfId="879" priority="84" operator="notEqual">
      <formula>""</formula>
    </cfRule>
  </conditionalFormatting>
  <conditionalFormatting sqref="D7 D11 D19 D37 B55 B58 B72 H79:I79 H85:I85">
    <cfRule type="cellIs" dxfId="878" priority="20" operator="notEqual">
      <formula>"&lt;select one&gt;"</formula>
    </cfRule>
  </conditionalFormatting>
  <conditionalFormatting sqref="B54:I54 B56:I56 B55:F55">
    <cfRule type="expression" dxfId="877" priority="92">
      <formula>$L$55=0</formula>
    </cfRule>
  </conditionalFormatting>
  <conditionalFormatting sqref="B57:I66">
    <cfRule type="expression" dxfId="876" priority="94">
      <formula>$L$58=0</formula>
    </cfRule>
  </conditionalFormatting>
  <conditionalFormatting sqref="A70:I77">
    <cfRule type="expression" dxfId="875" priority="31">
      <formula>$L$72=0</formula>
    </cfRule>
  </conditionalFormatting>
  <conditionalFormatting sqref="B43:I52 C42:I42">
    <cfRule type="expression" dxfId="874" priority="83">
      <formula>$N$45=0</formula>
    </cfRule>
  </conditionalFormatting>
  <conditionalFormatting sqref="B17:I20">
    <cfRule type="expression" dxfId="873" priority="55">
      <formula>$N$18=0</formula>
    </cfRule>
  </conditionalFormatting>
  <conditionalFormatting sqref="B14:I16 B17:H17">
    <cfRule type="expression" dxfId="872" priority="53">
      <formula>AND($N$18=0,$N$23=0)</formula>
    </cfRule>
  </conditionalFormatting>
  <conditionalFormatting sqref="B21:I30">
    <cfRule type="expression" dxfId="871" priority="66">
      <formula>$N$23=0</formula>
    </cfRule>
  </conditionalFormatting>
  <conditionalFormatting sqref="B24:I29">
    <cfRule type="expression" dxfId="870" priority="70">
      <formula>$L24=0</formula>
    </cfRule>
  </conditionalFormatting>
  <conditionalFormatting sqref="B5:H7 B8:G8">
    <cfRule type="expression" dxfId="869" priority="37">
      <formula>$L$7=0</formula>
    </cfRule>
  </conditionalFormatting>
  <conditionalFormatting sqref="B10:I13">
    <cfRule type="expression" dxfId="868" priority="48">
      <formula>$L$11=0</formula>
    </cfRule>
  </conditionalFormatting>
  <conditionalFormatting sqref="B4:H5">
    <cfRule type="expression" dxfId="867" priority="33">
      <formula>$L$7+$L$11=0</formula>
    </cfRule>
  </conditionalFormatting>
  <conditionalFormatting sqref="E31 E33">
    <cfRule type="expression" dxfId="866" priority="72">
      <formula>AND($E31&lt;&gt;"This area intentionally left blank.",$E31&lt;&gt;"")</formula>
    </cfRule>
  </conditionalFormatting>
  <conditionalFormatting sqref="F24:I29">
    <cfRule type="expression" dxfId="865" priority="71">
      <formula>$D$19="Yes"</formula>
    </cfRule>
  </conditionalFormatting>
  <conditionalFormatting sqref="E50:G50">
    <cfRule type="expression" dxfId="864" priority="85">
      <formula>$E50="Only three Community Services may be selected."</formula>
    </cfRule>
  </conditionalFormatting>
  <conditionalFormatting sqref="H105:H106">
    <cfRule type="expression" dxfId="863" priority="198">
      <formula>AND($H105="No",OR($H$93&lt;&gt;0,$H$94&lt;&gt;0,$H$95&lt;&gt;0))</formula>
    </cfRule>
    <cfRule type="expression" dxfId="862" priority="1709">
      <formula>AND($H105="No",$H$93=0,$H$94=0,$H$95=0)</formula>
    </cfRule>
  </conditionalFormatting>
  <conditionalFormatting sqref="F19 I19:I20">
    <cfRule type="expression" dxfId="861" priority="63">
      <formula>AND(FIND("does not qualify",$F19),Private_transportation="Yes")</formula>
    </cfRule>
  </conditionalFormatting>
  <conditionalFormatting sqref="B35:I41">
    <cfRule type="expression" dxfId="860" priority="38">
      <formula>$N$35=0</formula>
    </cfRule>
  </conditionalFormatting>
  <conditionalFormatting sqref="B60:I65">
    <cfRule type="expression" dxfId="859" priority="95">
      <formula>$L$61=0</formula>
    </cfRule>
  </conditionalFormatting>
  <conditionalFormatting sqref="B3:H3">
    <cfRule type="expression" dxfId="858" priority="32">
      <formula>AND($L$7=0,$L$11=0,$L$19=0,$N$23=0,$N$45=0)</formula>
    </cfRule>
  </conditionalFormatting>
  <conditionalFormatting sqref="C18:D18">
    <cfRule type="expression" dxfId="857" priority="59">
      <formula>AND(Demographic&lt;&gt;"Elderly Non-ALF",Demographic&lt;&gt;"Elderly ALF",Demographic&lt;&gt;"&lt;select one&gt;")</formula>
    </cfRule>
  </conditionalFormatting>
  <conditionalFormatting sqref="D19:E19">
    <cfRule type="expression" dxfId="856" priority="62">
      <formula>AND(Demographic&lt;&gt;"Elderly Non-ALF",Demographic&lt;&gt;"Elderly ALF",Demographic&lt;&gt;"&lt;select one&gt;")</formula>
    </cfRule>
  </conditionalFormatting>
  <conditionalFormatting sqref="A99:I103 A105:I108">
    <cfRule type="expression" dxfId="855" priority="1">
      <formula>$N99=0</formula>
    </cfRule>
  </conditionalFormatting>
  <conditionalFormatting sqref="E31:I31 E33:I33">
    <cfRule type="cellIs" dxfId="854" priority="73" operator="equal">
      <formula>"This area intentionally left blank."</formula>
    </cfRule>
  </conditionalFormatting>
  <conditionalFormatting sqref="G21:I21">
    <cfRule type="cellIs" dxfId="853" priority="67" operator="notEqual">
      <formula>""</formula>
    </cfRule>
  </conditionalFormatting>
  <conditionalFormatting sqref="A84:I88">
    <cfRule type="expression" dxfId="852" priority="137">
      <formula>$L$85=0</formula>
    </cfRule>
  </conditionalFormatting>
  <conditionalFormatting sqref="H81">
    <cfRule type="expression" dxfId="851" priority="21">
      <formula>AND(UrbanCenter="Yes",UrbanCenter_Name&lt;&gt;"&lt;select one&gt;",UrbanCenter_Name&lt;&gt;"")</formula>
    </cfRule>
    <cfRule type="expression" dxfId="850" priority="22">
      <formula>AND(UrbanCenter&lt;&gt;"Yes",UrbanCenter_Name&lt;&gt;"&lt;select one&gt;")</formula>
    </cfRule>
    <cfRule type="expression" dxfId="849" priority="26">
      <formula>UrbanCenter&lt;&gt;"Yes"</formula>
    </cfRule>
    <cfRule type="expression" dxfId="848" priority="44">
      <formula>AND($H$79="Yes",$H$81="&lt;select one&gt;")</formula>
    </cfRule>
  </conditionalFormatting>
  <conditionalFormatting sqref="H79:I79">
    <cfRule type="expression" dxfId="847" priority="18">
      <formula>AND(UrbanCenter&lt;&gt;"Yes",UrbanCenter_Name&lt;&gt;"&lt;select one&gt;")</formula>
    </cfRule>
  </conditionalFormatting>
  <conditionalFormatting sqref="E23:I29">
    <cfRule type="expression" dxfId="846" priority="69">
      <formula>$D$19="Yes"</formula>
    </cfRule>
  </conditionalFormatting>
  <conditionalFormatting sqref="B81:G82">
    <cfRule type="expression" dxfId="845" priority="144">
      <formula>UrbanCenter&lt;&gt;"Yes"</formula>
    </cfRule>
  </conditionalFormatting>
  <conditionalFormatting sqref="D12:H12">
    <cfRule type="expression" dxfId="844" priority="49">
      <formula>RD_Prox_boost&lt;&gt;"Yes"</formula>
    </cfRule>
  </conditionalFormatting>
  <conditionalFormatting sqref="D8:G8">
    <cfRule type="expression" dxfId="843" priority="46">
      <formula>PHA_Prox_boost&lt;&gt;"Yes"</formula>
    </cfRule>
  </conditionalFormatting>
  <conditionalFormatting sqref="D39:I40">
    <cfRule type="expression" dxfId="842" priority="80">
      <formula>SunRail_Goal&lt;&gt;"Yes"</formula>
    </cfRule>
  </conditionalFormatting>
  <conditionalFormatting sqref="B100:G100">
    <cfRule type="expression" dxfId="841" priority="1342">
      <formula>$N100=0</formula>
    </cfRule>
  </conditionalFormatting>
  <conditionalFormatting sqref="B101:G101">
    <cfRule type="expression" dxfId="840" priority="1343">
      <formula>$N101=0</formula>
    </cfRule>
  </conditionalFormatting>
  <conditionalFormatting sqref="H93:H94">
    <cfRule type="expression" dxfId="839" priority="178">
      <formula>LEFT(H93,3)="too"</formula>
    </cfRule>
  </conditionalFormatting>
  <conditionalFormatting sqref="H99:H102">
    <cfRule type="cellIs" dxfId="838" priority="1080" operator="equal">
      <formula>"No"</formula>
    </cfRule>
  </conditionalFormatting>
  <conditionalFormatting sqref="H107">
    <cfRule type="cellIs" dxfId="837" priority="3201" operator="equal">
      <formula>"No"</formula>
    </cfRule>
  </conditionalFormatting>
  <conditionalFormatting sqref="I5:I11">
    <cfRule type="expression" dxfId="836" priority="35">
      <formula>AND(Boost_Points=0,$L$7=0)</formula>
    </cfRule>
    <cfRule type="expression" dxfId="835" priority="36">
      <formula>AND(Boost_Points=0,$L$7&gt;0)</formula>
    </cfRule>
  </conditionalFormatting>
  <conditionalFormatting sqref="I17">
    <cfRule type="expression" dxfId="834" priority="57">
      <formula>$N$23=0</formula>
    </cfRule>
  </conditionalFormatting>
  <conditionalFormatting sqref="H7">
    <cfRule type="expression" dxfId="833" priority="45">
      <formula>PHA_Prox_boost&lt;&gt;"Yes"</formula>
    </cfRule>
  </conditionalFormatting>
  <conditionalFormatting sqref="I17:I19">
    <cfRule type="expression" dxfId="832" priority="58">
      <formula>$I$19=0</formula>
    </cfRule>
  </conditionalFormatting>
  <conditionalFormatting sqref="I12">
    <cfRule type="expression" dxfId="831" priority="9">
      <formula>$L$11=0</formula>
    </cfRule>
    <cfRule type="expression" dxfId="830" priority="51">
      <formula>Boost_Points=0</formula>
    </cfRule>
  </conditionalFormatting>
  <conditionalFormatting sqref="I5:I13">
    <cfRule type="expression" dxfId="829" priority="10">
      <formula>$L$7+$L$11=0</formula>
    </cfRule>
  </conditionalFormatting>
  <conditionalFormatting sqref="B42">
    <cfRule type="expression" dxfId="828" priority="82">
      <formula>AND($N$18=0,$N$23=0)</formula>
    </cfRule>
  </conditionalFormatting>
  <conditionalFormatting sqref="D7:E7 D11:E11 D19:E19 D37:E37 D40:I40 B55:E55 B58:E58 B61:F65 B72:E72 H81 H79:I79 H85:I85 H87">
    <cfRule type="cellIs" dxfId="827" priority="16" operator="equal">
      <formula>""</formula>
    </cfRule>
  </conditionalFormatting>
  <conditionalFormatting sqref="B53:I53">
    <cfRule type="expression" dxfId="826" priority="91">
      <formula>$L$55+$L$58=0</formula>
    </cfRule>
  </conditionalFormatting>
  <conditionalFormatting sqref="B87:G87">
    <cfRule type="expression" dxfId="825" priority="141">
      <formula>MetroRail&lt;&gt;"Yes"</formula>
    </cfRule>
  </conditionalFormatting>
  <conditionalFormatting sqref="H85:I85">
    <cfRule type="expression" dxfId="824" priority="19">
      <formula>AND(MetroRail&lt;&gt;"Yes",MetroRail_Name&lt;&gt;"&lt;select one&gt;")</formula>
    </cfRule>
  </conditionalFormatting>
  <conditionalFormatting sqref="H87">
    <cfRule type="expression" dxfId="823" priority="146">
      <formula>AND(MetroRail="Yes",MetroRail_Name&lt;&gt;"&lt;select one&gt;",MetroRail_Name&lt;&gt;"")</formula>
    </cfRule>
    <cfRule type="expression" dxfId="822" priority="151">
      <formula>AND(MetroRail&lt;&gt;"Yes",MetroRail_Name&lt;&gt;"&lt;select one&gt;")</formula>
    </cfRule>
    <cfRule type="expression" dxfId="821" priority="168">
      <formula>MetroRail&lt;&gt;"Yes"</formula>
    </cfRule>
    <cfRule type="expression" dxfId="820" priority="171">
      <formula>AND($H$85="Yes",$H$87="&lt;select one&gt;")</formula>
    </cfRule>
  </conditionalFormatting>
  <conditionalFormatting sqref="A78:I83">
    <cfRule type="expression" dxfId="819" priority="17">
      <formula>$L$79=0</formula>
    </cfRule>
  </conditionalFormatting>
  <conditionalFormatting sqref="F72:I72">
    <cfRule type="expression" dxfId="818" priority="105">
      <formula>IFERROR(FIND("NOT",$F72),0)&gt;0</formula>
    </cfRule>
  </conditionalFormatting>
  <conditionalFormatting sqref="B55:E55">
    <cfRule type="expression" dxfId="817" priority="93">
      <formula>AND($B$55="Yes",LDA_Notice="LDA")</formula>
    </cfRule>
  </conditionalFormatting>
  <conditionalFormatting sqref="A89:I92">
    <cfRule type="expression" dxfId="816" priority="172">
      <formula>$N$91=0</formula>
    </cfRule>
  </conditionalFormatting>
  <conditionalFormatting sqref="H91:I91">
    <cfRule type="cellIs" dxfId="815" priority="176" operator="equal">
      <formula>""</formula>
    </cfRule>
  </conditionalFormatting>
  <conditionalFormatting sqref="A67:I69">
    <cfRule type="expression" dxfId="814" priority="99">
      <formula>$L$67=0</formula>
    </cfRule>
  </conditionalFormatting>
  <conditionalFormatting sqref="A74:I77">
    <cfRule type="expression" dxfId="813" priority="102">
      <formula>$N$74=0</formula>
    </cfRule>
  </conditionalFormatting>
  <conditionalFormatting sqref="B74:I74">
    <cfRule type="expression" dxfId="812" priority="117">
      <formula>RECAP&lt;&gt;"Yes"</formula>
    </cfRule>
  </conditionalFormatting>
  <conditionalFormatting sqref="I76">
    <cfRule type="expression" dxfId="811" priority="2">
      <formula>AND(OR(RECAP&lt;&gt;"Yes",Selected_Goal&lt;&gt;"a. Local Government Area of Opportunity Designation Goal"),RECAP_Except_2&lt;&gt;"&lt;select one&gt;")</formula>
    </cfRule>
    <cfRule type="expression" dxfId="810" priority="30">
      <formula>AND(RECAP="Yes",Selected_Goal="a. Local Government Area of Opportunity Designation Goal",RECAP_Except_2&lt;&gt;"&lt;select one&gt;")</formula>
    </cfRule>
    <cfRule type="expression" dxfId="809" priority="116">
      <formula>AND(RECAP&lt;&gt;"Yes",Selected_Goal&lt;&gt;"a. Local Government Area of Opportunity Designation Goal")</formula>
    </cfRule>
  </conditionalFormatting>
  <conditionalFormatting sqref="N12:N15">
    <cfRule type="cellIs" dxfId="808" priority="115" operator="greaterThan">
      <formula>0</formula>
    </cfRule>
  </conditionalFormatting>
  <conditionalFormatting sqref="L78 L84">
    <cfRule type="expression" dxfId="807" priority="39">
      <formula>$L79=1</formula>
    </cfRule>
  </conditionalFormatting>
  <conditionalFormatting sqref="D40:I40">
    <cfRule type="expression" dxfId="806" priority="75">
      <formula>AND(SunRail_Goal="Yes",SunRail_Name&lt;&gt;"&lt;select one&gt;")</formula>
    </cfRule>
    <cfRule type="expression" dxfId="805" priority="76">
      <formula>AND(SunRail_Goal&lt;&gt;"Yes",SunRail_Name="&lt;select one&gt;")</formula>
    </cfRule>
    <cfRule type="expression" dxfId="804" priority="78">
      <formula>AND(SunRail_Goal&lt;&gt;"Yes",SunRail_Name&lt;&gt;"&lt;select one&gt;")</formula>
    </cfRule>
  </conditionalFormatting>
  <conditionalFormatting sqref="B61:F65">
    <cfRule type="expression" dxfId="803" priority="27">
      <formula>AND(Proximity_list_related="Yes",$B61&lt;&gt;"&lt;select one&gt;")</formula>
    </cfRule>
    <cfRule type="expression" dxfId="802" priority="96">
      <formula>AND(Proximity_list_related&lt;&gt;"Yes",$B61&lt;&gt;"&lt;select one&gt;")</formula>
    </cfRule>
    <cfRule type="expression" dxfId="801" priority="98">
      <formula>AND(Proximity_list_related&lt;&gt;"Yes",$B61="&lt;select one&gt;")</formula>
    </cfRule>
  </conditionalFormatting>
  <conditionalFormatting sqref="N18 N23 N35 N45 N74 N99:N103">
    <cfRule type="cellIs" dxfId="800" priority="34" operator="equal">
      <formula>0</formula>
    </cfRule>
  </conditionalFormatting>
  <conditionalFormatting sqref="B76:I76">
    <cfRule type="expression" dxfId="799" priority="131">
      <formula>AND(RECAP&lt;&gt;"Yes",Selected_Goal&lt;&gt;"a. Local Government Area of Opportunity Designation Goal")</formula>
    </cfRule>
  </conditionalFormatting>
  <conditionalFormatting sqref="B60">
    <cfRule type="expression" dxfId="798" priority="29">
      <formula>Proximity_list_related&lt;&gt;"Yes"</formula>
    </cfRule>
  </conditionalFormatting>
  <conditionalFormatting sqref="I81">
    <cfRule type="expression" dxfId="797" priority="23">
      <formula>AND(UrbanCenter&lt;&gt;"Yes",UrbanCenter_Name&lt;&gt;"&lt;select one&gt;")</formula>
    </cfRule>
    <cfRule type="expression" dxfId="796" priority="24">
      <formula>AND(UrbanCenter_Name&lt;&gt;"&lt;select one&gt;",UrbanCenter_Name&lt;&gt;"")</formula>
    </cfRule>
    <cfRule type="expression" dxfId="795" priority="25">
      <formula>OR(UrbanCenter_Name="&lt;select one&gt;",UrbanCenter_Name="")</formula>
    </cfRule>
  </conditionalFormatting>
  <conditionalFormatting sqref="I87">
    <cfRule type="expression" dxfId="794" priority="157">
      <formula>AND(MetroRail&lt;&gt;"Yes",MetroRail_Name&lt;&gt;"&lt;select one&gt;")</formula>
    </cfRule>
    <cfRule type="expression" dxfId="793" priority="158">
      <formula>AND(MetroRail_Name&lt;&gt;"&lt;select one&gt;",MetroRail_Name&lt;&gt;"")</formula>
    </cfRule>
    <cfRule type="expression" dxfId="792" priority="166">
      <formula>OR(MetroRail_Name="&lt;select one&gt;",MetroRail_Name="")</formula>
    </cfRule>
  </conditionalFormatting>
  <conditionalFormatting sqref="H8:H9">
    <cfRule type="expression" dxfId="791" priority="14">
      <formula>AND($L$11=0,Boost_Points=0)</formula>
    </cfRule>
    <cfRule type="expression" dxfId="790" priority="15">
      <formula>AND($L$11=0,Boost_Points&gt;0)</formula>
    </cfRule>
  </conditionalFormatting>
  <conditionalFormatting sqref="I5:I9">
    <cfRule type="expression" dxfId="789" priority="12">
      <formula>AND($L$7=0,Boost_Points&gt;0)</formula>
    </cfRule>
  </conditionalFormatting>
  <conditionalFormatting sqref="I2:I4">
    <cfRule type="expression" dxfId="788" priority="11">
      <formula>AND($L$7=0,Boost_Points&gt;0)</formula>
    </cfRule>
    <cfRule type="expression" dxfId="787" priority="13">
      <formula>AND($L$7=0,Boost_Points=0)</formula>
    </cfRule>
  </conditionalFormatting>
  <conditionalFormatting sqref="G9">
    <cfRule type="expression" dxfId="786" priority="5">
      <formula>AND(Boost_Points=0,$L$11=0)</formula>
    </cfRule>
    <cfRule type="expression" dxfId="785" priority="8">
      <formula>$L$11&gt;0</formula>
    </cfRule>
  </conditionalFormatting>
  <conditionalFormatting sqref="N8:N9">
    <cfRule type="expression" dxfId="784" priority="4">
      <formula>$L$11&gt;0</formula>
    </cfRule>
  </conditionalFormatting>
  <conditionalFormatting sqref="N105:N108">
    <cfRule type="cellIs" dxfId="783" priority="3" operator="equal">
      <formula>0</formula>
    </cfRule>
  </conditionalFormatting>
  <dataValidations count="3">
    <dataValidation type="list" allowBlank="1" showInputMessage="1" showErrorMessage="1" sqref="D7 D11 D19 B58 B55 B72 D37 H85:I85 H79:I79"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 stopIfTrue="1" id="{B6D96654-0174-4CF4-860E-95150DC59E6C}">
            <xm:f>Data1!$E$820="Yes"</xm:f>
            <x14:dxf>
              <font>
                <color theme="0"/>
              </font>
              <fill>
                <patternFill>
                  <bgColor theme="0"/>
                </patternFill>
              </fill>
              <border>
                <left/>
                <right/>
                <top/>
                <bottom/>
              </border>
            </x14:dxf>
          </x14:cfRule>
          <xm:sqref>L4:O110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460CE84D-871E-4003-A32B-B775CF098A69}">
          <x14:formula1>
            <xm:f>Data2!$EA$93:$EA$103</xm:f>
          </x14:formula1>
          <xm:sqref>H81</xm:sqref>
        </x14:dataValidation>
        <x14:dataValidation type="list" allowBlank="1" showInputMessage="1" showErrorMessage="1" xr:uid="{5F3738E2-F091-48BE-A5D7-B9741B24DBEA}">
          <x14:formula1>
            <xm:f>Data2!$DV$93:$DV$116</xm:f>
          </x14:formula1>
          <xm:sqref>H87</xm:sqref>
        </x14:dataValidation>
        <x14:dataValidation type="list" allowBlank="1" showInputMessage="1" showErrorMessage="1" xr:uid="{2ACEFF71-0D30-4E53-8C75-FCD6BDFC6675}">
          <x14:formula1>
            <xm:f>Data2!$EA$12:$EA$87</xm:f>
          </x14:formula1>
          <xm:sqref>B61:F65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201"/>
  <sheetViews>
    <sheetView showGridLines="0" zoomScale="110" zoomScaleNormal="110" zoomScaleSheetLayoutView="90" workbookViewId="0">
      <pane ySplit="2" topLeftCell="A3" activePane="bottomLeft" state="frozen"/>
      <selection activeCell="L364" sqref="L364:N364"/>
      <selection pane="bottomLeft" activeCell="K3" sqref="K3"/>
    </sheetView>
  </sheetViews>
  <sheetFormatPr defaultColWidth="8.5703125" defaultRowHeight="15"/>
  <cols>
    <col min="1" max="1" width="3" customWidth="1"/>
    <col min="2" max="3" width="3.5703125" customWidth="1"/>
    <col min="4" max="4" width="4.42578125" customWidth="1"/>
    <col min="5" max="5" width="7.5703125" customWidth="1"/>
    <col min="6" max="6" width="14.5703125" customWidth="1"/>
    <col min="7" max="7" width="10.140625" customWidth="1"/>
    <col min="8" max="8" width="12.42578125" customWidth="1"/>
    <col min="9" max="9" width="14.5703125" customWidth="1"/>
    <col min="10" max="10" width="23.5703125" customWidth="1"/>
    <col min="11" max="11" width="14" customWidth="1"/>
    <col min="12" max="12" width="8.7109375" customWidth="1"/>
    <col min="13" max="13" width="3.5703125" customWidth="1"/>
    <col min="14" max="15" width="3.5703125" hidden="1" customWidth="1"/>
    <col min="16" max="16" width="35.7109375" hidden="1" customWidth="1"/>
    <col min="17" max="17" width="3.5703125" hidden="1" customWidth="1"/>
    <col min="18" max="19" width="0" hidden="1" customWidth="1"/>
  </cols>
  <sheetData>
    <row r="1" spans="1:32" ht="35.85" customHeight="1" thickBot="1">
      <c r="A1" s="2979" t="s">
        <v>1120</v>
      </c>
      <c r="B1" s="2980"/>
      <c r="C1" s="2980"/>
      <c r="D1" s="2980"/>
      <c r="E1" s="2980"/>
      <c r="F1" s="2980"/>
      <c r="G1" s="2980"/>
      <c r="H1" s="2980"/>
      <c r="I1" s="2980"/>
      <c r="J1" s="2980"/>
      <c r="K1" s="2981"/>
      <c r="M1" s="3157" t="str">
        <f>"There are "&amp;TEXT(COUNTIF($N$3:$N$196,"=1"),"0")&amp;" required input fields and "&amp;TEXT(COUNTIF($N$3:$N$196,"=2"),"0")&amp;" optional input fields tracked tracked on this tab."&amp;CHAR(10)&amp;"There "&amp;IF(COUNTIFS($N$3:$N$196,"=1",$O$3:$O$196,"=1")=1,"is 1 required input field","are "&amp;TEXT(COUNTIFS($N$3:$N$196,"=1",$O$3:$O$196,"=1"),"0")&amp;" required input fields")&amp;" and "&amp;TEXT(COUNTIFS($N$3:$N$196,"=2",$O$3:$O$196,"=2"),"0")&amp;" optional input field"&amp;IF(COUNTIFS($N$3:$N$196,"=2",$O$3:$O$196,"=2")=1," with an entry","s with entries")&amp;" tracked tracked on this tab."&amp;CHAR(10)&amp;"There "&amp;IF(Data1!G821=1,"is ","are ")&amp;TEXT(Data1!G821,"0")&amp;" required input field"&amp;IF(Data1!G821=1,"s that need an entry","s that need entries")&amp;" and "&amp;TEXT(Data1!H821,"0")&amp;" optional input field"&amp;IF(Data1!H821=1," that may or may not need an entry","s that may or may not need entries")&amp;" tracked tracked on this tab."</f>
        <v>There are 5 required input fields and 0 optional input fields tracked tracked on this tab.
There are 0 required input fields and 0 optional input fields with entries tracked tracked on this tab.
There are 5 required input fields that need entries and 0 optional input fields that may or may not need entries tracked tracked on this tab.</v>
      </c>
      <c r="N1" s="3157"/>
      <c r="O1" s="3157"/>
      <c r="P1" s="3157"/>
      <c r="Q1" s="3157"/>
      <c r="R1" s="3157"/>
      <c r="S1" s="3157"/>
      <c r="T1" s="3157"/>
      <c r="U1" s="3157"/>
      <c r="V1" s="3157"/>
      <c r="W1" s="3157"/>
      <c r="X1" s="3157"/>
      <c r="Y1" s="3157"/>
      <c r="Z1" s="3157"/>
      <c r="AA1" s="3157"/>
      <c r="AB1" s="3157"/>
      <c r="AC1" s="3157"/>
      <c r="AD1" s="3157"/>
      <c r="AE1" s="3157"/>
      <c r="AF1" s="3157"/>
    </row>
    <row r="2" spans="1:32" ht="24" customHeight="1">
      <c r="M2" s="3157"/>
      <c r="N2" s="3157"/>
      <c r="O2" s="3157"/>
      <c r="P2" s="3157"/>
      <c r="Q2" s="3157"/>
      <c r="R2" s="3157"/>
      <c r="S2" s="3157"/>
      <c r="T2" s="3157"/>
      <c r="U2" s="3157"/>
      <c r="V2" s="3157"/>
      <c r="W2" s="3157"/>
      <c r="X2" s="3157"/>
      <c r="Y2" s="3157"/>
      <c r="Z2" s="3157"/>
      <c r="AA2" s="3157"/>
      <c r="AB2" s="3157"/>
      <c r="AC2" s="3157"/>
      <c r="AD2" s="3157"/>
      <c r="AE2" s="3157"/>
      <c r="AF2" s="3157"/>
    </row>
    <row r="3" spans="1:32" ht="30" customHeight="1">
      <c r="A3" s="85" t="s">
        <v>955</v>
      </c>
      <c r="B3" s="2944" t="str">
        <f>"Enter the total number of units in the proposed Development upon completion"&amp;IF(AND(P20&lt;&gt;0,Link_Classification&lt;&gt;Data1!$A$16)," of the Development that is the subject of this Application",IF(AND(P20&lt;&gt;0,Link_Classification=Data1!$A$16)," (includes the total for the New Development and the Reconstructed Development)",""))&amp;":"</f>
        <v>Enter the total number of units in the proposed Development upon completion:</v>
      </c>
      <c r="C3" s="2944"/>
      <c r="D3" s="2944"/>
      <c r="E3" s="2944"/>
      <c r="F3" s="2944"/>
      <c r="G3" s="2944"/>
      <c r="H3" s="2944"/>
      <c r="I3" s="2944"/>
      <c r="J3" s="2944"/>
      <c r="K3" s="2088"/>
      <c r="L3" s="6"/>
      <c r="M3" s="6"/>
      <c r="N3" s="2197">
        <v>1</v>
      </c>
      <c r="O3" s="2193">
        <f>IF(AND(N3&lt;&gt;0,'Units, Set-Asides, Bldgs'!K3&lt;&gt;""),N3,0)</f>
        <v>0</v>
      </c>
      <c r="P3" s="2192" t="str">
        <f>CHOOSE(N3+1,"Not to be included in this RFA","A REQUIRED input field for this RFA","An OPTIONAL input field for this RFA","Not tracked in this RFA")</f>
        <v>A REQUIRED input field for this RFA</v>
      </c>
    </row>
    <row r="4" spans="1:32" ht="35.1" customHeight="1">
      <c r="A4" s="43"/>
      <c r="C4" s="3104" t="str" cm="1">
        <f t="array" aca="1" ref="C4" ca="1">IF(Total_Units="","(Total Units must have an entry to turn on some of the validation formulas in Exhibit A)"&amp;CHAR(10),"")&amp;IF(AND(Total_Units&lt;&gt;"",County="&lt;select one&gt;"),"Attention: please provide the County for the proposed Development at Section 4.A.5.a. in the '"&amp;MID(CELL("filename",'Development Location'!A1),FIND("]",CELL("filename",'Development Location'!A1))+1,255)&amp;"' tab.",IF('General Information'!$K$18=0,IF(AND(DS_Min_Units_1="&gt;=90% of Existing Units",N(Existing_Units)=0),"Compliance with the minimum number of "&amp;IF(Unit_Min_Limit_Basis="Total Units","","Set-Aside ")&amp;"units cannot be determined until 6."&amp;A28&amp;". below has a response.",IF(AND(N(Total_Units)&gt;0,N(IF(Unit_Min_Limit_Basis="Total",Total_Units,Set_Asides_from_Charts))&lt;IF(DS_Min_Units_1="&gt;=90% of Existing Units",90%*N(Existing_Units),N(DS_Min_Units_1)),DS_Min_Units_1&lt;&gt;"No Limit"),"Attention: Minimum number of "&amp;IF(Unit_Min_Limit_Basis="Total","","Set-Aside ")&amp;"units of "&amp;TEXT(IF(DS_Min_Units_1="&gt;=90% of Existing Units",90%*N(Existing_Units),N(DS_Min_Units_1)),"0")&amp;" is not met with "&amp;TEXT(N(IF(Unit_Min_Limit_Basis="Total",Total_Units,Set_Asides_from_Charts)),"0")&amp;IF(Unit_Min_Limit_Basis="Total"," "," Set-Aside ")&amp;" units.",IF(AND(N(Total_Units)&gt;0,OR(N(IF(Unit_Min_Limit_Basis="Total",Total_Units,Set_Asides_from_Charts))&gt;=IF(DS_Min_Units_1="&gt;=90% of Existing Units",90%*N(Existing_Units),N(DS_Min_Units_1)),DS_Min_Units_1="No Limit")),"Minimum number of "&amp;IF(Unit_Min_Limit_Basis="Total","","Set-Aside ")&amp;"units of "&amp;IF(DS_Min_Units_1="No Limit","no minimum",TEXT(IF(DS_Min_Units_1="&gt;=90% of Existing Units",90%*N(Existing_Units),N(DS_Min_Units_1)),"0"))&amp;" is met.","")))&amp;" "&amp;IF(AND(N(Total_Units)&gt;0,DS_Max_Units_1&lt;&gt;"No Limit",N(IF(Unit_Max_Limit_Basis="Total",Total_Units,Set_Asides_from_Charts))&gt;N(DS_Max_Units_1)),"Attention: Maximum number of "&amp;IF(Unit_Max_Limit_Basis="Total","","Set-Aside ")&amp;"units of "&amp;IF(DS_Max_Units_1="TBD","TBD",TEXT(N(DS_Max_Units_1),"0"))&amp;" is not met with "&amp;TEXT(N(IF(Unit_Max_Limit_Basis="Total",Total_Units,Set_Asides_from_Charts)),"0")&amp;IF(Unit_Max_Limit_Basis="Total"," "," Set-Aside ")&amp;"units.",IF(AND(N(Total_Units)&gt;0,DS_Max_Units_1&lt;&gt;"No Limit",N(IF(Unit_Max_Limit_Basis="Total",Total_Units,Set_Asides_from_Charts))&lt;=N(DS_Max_Units_1)),"Maximum number of units of "&amp;TEXT(N(DS_Max_Units_1),"0")&amp;" is met.",IF(DS_Max_Units_1="No Limit","There is no maximum unit limit.",""))),IF(AND(N(Total_Units)&gt;0,'General Information'!$K$18&gt;0,Link_Classification=Data1!$F$13),"Attention: the Applicant must identify the Linked Application status in the General Information tab in order to determine compliance with the minimum set-aside requirement.",IF(AND(N(Total_Units)&gt;0,N(Set_Asides_from_Charts)=0,Link_Classification&lt;&gt;Data1!$A$16),"The applicable set-aside chart below must be completed to determine the number of set-aside units in the proposed Development which will be used to determine compliance with the minimum set-aside unit requirement. "&amp;"At this time, compliance cannot be confirmed.",IF(AND(Link_Classification=Data1!$A$16,N(Total_Units)&gt;0),"Compliance to the minimum set-aside unit requirement for a Combination Application is determined individualy for the New Development and the Reconstructed Development below. Both of the individual minimums below are "&amp;IF(OR(IFERROR(FIND("not met",$C13),0)&gt;0,IFERROR(FIND("must have an entry",$C13),0)&gt;0,IFERROR(FIND("not met",$C19),0)&gt;0,IFERROR(FIND("must have an entry",$C19),0)&gt;0),"NOT","")&amp;" met.",IF(AND(N(Set_Asides_from_Charts)&gt;0,N(Set_Asides_from_Charts)&lt;IF(DS_Min_Units_1="&gt;=90% of Existing Units",90%*N(Existing_Units),N(DS_Min_Units_1)+N(IF(Link_Classification=Data1!$A$16,N(DS_Min_Units_2),0))),DS_Min_Units_1&lt;&gt;"No Limit"),"Attention: With "&amp;TEXT(Set_Asides_from_Charts,"0")&amp;" set-aside units identified in the chart below, the minimum number of set-aside units of "&amp;TEXT(IF(DS_Min_Units_1="&gt;=90% of Existing Units",90%*N(Existing_Units),N(DS_Min_Units_1)+N(IF(Link_Classification=Data1!$A$16,N(DS_Min_Units_2),0))),"0")&amp;" is not met.",IF(AND(N(Set_Asides_from_Charts)&gt;0,OR(N(Set_Asides_from_Charts)&gt;=IF(DS_Min_Units_1="&gt;=90% of Existing Units",90%*N(Existing_Units),N(DS_Min_Units_1)+N(IF(Link_Classification=Data1!$A$16,N(DS_Min_Units_2),0))),DS_Min_Units_1="No Limit")),"Minimum number of set-aside units of "&amp;IF(DS_Min_Units_1="No Limit","no minimum",TEXT(IF(DS_Min_Units_1="&gt;=90% of Existing Units",90%*N(Existing_Units),N(DS_Min_Units_1)+N(IF(Link_Classification=Data1!$A$16,N(DS_Min_Units_2),0))),"0"))&amp;" is met.","")))&amp;" "&amp;IF(AND(N(Set_Asides_from_Charts)&gt;0,DS_Max_Units_1&lt;&gt;"No Limit",N(Set_Asides_from_Charts)&gt;N(DS_Max_Units_1)+N(IF(Link_Classification=Data1!$A$16,DS_Max_Units_2,0))),"Attention: Maximum number of set-aside units of "&amp;IF(DS_Max_Units_1="TBD","TBD",TEXT(N(DS_Max_Units_1)+N(IF(Link_Classification=Data1!$A$16,DS_Max_Units_2,0)),"0"))&amp;" is not met.",IF(AND(N(Set_Asides_from_Charts)&gt;0,DS_Max_Units_1&lt;&gt;"No Limit",N(Set_Asides_from_Charts)&lt;=N(DS_Max_Units_1)+N(IF(Link_Classification=Data1!$A$16,DS_Max_Units_2,0))),"Maximum number of units of "&amp;TEXT(N(DS_Max_Units_1)+N(IF(Link_Classification=Data1!$A$16,DS_Max_Units_2,0)),"0")&amp;" is met.",IF(DS_Max_Units_1="No Limit","There is no maximum unit limit.","")))))))&amp;IF(AND('General Information'!$K$18&gt;0,Link_Classification=Data1!$A$16),IF(N(Total_Units_1)+N(Total_Units_2)&lt;&gt;N(Total_Units),"For Combination Applications, the total number of units for the New Development and the Reconstructed Development entered below must equal the total units for the Combination Application.",""),"")</f>
        <v xml:space="preserve">(Total Units must have an entry to turn on some of the validation formulas in Exhibit A)
 </v>
      </c>
      <c r="D4" s="3104"/>
      <c r="E4" s="3104"/>
      <c r="F4" s="3104"/>
      <c r="G4" s="3104"/>
      <c r="H4" s="3104"/>
      <c r="I4" s="3104"/>
      <c r="J4" s="3104"/>
      <c r="K4" s="3104"/>
      <c r="L4" s="6"/>
      <c r="M4" s="6"/>
      <c r="P4" s="2306" t="s">
        <v>2654</v>
      </c>
    </row>
    <row r="5" spans="1:32" ht="10.35" customHeight="1">
      <c r="A5" s="2354"/>
      <c r="C5" s="2353"/>
      <c r="D5" s="2353"/>
      <c r="E5" s="2353"/>
      <c r="F5" s="2353"/>
      <c r="G5" s="2353"/>
      <c r="H5" s="2353"/>
      <c r="I5" s="2353"/>
      <c r="J5" s="2353"/>
      <c r="K5" s="2353"/>
      <c r="L5" s="2355"/>
      <c r="M5" s="2355"/>
      <c r="N5" s="630"/>
      <c r="O5" s="630"/>
      <c r="P5" s="630"/>
      <c r="Q5" s="630"/>
      <c r="R5" s="2355"/>
    </row>
    <row r="6" spans="1:32" ht="17.45" hidden="1" customHeight="1">
      <c r="A6" s="2354"/>
      <c r="B6" s="2943" t="s">
        <v>2693</v>
      </c>
      <c r="C6" s="2943"/>
      <c r="D6" s="2943"/>
      <c r="E6" s="2943"/>
      <c r="F6" s="2943"/>
      <c r="G6" s="2943"/>
      <c r="H6" s="2943"/>
      <c r="I6" s="2943"/>
      <c r="J6" s="2943"/>
      <c r="K6" s="2375"/>
      <c r="L6" s="2355"/>
      <c r="M6" s="2355"/>
      <c r="N6" s="2357">
        <v>0</v>
      </c>
      <c r="O6" s="2352">
        <f>IF(AND(N6&lt;&gt;0,'Units, Set-Asides, Bldgs'!K6&lt;&gt;""),N6,0)</f>
        <v>0</v>
      </c>
      <c r="P6" s="2351" t="str">
        <f>CHOOSE(N6+1,"Not to be included in this RFA","A REQUIRED input field for this RFA","An OPTIONAL input field for this RFA","Not tracked in this RFA")</f>
        <v>Not to be included in this RFA</v>
      </c>
      <c r="Q6" s="630"/>
      <c r="R6" s="2355"/>
    </row>
    <row r="7" spans="1:32" ht="17.45" hidden="1" customHeight="1">
      <c r="A7" s="2354"/>
      <c r="C7" s="3114" t="str">
        <f>IF(County="&lt;select one&gt;","","("&amp;County_Size&amp;" Counties are expected to have at least "&amp;IF(County_Size="Small","240",IF(County_Size="Medium","320","400"))&amp;" affordable units within the Master Plan)")</f>
        <v/>
      </c>
      <c r="D7" s="3114"/>
      <c r="E7" s="3114"/>
      <c r="F7" s="3114"/>
      <c r="G7" s="3114"/>
      <c r="H7" s="3114"/>
      <c r="I7" s="3114"/>
      <c r="J7" s="3114"/>
      <c r="L7" s="2355"/>
      <c r="M7" s="2355"/>
      <c r="N7" s="630"/>
      <c r="O7" s="2352"/>
      <c r="P7" s="2351"/>
      <c r="Q7" s="630"/>
      <c r="R7" s="2355"/>
    </row>
    <row r="8" spans="1:32" ht="10.35" hidden="1" customHeight="1">
      <c r="A8" s="2354"/>
      <c r="C8" s="2353"/>
      <c r="D8" s="2353"/>
      <c r="E8" s="2353"/>
      <c r="F8" s="2353"/>
      <c r="G8" s="2353"/>
      <c r="H8" s="2353"/>
      <c r="I8" s="2353"/>
      <c r="J8" s="2353"/>
      <c r="K8" s="2353"/>
      <c r="L8" s="2355"/>
      <c r="M8" s="2355"/>
      <c r="N8" s="630"/>
      <c r="O8" s="630"/>
      <c r="P8" s="630"/>
      <c r="Q8" s="630"/>
      <c r="R8" s="2355"/>
    </row>
    <row r="9" spans="1:32" ht="14.45" hidden="1" customHeight="1">
      <c r="A9" s="2179"/>
      <c r="C9" s="2188"/>
      <c r="D9" s="2188"/>
      <c r="E9" s="2188"/>
      <c r="F9" s="2188"/>
      <c r="G9" s="2188"/>
      <c r="H9" s="2188"/>
      <c r="I9" s="2188"/>
      <c r="J9" s="2188"/>
      <c r="K9" s="51"/>
      <c r="N9" s="630"/>
      <c r="O9" s="630"/>
      <c r="P9" s="630"/>
      <c r="Q9" s="630"/>
    </row>
    <row r="10" spans="1:32" ht="30" hidden="1" customHeight="1">
      <c r="A10" s="2179"/>
      <c r="C10" s="2943" t="s">
        <v>2560</v>
      </c>
      <c r="D10" s="2943"/>
      <c r="E10" s="2943"/>
      <c r="F10" s="2943"/>
      <c r="G10" s="2943"/>
      <c r="H10" s="2943"/>
      <c r="I10" s="2943"/>
      <c r="J10" s="2943"/>
      <c r="K10" s="2190"/>
      <c r="L10" s="2180"/>
      <c r="M10" s="2180"/>
      <c r="N10" s="2204">
        <f>IF('General Information'!M4&gt;0,0,IF(Link_Classification=Data1!$A$16,1,3))</f>
        <v>0</v>
      </c>
      <c r="O10" s="2193">
        <f>IF(AND(N10&lt;&gt;0,'Units, Set-Asides, Bldgs'!K10&lt;&gt;""),N10,0)</f>
        <v>0</v>
      </c>
      <c r="P10" s="2395" t="str">
        <f>CHOOSE(N10+1,"Not to be included in this RFA","A REQUIRED input field for this RFA","An OPTIONAL input field for this RFA","Not tracked in this RFA")</f>
        <v>Not to be included in this RFA</v>
      </c>
      <c r="Q10" s="630"/>
    </row>
    <row r="11" spans="1:32" ht="6" hidden="1" customHeight="1">
      <c r="A11" s="2195"/>
      <c r="C11" s="2188"/>
      <c r="D11" s="2188"/>
      <c r="E11" s="2188"/>
      <c r="F11" s="2188"/>
      <c r="G11" s="2188"/>
      <c r="H11" s="2188"/>
      <c r="I11" s="2188"/>
      <c r="J11" s="2188"/>
      <c r="K11" s="51"/>
      <c r="L11" s="2196"/>
      <c r="M11" s="2196"/>
      <c r="N11" s="630"/>
      <c r="O11" s="630"/>
      <c r="P11" s="2398"/>
      <c r="Q11" s="630"/>
    </row>
    <row r="12" spans="1:32" ht="30" hidden="1" customHeight="1">
      <c r="A12" s="2195"/>
      <c r="C12" s="2943" t="s">
        <v>2561</v>
      </c>
      <c r="D12" s="2943"/>
      <c r="E12" s="2943"/>
      <c r="F12" s="2943"/>
      <c r="G12" s="2943"/>
      <c r="H12" s="2943"/>
      <c r="I12" s="2943"/>
      <c r="J12" s="2943"/>
      <c r="K12" s="2190"/>
      <c r="L12" s="2196"/>
      <c r="M12" s="2196"/>
      <c r="N12" s="2204">
        <f>IF('General Information'!M4&gt;0,0,IF(Link_Classification=Data1!$A$16,1,3))</f>
        <v>0</v>
      </c>
      <c r="O12" s="2193">
        <f>IF(AND(N12&lt;&gt;0,'Units, Set-Asides, Bldgs'!K12&lt;&gt;""),N12,0)</f>
        <v>0</v>
      </c>
      <c r="P12" s="2395" t="str">
        <f>CHOOSE(N12+1,"Not to be included in this RFA","A REQUIRED input field for this RFA","An OPTIONAL input field for this RFA","Not tracked in this RFA")</f>
        <v>Not to be included in this RFA</v>
      </c>
      <c r="Q12" s="630"/>
    </row>
    <row r="13" spans="1:32" ht="30" hidden="1" customHeight="1">
      <c r="A13" s="2195"/>
      <c r="C13" s="2806" t="str" cm="1">
        <f t="array" aca="1" ref="C13" ca="1">IF(Link_Classification=Data1!$A$16,IF(Set_Aside_Units_1="","Set-Aside units for the New Development must have an entry.  ","")&amp;IF(AND(Set_Aside_Units_1&lt;&gt;"",County="&lt;select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set-aside units cannot be determined until 6."&amp;A28&amp;". below has a response.",IF(AND(N(Set_Aside_Units_1)&gt;0,N(Set_Aside_Units_1)&lt;IF(DS_Min_Units_1="&gt;=90% of Existing Units",90%*N(Existing_Units),DS_Min_Units_1),DS_Min_Units_1&lt;&gt;"No Limit"),"Attention: Minimum number of set-aside units of "&amp;TEXT(IF(DS_Min_Units_1="&gt;=90% of Existing Units",90%*N(Existing_Units),DS_Min_Units_1),"0")&amp;" not met.",IF(AND(N(Set_Aside_Units_1)&gt;0,OR(N(Set_Aside_Units_1)&gt;=IF(DS_Min_Units_1="&gt;=90% of Existing Units",90%*N(Existing_Units),DS_Min_Units_1),DS_Min_Units_1="No Limit")),"Minimum number of set-aside units of "&amp;IF(DS_Min_Units_1="No Limit","no minimum",TEXT(IF(DS_Min_Units_1="&gt;=90% of Existing Units",90%*N(Existing_Units),DS_Min_Units_1),"0"))&amp;" is met.","")))&amp;" "&amp;IF(AND(N(Set_Aside_Units_1)&gt;0,DS_Max_Units_1&lt;&gt;"No Limit",N(Set_Aside_Units_1)&gt;N(DS_Max_Units_1)),"Attention: Maximum number of set-aside units of "&amp;IF(DS_Max_Units_1="TBD","TBD",TEXT(N(DS_Max_Units_1),"0"))&amp;" is not met.",IF(AND(N(Set_Aside_Units_1)&gt;0,DS_Max_Units_1&lt;&gt;"No Limit",N(Set_Aside_Units_1)&lt;=N(DS_Max_Units_1)),"Maximum number of set-aside units of "&amp;TEXT(N(DS_Max_Units_1),"0")&amp;" is met.",IF(DS_Max_Units_1="No Limit","There is no maximum unit limit.","")))),"")&amp;IF(AND(Link_Classification=Data1!$A$16,N($K10)&gt;0,N($K10)&lt;N($K12))," The total number of units cannot be less than the number of set-aside units.","")</f>
        <v/>
      </c>
      <c r="D13" s="2806"/>
      <c r="E13" s="2806"/>
      <c r="F13" s="2806"/>
      <c r="G13" s="2806"/>
      <c r="H13" s="2806"/>
      <c r="I13" s="2806"/>
      <c r="J13" s="2806"/>
      <c r="K13" s="2806"/>
      <c r="L13" s="2196"/>
      <c r="M13" s="2196"/>
      <c r="N13" s="630"/>
      <c r="O13" s="630"/>
      <c r="P13" s="2401" t="s">
        <v>2721</v>
      </c>
      <c r="Q13" s="630"/>
    </row>
    <row r="14" spans="1:32" ht="9.9499999999999993" hidden="1" customHeight="1">
      <c r="A14" s="2195"/>
      <c r="C14" s="2188"/>
      <c r="D14" s="2188"/>
      <c r="E14" s="2188"/>
      <c r="F14" s="2188"/>
      <c r="G14" s="2188"/>
      <c r="H14" s="2188"/>
      <c r="I14" s="2188"/>
      <c r="J14" s="2188"/>
      <c r="K14" s="51"/>
      <c r="L14" s="2196"/>
      <c r="M14" s="2196"/>
      <c r="N14" s="630"/>
      <c r="O14" s="630"/>
      <c r="P14" s="2398"/>
      <c r="Q14" s="630"/>
    </row>
    <row r="15" spans="1:32" ht="9.9499999999999993" hidden="1" customHeight="1">
      <c r="A15" s="2195"/>
      <c r="C15" s="3117"/>
      <c r="D15" s="3117"/>
      <c r="E15" s="3117"/>
      <c r="F15" s="3117"/>
      <c r="G15" s="3117"/>
      <c r="H15" s="3117"/>
      <c r="I15" s="3117"/>
      <c r="J15" s="3117"/>
      <c r="K15" s="3117"/>
      <c r="L15" s="2196"/>
      <c r="M15" s="2196"/>
      <c r="N15" s="630"/>
      <c r="O15" s="630"/>
      <c r="P15" s="2398"/>
      <c r="Q15" s="630"/>
    </row>
    <row r="16" spans="1:32" ht="30" hidden="1" customHeight="1">
      <c r="A16" s="2195"/>
      <c r="B16" s="2196"/>
      <c r="C16" s="2943" t="s">
        <v>2562</v>
      </c>
      <c r="D16" s="2943"/>
      <c r="E16" s="2943"/>
      <c r="F16" s="2943"/>
      <c r="G16" s="2943"/>
      <c r="H16" s="2943"/>
      <c r="I16" s="2943"/>
      <c r="J16" s="2943"/>
      <c r="K16" s="2190"/>
      <c r="L16" s="2180"/>
      <c r="M16" s="2180"/>
      <c r="N16" s="2204">
        <f>IF('General Information'!M4&gt;0,0,IF(Link_Classification=Data1!$A$16,1,3))</f>
        <v>0</v>
      </c>
      <c r="O16" s="2193">
        <f>IF(AND(N16&lt;&gt;0,'Units, Set-Asides, Bldgs'!K16&lt;&gt;""),N16,0)</f>
        <v>0</v>
      </c>
      <c r="P16" s="2395" t="str">
        <f>CHOOSE(N16+1,"Not to be included in this RFA","A REQUIRED input field for this RFA","An OPTIONAL input field for this RFA","Not tracked in this RFA")</f>
        <v>Not to be included in this RFA</v>
      </c>
      <c r="Q16" s="630"/>
    </row>
    <row r="17" spans="1:17" ht="6" hidden="1" customHeight="1">
      <c r="A17" s="2195"/>
      <c r="C17" s="2188"/>
      <c r="D17" s="2188"/>
      <c r="E17" s="2188"/>
      <c r="F17" s="2188"/>
      <c r="G17" s="2188"/>
      <c r="H17" s="2188"/>
      <c r="I17" s="2188"/>
      <c r="J17" s="2188"/>
      <c r="K17" s="51"/>
      <c r="L17" s="2196"/>
      <c r="M17" s="2196"/>
      <c r="N17" s="630"/>
      <c r="O17" s="630"/>
      <c r="P17" s="2398"/>
      <c r="Q17" s="630"/>
    </row>
    <row r="18" spans="1:17" ht="30" hidden="1" customHeight="1">
      <c r="A18" s="2195"/>
      <c r="C18" s="2943" t="s">
        <v>2563</v>
      </c>
      <c r="D18" s="2943"/>
      <c r="E18" s="2943"/>
      <c r="F18" s="2943"/>
      <c r="G18" s="2943"/>
      <c r="H18" s="2943"/>
      <c r="I18" s="2943"/>
      <c r="J18" s="2943"/>
      <c r="K18" s="2190"/>
      <c r="L18" s="2196"/>
      <c r="M18" s="2196"/>
      <c r="N18" s="2204">
        <f>IF('General Information'!M4&gt;0,0,IF(Link_Classification=Data1!$A$16,1,3))</f>
        <v>0</v>
      </c>
      <c r="O18" s="2193">
        <f>IF(AND(N18&lt;&gt;0,'Units, Set-Asides, Bldgs'!K18&lt;&gt;""),N18,0)</f>
        <v>0</v>
      </c>
      <c r="P18" s="2395" t="str">
        <f>CHOOSE(N18+1,"Not to be included in this RFA","A REQUIRED input field for this RFA","An OPTIONAL input field for this RFA","Not tracked in this RFA")</f>
        <v>Not to be included in this RFA</v>
      </c>
    </row>
    <row r="19" spans="1:17" ht="30" hidden="1" customHeight="1">
      <c r="A19" s="2195"/>
      <c r="C19" s="3154" t="str" cm="1">
        <f t="array" aca="1" ref="C19" ca="1">IF(Link_Classification=Data1!$A$16,IF(Set_Aside_Units_2="","Set-Aside units for the Reconstructed Development must have an entry.  ","")&amp;IF(AND(Set_Aside_Units_2&lt;&gt;"",County="&lt;select one&gt;"),"Attention: please provide the County for the proposed Development at Section 4.A.5.a. in the '"&amp;MID(CELL("filename",'Development Location'!A1),FIND("]",CELL("filename",'Development Location'!A1))+1,255)&amp;"' tab.",IF(AND(DS_Min_Units_2="&gt;=90% of Existing Units",N(Existing_Units)=0),"Compliance with the minimum number of set-aside units cannot be determined until 6."&amp;A28&amp;". below has a response.",IF(AND(N(Set_Aside_Units_2)&gt;0,N(Set_Aside_Units_2)&lt;IF(DS_Min_Units_2="&gt;=90% of Existing Units",90%*N(Existing_Units),DS_Min_Units_2),DS_Min_Units_2&lt;&gt;"No Limit"),"Attention: Minimum number of set-aside units of "&amp;TEXT(IF(DS_Min_Units_2="&gt;=90% of Existing Units",90%*N(Existing_Units),DS_Min_Units_2),"0")&amp;" not met.",IF(AND(N(Set_Aside_Units_2)&gt;0,OR(N(Set_Aside_Units_2)&gt;=IF(DS_Min_Units_2="&gt;=90% of Existing Units",90%*N(Existing_Units),DS_Min_Units_2),DS_Min_Units_2="No Limit")),"Minimum number of set-aside units of "&amp;IF(DS_Min_Units_2="No Limit","no minimum",TEXT(IF(DS_Min_Units_2="&gt;=90% of Existing Units",90%*N(Existing_Units),DS_Min_Units_2),"0"))&amp;" is met.","")))&amp;" "&amp;IF(AND(N(Set_Aside_Units_2)&gt;0,DS_Max_Units_2&lt;&gt;"No Limit",N(Set_Aside_Units_2)&gt;N(DS_Max_Units_2)),"Attention: Maximum number of set-aside units of "&amp;IF(DS_Max_Units_2="TBD","TBD",TEXT(N(DS_Max_Units_2),"0"))&amp;" is not met.",IF(AND(N(Set_Aside_Units_2)&gt;0,DS_Max_Units_2&lt;&gt;"No Limit",N(Set_Aside_Units_2)&lt;=N(DS_Max_Units_2)),"Maximum number of set-aside units of "&amp;TEXT(N(DS_Max_Units_2),"0")&amp;" is met.",IF(DS_Max_Units_2="No Limit","There is no maximum unit limit.","")))),"")&amp;IF(AND(Link_Classification=Data1!$A$16,N($K16)&gt;0,N($K16)&lt;N($K18))," The total number of units cannot be less than the number of set-aside units.","")</f>
        <v/>
      </c>
      <c r="D19" s="3154"/>
      <c r="E19" s="3154"/>
      <c r="F19" s="3154"/>
      <c r="G19" s="3154"/>
      <c r="H19" s="3154"/>
      <c r="I19" s="3154"/>
      <c r="J19" s="3154"/>
      <c r="K19" s="3154"/>
      <c r="L19" s="2196"/>
      <c r="M19" s="2196"/>
      <c r="N19" s="2133"/>
      <c r="O19" s="2133"/>
      <c r="P19" s="2399"/>
      <c r="Q19" s="2133"/>
    </row>
    <row r="20" spans="1:17" ht="17.45" hidden="1" customHeight="1">
      <c r="A20" s="43"/>
      <c r="B20" s="542" t="str">
        <f>"(1)"</f>
        <v>(1)</v>
      </c>
      <c r="C20" s="2118" t="s">
        <v>2520</v>
      </c>
      <c r="L20" s="2093"/>
      <c r="M20" s="2093"/>
      <c r="P20" s="2390">
        <f>IF('General Information'!$M$4=0,1,0)</f>
        <v>0</v>
      </c>
    </row>
    <row r="21" spans="1:17" ht="17.45" hidden="1" customHeight="1">
      <c r="A21" s="43"/>
      <c r="B21" s="542"/>
      <c r="C21" s="2097" t="s">
        <v>959</v>
      </c>
      <c r="D21" s="2118" t="s">
        <v>2539</v>
      </c>
      <c r="I21" s="2134" t="s">
        <v>2540</v>
      </c>
      <c r="J21" s="3122" t="str">
        <f>IF(OR(Link_Classification=Data1!F13,AND(Link_Classification=Data1!A14,N(Total_Units_of_Occupied)=0),N(Total_Units)=0),"To be determined",IF(Link_Classification=Data1!A15,"Not Applicable",IF(IF(Link_Classification=Data1!$A$16,N(Set_Aside_Units_1),Data1!G533)&gt;=ROUNDDOWN(N(Affordable_Units_of_Occupied)*1.2,0),"Earned","Not Earned")))</f>
        <v>To be determined</v>
      </c>
      <c r="K21" s="3122"/>
      <c r="L21" s="2117"/>
      <c r="P21" s="2400"/>
    </row>
    <row r="22" spans="1:17" ht="5.0999999999999996" hidden="1" customHeight="1">
      <c r="A22" s="43"/>
      <c r="B22" s="542"/>
      <c r="C22" s="2097"/>
      <c r="D22" s="2118"/>
      <c r="L22" s="2117"/>
      <c r="P22" s="2400"/>
    </row>
    <row r="23" spans="1:17" ht="80.099999999999994" hidden="1" customHeight="1">
      <c r="A23" s="43"/>
      <c r="D23" s="3015" t="str">
        <f>"To qualify for the Number of Units Preference, the number of set-aside units of the New Development must be at least 20% higher than the number of set-aside or Naturally Occurring Affordable Housing (NOAH) units in the Occupied Development. "&amp;"The Development that is the subject of this Application "&amp;IF(Link_Classification=Data1!F13,"has not yet had its designation identified. As such, this Preference cannot be determined.",IF(Link_Classification=Data1!A14,"has been identified as the New Development with "&amp;TEXT(Data1!G533,"0")&amp;" set-aside units. As such, the minimum number of units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down).")),IF(Link_Classification=Data1!A15,"has been desigated as the Reconstructed Development. As such, this Application cannot earn the Preference.","has been desigated as a Combination Application with the New Development portion having "&amp;TEXT(Set_Aside_Units_1,"0")&amp;" set-aside units. The minimum number of set-aside units required for the New Development portion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f>
        <v>To qualify for the Number of Units Preference, the number of set-aside units of the New Development must be at least 20% higher than the number of set-aside or Naturally Occurring Affordable Housing (NOAH) units in the Occupied Development. The Development that is the subject of this Application has not yet had its designation identified. As such, this Preference cannot be determined.</v>
      </c>
      <c r="E23" s="3015"/>
      <c r="F23" s="3015"/>
      <c r="G23" s="3015"/>
      <c r="H23" s="3015"/>
      <c r="I23" s="3015"/>
      <c r="J23" s="3015"/>
      <c r="K23" s="3015"/>
      <c r="L23" s="2093"/>
      <c r="P23" s="2400"/>
    </row>
    <row r="24" spans="1:17" ht="7.5" hidden="1" customHeight="1">
      <c r="A24" s="43"/>
      <c r="C24" s="2089"/>
      <c r="D24" s="2089"/>
      <c r="E24" s="2089"/>
      <c r="F24" s="2089"/>
      <c r="G24" s="2089"/>
      <c r="H24" s="2089"/>
      <c r="I24" s="2089"/>
      <c r="J24" s="2089"/>
      <c r="K24" s="2089"/>
      <c r="L24" s="2093"/>
      <c r="P24" s="2400"/>
    </row>
    <row r="25" spans="1:17" ht="33" hidden="1" customHeight="1">
      <c r="A25" s="340" t="str" cm="1">
        <f t="array" ref="A25">IF($N26=0,"",CHAR(CODE(LOOKUP(2,1/(COUNTIF(A$3:A4,"&gt;"&amp;A$3:A4&amp;"*")=0),A$3:A4))+1))</f>
        <v/>
      </c>
      <c r="B25" s="3123"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25" s="3123"/>
      <c r="D25" s="3123"/>
      <c r="E25" s="3123"/>
      <c r="F25" s="3123"/>
      <c r="G25" s="3123"/>
      <c r="H25" s="3123"/>
      <c r="I25" s="3123"/>
      <c r="J25" s="3123"/>
      <c r="K25" s="918"/>
      <c r="L25" s="6"/>
    </row>
    <row r="26" spans="1:17" ht="17.45" hidden="1" customHeight="1">
      <c r="A26" s="43"/>
      <c r="C26" s="2951" t="s">
        <v>59</v>
      </c>
      <c r="D26" s="2951"/>
      <c r="E26" s="2951"/>
      <c r="F26" s="2951"/>
      <c r="G26" s="2951"/>
      <c r="H26" s="2951"/>
      <c r="I26" s="2951"/>
      <c r="J26" s="2951"/>
      <c r="K26" s="2951"/>
      <c r="L26" s="6"/>
      <c r="N26" s="943">
        <f>IF(Q26=0,0,IF(OR(Development_Category="Rehabilitation",Development_Category="Acquisition and Rehabilitation",Development_Category="Preservation",Development_Category="Acquisition and Preservation"),1,2))</f>
        <v>0</v>
      </c>
      <c r="O26" s="931">
        <f>IF(AND(N26&lt;&gt;0,AND(C26&lt;&gt;"&lt;select one&gt;",C26&lt;&gt;"")),N26,0)</f>
        <v>0</v>
      </c>
      <c r="P26" s="905" t="str">
        <f>CHOOSE(N26+1,"Not to be included in this RFA","A REQUIRED input field for this RFA","An OPTIONAL input field for this RFA")</f>
        <v>Not to be included in this RFA</v>
      </c>
      <c r="Q26" s="953">
        <v>0</v>
      </c>
    </row>
    <row r="27" spans="1:17" ht="7.5" hidden="1" customHeight="1">
      <c r="A27" s="43"/>
      <c r="L27" s="6"/>
    </row>
    <row r="28" spans="1:17" ht="33" hidden="1" customHeight="1">
      <c r="A28" s="340" t="str" cm="1">
        <f t="array" ref="A28">IF($P28=0,"",CHAR(CODE(LOOKUP(2,1/(COUNTIF(A$3:A27,"&gt;"&amp;A$3:A27&amp;"*")=0),A$3:A27))+1))</f>
        <v/>
      </c>
      <c r="B28" s="2944" t="s">
        <v>1791</v>
      </c>
      <c r="C28" s="2944"/>
      <c r="D28" s="2944"/>
      <c r="E28" s="2944"/>
      <c r="F28" s="2944"/>
      <c r="G28" s="2944"/>
      <c r="H28" s="2944"/>
      <c r="I28" s="2944"/>
      <c r="J28" s="2944"/>
      <c r="K28" s="1378"/>
      <c r="L28" s="6"/>
      <c r="P28" s="313">
        <v>0</v>
      </c>
    </row>
    <row r="29" spans="1:17" ht="7.5" hidden="1" customHeight="1">
      <c r="A29" s="43"/>
      <c r="L29" s="6"/>
    </row>
    <row r="30" spans="1:17" ht="33" customHeight="1">
      <c r="A30" s="340" t="str" cm="1">
        <f t="array" ref="A30">IF($P$30=0,"",CHAR(CODE(LOOKUP(2,1/(COUNTIF(A$3:A29,"&gt;"&amp;A$3:A29&amp;"*")=0),A$3:A29))+1))</f>
        <v>b</v>
      </c>
      <c r="B30" s="3123" t="s">
        <v>1121</v>
      </c>
      <c r="C30" s="3123"/>
      <c r="D30" s="3123"/>
      <c r="E30" s="3123"/>
      <c r="F30" s="3123"/>
      <c r="G30" s="3123"/>
      <c r="H30" s="3123"/>
      <c r="I30" s="3123"/>
      <c r="J30" s="3123"/>
      <c r="K30" s="918"/>
      <c r="L30" s="6"/>
      <c r="P30" s="313">
        <v>1</v>
      </c>
    </row>
    <row r="31" spans="1:17" ht="7.5" customHeight="1">
      <c r="A31" s="43"/>
      <c r="L31" s="6"/>
    </row>
    <row r="32" spans="1:17" ht="50.1" hidden="1" customHeight="1">
      <c r="A32" s="1957" t="str" cm="1">
        <f t="array" ref="A32">IF($P$32=0,"",CHAR(CODE(LOOKUP(2,1/(COUNTIF(A$3:A31,"&gt;"&amp;A$3:A31&amp;"*")=0),A$3:A31))+1))</f>
        <v/>
      </c>
      <c r="B32" s="2943" t="str">
        <f>IF(RIGHT(Excel_RFA_Number,3)="214","Intentionally omitted to allow for consistent numbering across RFAs.","Applications that qualify for the Urban Infill Goal must create new residential units through either (i) new construction; or (ii) Rehabilitation/Substantial Rehabilitation that converts vacant,"&amp;" dilapidated, functionally obsolete buildings, or underused commercial property into residential units.")</f>
        <v>Applications that qualify for the Urban Infill Goal must create new residential units through either (i) new construction; or (ii) Rehabilitation/Substantial Rehabilitation that converts vacant, dilapidated, functionally obsolete buildings, or underused commercial property into residential units.</v>
      </c>
      <c r="C32" s="2943"/>
      <c r="D32" s="2943"/>
      <c r="E32" s="2943"/>
      <c r="F32" s="2943"/>
      <c r="G32" s="2943"/>
      <c r="H32" s="2943"/>
      <c r="I32" s="2943"/>
      <c r="J32" s="2943"/>
      <c r="K32" s="2943"/>
      <c r="L32" s="1345"/>
      <c r="M32" s="1329"/>
      <c r="N32" s="1329"/>
      <c r="O32" s="1329"/>
      <c r="P32" s="313">
        <v>0</v>
      </c>
      <c r="Q32" s="2146" t="s">
        <v>2543</v>
      </c>
    </row>
    <row r="33" spans="1:19" ht="7.5" hidden="1" customHeight="1">
      <c r="A33" s="43"/>
      <c r="L33" s="1909"/>
    </row>
    <row r="34" spans="1:19">
      <c r="A34" s="340" t="str" cm="1">
        <f t="array" ref="A34">CHAR(CODE(LOOKUP(2,1/(COUNTIF(A$3:A33,"&gt;"&amp;A$3:A33&amp;"*")=0),A$3:A33))+1)</f>
        <v>c</v>
      </c>
      <c r="B34" s="25" t="s">
        <v>1122</v>
      </c>
      <c r="L34" s="6"/>
    </row>
    <row r="35" spans="1:19" ht="30" hidden="1" customHeight="1">
      <c r="A35" s="340"/>
      <c r="B35" s="87" t="str">
        <f>"(1)"</f>
        <v>(1)</v>
      </c>
      <c r="C35" s="941" t="s">
        <v>1123</v>
      </c>
      <c r="L35" s="6"/>
      <c r="P35" s="6" t="str">
        <f>"To unshade, enter 0 in N"&amp;ROW(N37)&amp;" if RFA is not 104"</f>
        <v>To unshade, enter 0 in N37 if RFA is not 104</v>
      </c>
    </row>
    <row r="36" spans="1:19" ht="30" customHeight="1">
      <c r="B36" s="87" t="str">
        <f>IF(RIGHT(Excel_RFA_Number,3)="104","(2)","(1)")</f>
        <v>(1)</v>
      </c>
      <c r="C36" s="941" t="s">
        <v>1794</v>
      </c>
      <c r="D36" s="3"/>
      <c r="J36" s="3118" t="str">
        <f>IF(1&lt;2,"",IF(Minimum_SetAside_per_Sec_42="Average Income Test","(with or without Housing Credits)",IF(OR(Minimum_SetAside_per_Sec_42=DS_IRS_2050,Minimum_SetAside_per_Sec_42=DS_IRS_4060),"(only for Housing Credit Developments)","")))</f>
        <v/>
      </c>
      <c r="K36" s="3118"/>
      <c r="L36" s="6"/>
      <c r="M36" s="6"/>
      <c r="N36" s="2993" t="s">
        <v>943</v>
      </c>
      <c r="O36" s="2993"/>
      <c r="P36" s="2993"/>
      <c r="Q36" s="2993"/>
      <c r="R36" s="2993"/>
      <c r="S36" s="2993"/>
    </row>
    <row r="37" spans="1:19" ht="17.45" customHeight="1">
      <c r="C37" s="2951" t="s">
        <v>59</v>
      </c>
      <c r="D37" s="2951"/>
      <c r="E37" s="2951"/>
      <c r="F37" s="2951"/>
      <c r="G37" s="2951"/>
      <c r="H37" s="2951"/>
      <c r="I37" s="2951"/>
      <c r="J37" s="2951"/>
      <c r="K37" s="2951"/>
      <c r="L37" s="6"/>
      <c r="M37" s="6"/>
      <c r="N37" s="953">
        <v>1</v>
      </c>
      <c r="O37" s="931">
        <f>IF(AND(N37&lt;&gt;0,AND(C37&lt;&gt;"&lt;select one&gt;",C37&lt;&gt;"")),N37,0)</f>
        <v>0</v>
      </c>
      <c r="P37" s="905" t="str">
        <f>CHOOSE(N37+1,"Not to be included in this RFA","A REQUIRED input field for this RFA","An OPTIONAL input field for this RFA")</f>
        <v>A REQUIRED input field for this RFA</v>
      </c>
    </row>
    <row r="38" spans="1:19" ht="7.5" customHeight="1">
      <c r="L38" s="6"/>
      <c r="M38" s="6"/>
    </row>
    <row r="39" spans="1:19" ht="7.5" customHeight="1">
      <c r="L39" s="1899"/>
      <c r="M39" s="1899"/>
    </row>
    <row r="40" spans="1:19" ht="14.45" customHeight="1">
      <c r="B40" s="87" t="str">
        <f>IF($P$42=0,"","(2)")</f>
        <v>(2)</v>
      </c>
      <c r="C40" s="2959" t="s">
        <v>2406</v>
      </c>
      <c r="D40" s="2959"/>
      <c r="E40" s="2959"/>
      <c r="F40" s="2959"/>
      <c r="G40" s="2959"/>
      <c r="H40" s="2959"/>
      <c r="I40" s="2959"/>
      <c r="J40" s="2959"/>
      <c r="K40" s="2959"/>
      <c r="L40" s="1899"/>
      <c r="M40" s="1899"/>
    </row>
    <row r="41" spans="1:19" ht="7.5" customHeight="1">
      <c r="B41" s="87"/>
      <c r="C41" s="1915"/>
      <c r="D41" s="1915"/>
      <c r="E41" s="1915"/>
      <c r="F41" s="1915"/>
      <c r="G41" s="1915"/>
      <c r="H41" s="1915"/>
      <c r="I41" s="1915"/>
      <c r="J41" s="1915"/>
      <c r="K41" s="1915"/>
      <c r="L41" s="1909"/>
      <c r="M41" s="1909"/>
    </row>
    <row r="42" spans="1:19" ht="50.1" customHeight="1">
      <c r="B42" s="87"/>
      <c r="C42" s="2959" t="s">
        <v>2544</v>
      </c>
      <c r="D42" s="2959"/>
      <c r="E42" s="2959"/>
      <c r="F42" s="2959"/>
      <c r="G42" s="2959"/>
      <c r="H42" s="2959"/>
      <c r="I42" s="2959"/>
      <c r="J42" s="2959"/>
      <c r="K42" s="2959"/>
      <c r="L42" s="1909"/>
      <c r="M42" s="1909"/>
      <c r="P42" s="313">
        <v>1</v>
      </c>
    </row>
    <row r="43" spans="1:19" ht="7.5" customHeight="1">
      <c r="L43" s="1899"/>
      <c r="M43" s="1899"/>
    </row>
    <row r="44" spans="1:19" ht="30" hidden="1" customHeight="1">
      <c r="B44" s="87" t="str">
        <f>IF($P$42=0,"(2)","(3)")</f>
        <v>(3)</v>
      </c>
      <c r="C44" s="2099" t="s">
        <v>2526</v>
      </c>
      <c r="L44" s="2100"/>
      <c r="M44" s="2100"/>
      <c r="P44" s="313">
        <v>0</v>
      </c>
    </row>
    <row r="45" spans="1:19" ht="17.45" hidden="1" customHeight="1">
      <c r="B45" s="87"/>
      <c r="C45" s="3119" t="s">
        <v>59</v>
      </c>
      <c r="D45" s="3119"/>
      <c r="E45" s="3119"/>
      <c r="F45" s="3119"/>
      <c r="G45" s="3119"/>
      <c r="H45" s="3119"/>
      <c r="I45" s="3119"/>
      <c r="J45" s="3119"/>
      <c r="K45" s="3119"/>
      <c r="L45" s="2100"/>
      <c r="M45" s="2100"/>
      <c r="P45" s="1692" t="s">
        <v>2804</v>
      </c>
    </row>
    <row r="46" spans="1:19" ht="7.5" hidden="1" customHeight="1">
      <c r="A46" s="87"/>
      <c r="B46" s="2099"/>
      <c r="K46" s="2100"/>
      <c r="L46" s="2100"/>
    </row>
    <row r="47" spans="1:19" ht="14.45" customHeight="1">
      <c r="B47" s="2027" t="str">
        <f>IF($P$42=0,"(2)","(3)")</f>
        <v>(3)</v>
      </c>
      <c r="C47" s="1565" t="s">
        <v>1124</v>
      </c>
      <c r="D47" s="2028"/>
      <c r="E47" s="1329"/>
      <c r="F47" s="1329"/>
      <c r="G47" s="1329"/>
      <c r="H47" s="1329"/>
      <c r="I47" s="1329"/>
      <c r="J47" s="1329"/>
      <c r="K47" s="1329"/>
      <c r="L47" s="2350"/>
      <c r="M47" s="2350"/>
      <c r="N47" s="2350"/>
      <c r="O47" s="2350"/>
      <c r="P47" s="2350"/>
    </row>
    <row r="48" spans="1:19" ht="7.5" customHeight="1">
      <c r="B48" s="2028"/>
      <c r="C48" s="2028"/>
      <c r="D48" s="2028"/>
      <c r="E48" s="1329"/>
      <c r="F48" s="1329"/>
      <c r="G48" s="1329"/>
      <c r="H48" s="1329"/>
      <c r="I48" s="1329"/>
      <c r="J48" s="1329"/>
      <c r="K48" s="1329"/>
      <c r="L48" s="2350"/>
      <c r="M48" s="2350"/>
      <c r="N48" s="2350"/>
      <c r="O48" s="2350"/>
      <c r="P48" s="2350"/>
    </row>
    <row r="49" spans="3:25" ht="65.099999999999994" customHeight="1">
      <c r="C49" s="90" t="s">
        <v>1059</v>
      </c>
      <c r="D49" s="2943" t="str">
        <f>IF(OR(P49=0,AND(OR(RIGHT(Excel_RFA_Number,3)="214",RIGHT(Excel_RFA_Number,3)="215",RIGHT(Excel_RFA_Number,3)="216"),Minimum_SetAside_per_Sec_42=DS_FHFC_NonHC,DS_FHFC_NonHC_Table&lt;&gt;"Non-AIT")),"This commitment table is not applicable.",IF(Minimum_SetAside_per_Sec_42&lt;&gt;DS_FHFC_NonHC,"Applicants committing to the minimum IRS set-aside commitment of "&amp;IF(Minimum_SetAside_per_Sec_42=DS_IRS_2050,"20 percent of the total units at 50 percent of the Area Median Income or less",IF(Minimum_SetAside_per_Sec_42=DS_IRS_4060,"40 percent of the total units at 60 percent of the Area Median Income or less","20 percent of the total units at 50 percent of the Area Median Income or less or 40 percent of the total units at 60 percent of the Area Median Income or less"))&amp;" must complete the following chart for "&amp;IF(OR(RIGHT(Excel_RFA_Number,3)="214",AND(P117=0,DS_Gap_YN="Yes")),DS_Gap_Name&amp;" and ","")&amp;"HC Set-Aside Commitments."&amp;IF(AND(P74=2,RIGHT(Excel_RFA_Number,3)="213")," The ELI Set-Aside Commitment is for only "&amp;TEXT(Data1!B610,"0")&amp;" years prior to returning to "&amp;TEXT(IF(Minimum_SetAside_per_Sec_42=DS_IRS_2050,50%,60%),"0%")&amp;" AMI HC Units.",""),"Applicants must complete the following chart. The "&amp;DS_Loan_Name&amp;" Set-Aside Commitments below are for the entire "&amp;TEXT(Data1!B609,"0")&amp;" years"&amp;IF(OR(Data1!B610=Data1!B609,Data1!B610=0),"."," while the ELI Set-Aside Commitment is for only "&amp;TEXT(Data1!B610,"0")&amp;" years prior to returning to 60% AMI.")))&amp;IF(P49=0,"",IF(AND(RIGHT(Excel_RFA_Number,3)="305",P49&gt;0,OR(LEFT(Minimum_SetAside_per_Sec_42,2)="20",LEFT(Minimum_SetAside_per_Sec_42,2)="40"))," In addition, complete the Set-Aside Tabe at "&amp;B47&amp;"("&amp;C117&amp;") below for the CDBG-DR Set-Aside Commitment.",""))</f>
        <v>Applicants committing to the minimum IRS set-aside commitment of 20 percent of the total units at 50 percent of the Area Median Income or less or 40 percent of the total units at 60 percent of the Area Median Income or less must complete the following chart for HC Set-Aside Commitments.</v>
      </c>
      <c r="E49" s="2943"/>
      <c r="F49" s="2943"/>
      <c r="G49" s="2943"/>
      <c r="H49" s="2943"/>
      <c r="I49" s="2943"/>
      <c r="J49" s="2943"/>
      <c r="K49" s="2943"/>
      <c r="L49" s="6"/>
      <c r="M49" s="6"/>
      <c r="P49" s="313">
        <v>1</v>
      </c>
    </row>
    <row r="50" spans="3:25" ht="14.45" customHeight="1" thickBot="1">
      <c r="E50" s="941"/>
      <c r="F50" s="902"/>
      <c r="G50" s="902"/>
      <c r="H50" s="902"/>
      <c r="I50" s="902"/>
      <c r="J50" s="1765"/>
      <c r="K50" s="902"/>
      <c r="L50" s="6"/>
      <c r="M50" s="6"/>
      <c r="N50" s="829">
        <f>IF(AND(Minimum_SetAside_per_Sec_42&lt;&gt;"&lt;select one&gt;",Minimum_SetAside_per_Sec_42&lt;&gt;"Average Income Test",N$37=1),1,0)</f>
        <v>0</v>
      </c>
      <c r="O50" s="899">
        <f>IF(N50&lt;&gt;0,IF(OR(IFERROR(FIND(" NOT ",$D$70),0)&gt;0,IFERROR(FIND("Attention:",$D$70),0)&gt;0,total_units_in_NonAIT_setaside_chart=0),0,1),0)</f>
        <v>0</v>
      </c>
      <c r="P50" s="6" t="str">
        <f>IF(N50=1,"At least one (corrective) entry needed","No entries needed")</f>
        <v>No entries needed</v>
      </c>
    </row>
    <row r="51" spans="3:25" ht="44.1" customHeight="1">
      <c r="F51" s="467" t="s">
        <v>1125</v>
      </c>
      <c r="G51" s="3145" t="s">
        <v>1126</v>
      </c>
      <c r="H51" s="3146"/>
      <c r="I51" s="447" t="s">
        <v>1127</v>
      </c>
      <c r="J51" s="468" t="s">
        <v>1128</v>
      </c>
      <c r="K51" s="1845" t="s">
        <v>2365</v>
      </c>
      <c r="L51" s="3139" t="str">
        <f>IF(OR(Minimum_SetAside_per_Sec_42="Average Income Test",AND(OR(RIGHT(Excel_RFA_Number,3)="215",RIGHT(Excel_RFA_Number,3)="216"),Minimum_SetAside_per_Sec_42=DS_FHFC_NonHC)),"This table has been greyed out because the Applicant has selected the other minimum IRS set-aside commitment table. No entries should be entered.","")</f>
        <v/>
      </c>
      <c r="M51" s="3139"/>
      <c r="N51" s="3139"/>
      <c r="O51" s="3139"/>
      <c r="P51" s="3139"/>
      <c r="Q51" s="3139"/>
      <c r="R51" s="3139"/>
      <c r="S51" s="3139"/>
      <c r="T51" s="3139"/>
      <c r="U51" s="3139"/>
    </row>
    <row r="52" spans="3:25" ht="17.45" customHeight="1">
      <c r="D52" s="3155" t="str">
        <f>IF(AND(DS_ELI_UnitLimit="Yes",SUM(Data1!U624:U632)&gt;0,Minimum_SetAside_per_Sec_42&lt;&gt;DS_IRS_AIT,Minimum_SetAside_per_Sec_42&lt;&gt;"&lt;select one&gt;"),"Due to the ELI Unit limit of "&amp;TEXT(Data1!B642,"0")&amp;" units, the "&amp;TEXT(ROUNDUP(SUM(Data1!U624:U632),0),"0")&amp;" ELI units in excess of the limit created by the entry of the "&amp;TEXT(CHOOSE(IFERROR(MATCH(IFERROR(VLOOKUP(County,DS_CountyData,14),0),I52:I60,0),0)+1,0,G52,G53,G54,G55,G56,G57,G58,G59,G60),"0%")&amp;" ELI commitment have been moved to be part of the "&amp;IF(IFERROR(N(IF(Data1!V$621=Data1!V$623,VLOOKUP(SUM(Data1!U$624:U$632),Data1!V$624:X$632,3,FALSE),VLOOKUP(SUM(Data1!U$624:U$632),Data1!W$624:X$632,2,FALSE))),0)&gt;0,TEXT(N(IF(Data1!V$621=Data1!V$623,VLOOKUP(SUM(Data1!U$624:U$632),Data1!V$624:X$632,3,FALSE),VLOOKUP(SUM(Data1!U$624:U$632),Data1!W$624:X$632,2,FALSE))),"0%")&amp;" AMI",IF(VLOOKUP(MAX(Data1!U624:U629),Data1!V624:X644,3,FALSE)="Market","Market Rate",CHOOSE(P74+1," Workforce ","Restricted "," Live Local ")&amp;TEXT(VLOOKUP(MAX(Data1!U624:U629),Data1!V624:X644,3,FALSE),"0%")&amp;" AMI"))&amp;" commitment.","")</f>
        <v/>
      </c>
      <c r="E52" s="3156"/>
      <c r="F52" s="448">
        <f>IFERROR(IF(OR(AND(RIGHT(Excel_RFA_Number,3)="215",$C$37=DS_FHFC_NonHC,DS_FHFC_NonHC_Table&lt;&gt;"Non-AIT"),$C$37="Average Income Test",N(twentyfive_AMI_HC)),0,IF(DS_ELI_UnitLimit="Yes",MIN(DS_ELI_UnitLimit_Units,ROUNDUP(N(twentyfive_AMI_HC)*N(Total_Units),0)),ROUNDUP(N(twentyfive_AMI_HC)*N(Total_Units),0))),0)</f>
        <v>0</v>
      </c>
      <c r="G52" s="3120"/>
      <c r="H52" s="3121"/>
      <c r="I52" s="437">
        <v>0.25</v>
      </c>
      <c r="J52" s="3152" t="str">
        <f>IF(RIGHT(Excel_RFA_Number,3)="214",DS_Loan_Name&amp;"/Housing Credit",IF(Minimum_SetAside_per_Sec_42=DS_FHFC_NonHC,DS_Loan_Name,"Housing Credit"))&amp;" Units"</f>
        <v>Housing Credit Units</v>
      </c>
      <c r="K52" s="1846" t="str">
        <f>IF(OR($C$37="&lt;select one&gt;",$C$37="Average Income Test",N(Total_Units)=0,DS_ELI_UnitLimit&lt;&gt;"Yes",DS_ELI_UnitLimit_Exception_Goal_Met="MEETS",N(F52)=0,AND(I52=IFERROR(VLOOKUP(County,DS_CountyData,14),0),N(F52)&lt;DS_ELI_UnitLimit_Units)),"",IF(AND($C$37&lt;&gt;"&lt;select one&gt;",$C$37&lt;&gt;"Average Income Test",I52=IFERROR(VLOOKUP(County,DS_CountyData,14),0)),ROUND(F52/N(Total_Units),5),IF(Data1!$W$621=Data1!$W$623,IF(OR(AND(Minimum_SetAside_per_Sec_42=DS_IRS_2050,I52=50%),AND(Minimum_SetAside_per_Sec_42=DS_IRS_4060,I52=60%)),SUM(G$52:G52)-L1,G52+IF(SUM(G52:G$60)=0,SUM(Data1!U$624:U$632)/N(Total_Units),0)),IF(Data1!W624=MAX(Data1!$U$624:$U$629),G52+Data1!W624/N(Total_Units),""))))</f>
        <v/>
      </c>
      <c r="L52" s="905" t="str">
        <f t="shared" ref="L52:L58" si="0">IF(OR($C$37="&lt;select one&gt;",$C$37="Average Income Test",AND(RIGHT(Excel_RFA_Number,3)="215",Minimum_SetAside_per_Sec_42=DS_FHFC_NonHC),AND(RIGHT(Excel_RFA_Number,3)="216",Minimum_SetAside_per_Sec_42=DS_FHFC_NonHC)),"",IF(AND($C$37&lt;&gt;"&lt;select one&gt;",$C$37&lt;&gt;"Average Income Test",I52&lt;IFERROR(VLOOKUP(County,DS_CountyData,14),0)),"",IF(I52=IFERROR(VLOOKUP(County,DS_CountyData,14),0),"&lt;= "&amp;County&amp;" County's designated ELI AMI Level is "&amp;TEXT(IFERROR(VLOOKUP(County,DS_CountyData,14),0),"0%")&amp;".","")))</f>
        <v/>
      </c>
      <c r="M52" s="905"/>
    </row>
    <row r="53" spans="3:25" ht="17.45" customHeight="1">
      <c r="D53" s="3155"/>
      <c r="E53" s="3156"/>
      <c r="F53" s="449">
        <f>IFERROR(IF(OR(AND(RIGHT(Excel_RFA_Number,3)="215",$C$37=DS_FHFC_NonHC,DS_FHFC_NonHC_Table&lt;&gt;"Non-AIT"),$C$37="Average Income Test",N(twentyeight_AMI_HC))=0,0,IF(AND(DS_ELI_UnitLimit="Yes",DS_ELI_UnitLimit_Exception_Goal_Met&lt;&gt;"MEETS",I53=IFERROR(VLOOKUP(County,DS_CountyData,14),0)),MIN(DS_ELI_UnitLimit_Units,ROUNDUP(SUM(G$52:G53)*N(Total_Units),0)-SUM(F$52:F52)-SUM(Data1!U$624:U624)),IF(AND(SUM(G$52:G$60)=SUM(G$52:G53),N(G53)&gt;0),SUM(Data1!U$624:U624),0)+ROUNDUP(SUM(G$52:G53)*N(Total_Units),0)-SUM(F$52:F52)-SUM(Data1!U$624:U624))),0)</f>
        <v>0</v>
      </c>
      <c r="G53" s="3111"/>
      <c r="H53" s="3112"/>
      <c r="I53" s="438">
        <v>0.28000000000000003</v>
      </c>
      <c r="J53" s="3153"/>
      <c r="K53" s="1846" t="str">
        <f>IF(OR($C$37="&lt;select one&gt;",$C$37="Average Income Test",N(Total_Units)=0,DS_ELI_UnitLimit&lt;&gt;"Yes",DS_ELI_UnitLimit_Exception_Goal_Met="MEETS",N(F53)=0,AND(I53=IFERROR(VLOOKUP(County,DS_CountyData,14),0),N(F53)&lt;DS_ELI_UnitLimit_Units)),"",IF(AND($C$37&lt;&gt;"&lt;select one&gt;",$C$37&lt;&gt;"Average Income Test",I53=IFERROR(VLOOKUP(County,DS_CountyData,14),0)),ROUND(F53/N(Total_Units),5),IF(Data1!$W$621=Data1!$W$623,IF(OR(AND(Minimum_SetAside_per_Sec_42=DS_IRS_2050,I53=50%),AND(Minimum_SetAside_per_Sec_42=DS_IRS_4060,I53=60%)),SUM(G$52:G52)-SUM(K$52:K52),G53+IF(SUM(G52:G$60)=0,SUM(Data1!U$624:U$632)/N(Total_Units),0)),IF(Data1!W625=MAX(Data1!$U$624:$U$629),G52+Data1!W625/N(Total_Units),""))))</f>
        <v/>
      </c>
      <c r="L53" s="905" t="str">
        <f t="shared" si="0"/>
        <v/>
      </c>
      <c r="M53" s="905"/>
    </row>
    <row r="54" spans="3:25" ht="17.45" customHeight="1">
      <c r="D54" s="3155"/>
      <c r="E54" s="3156"/>
      <c r="F54" s="449">
        <f>IFERROR(IF(OR(AND(RIGHT(Excel_RFA_Number,3)="215",$C$37=DS_FHFC_NonHC,DS_FHFC_NonHC_Table&lt;&gt;"Non-AIT"),$C$37="Average Income Test",N(thirty_AMI_HC)=0),0,IF(AND(DS_ELI_UnitLimit="Yes",DS_ELI_UnitLimit_Exception_Goal_Met&lt;&gt;"MEETS",I54=IFERROR(VLOOKUP(County,DS_CountyData,14),0)),MIN(DS_ELI_UnitLimit_Units,ROUNDUP(SUM(G$52:G54)*N(Total_Units),0)-SUM(F$52:F53)-SUM(Data1!U$624:U625)),IF(AND(SUM(G$52:G$60)=SUM(G$52:G54),N(G54)&gt;0),SUM(Data1!U$624:U625),0)+ROUNDUP(SUM(G$52:G54)*N(Total_Units),0)-SUM(F$52:F53)-SUM(Data1!U$624:U625))),0)</f>
        <v>0</v>
      </c>
      <c r="G54" s="3133"/>
      <c r="H54" s="3134"/>
      <c r="I54" s="438">
        <v>0.3</v>
      </c>
      <c r="J54" s="3153"/>
      <c r="K54" s="1846" t="str">
        <f>IF(OR($C$37="&lt;select one&gt;",$C$37="Average Income Test",N(Total_Units)=0,DS_ELI_UnitLimit&lt;&gt;"Yes",DS_ELI_UnitLimit_Exception_Goal_Met="MEETS",N(F54)=0,AND(I54=IFERROR(VLOOKUP(County,DS_CountyData,14),0),N(F54)&lt;DS_ELI_UnitLimit_Units)),"",IF(AND($C$37&lt;&gt;"&lt;select one&gt;",$C$37&lt;&gt;"Average Income Test",I54=IFERROR(VLOOKUP(County,DS_CountyData,14),0)),ROUND(F54/N(Total_Units),5),IF(Data1!$W$621=Data1!$W$623,IF(OR(AND(Minimum_SetAside_per_Sec_42=DS_IRS_2050,I54=50%),AND(Minimum_SetAside_per_Sec_42=DS_IRS_4060,I54=60%)),SUM(G$52:G53)-SUM(K$52:K53),G54+IF(SUM(G53:G$60)=0,SUM(Data1!U$624:U$632)/N(Total_Units),0)),IF(Data1!W626=MAX(Data1!$U$624:$U$629),G53+Data1!W626/N(Total_Units),""))))</f>
        <v/>
      </c>
      <c r="L54" s="905" t="str">
        <f t="shared" si="0"/>
        <v/>
      </c>
      <c r="M54" s="905"/>
    </row>
    <row r="55" spans="3:25" ht="17.45" customHeight="1">
      <c r="D55" s="3155"/>
      <c r="E55" s="3156"/>
      <c r="F55" s="449">
        <f>IFERROR(IF(OR(AND(RIGHT(Excel_RFA_Number,3)="215",$C$37=DS_FHFC_NonHC,DS_FHFC_NonHC_Table&lt;&gt;"Non-AIT"),$C$37="Average Income Test",N(thirtythree_AMI_HC)=0),0,IF(AND(DS_ELI_UnitLimit="Yes",DS_ELI_UnitLimit_Exception_Goal_Met&lt;&gt;"MEETS",I55=IFERROR(VLOOKUP(County,DS_CountyData,14),0)),MIN(DS_ELI_UnitLimit_Units,ROUNDUP(SUM(G$52:G55)*N(Total_Units),0)-SUM(F$52:F54)-SUM(Data1!U$624:U626)),IF(AND(SUM(G$52:G$60)=SUM(G$52:G55),N(G55)&gt;0),SUM(Data1!U$624:U626),0)+ROUNDUP(SUM(G$52:G55)*N(Total_Units),0)-SUM(F$52:F54)-SUM(Data1!U$624:U626))),0)</f>
        <v>0</v>
      </c>
      <c r="G55" s="3111"/>
      <c r="H55" s="3112"/>
      <c r="I55" s="438">
        <v>0.33</v>
      </c>
      <c r="J55" s="3153"/>
      <c r="K55" s="1846" t="str">
        <f>IF(OR($C$37="&lt;select one&gt;",$C$37="Average Income Test",N(Total_Units)=0,DS_ELI_UnitLimit&lt;&gt;"Yes",DS_ELI_UnitLimit_Exception_Goal_Met="MEETS",N(F55)=0,AND(I55=IFERROR(VLOOKUP(County,DS_CountyData,14),0),N(F55)&lt;DS_ELI_UnitLimit_Units)),"",IF(AND($C$37&lt;&gt;"&lt;select one&gt;",$C$37&lt;&gt;"Average Income Test",I55=IFERROR(VLOOKUP(County,DS_CountyData,14),0)),ROUND(F55/N(Total_Units),5),IF(Data1!$W$621=Data1!$W$623,IF(OR(AND(Minimum_SetAside_per_Sec_42=DS_IRS_2050,I55=50%),AND(Minimum_SetAside_per_Sec_42=DS_IRS_4060,I55=60%)),SUM(G$52:G55)-SUM(K$52:K54),G55+IF(SUM(G55:G$60)=0,SUM(Data1!U$624:U$632)/N(Total_Units),0)),IF(Data1!W627=MAX(Data1!$U$624:$U$629),G55+Data1!W627/N(Total_Units),""))))</f>
        <v/>
      </c>
      <c r="L55" s="905" t="str">
        <f t="shared" si="0"/>
        <v/>
      </c>
      <c r="M55" s="905"/>
    </row>
    <row r="56" spans="3:25" ht="17.45" customHeight="1">
      <c r="D56" s="3155"/>
      <c r="E56" s="3156"/>
      <c r="F56" s="449">
        <f>IFERROR(IF(OR(AND(RIGHT(Excel_RFA_Number,3)="215",$C$37=DS_FHFC_NonHC,DS_FHFC_NonHC_Table&lt;&gt;"Non-AIT"),$C$37="Average Income Test",N(thirtyfive_AMI_HC)=0),0,IF(AND(DS_ELI_UnitLimit="Yes",DS_ELI_UnitLimit_Exception_Goal_Met&lt;&gt;"MEETS",I56=IFERROR(VLOOKUP(County,DS_CountyData,14),0)),MIN(DS_ELI_UnitLimit_Units,ROUNDUP(SUM(G$52:G56)*N(Total_Units),0)-SUM(F$52:F55)-SUM(Data1!U$624:U627)),IF(AND(SUM(G$52:G$60)=SUM(G$52:G56),N(G56)&gt;0),SUM(Data1!U$624:U627),0)+ROUNDUP(SUM(G$52:G56)*N(Total_Units),0)-SUM(F$52:F55)-SUM(Data1!U$624:U627))),0)</f>
        <v>0</v>
      </c>
      <c r="G56" s="3111"/>
      <c r="H56" s="3112"/>
      <c r="I56" s="438">
        <v>0.35</v>
      </c>
      <c r="J56" s="3153"/>
      <c r="K56" s="1846" t="str">
        <f>IF(OR($C$37="&lt;select one&gt;",$C$37="Average Income Test",N(Total_Units)=0,DS_ELI_UnitLimit&lt;&gt;"Yes",DS_ELI_UnitLimit_Exception_Goal_Met="MEETS",N(F56)=0,AND(I56=IFERROR(VLOOKUP(County,DS_CountyData,14),0),N(F56)&lt;DS_ELI_UnitLimit_Units)),"",IF(AND($C$37&lt;&gt;"&lt;select one&gt;",$C$37&lt;&gt;"Average Income Test",I56=IFERROR(VLOOKUP(County,DS_CountyData,14),0)),ROUND(F56/N(Total_Units),5),IF(Data1!$W$621=Data1!$W$623,IF(OR(AND(Minimum_SetAside_per_Sec_42=DS_IRS_2050,I56=50%),AND(Minimum_SetAside_per_Sec_42=DS_IRS_4060,I56=60%)),SUM(G$52:G56)-SUM(K$52:K55),G56+IF(SUM(G56:G$60)=0,SUM(Data1!U$624:U$632)/N(Total_Units),0)),IF(Data1!W628=MAX(Data1!$U$624:$U$629),G56+Data1!W628/N(Total_Units),""))))</f>
        <v/>
      </c>
      <c r="L56" s="905" t="str">
        <f t="shared" si="0"/>
        <v/>
      </c>
      <c r="M56" s="905"/>
    </row>
    <row r="57" spans="3:25" ht="17.45" customHeight="1">
      <c r="D57" s="3155"/>
      <c r="E57" s="3156"/>
      <c r="F57" s="449">
        <f>IFERROR(IF(OR(AND(RIGHT(Excel_RFA_Number,3)="215",$C$37=DS_FHFC_NonHC,DS_FHFC_NonHC_Table&lt;&gt;"Non-AIT"),$C$37="Average Income Test",N(forty_AMI_HC)=0),0,IF(AND(DS_ELI_UnitLimit="Yes",DS_ELI_UnitLimit_Exception_Goal_Met&lt;&gt;"MEETS",I57=IFERROR(VLOOKUP(County,DS_CountyData,14),0)),MIN(DS_ELI_UnitLimit_Units,ROUNDUP(SUM(G$52:G57)*N(Total_Units),0)-SUM(F$52:F56)-SUM(Data1!U$624:U628)),IF(AND(SUM(G$52:G$60)=SUM(G$52:G57),N(G57)&gt;0),SUM(Data1!U$624:U628),0)+ROUNDUP(SUM(G$52:G57)*N(Total_Units),0)-SUM(F$52:F56)-SUM(Data1!U$624:U628))),0)</f>
        <v>0</v>
      </c>
      <c r="G57" s="3111"/>
      <c r="H57" s="3112"/>
      <c r="I57" s="438">
        <v>0.4</v>
      </c>
      <c r="J57" s="3153"/>
      <c r="K57" s="1846" t="str">
        <f>IF(OR($C$37="&lt;select one&gt;",$C$37="Average Income Test",N(Total_Units)=0,DS_ELI_UnitLimit&lt;&gt;"Yes",DS_ELI_UnitLimit_Exception_Goal_Met="MEETS",N(F57)=0,AND(I57=IFERROR(VLOOKUP(County,DS_CountyData,14),0),N(F57)&lt;DS_ELI_UnitLimit_Units)),"",IF(AND($C$37&lt;&gt;"&lt;select one&gt;",$C$37&lt;&gt;"Average Income Test",I57=IFERROR(VLOOKUP(County,DS_CountyData,14),0)),ROUND(F57/N(Total_Units),5),IF(Data1!$W$621=Data1!$W$623,IF(OR(AND(Minimum_SetAside_per_Sec_42=DS_IRS_2050,I57=50%),AND(Minimum_SetAside_per_Sec_42=DS_IRS_4060,I57=60%)),SUM(G$52:G57)-SUM(K$52:K56),G57+IF(SUM(G57:G$60)=0,SUM(Data1!U$624:U$632)/N(Total_Units),0)),IF(Data1!W629=MAX(Data1!$U$624:$U$629),G57+Data1!W629/N(Total_Units),""))))</f>
        <v/>
      </c>
      <c r="L57" s="905" t="str">
        <f t="shared" si="0"/>
        <v/>
      </c>
      <c r="M57" s="905"/>
    </row>
    <row r="58" spans="3:25" ht="17.45" customHeight="1">
      <c r="D58" s="3155"/>
      <c r="E58" s="3156"/>
      <c r="F58" s="449">
        <f>IFERROR(IF(OR(AND(RIGHT(Excel_RFA_Number,3)="215",$C$37=DS_FHFC_NonHC,DS_FHFC_NonHC_Table&lt;&gt;"Non-AIT"),$C$37="Average Income Test",N(fortyfive_AMI_HC)=0),0,IF(AND(DS_ELI_UnitLimit="Yes",DS_ELI_UnitLimit_Exception_Goal_Met&lt;&gt;"MEETS",I58=IFERROR(VLOOKUP(County,DS_CountyData,14),0)),MIN(DS_ELI_UnitLimit_Units,ROUNDUP(SUM(G$52:G58)*N(Total_Units),0)-SUM(F$52:F57)-SUM(Data1!U$624:U629)),IF(AND(SUM(G$52:G$60)=SUM(G$52:G58),N(G58)&gt;0),SUM(Data1!U$624:U629),0)+ROUNDUP(SUM(G$52:G58)*N(Total_Units),0)-SUM(F$52:F57)-SUM(Data1!U$624:U629))),0)</f>
        <v>0</v>
      </c>
      <c r="G58" s="3111"/>
      <c r="H58" s="3112"/>
      <c r="I58" s="438">
        <v>0.45</v>
      </c>
      <c r="J58" s="3153"/>
      <c r="K58" s="1846" t="str">
        <f>IF(OR($C$37="&lt;select one&gt;",$C$37="Average Income Test",N(Total_Units)=0,DS_ELI_UnitLimit&lt;&gt;"Yes",DS_ELI_UnitLimit_Exception_Goal_Met="MEETS",N(F58)=0,AND(I58=IFERROR(VLOOKUP(County,DS_CountyData,14),0),N(F58)&lt;DS_ELI_UnitLimit_Units)),"",IF(AND($C$37&lt;&gt;"&lt;select one&gt;",$C$37&lt;&gt;"Average Income Test",I58=IFERROR(VLOOKUP(County,DS_CountyData,14),0)),ROUND(F58/N(Total_Units),5),IF(Data1!$W$621=Data1!$W$623,IF(OR(AND(Minimum_SetAside_per_Sec_42=DS_IRS_2050,I58=50%),AND(Minimum_SetAside_per_Sec_42=DS_IRS_4060,I58=60%)),SUM(G$52:G58)-SUM(K$52:K57),G58+IF(SUM(G58:G$60)=0,SUM(Data1!U$624:U$632)/N(Total_Units),0)),IF(Data1!W630=MAX(Data1!$U$624:$U$629),G58+Data1!W630/N(Total_Units),""))))</f>
        <v/>
      </c>
      <c r="L58" s="905" t="str">
        <f t="shared" si="0"/>
        <v/>
      </c>
      <c r="M58" s="905"/>
    </row>
    <row r="59" spans="3:25" ht="17.45" customHeight="1">
      <c r="D59" s="3155"/>
      <c r="E59" s="3156"/>
      <c r="F59" s="449">
        <f>IFERROR(IF(OR(AND(RIGHT(Excel_RFA_Number,3)="215",$C$37=DS_FHFC_NonHC,DS_FHFC_NonHC_Table&lt;&gt;"Non-AIT"),$C$37="Average Income Test",AND(N(fifty_AMI_HC)=0)),0,IF(AND(DS_ELI_UnitLimit="Yes",DS_ELI_UnitLimit_Exception_Goal_Met&lt;&gt;"MEETS",I59=IFERROR(VLOOKUP(County,DS_CountyData,14),0)),MIN(DS_ELI_UnitLimit_Units,ROUNDUP(SUM(G$52:G59)*N(Total_Units),0)-SUM(F$52:F58)-SUM(Data1!U$624:U630)),IF(Minimum_SetAside_per_Sec_42=DS_IRS_2050,SUM(Data1!U$624:U630),0)+ROUNDUP(SUM(G$52:G59)*N(Total_Units),0)-SUM(F$52:F58)-SUM(Data1!U$624:U630))),0)</f>
        <v>0</v>
      </c>
      <c r="G59" s="3111"/>
      <c r="H59" s="3112"/>
      <c r="I59" s="438">
        <v>0.5</v>
      </c>
      <c r="J59" s="3153"/>
      <c r="K59" s="1846" t="str">
        <f>IF(OR($C$37="&lt;select one&gt;",$C$37="Average Income Test",N(Total_Units)=0,DS_ELI_UnitLimit&lt;&gt;"Yes",DS_ELI_UnitLimit_Exception_Goal_Met="MEETS",N(F59)=0,AND(I59=IFERROR(VLOOKUP(County,DS_CountyData,14),0),N(F59)&lt;DS_ELI_UnitLimit_Units)),"",IF(AND($C$37&lt;&gt;"&lt;select one&gt;",$C$37&lt;&gt;"Average Income Test",I59=IFERROR(VLOOKUP(County,DS_CountyData,14),0)),ROUND(F59/N(Total_Units),5),IF(Data1!$W$621=Data1!$W$623,IF(OR(AND(Minimum_SetAside_per_Sec_42=DS_IRS_2050,I59=50%),AND(Minimum_SetAside_per_Sec_42=DS_IRS_4060,I59=60%)),SUM(G$52:G59)-SUM(K$52:K58),G59+IF(SUM(G59:G$60)=0,SUM(Data1!U$624:U$632)/N(Total_Units),0)),IF(Data1!W631=MAX(Data1!$U$624:$U$629),G59+Data1!W631/N(Total_Units),""))))</f>
        <v/>
      </c>
      <c r="L59" s="905" t="str">
        <f>IF(AND(DS_Loan_Name="HOME",Minimum_SetAside_per_Sec_42=DS_FHFC_NonHC),"&lt;= Low HOME Rent Units; must equal 20% of Total HOME-Assisted Units ("&amp;TEXT(ROUNDUP(20%*SUM(Funding!F121:F125),0),"0")&amp;")","")</f>
        <v/>
      </c>
    </row>
    <row r="60" spans="3:25" ht="17.45" customHeight="1" thickBot="1">
      <c r="D60" s="3155"/>
      <c r="E60" s="3156"/>
      <c r="F60" s="2003">
        <f>IFERROR(IF(OR(AND(RIGHT(Excel_RFA_Number,3)="215",$C$37=DS_FHFC_NonHC,DS_FHFC_NonHC_Table&lt;&gt;"Non-AIT"),$C$37="Average Income Test",N(sixty_AMI_HC)=0),0,IF(Minimum_SetAside_per_Sec_42=DS_IRS_2050,0,IF(AND(DS_ELI_UnitLimit="Yes",DS_ELI_UnitLimit_Exception_Goal_Met&lt;&gt;"MEETS",I60=IFERROR(VLOOKUP(County,DS_CountyData,14),0)),MIN(DS_ELI_UnitLimit_Units,ROUNDUP(SUM(G$52:G60)*N(Total_Units),0)-SUM(F$52:F59)-SUM(Data1!U$624:U631)),IF(Minimum_SetAside_per_Sec_42=DS_IRS_4060,SUM(Data1!U$624:U631),0)+ROUNDUP(SUM(G$52:G60)*N(Total_Units),0)-SUM(F$52:F59)-SUM(Data1!U$624:U631)))),0)</f>
        <v>0</v>
      </c>
      <c r="G60" s="3111"/>
      <c r="H60" s="3112"/>
      <c r="I60" s="438">
        <v>0.6</v>
      </c>
      <c r="J60" s="3153"/>
      <c r="K60" s="1846" t="str">
        <f>IF(OR($C$37="&lt;select one&gt;",$C$37="Average Income Test",N(Total_Units)=0,DS_ELI_UnitLimit&lt;&gt;"Yes",DS_ELI_UnitLimit_Exception_Goal_Met="MEETS",N(F60)=0,AND(I60=IFERROR(VLOOKUP(County,DS_CountyData,14),0),N(F60)&lt;DS_ELI_UnitLimit_Units)),"",IF(AND($C$37&lt;&gt;"&lt;select one&gt;",$C$37&lt;&gt;"Average Income Test",I60=IFERROR(VLOOKUP(County,DS_CountyData,14),0)),ROUND(F60/N(Total_Units),5),IF(Data1!$W$621=Data1!$W$623,IF(OR(AND(Minimum_SetAside_per_Sec_42=DS_IRS_2050,I60=50%),AND(Minimum_SetAside_per_Sec_42=DS_IRS_4060,I60=60%)),SUM(G$52:G60)-SUM(K$52:K59),G60+IF(SUM(G60:G$60)=0,SUM(Data1!U$624:U$632)/N(Total_Units),0)),IF(Data1!W632=MAX(Data1!$U$624:$U$629),G60+Data1!W632/N(Total_Units),""))))</f>
        <v/>
      </c>
      <c r="L60" s="905" t="str">
        <f>IF(LEFT($C$37,3)="20%","&lt;= These units cannot be HC Units due to minimum IRS Set-Aside selected.","")</f>
        <v/>
      </c>
    </row>
    <row r="61" spans="3:25" ht="35.1" hidden="1" customHeight="1">
      <c r="D61" s="3155"/>
      <c r="E61" s="3156"/>
      <c r="F61" s="1960">
        <f>IF(OR(N(Workforce_AMI_80_NonAIT)=0,P61=0),0,ROUNDUP((SUM(G$52:G61)-IF(Minimum_SetAside_per_Sec_42=DS_IRS_2050,G$60,0))*N(Total_Units),0)-(SUM(F$52:F60)-IF(Minimum_SetAside_per_Sec_42=DS_IRS_2050,F$60,0)))</f>
        <v>0</v>
      </c>
      <c r="G61" s="3143"/>
      <c r="H61" s="3144"/>
      <c r="I61" s="1645">
        <v>0.8</v>
      </c>
      <c r="J61" s="1641" t="str">
        <f>IF(P$74=0,"Workforce Housing Units",IF(P$74=2,"Non-HC 80% Live Local Housing Units",IF(AND(P$74=3,Minimum_SetAside_per_Sec_42=DS_FHFC_NonHC),DS_Loan_Name&amp;" Housing Units","NA")))</f>
        <v>NA</v>
      </c>
      <c r="K61" s="1848" t="str">
        <f>IF(OR($C$37="&lt;select one&gt;",$C$37="Average Income Test",N(Total_Units)=0,N(F61)=0),"",IF(OR(AND($C$37&lt;&gt;"&lt;select one&gt;",$C$37&lt;&gt;"Average Income Test",I61=IFERROR(VLOOKUP(County,DS_CountyData,14),0))),"",G61+IF(Data1!$W$621=Data1!$W$623,0,IF(Data1!V633&gt;0,SUM(Data1!U$624:U$632),0))/N(Total_Units)))</f>
        <v/>
      </c>
      <c r="P61" s="1648">
        <v>0</v>
      </c>
      <c r="Y61" s="268"/>
    </row>
    <row r="62" spans="3:25" ht="35.1" hidden="1" customHeight="1">
      <c r="D62" s="3155"/>
      <c r="E62" s="3156"/>
      <c r="F62" s="1960">
        <f>IF(OR(N(Workforce_AMI_90_NonAIT)=0,P62=0),0,ROUNDUP((SUM(G$52:G62)-IF(Minimum_SetAside_per_Sec_42=DS_IRS_2050,G$60,0))*N(Total_Units),0)-(SUM(F$52:F61)-IF(Minimum_SetAside_per_Sec_42=DS_IRS_2050,F$60,0)))</f>
        <v>0</v>
      </c>
      <c r="G62" s="3111"/>
      <c r="H62" s="3112"/>
      <c r="I62" s="1745">
        <v>0.9</v>
      </c>
      <c r="J62" s="1746" t="str">
        <f>IF(P$74=0,"Workforce Housing Units",IF(P$74=2,"Non-HC 90% Live Local Housing Units",IF(AND(P$74=3,Minimum_SetAside_per_Sec_42=DS_FHFC_NonHC),DS_Loan_Name&amp;" Housing Units","NA")))</f>
        <v>NA</v>
      </c>
      <c r="K62" s="1846" t="str">
        <f>IF(OR($C$37="&lt;select one&gt;",$C$37="Average Income Test",N(Total_Units)=0,N(F62)=0),"",IF(OR(AND($C$37&lt;&gt;"&lt;select one&gt;",$C$37&lt;&gt;"Average Income Test",I62=IFERROR(VLOOKUP(County,DS_CountyData,14),0))),"",G62+IF(Data1!$W$621=Data1!$W$623,0,IF(Data1!V635&gt;0,SUM(Data1!U$624:U$632),0))/N(Total_Units)))</f>
        <v/>
      </c>
      <c r="P62" s="1648">
        <v>0</v>
      </c>
    </row>
    <row r="63" spans="3:25" ht="35.1" hidden="1" customHeight="1">
      <c r="D63" s="3155"/>
      <c r="E63" s="3156"/>
      <c r="F63" s="1960">
        <f>IF(OR(N(Workforce_AMI_100_NonAIT)=0,P63=0),0,ROUNDUP((SUM(G$52:G63)-IF(Minimum_SetAside_per_Sec_42=DS_IRS_2050,G$60,0))*N(Total_Units),0)-(SUM(F$52:F62)-IF(Minimum_SetAside_per_Sec_42=DS_IRS_2050,F$60,0)))</f>
        <v>0</v>
      </c>
      <c r="G63" s="3111"/>
      <c r="H63" s="3112"/>
      <c r="I63" s="1745">
        <v>1</v>
      </c>
      <c r="J63" s="1746" t="str">
        <f>IF(P$74=0,"Workforce Housing Units",IF(P$74=2,"Non-HC 100% Live Local Housing Units",IF(AND(P$74=3,Minimum_SetAside_per_Sec_42=DS_FHFC_NonHC),DS_Loan_Name&amp;" Housing Units","NA")))</f>
        <v>NA</v>
      </c>
      <c r="K63" s="1846" t="str">
        <f>IF(OR($C$37="&lt;select one&gt;",$C$37="Average Income Test",N(Total_Units)=0,N(F63)=0),"",IF(OR(AND($C$37&lt;&gt;"&lt;select one&gt;",$C$37&lt;&gt;"Average Income Test",I63=IFERROR(VLOOKUP(County,DS_CountyData,14),0))),"",G63+IF(Data1!$W$621=Data1!$W$623,0,IF(Data1!V635&gt;0,SUM(Data1!U$624:U$632),0))/N(Total_Units)))</f>
        <v/>
      </c>
      <c r="P63" s="1648">
        <v>0</v>
      </c>
    </row>
    <row r="64" spans="3:25" ht="35.1" hidden="1" customHeight="1">
      <c r="D64" s="1952"/>
      <c r="E64" s="1959"/>
      <c r="F64" s="1960">
        <f>IF(OR(N(Workforce_AMI_110_NonAIT)=0,P64=0),0,ROUNDUP((SUM(G$52:G64)-IF(Minimum_SetAside_per_Sec_42=DS_IRS_2050,G$60,0))*N(Total_Units),0)-(SUM(F$52:F63)-IF(Minimum_SetAside_per_Sec_42=DS_IRS_2050,F$60,0)))</f>
        <v>0</v>
      </c>
      <c r="G64" s="3111"/>
      <c r="H64" s="3112"/>
      <c r="I64" s="1745">
        <v>1.1000000000000001</v>
      </c>
      <c r="J64" s="1746" t="str">
        <f>IF(P$74=0,"Workforce Housing Units",IF(P$74=2,"Non-HC 110% Live Local Housing Units",IF(AND(P$74=3,Minimum_SetAside_per_Sec_42=DS_FHFC_NonHC),DS_Loan_Name&amp;" Housing Units","NA")))</f>
        <v>NA</v>
      </c>
      <c r="K64" s="1846" t="str">
        <f>IF(OR($C$37="&lt;select one&gt;",$C$37="Average Income Test",N(Total_Units)=0,N(F64)=0),"",IF(OR(AND($C$37&lt;&gt;"&lt;select one&gt;",$C$37&lt;&gt;"Average Income Test",I64=IFERROR(VLOOKUP(County,DS_CountyData,14),0))),"",G64+IF(Data1!$W$621=Data1!$W$623,0,IF(Data1!V638&gt;0,SUM(Data1!U$624:U$632),0))/N(Total_Units)))</f>
        <v/>
      </c>
      <c r="P64" s="1648">
        <v>0</v>
      </c>
    </row>
    <row r="65" spans="3:24" ht="35.1" hidden="1" customHeight="1" thickBot="1">
      <c r="F65" s="455">
        <f>IF(OR(N(Workforce_AMI_120_NonAIT)=0,P65=0),0,ROUNDUP((SUM(G$52:G65)-IF(Minimum_SetAside_per_Sec_42=DS_IRS_2050,G$60,0))*N(Total_Units),0)-(SUM(F$52:F64)-IF(Minimum_SetAside_per_Sec_42=DS_IRS_2050,F$60,0)))</f>
        <v>0</v>
      </c>
      <c r="G65" s="3131"/>
      <c r="H65" s="3132"/>
      <c r="I65" s="2315">
        <v>1.2</v>
      </c>
      <c r="J65" s="2316" t="str">
        <f>IF(P$74=0,"Workforce Housing Units",IF(P$74=2,"Non-HC 120% Live Local Housing Units",IF(AND(P$74=3,Minimum_SetAside_per_Sec_42=DS_FHFC_NonHC),DS_Loan_Name&amp;" Housing Units","NA")))</f>
        <v>NA</v>
      </c>
      <c r="K65" s="1846" t="str">
        <f>IF(OR($C$37="&lt;select one&gt;",$C$37="Average Income Test",N(Total_Units)=0,N(F65)=0),"",IF(OR(AND($C$37&lt;&gt;"&lt;select one&gt;",$C$37&lt;&gt;"Average Income Test",I65=IFERROR(VLOOKUP(County,DS_CountyData,14),0))),"",G65+IF(Data1!$W$621=Data1!$W$623,0,IF(Data1!V637&gt;0,SUM(Data1!U$624:U$632),0))/N(Total_Units)))</f>
        <v/>
      </c>
      <c r="P65" s="1648">
        <v>0</v>
      </c>
    </row>
    <row r="66" spans="3:24" ht="35.1" customHeight="1" thickBot="1">
      <c r="F66" s="2317">
        <f>IF(OR(AND(RIGHT(Excel_RFA_Number="215"),$C$37=DS_FHFC_NonHC,DS_FHFC_NonHC_Table&lt;&gt;"Non-AIT"),$C$37="Average Income Test",SUM(G52:G65)=0),0,N(Total_Units)-SUM(F52:F65))</f>
        <v>0</v>
      </c>
      <c r="G66" s="3140">
        <f>IF(OR(AND(RIGHT(Excel_RFA_Number="215"),$C$37=DS_FHFC_NonHC),$C$37="Average Income Test"),0,MAX(0,IF(OR(P72=0,SUM(G52:G60)+SUMPRODUCT(G61:G65,P61:P65)=0),0,1-SUM(G52:G60)-SUMPRODUCT(G61:G65,P61:P65)+IF(AND(Minimum_SetAside_per_Sec_42=DS_IRS_2050,N($G60)&gt;0),G60,0))))</f>
        <v>0</v>
      </c>
      <c r="H66" s="3141"/>
      <c r="I66" s="2318" t="s">
        <v>2240</v>
      </c>
      <c r="J66" s="2319" t="s">
        <v>2239</v>
      </c>
      <c r="K66" s="1847" t="str">
        <f>IF(OR($C$37="&lt;select one&gt;",$C$37="Average Income Test",N(Total_Units)=0,N(F66)=0),"",IF(OR(AND($C$37&lt;&gt;"&lt;select one&gt;",$C$37&lt;&gt;"Average Income Test",I66=IFERROR(VLOOKUP(County,DS_CountyData,14),0))),"",1-SUM(K52:K65)))</f>
        <v/>
      </c>
      <c r="P66" s="1648">
        <v>1</v>
      </c>
    </row>
    <row r="67" spans="3:24" ht="35.1" customHeight="1" thickBot="1">
      <c r="F67" s="444">
        <f>SUM(F52:F60)</f>
        <v>0</v>
      </c>
      <c r="G67" s="3150">
        <f>IF(OR(AND(RIGHT(Excel_RFA_Number="215"),$C$37=DS_FHFC_NonHC),$C$37="Average Income Test"),0,SUM(G52:G59)+IF(Minimum_SetAside_per_Sec_42&lt;&gt;DS_IRS_2050,G60,0))</f>
        <v>0</v>
      </c>
      <c r="H67" s="3151"/>
      <c r="I67" s="445"/>
      <c r="J67" s="446" t="str">
        <f>"Total "&amp;IF(Minimum_SetAside_per_Sec_42=DS_FHFC_NonHC,DS_Loan_Name,"Qualifying HC")&amp;" Units"</f>
        <v>Total Qualifying HC Units</v>
      </c>
      <c r="K67" s="1849"/>
      <c r="L67" s="941"/>
      <c r="M67" s="941"/>
    </row>
    <row r="68" spans="3:24" ht="17.45" customHeight="1" thickTop="1" thickBot="1">
      <c r="F68" s="441">
        <f>SUM(F52:F66)-IF(Minimum_SetAside_per_Sec_42=DS_IRS_2050,F60,0)</f>
        <v>0</v>
      </c>
      <c r="G68" s="3127">
        <f>IF(OR(AND(RIGHT(Excel_RFA_Number="215"),$C$37=DS_FHFC_NonHC),$C$37="Average Income Test"),0,SUM(G52:G66)-IF(Minimum_SetAside_per_Sec_42=DS_IRS_2050,G60,0))</f>
        <v>0</v>
      </c>
      <c r="H68" s="3128"/>
      <c r="I68" s="442"/>
      <c r="J68" s="443" t="s">
        <v>1129</v>
      </c>
      <c r="K68" s="1850">
        <f>SUM(K52:K66)</f>
        <v>0</v>
      </c>
      <c r="L68" s="941"/>
      <c r="M68" s="941"/>
      <c r="N68" s="50"/>
      <c r="O68" s="50"/>
    </row>
    <row r="69" spans="3:24" ht="10.35" customHeight="1">
      <c r="F69" s="38"/>
      <c r="G69" s="39"/>
      <c r="H69" s="39"/>
      <c r="I69" s="40"/>
      <c r="J69" s="50"/>
      <c r="K69" s="6"/>
      <c r="L69" s="764"/>
      <c r="M69" s="503"/>
      <c r="N69" s="503"/>
      <c r="O69" s="50"/>
    </row>
    <row r="70" spans="3:24" ht="21" customHeight="1">
      <c r="D70" s="2943" t="str">
        <f>IF(OR(Minimum_SetAside_per_Sec_42="&lt;select one&gt;",Minimum_SetAside_per_Sec_42="Average Income Test",AND(Minimum_SetAside_per_Sec_42=DS_FHFC_NonHC,DS_FHFC_NonHC_Table&lt;&gt;"Non-AIT"),AND(OR(RIGHT(Excel_RFA_Number,3)="215",RIGHT(Excel_RFA_Number,3)="216"),Minimum_SetAside_per_Sec_42=DS_FHFC_NonHC,DS_FHFC_NonHC_Table&lt;&gt;"Non-AIT"),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one&gt;",Minimum_SetAside_per_Sec_42="Average Income Test",AND(OR(RIGHT(Excel_RFA_Number,3)="215",RIGHT(Excel_RFA_Number,3)="216"),Minimum_SetAside_per_Sec_42=DS_FHFC_NonHC),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70" s="2943"/>
      <c r="F70" s="2943"/>
      <c r="G70" s="2943"/>
      <c r="H70" s="2943"/>
      <c r="I70" s="2943"/>
      <c r="J70" s="2943"/>
      <c r="K70" s="2943"/>
      <c r="L70" s="764"/>
      <c r="M70" s="503"/>
      <c r="N70" s="503"/>
      <c r="O70" s="50"/>
      <c r="P70" s="3137" t="s">
        <v>2242</v>
      </c>
      <c r="Q70" s="1720"/>
    </row>
    <row r="71" spans="3:24" ht="21" customHeight="1">
      <c r="D71" s="2943"/>
      <c r="E71" s="2943"/>
      <c r="F71" s="2943"/>
      <c r="G71" s="2943"/>
      <c r="H71" s="2943"/>
      <c r="I71" s="2943"/>
      <c r="J71" s="2943"/>
      <c r="K71" s="2943"/>
      <c r="L71" s="764"/>
      <c r="M71" s="503"/>
      <c r="N71" s="503"/>
      <c r="O71" s="50"/>
      <c r="P71" s="3138"/>
      <c r="Q71" s="1720"/>
    </row>
    <row r="72" spans="3:24" ht="26.1" customHeight="1">
      <c r="D72" s="2943"/>
      <c r="E72" s="2943"/>
      <c r="F72" s="2943"/>
      <c r="G72" s="2943"/>
      <c r="H72" s="2943"/>
      <c r="I72" s="2943"/>
      <c r="J72" s="2943"/>
      <c r="K72" s="2943"/>
      <c r="L72" s="764"/>
      <c r="M72" s="503"/>
      <c r="N72" s="503"/>
      <c r="O72" s="50"/>
      <c r="P72" s="1722">
        <v>1</v>
      </c>
      <c r="Q72" s="3124" t="str">
        <f>IF(P74=0,"Workforce",IF(P74=1,"Housing Credit",IF(P74=2,"Live Local",IF(P74=3,DS_Loan_Name,"Housing Credit"))))</f>
        <v>Live Local SAIL</v>
      </c>
    </row>
    <row r="73" spans="3:24" ht="36" customHeight="1">
      <c r="D73" s="2943"/>
      <c r="E73" s="2943"/>
      <c r="F73" s="2943"/>
      <c r="G73" s="2943"/>
      <c r="H73" s="2943"/>
      <c r="I73" s="2943"/>
      <c r="J73" s="2943"/>
      <c r="K73" s="2943"/>
      <c r="L73" s="764"/>
      <c r="M73" s="503"/>
      <c r="N73" s="503"/>
      <c r="O73" s="50"/>
      <c r="P73" s="2135" t="str">
        <f>"Enter 0 to reflect Workforce, 1 for Market Rate, 2 for LLA, 3 for "&amp;DS_Gap_Name</f>
        <v>Enter 0 to reflect Workforce, 1 for Market Rate, 2 for LLA, 3 for SAIL</v>
      </c>
      <c r="Q73" s="3124"/>
      <c r="R73" s="1947"/>
      <c r="S73" s="1947"/>
      <c r="T73" s="1947"/>
    </row>
    <row r="74" spans="3:24" ht="26.1" customHeight="1">
      <c r="D74" s="2943"/>
      <c r="E74" s="2943"/>
      <c r="F74" s="2943"/>
      <c r="G74" s="2943"/>
      <c r="H74" s="2943"/>
      <c r="I74" s="2943"/>
      <c r="J74" s="2943"/>
      <c r="K74" s="2943"/>
      <c r="L74" s="764"/>
      <c r="M74" s="503"/>
      <c r="N74" s="503"/>
      <c r="O74" s="50"/>
      <c r="P74" s="1721">
        <v>3</v>
      </c>
      <c r="Q74" s="3124"/>
      <c r="R74" s="1947"/>
      <c r="S74" s="1947"/>
      <c r="T74" s="1947"/>
    </row>
    <row r="75" spans="3:24" ht="10.35" customHeight="1">
      <c r="F75" s="38"/>
      <c r="G75" s="39"/>
      <c r="H75" s="39"/>
      <c r="I75" s="40"/>
      <c r="J75" s="50"/>
      <c r="K75" s="50"/>
      <c r="L75" s="764"/>
      <c r="M75" s="503"/>
      <c r="N75" s="503"/>
      <c r="O75" s="50"/>
      <c r="Q75" s="1720"/>
      <c r="R75" s="1947"/>
      <c r="S75" s="1947"/>
      <c r="T75" s="1947"/>
    </row>
    <row r="76" spans="3:24" ht="65.099999999999994" customHeight="1">
      <c r="C76" s="381" t="str" cm="1">
        <f t="array" ref="C76">IF($P76=0,"",CHAR(CODE(LOOKUP(2,1/(COUNTIF(C$49:C69,"&gt;"&amp;C$49:C69&amp;"*")=0),C$49:C69))+1))</f>
        <v>b</v>
      </c>
      <c r="D76" s="2943" t="str">
        <f>IF(P76=0,"This commitment table is not applicable.","Applicants committing to "&amp;IF(AND(RIGHT(Excel_RFA_Number,3)&lt;&gt;"214",RIGHT(Excel_RFA_Number,3)&lt;&gt;"215",RIGHT(Excel_RFA_Number,3)&lt;&gt;"216"),"the IRS Average Income Test must complete this chart for Housing Credit",IF(Minimum_SetAside_per_Sec_42=DS_FHFC_NonHC,"Live Local SAIL Only",IF(Minimum_SetAside_per_Sec_42="Average Income Test","Live Local SAIL and IRS Average Income Test","Live Local SAIL Only or IRS Average Income Test"))&amp;" must complete this chart for "&amp;IF(DS_Gap_YN="Yes",DS_Gap_Name&amp;IF(Minimum_SetAside_per_Sec_42=DS_FHFC_NonHC," ",IF(Minimum_SetAside_per_Sec_42="&lt;select one&gt;"," and/or "," and ")&amp;"Housing Credit")," "))&amp;"Set-Aside Commitments. The minimum ELI Set-Aside Commitment is "&amp;TEXT(Data1!B630+Data1!B631,"0%")&amp;" of Total Units, or "&amp;TEXT(ROUNDUP((Data1!B630+Data1!B631)*N(Total_Units),0),"0")&amp;" units at 30% AMI or less.")</f>
        <v>Applicants committing to the IRS Average Income Test must complete this chart for Housing CreditSet-Aside Commitments. The minimum ELI Set-Aside Commitment is 20% of Total Units, or 0 units at 30% AMI or less.</v>
      </c>
      <c r="E76" s="2943"/>
      <c r="F76" s="2943"/>
      <c r="G76" s="2943"/>
      <c r="H76" s="2943"/>
      <c r="I76" s="2943"/>
      <c r="J76" s="2943"/>
      <c r="K76" s="902"/>
      <c r="L76" s="764"/>
      <c r="M76" s="503"/>
      <c r="N76" s="503"/>
      <c r="P76" s="313">
        <v>1</v>
      </c>
      <c r="Q76" s="1720"/>
      <c r="R76" s="1947"/>
      <c r="S76" s="1947"/>
      <c r="T76" s="1947"/>
    </row>
    <row r="77" spans="3:24" ht="10.35" customHeight="1" thickBot="1">
      <c r="L77" s="764"/>
      <c r="M77" s="503"/>
      <c r="N77" s="503"/>
    </row>
    <row r="78" spans="3:24" ht="44.1" customHeight="1">
      <c r="F78" s="467" t="s">
        <v>1125</v>
      </c>
      <c r="G78" s="3145" t="s">
        <v>1126</v>
      </c>
      <c r="H78" s="3146"/>
      <c r="I78" s="936" t="s">
        <v>1127</v>
      </c>
      <c r="J78" s="469" t="s">
        <v>1128</v>
      </c>
      <c r="K78" s="1771"/>
      <c r="L78" s="3139" t="str">
        <f>IF(OR(Minimum_SetAside_per_Sec_42=DS_IRS_2050,Minimum_SetAside_per_Sec_42=DS_IRS_4060,AND(Minimum_SetAside_per_Sec_42=DS_FHFC_NonHC,DS_FHFC_NonHC_Table&lt;&gt;"AIT")),"This table has been greyed out because the Applicant has selected the other minimum IRS set-aside commitment table. No entries should entered.",IF(OR(RIGHT(Excel_RFA_Number,3)="214",AND(RIGHT(Excel_RFA_Number,3)="215",OR(Minimum_SetAside_per_Sec_42="Average Income Test",Minimum_SetAside_per_Sec_42=DS_FHFC_NonHC))),"",IF(Minimum_SetAside_per_Sec_42=DS_FHFC_NonHC,"This table should be greyed-out and not have any entries.","")))</f>
        <v/>
      </c>
      <c r="M78" s="3139"/>
      <c r="N78" s="3139"/>
      <c r="O78" s="3139"/>
      <c r="P78" s="3139"/>
      <c r="Q78" s="3139"/>
      <c r="R78" s="3139"/>
      <c r="S78" s="3139"/>
      <c r="T78" s="3139"/>
      <c r="U78" s="3139"/>
      <c r="V78" s="3139"/>
      <c r="W78" s="3139"/>
      <c r="X78" s="3139"/>
    </row>
    <row r="79" spans="3:24" ht="17.45" customHeight="1">
      <c r="F79" s="708"/>
      <c r="G79" s="3135">
        <f t="shared" ref="G79:G85" si="1">IF(OR(N(Total_Units)=0,$F79=0,AND(Minimum_SetAside_per_Sec_42&lt;&gt;"&lt;select one&gt;",Minimum_SetAside_per_Sec_42&lt;&gt;"Average Income Test",Minimum_SetAside_per_Sec_42&lt;&gt;DS_FHFC_NonHC),AND(Minimum_SetAside_per_Sec_42=DS_FHFC_NonHC,DS_FHFC_NonHC_Table&lt;&gt;"AIT")),0,F79/N(Total_Units))</f>
        <v>0</v>
      </c>
      <c r="H79" s="3136"/>
      <c r="I79" s="437">
        <v>0.2</v>
      </c>
      <c r="J79" s="3147" t="str">
        <f>IF($P$74=1,CHAR(10)&amp;CHAR(10)&amp;IF(AND(DS_Gap_YN="Yes",Minimum_SetAside_per_Sec_42="Average Income Test"),"",CHAR(13)),"")&amp;IF($P$74=2,CHAR(10),"")&amp;IF(AND($P$74=3,RIGHT(Excel_RFA_Number,3)="214",Minimum_SetAside_per_Sec_42=DS_FHFC_NonHC),"",IF(AND(OR(RIGHT(Excel_RFA_Number,3)="215",RIGHT(Excel_RFA_Number,3)="216"),Minimum_SetAside_per_Sec_42=DS_FHFC_NonHC),"","Housing Credit"))&amp;IF(AND(DS_Gap_YN="Yes",Minimum_SetAside_per_Sec_42="Average Income Test")," and ","")&amp;IF(AND(DS_Gap_YN="Yes",OR(Minimum_SetAside_per_Sec_42="Average Income Test",AND(OR(RIGHT(Excel_RFA_Number,3)="214",RIGHT(Excel_RFA_Number,3)="215",RIGHT(Excel_RFA_Number,3)="216"),Minimum_SetAside_per_Sec_42=DS_FHFC_NonHC))),DS_Gap_Name,"")&amp;" Units"</f>
        <v>Housing Credit Units</v>
      </c>
      <c r="K79" s="1772"/>
      <c r="M79" s="791"/>
      <c r="N79" s="829">
        <f>IF(AND(Minimum_SetAside_per_Sec_42="Average Income Test",N$37=1),1,0)</f>
        <v>0</v>
      </c>
      <c r="O79" s="899">
        <f>IF(N79&lt;&gt;0,IF(OR(IFERROR(FIND(" NOT ",$D$96),0)&gt;0,IFERROR(FIND("Attention:",$D$96),0)&gt;0,Total_AIT_Chart_Units=0),0,1),0)</f>
        <v>0</v>
      </c>
      <c r="P79" s="6" t="str">
        <f>IF(N79=1,"At least one (corrective) entry needed","No entries needed")</f>
        <v>No entries needed</v>
      </c>
      <c r="Q79" s="501"/>
      <c r="R79" s="501"/>
      <c r="T79" s="502"/>
      <c r="U79" s="501"/>
      <c r="V79" s="501"/>
      <c r="W79" s="501"/>
    </row>
    <row r="80" spans="3:24" ht="17.45" customHeight="1">
      <c r="F80" s="709"/>
      <c r="G80" s="3135">
        <f t="shared" si="1"/>
        <v>0</v>
      </c>
      <c r="H80" s="3136"/>
      <c r="I80" s="438">
        <v>0.3</v>
      </c>
      <c r="J80" s="3148"/>
      <c r="K80" s="1772"/>
      <c r="M80" s="791"/>
      <c r="N80" s="461"/>
      <c r="O80" s="827"/>
      <c r="P80" s="337" t="s">
        <v>2314</v>
      </c>
      <c r="Q80" s="501"/>
      <c r="R80" s="501"/>
      <c r="T80" s="501"/>
      <c r="U80" s="501"/>
      <c r="V80" s="501"/>
      <c r="W80" s="501"/>
    </row>
    <row r="81" spans="4:23" ht="17.45" customHeight="1">
      <c r="F81" s="709"/>
      <c r="G81" s="3135">
        <f t="shared" si="1"/>
        <v>0</v>
      </c>
      <c r="H81" s="3136"/>
      <c r="I81" s="438">
        <v>0.4</v>
      </c>
      <c r="J81" s="3148"/>
      <c r="K81" s="1772"/>
      <c r="M81" s="791"/>
      <c r="N81" s="461"/>
      <c r="O81" s="461"/>
      <c r="P81" s="337" t="s">
        <v>1066</v>
      </c>
      <c r="Q81" s="501"/>
      <c r="R81" s="501"/>
      <c r="S81" s="501"/>
      <c r="T81" s="501"/>
      <c r="U81" s="501"/>
      <c r="V81" s="501"/>
      <c r="W81" s="501"/>
    </row>
    <row r="82" spans="4:23" ht="17.45" customHeight="1">
      <c r="F82" s="709"/>
      <c r="G82" s="3135">
        <f t="shared" si="1"/>
        <v>0</v>
      </c>
      <c r="H82" s="3136"/>
      <c r="I82" s="438">
        <v>0.5</v>
      </c>
      <c r="J82" s="3148"/>
      <c r="K82" s="1772"/>
      <c r="M82" s="791"/>
      <c r="N82" s="461"/>
      <c r="O82" s="461"/>
      <c r="P82" s="501"/>
      <c r="Q82" s="501"/>
      <c r="R82" s="501"/>
      <c r="S82" s="501"/>
      <c r="T82" s="501"/>
      <c r="U82" s="501"/>
      <c r="V82" s="501"/>
      <c r="W82" s="501"/>
    </row>
    <row r="83" spans="4:23" ht="17.45" customHeight="1">
      <c r="F83" s="2409"/>
      <c r="G83" s="3135">
        <f t="shared" si="1"/>
        <v>0</v>
      </c>
      <c r="H83" s="3136"/>
      <c r="I83" s="438">
        <v>0.6</v>
      </c>
      <c r="J83" s="3149"/>
      <c r="K83" s="1772"/>
      <c r="M83" s="791"/>
      <c r="N83" s="461"/>
      <c r="O83" s="3142" t="s">
        <v>1130</v>
      </c>
      <c r="P83" s="3142"/>
      <c r="Q83" s="3142"/>
      <c r="R83" s="501"/>
      <c r="S83" s="501"/>
      <c r="T83" s="501"/>
      <c r="U83" s="501"/>
      <c r="V83" s="501"/>
      <c r="W83" s="501"/>
    </row>
    <row r="84" spans="4:23" ht="17.45" customHeight="1">
      <c r="F84" s="1753"/>
      <c r="G84" s="3135">
        <f t="shared" si="1"/>
        <v>0</v>
      </c>
      <c r="H84" s="3136"/>
      <c r="I84" s="1644">
        <v>0.7</v>
      </c>
      <c r="J84" s="1946" t="str">
        <f>IF(P$74=0,"Joint HC Units /",IF(P$74=1,"",IF(P$74=2,"",IF(P$74=3,"",""))))</f>
        <v/>
      </c>
      <c r="K84" s="1772"/>
      <c r="L84" s="791"/>
      <c r="M84" s="791"/>
      <c r="N84" s="461"/>
      <c r="O84" s="3142"/>
      <c r="P84" s="3142"/>
      <c r="Q84" s="3142"/>
      <c r="R84" s="501"/>
      <c r="S84" s="501"/>
      <c r="T84" s="501"/>
      <c r="U84" s="501"/>
      <c r="V84" s="501"/>
      <c r="W84" s="501"/>
    </row>
    <row r="85" spans="4:23" ht="17.45" customHeight="1" thickBot="1">
      <c r="F85" s="710"/>
      <c r="G85" s="3125">
        <f t="shared" si="1"/>
        <v>0</v>
      </c>
      <c r="H85" s="3126"/>
      <c r="I85" s="440">
        <v>0.8</v>
      </c>
      <c r="J85" s="1948" t="str">
        <f>IF(P$74=0,"Workforce Units",IF(P$74=1,"",IF(AND(P$74=2,RIGHT(Excel_RFA_Number,3)&lt;&gt;"215"),"Joint HC/LL Units",IF(P$74=3,"",""))))</f>
        <v/>
      </c>
      <c r="K85" s="1772"/>
      <c r="L85" s="791"/>
      <c r="M85" s="791"/>
      <c r="N85" s="461"/>
      <c r="O85" s="3142"/>
      <c r="P85" s="3142"/>
      <c r="Q85" s="3142"/>
      <c r="R85" s="501"/>
      <c r="S85" s="501"/>
      <c r="T85" s="501"/>
      <c r="U85" s="501"/>
      <c r="V85" s="501"/>
      <c r="W85" s="501"/>
    </row>
    <row r="86" spans="4:23" ht="35.1" hidden="1" customHeight="1">
      <c r="F86" s="1751"/>
      <c r="G86" s="3129">
        <f t="shared" ref="G86:G90" si="2">IF(OR(N(Total_Units)=0,$F86=0),0,F86/N(Total_Units))</f>
        <v>0</v>
      </c>
      <c r="H86" s="3130"/>
      <c r="I86" s="1747">
        <v>0.8</v>
      </c>
      <c r="J86" s="1641" t="str">
        <f>"Non-HC"&amp;IF(P$74&lt;&gt;1," "&amp;IF(P$74=0,"Workforce",IF(P$74=2,"80% Live Local","")),"")&amp;" Housing Units"</f>
        <v>Non-HC  Housing Units</v>
      </c>
      <c r="K86" s="1772"/>
      <c r="M86" s="791"/>
      <c r="N86" s="461"/>
      <c r="O86" s="461"/>
      <c r="P86" s="1648">
        <v>0</v>
      </c>
      <c r="Q86" s="501"/>
      <c r="R86" s="501"/>
      <c r="S86" s="501"/>
      <c r="T86" s="461"/>
    </row>
    <row r="87" spans="4:23" ht="35.1" hidden="1" customHeight="1">
      <c r="F87" s="1753"/>
      <c r="G87" s="3109">
        <f t="shared" si="2"/>
        <v>0</v>
      </c>
      <c r="H87" s="3110"/>
      <c r="I87" s="1747">
        <v>0.9</v>
      </c>
      <c r="J87" s="1961" t="str">
        <f>"Non-HC"&amp;IF(P$74&lt;&gt;1," "&amp;IF(P$74=0,"Workforce",IF(P$74=2,"90% Live Local","")),"")&amp;" Housing Units"</f>
        <v>Non-HC  Housing Units</v>
      </c>
      <c r="K87" s="1772"/>
      <c r="M87" s="791"/>
      <c r="N87" s="461"/>
      <c r="O87" s="461"/>
      <c r="P87" s="1648">
        <v>0</v>
      </c>
      <c r="Q87" s="501"/>
      <c r="R87" s="501"/>
      <c r="S87" s="501"/>
      <c r="T87" s="461"/>
    </row>
    <row r="88" spans="4:23" ht="35.1" hidden="1" customHeight="1">
      <c r="F88" s="709"/>
      <c r="G88" s="3109">
        <f t="shared" si="2"/>
        <v>0</v>
      </c>
      <c r="H88" s="3110"/>
      <c r="I88" s="1646">
        <v>1</v>
      </c>
      <c r="J88" s="1748" t="str">
        <f>"Non-HC"&amp;IF(P$74&lt;&gt;1," "&amp;IF(P$74=0,"Workforce",IF(P$74=2,"100% Live Local","")),"")&amp;" Housing Units"</f>
        <v>Non-HC  Housing Units</v>
      </c>
      <c r="K88" s="1772"/>
      <c r="L88" s="1329"/>
      <c r="M88" s="791"/>
      <c r="N88" s="461"/>
      <c r="O88" s="461"/>
      <c r="P88" s="1648">
        <v>0</v>
      </c>
      <c r="Q88" s="501"/>
      <c r="R88" s="501"/>
      <c r="S88" s="501"/>
      <c r="T88" s="461"/>
    </row>
    <row r="89" spans="4:23" ht="35.1" hidden="1" customHeight="1">
      <c r="F89" s="709"/>
      <c r="G89" s="3109">
        <f t="shared" si="2"/>
        <v>0</v>
      </c>
      <c r="H89" s="3110"/>
      <c r="I89" s="1646">
        <v>1.1000000000000001</v>
      </c>
      <c r="J89" s="1642" t="str">
        <f>"Non-HC"&amp;IF(P$74&lt;&gt;1," "&amp;IF(P$74=0,"Workforce",IF(P$74=2,"110% Live Local","")),"")&amp;" Housing Units"</f>
        <v>Non-HC  Housing Units</v>
      </c>
      <c r="K89" s="1772"/>
      <c r="L89" s="1329"/>
      <c r="M89" s="791"/>
      <c r="N89" s="461"/>
      <c r="O89" s="461"/>
      <c r="P89" s="1648">
        <v>0</v>
      </c>
      <c r="Q89" s="501"/>
      <c r="R89" s="501"/>
      <c r="S89" s="501"/>
      <c r="T89" s="461"/>
    </row>
    <row r="90" spans="4:23" ht="35.1" hidden="1" customHeight="1">
      <c r="F90" s="709"/>
      <c r="G90" s="3109">
        <f t="shared" si="2"/>
        <v>0</v>
      </c>
      <c r="H90" s="3110"/>
      <c r="I90" s="1646">
        <v>1.2</v>
      </c>
      <c r="J90" s="1642" t="str">
        <f>"Non-HC"&amp;IF(P$74&lt;&gt;1," "&amp;IF(P$74=0,"Workforce",IF(P$74=2,"120% Live Local","")),"")&amp;" Housing Units"</f>
        <v>Non-HC  Housing Units</v>
      </c>
      <c r="K90" s="1772"/>
      <c r="L90" s="1329"/>
      <c r="M90" s="791"/>
      <c r="N90" s="461"/>
      <c r="O90" s="461"/>
      <c r="P90" s="1648">
        <v>0</v>
      </c>
      <c r="Q90" s="501"/>
      <c r="R90" s="501"/>
      <c r="S90" s="501"/>
      <c r="T90" s="461"/>
    </row>
    <row r="91" spans="4:23" ht="35.1" customHeight="1" thickBot="1">
      <c r="F91" s="1643">
        <f>IF(OR(AND(Minimum_SetAside_per_Sec_42&lt;&gt;"&lt;select one&gt;",Minimum_SetAside_per_Sec_42&lt;&gt;"Average Income Test",Minimum_SetAside_per_Sec_42&lt;&gt;DS_FHFC_NonHC),AND(Minimum_SetAside_per_Sec_42=DS_FHFC_NonHC,DS_FHFC_NonHC_Table&lt;&gt;"AIT")),0,IF(SUM(F79:F85)=0,0,MAX(0,N(Total_Units)-SUM(F79:F90))))</f>
        <v>0</v>
      </c>
      <c r="G91" s="3115">
        <f>IF(OR(N(Total_Units)=0,$F91=0,AND(Minimum_SetAside_per_Sec_42&lt;&gt;"&lt;select one&gt;",Minimum_SetAside_per_Sec_42&lt;&gt;"Average Income Test",Minimum_SetAside_per_Sec_42&lt;&gt;DS_FHFC_NonHC),AND(Minimum_SetAside_per_Sec_42=DS_FHFC_NonHC,DS_FHFC_NonHC_Table&lt;&gt;"AIT")),0,F91/N(Total_Units))</f>
        <v>0</v>
      </c>
      <c r="H91" s="3116"/>
      <c r="I91" s="1749" t="s">
        <v>2240</v>
      </c>
      <c r="J91" s="1750" t="s">
        <v>2239</v>
      </c>
      <c r="K91" s="1772"/>
      <c r="M91" s="791"/>
      <c r="N91" s="461"/>
      <c r="O91" s="461"/>
      <c r="P91" t="b">
        <f>AND($C$37&lt;&gt;"&lt;select one&gt;",$C$37&lt;&gt;"Average Income Test",AND($C$37=DS_FHFC_NonHC,DS_FHFC_NonHC_Table&lt;&gt;"AIT"),IF(RIGHT(Excel_RFA_Number,3)="216",$C$37&lt;&gt;DS_FHFC_NonHC,TRUE),IF(RIGHT(Excel_RFA_Number,3)="215",$C$37&lt;&gt;DS_FHFC_NonHC,TRUE))</f>
        <v>0</v>
      </c>
      <c r="Q91" s="501"/>
      <c r="R91" s="501"/>
      <c r="S91" s="501"/>
      <c r="T91" s="461"/>
    </row>
    <row r="92" spans="4:23" ht="35.1" customHeight="1" thickBot="1">
      <c r="F92" s="434">
        <f>IF(OR(AND(Minimum_SetAside_per_Sec_42&lt;&gt;"&lt;select one&gt;",Minimum_SetAside_per_Sec_42&lt;&gt;"Average Income Test",Minimum_SetAside_per_Sec_42&lt;&gt;DS_FHFC_NonHC),AND(Minimum_SetAside_per_Sec_42=DS_FHFC_NonHC,DS_FHFC_NonHC_Table&lt;&gt;"AIT")),0,SUM(F79:F85))</f>
        <v>0</v>
      </c>
      <c r="G92" s="3197">
        <f>IF(OR(N(Total_Units)=0,F92=0,AND(Minimum_SetAside_per_Sec_42&lt;&gt;"&lt;select one&gt;",Minimum_SetAside_per_Sec_42&lt;&gt;"Average Income Test",Minimum_SetAside_per_Sec_42&lt;&gt;DS_FHFC_NonHC),AND(Minimum_SetAside_per_Sec_42=DS_FHFC_NonHC,DS_FHFC_NonHC_Table&lt;&gt;"AIT")),0,F92/N(Total_Units))</f>
        <v>0</v>
      </c>
      <c r="H92" s="3198"/>
      <c r="I92" s="429"/>
      <c r="J92" s="2320" t="str">
        <f>"Total Qualifying"&amp;IF(AND(DS_Gap_YN="Yes",Minimum_SetAside_per_Sec_42="Average Income Test")," HC"&amp;CHAR(10)&amp;"&amp; Joint "&amp;DS_Gap_Name,IF(AND(OR(RIGHT(Excel_RFA_Number,3)="214",RIGHT(Excel_RFA_Number,3)="215",RIGHT(Excel_RFA_Number,3)="216"),Minimum_SetAside_per_Sec_42=DS_FHFC_NonHC),""," HC"))&amp;" Units"</f>
        <v>Total Qualifying HC Units</v>
      </c>
      <c r="K92" s="1771"/>
      <c r="L92" s="791"/>
      <c r="M92" s="791"/>
      <c r="N92" s="384"/>
      <c r="O92" s="384"/>
      <c r="P92" s="3113" t="s">
        <v>2734</v>
      </c>
    </row>
    <row r="93" spans="4:23" ht="18" customHeight="1" thickTop="1" thickBot="1">
      <c r="F93" s="435">
        <f>IF(OR(AND(Minimum_SetAside_per_Sec_42&lt;&gt;"&lt;select one&gt;",Minimum_SetAside_per_Sec_42&lt;&gt;"Average Income Test",Minimum_SetAside_per_Sec_42&lt;&gt;DS_FHFC_NonHC),AND(Minimum_SetAside_per_Sec_42=DS_FHFC_NonHC,DS_FHFC_NonHC_Table&lt;&gt;"AIT")),0,SUM(F79:F91))</f>
        <v>0</v>
      </c>
      <c r="G93" s="3199">
        <f>SUM(G79:G91)</f>
        <v>0</v>
      </c>
      <c r="H93" s="3200"/>
      <c r="I93" s="442"/>
      <c r="J93" s="436" t="s">
        <v>1129</v>
      </c>
      <c r="K93" s="1771"/>
      <c r="L93" s="6"/>
      <c r="P93" s="3113"/>
    </row>
    <row r="94" spans="4:23" ht="35.1" customHeight="1">
      <c r="F94" s="430"/>
      <c r="G94" s="431"/>
      <c r="H94" s="972"/>
      <c r="I94" s="432">
        <f>IF($F92=0,0,SUMPRODUCT(I79:I85,F79:F85)/total_HC_units_AIT)</f>
        <v>0</v>
      </c>
      <c r="J94" s="433" t="s">
        <v>2546</v>
      </c>
      <c r="K94" s="930"/>
      <c r="L94" s="6"/>
      <c r="M94" s="6"/>
      <c r="N94" s="50"/>
      <c r="O94" s="50"/>
    </row>
    <row r="95" spans="4:23" ht="10.35" customHeight="1">
      <c r="F95" s="27"/>
      <c r="G95" s="28"/>
      <c r="H95" s="29"/>
      <c r="I95" s="29"/>
      <c r="L95" s="6"/>
      <c r="M95" s="6"/>
      <c r="N95" s="50"/>
      <c r="O95" s="50"/>
    </row>
    <row r="96" spans="4:23" ht="144.94999999999999" customHeight="1">
      <c r="D96" s="2959" t="str">
        <f>IF(OR(Minimum_SetAside_per_Sec_42="&lt;select one&gt;",AND(AND(RIGHT(Excel_RFA_Number,3)&lt;&gt;"214",Minimum_SetAside_per_Sec_42&lt;&gt;"Average Income Test"),AND(RIGHT(Excel_RFA_Number,3)&lt;&gt;"215",Minimum_SetAside_per_Sec_42&lt;&gt;"Average Income Test"),AND(RIGHT(Excel_RFA_Number,3)="216",Minimum_SetAside_per_Sec_42&lt;&gt;"Average Income Test",Minimum_SetAside_per_Sec_42&lt;&gt;DS_FHFC_NonHC)),Total_AIT_Chart_Units=0),"This area intentionally left blank.",IF(total_HC_units_AIT+Workforce_80_AIT_Units+Workforce_90_AIT_Units+Workforce_100_AIT_Units+Workforce_110_AIT_Units+Workforce_120_AIT_Units+Market_AIT_Units=Total_Units,"The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one&gt;",AND(RIGHT(Excel_RFA_Number,3)&lt;&gt;"214",RIGHT(Excel_RFA_Number,3)&lt;&gt;"215",RIGHT(Excel_RFA_Number,3)&lt;&gt;"216",Minimum_SetAside_per_Sec_42&lt;&gt;"Average Income Test"),AND(RIGHT(Excel_RFA_Number,3)="214",Minimum_SetAside_per_Sec_42&lt;&gt;"Average Income Test",Minimum_SetAside_per_Sec_42&lt;&gt;DS_FHFC_NonHC),AND(RIGHT(Excel_RFA_Number,3)="215",Minimum_SetAside_per_Sec_42&lt;&gt;"Average Income Test",Minimum_SetAside_per_Sec_42&lt;&gt;DS_FHFC_NonHC),AND(RIGHT(Excel_RFA_Number,3)="216",Minimum_SetAside_per_Sec_42&lt;&gt;"Average Income Test",Minimum_SetAside_per_Sec_42&lt;&gt;DS_FHFC_NonHC),Total_AIT_Chart_Units=0),"",DS_Comment_Total_Units_b&amp;DS_Comment_Min_IRS_and_Loan_SA_b&amp;DS_Comment_Min_IRS_NonProfit_SA_b&amp;DS_Comment_Min_Max_Workforce_SA_b&amp;DS_Comment_Min_ElderlyALF_SA_b&amp;DS_Comment_Min_RFA_SA_b&amp;DS_Comment_Min_ELI_SA_b&amp;DS_Comment_LL_HC_SA_b&amp;DS_Comment_Min_SS_Below_50Percent_SA_b)</f>
        <v>This area intentionally left blank.</v>
      </c>
      <c r="E96" s="2959"/>
      <c r="F96" s="2959"/>
      <c r="G96" s="2959"/>
      <c r="H96" s="2959"/>
      <c r="I96" s="2959"/>
      <c r="J96" s="2959"/>
      <c r="K96" s="2959"/>
      <c r="L96" s="902"/>
      <c r="M96" s="902"/>
      <c r="N96" s="50"/>
      <c r="O96" s="50"/>
      <c r="P96" s="2496" t="b">
        <f>AND($C$37&lt;&gt;"&lt;select one&gt;",$C$37&lt;&gt;"Average Income Test",IF(RIGHT(Excel_RFA_Number,3)="216",$C$37&lt;&gt;Data1!$A$575,TRUE),IF(RIGHT(Excel_RFA_Number,3)="215",$C$37&lt;&gt;Data1!$A$575,TRUE))</f>
        <v>0</v>
      </c>
    </row>
    <row r="97" spans="3:16" ht="67.5" customHeight="1">
      <c r="D97" s="2943" t="s">
        <v>2545</v>
      </c>
      <c r="E97" s="2943"/>
      <c r="F97" s="2943"/>
      <c r="G97" s="2943"/>
      <c r="H97" s="2943"/>
      <c r="I97" s="2943"/>
      <c r="J97" s="2943"/>
      <c r="K97" s="2943"/>
      <c r="L97" s="6"/>
    </row>
    <row r="98" spans="3:16" ht="10.35" customHeight="1">
      <c r="D98" s="902"/>
      <c r="E98" s="902"/>
      <c r="F98" s="902"/>
      <c r="G98" s="902"/>
      <c r="H98" s="902"/>
      <c r="I98" s="902"/>
      <c r="J98" s="902"/>
      <c r="K98" s="902"/>
      <c r="L98" s="6"/>
    </row>
    <row r="99" spans="3:16" ht="30" hidden="1" customHeight="1">
      <c r="C99" s="381" t="str" cm="1">
        <f t="array" ref="C99">IF($P99=0,"",CHAR(CODE(LOOKUP(2,1/(COUNTIF(C$49:C98,"&gt;"&amp;C$49:C98&amp;"*")=0),C$49:C98))+1))</f>
        <v/>
      </c>
      <c r="D99" s="2943" t="str">
        <f>IF(P99=0,"Tha commitment table is not applicable.","Applicants requesting MMRB Funding along with Housing Credits will have the following MMRB Set-Aside Commitment:")</f>
        <v>Tha commitment table is not applicable.</v>
      </c>
      <c r="E99" s="2943"/>
      <c r="F99" s="2943"/>
      <c r="G99" s="2943"/>
      <c r="H99" s="2943"/>
      <c r="I99" s="2943"/>
      <c r="J99" s="2943"/>
      <c r="K99" s="902"/>
      <c r="L99" s="6"/>
      <c r="P99" s="313">
        <v>0</v>
      </c>
    </row>
    <row r="100" spans="3:16" ht="10.35" hidden="1" customHeight="1">
      <c r="D100" s="902"/>
      <c r="E100" s="902"/>
      <c r="F100" s="902"/>
      <c r="G100" s="902"/>
      <c r="H100" s="902"/>
      <c r="I100" s="902"/>
      <c r="J100" s="902"/>
      <c r="K100" s="902"/>
      <c r="L100" s="6"/>
    </row>
    <row r="101" spans="3:16" ht="30" hidden="1" customHeight="1">
      <c r="D101" s="2520"/>
      <c r="E101" s="2806" t="s">
        <v>2844</v>
      </c>
      <c r="F101" s="2806"/>
      <c r="G101" s="2806"/>
      <c r="H101" s="2806"/>
      <c r="I101" s="2806"/>
      <c r="J101" s="2806"/>
      <c r="K101" s="1562" t="s">
        <v>59</v>
      </c>
      <c r="L101" s="2528"/>
      <c r="P101" s="2531"/>
    </row>
    <row r="102" spans="3:16" ht="10.35" hidden="1" customHeight="1" thickBot="1">
      <c r="D102" s="2520"/>
      <c r="E102" s="2520"/>
      <c r="F102" s="2520"/>
      <c r="G102" s="2520"/>
      <c r="H102" s="2520"/>
      <c r="I102" s="2520"/>
      <c r="J102" s="2520"/>
      <c r="K102" s="2520"/>
      <c r="L102" s="2528"/>
    </row>
    <row r="103" spans="3:16" ht="44.1" hidden="1" customHeight="1">
      <c r="D103" s="902"/>
      <c r="E103" s="902"/>
      <c r="F103" s="467" t="s">
        <v>1125</v>
      </c>
      <c r="G103" s="3145" t="s">
        <v>1126</v>
      </c>
      <c r="H103" s="3146"/>
      <c r="I103" s="447" t="s">
        <v>1127</v>
      </c>
      <c r="J103" s="468" t="s">
        <v>1128</v>
      </c>
      <c r="K103" s="902"/>
      <c r="L103" s="6"/>
    </row>
    <row r="104" spans="3:16" ht="17.45" hidden="1" customHeight="1">
      <c r="D104" s="902"/>
      <c r="E104" s="902"/>
      <c r="F104" s="450"/>
      <c r="G104" s="3203"/>
      <c r="H104" s="3204"/>
      <c r="I104" s="451">
        <v>0.25</v>
      </c>
      <c r="J104" s="3152" t="s">
        <v>1131</v>
      </c>
      <c r="K104" s="902"/>
      <c r="L104" s="6"/>
    </row>
    <row r="105" spans="3:16" ht="17.45" hidden="1" customHeight="1">
      <c r="D105" s="902"/>
      <c r="E105" s="902"/>
      <c r="F105" s="452"/>
      <c r="G105" s="3107"/>
      <c r="H105" s="3108"/>
      <c r="I105" s="453">
        <v>0.28000000000000003</v>
      </c>
      <c r="J105" s="3153"/>
      <c r="K105" s="902"/>
      <c r="L105" s="6"/>
    </row>
    <row r="106" spans="3:16" ht="17.45" hidden="1" customHeight="1">
      <c r="D106" s="902"/>
      <c r="E106" s="902"/>
      <c r="F106" s="452"/>
      <c r="G106" s="3107"/>
      <c r="H106" s="3108"/>
      <c r="I106" s="453">
        <v>0.3</v>
      </c>
      <c r="J106" s="3153"/>
      <c r="K106" s="902"/>
      <c r="L106" s="6"/>
    </row>
    <row r="107" spans="3:16" ht="17.45" hidden="1" customHeight="1">
      <c r="D107" s="902"/>
      <c r="E107" s="902"/>
      <c r="F107" s="452"/>
      <c r="G107" s="3107"/>
      <c r="H107" s="3108"/>
      <c r="I107" s="453">
        <v>0.33</v>
      </c>
      <c r="J107" s="3153"/>
      <c r="K107" s="902"/>
      <c r="L107" s="6"/>
    </row>
    <row r="108" spans="3:16" ht="17.45" hidden="1" customHeight="1">
      <c r="D108" s="902"/>
      <c r="E108" s="902"/>
      <c r="F108" s="452"/>
      <c r="G108" s="3107"/>
      <c r="H108" s="3108"/>
      <c r="I108" s="453">
        <v>0.35</v>
      </c>
      <c r="J108" s="3153"/>
      <c r="K108" s="902"/>
      <c r="L108" s="6"/>
    </row>
    <row r="109" spans="3:16" ht="17.45" hidden="1" customHeight="1">
      <c r="D109" s="902"/>
      <c r="E109" s="902"/>
      <c r="F109" s="452"/>
      <c r="G109" s="3107"/>
      <c r="H109" s="3108"/>
      <c r="I109" s="453">
        <v>0.4</v>
      </c>
      <c r="J109" s="3153"/>
      <c r="K109" s="902"/>
      <c r="L109" s="6"/>
    </row>
    <row r="110" spans="3:16" ht="17.45" hidden="1" customHeight="1">
      <c r="D110" s="902"/>
      <c r="E110" s="902"/>
      <c r="F110" s="452"/>
      <c r="G110" s="3107"/>
      <c r="H110" s="3108"/>
      <c r="I110" s="453">
        <v>0.45</v>
      </c>
      <c r="J110" s="3153"/>
      <c r="K110" s="902"/>
      <c r="L110" s="6"/>
    </row>
    <row r="111" spans="3:16" ht="17.45" hidden="1" customHeight="1">
      <c r="D111" s="902"/>
      <c r="E111" s="902"/>
      <c r="F111" s="449" t="str">
        <f>IF(ROUNDUP(SUM(G104:G111)*N(Total_Units),0)-SUM(F104:F110)=0,"",ROUNDUP(SUM(G104:G111)*N(Total_Units),0)-SUM(F104:F110))</f>
        <v/>
      </c>
      <c r="G111" s="3209" t="str">
        <f>IF(LEFT(Minimum_SetAside_per_Sec_42,3)="20%",20%,"")</f>
        <v/>
      </c>
      <c r="H111" s="3210"/>
      <c r="I111" s="438">
        <v>0.5</v>
      </c>
      <c r="J111" s="3153"/>
      <c r="K111" s="902"/>
      <c r="L111" s="6"/>
    </row>
    <row r="112" spans="3:16" ht="17.45" hidden="1" customHeight="1" thickBot="1">
      <c r="D112" s="902"/>
      <c r="E112" s="902"/>
      <c r="F112" s="486" t="str">
        <f>IF(ROUNDUP(SUM(G104:G112)*N(Total_Units),0)-SUM(F104:F111)=0,"",ROUNDUP(SUM(G104:G112)*N(Total_Units),0)-SUM(F104:F111))</f>
        <v/>
      </c>
      <c r="G112" s="3211">
        <f>IF(LEFT(Minimum_SetAside_per_Sec_42,3)="20%","",40%)</f>
        <v>0.4</v>
      </c>
      <c r="H112" s="3212"/>
      <c r="I112" s="439">
        <v>0.6</v>
      </c>
      <c r="J112" s="3153"/>
      <c r="K112" s="902"/>
      <c r="L112" s="6"/>
      <c r="M112" s="484"/>
    </row>
    <row r="113" spans="3:24" ht="17.45" hidden="1" customHeight="1" thickBot="1">
      <c r="D113" s="902"/>
      <c r="E113" s="902"/>
      <c r="F113" s="487">
        <f>MAX(0,N(Total_Units)-SUM(F104:F112))</f>
        <v>0</v>
      </c>
      <c r="G113" s="3207">
        <f>1-SUM(G104:G112)</f>
        <v>0.6</v>
      </c>
      <c r="H113" s="3208"/>
      <c r="I113" s="491"/>
      <c r="J113" s="1647" t="s">
        <v>1132</v>
      </c>
      <c r="K113" s="902"/>
      <c r="L113" s="6"/>
      <c r="M113" s="484"/>
    </row>
    <row r="114" spans="3:24" ht="17.45" hidden="1" customHeight="1" thickBot="1">
      <c r="D114" s="902"/>
      <c r="E114" s="902"/>
      <c r="F114" s="434">
        <f>SUM(F104:F112)</f>
        <v>0</v>
      </c>
      <c r="G114" s="3195">
        <f>SUM(G104:G112)</f>
        <v>0.4</v>
      </c>
      <c r="H114" s="3196"/>
      <c r="I114" s="493"/>
      <c r="J114" s="488" t="s">
        <v>1133</v>
      </c>
      <c r="K114" s="902"/>
      <c r="L114" s="6"/>
      <c r="M114" s="484"/>
    </row>
    <row r="115" spans="3:24" ht="17.45" hidden="1" customHeight="1" thickTop="1">
      <c r="D115" s="902"/>
      <c r="E115" s="902"/>
      <c r="F115" s="490">
        <f>F113+F114</f>
        <v>0</v>
      </c>
      <c r="G115" s="3205">
        <f>G113+G114</f>
        <v>1</v>
      </c>
      <c r="H115" s="3206"/>
      <c r="I115" s="492"/>
      <c r="J115" s="489" t="s">
        <v>1129</v>
      </c>
      <c r="K115" s="902"/>
      <c r="L115" s="6"/>
      <c r="M115" s="484"/>
    </row>
    <row r="116" spans="3:24" ht="10.35" hidden="1" customHeight="1">
      <c r="D116" s="902"/>
      <c r="E116" s="902"/>
      <c r="F116" s="902"/>
      <c r="G116" s="902"/>
      <c r="H116" s="902"/>
      <c r="I116" s="902"/>
      <c r="J116" s="902"/>
      <c r="K116" s="902"/>
      <c r="L116" s="6"/>
      <c r="M116" s="484"/>
    </row>
    <row r="117" spans="3:24" ht="60" customHeight="1">
      <c r="C117" s="381" t="str" cm="1">
        <f t="array" ref="C117">IF($P117=0,"",CHAR(CODE(LOOKUP(2,1/(COUNTIF(C$49:C116,"&gt;"&amp;C$49:C116&amp;"*")=0),C$49:C116))+1))</f>
        <v>c</v>
      </c>
      <c r="D117" s="3157" t="str">
        <f>IF(P117=0,"Tha commitment table is not applicable.","Applicants requesting "&amp;DS_Gap_Name&amp;" Funding along with "&amp;IF(Funding!L298+Funding!L309&gt;0,"Housing Credits that are "&amp;IF(Minimum_SetAside_per_Sec_42="Average Income Test","","not ")&amp;"committing to the Average Income Test",Data1!B591)&amp;" must complete the "&amp;IF(Minimum_SetAside_per_Sec_42="Average Income Test","Average Income Test Set-Aside table (b) above which is inclusive of the "&amp;DS_Gap_Name&amp;" Set-Aside Commitments","following "&amp;DS_Gap_Name&amp;" Set-Aside Commitment chart")&amp;".")</f>
        <v>Applicants requesting SAIL Funding along with Housing Credits that are not committing to the Average Income Test must complete the following SAIL Set-Aside Commitment chart.</v>
      </c>
      <c r="E117" s="2943"/>
      <c r="F117" s="2943"/>
      <c r="G117" s="2943"/>
      <c r="H117" s="2943"/>
      <c r="I117" s="2943"/>
      <c r="J117" s="2943"/>
      <c r="K117" s="902"/>
      <c r="L117" s="6"/>
      <c r="M117" s="3106" t="str">
        <f>"(Data1 tab is programmed with"&amp;IF(DS_Gap_YN="No","out","")&amp;" a Gap loan)"</f>
        <v>(Data1 tab is programmed with a Gap loan)</v>
      </c>
      <c r="N117" s="3106"/>
      <c r="O117" s="3106"/>
      <c r="P117" s="313">
        <v>1</v>
      </c>
    </row>
    <row r="118" spans="3:24" ht="14.45" customHeight="1" thickBot="1">
      <c r="D118" s="902"/>
      <c r="E118" s="902"/>
      <c r="F118" s="902"/>
      <c r="G118" s="902"/>
      <c r="H118" s="902"/>
      <c r="I118" s="902"/>
      <c r="J118" s="902"/>
      <c r="K118" s="902"/>
      <c r="L118" s="6"/>
      <c r="M118" s="6"/>
      <c r="N118" s="829">
        <f>IF(AND(Minimum_SetAside_per_Sec_42&lt;&gt;"&lt;select one&gt;",N$37=1,P$117=1),1,0)</f>
        <v>0</v>
      </c>
      <c r="O118" s="899">
        <f>IF(N118&lt;&gt;0,IF(OR(IFERROR(FIND(" NOT ",$D$137),0)&gt;0,IFERROR(FIND("Attention:",$D$137),0)&gt;0,Total_Gap_Chart_Units=0),0,1),0)</f>
        <v>0</v>
      </c>
      <c r="P118" s="6" t="str">
        <f>IF(N118=1,"At least one (corrective) entry needed","No entries needed")</f>
        <v>No entries needed</v>
      </c>
    </row>
    <row r="119" spans="3:24" ht="44.1" customHeight="1">
      <c r="D119" s="902"/>
      <c r="E119" s="902"/>
      <c r="F119" s="467" t="s">
        <v>1125</v>
      </c>
      <c r="G119" s="3145" t="s">
        <v>1126</v>
      </c>
      <c r="H119" s="3146"/>
      <c r="I119" s="447" t="s">
        <v>1127</v>
      </c>
      <c r="J119" s="468" t="s">
        <v>1128</v>
      </c>
      <c r="K119" s="902"/>
      <c r="L119" s="3114" t="str">
        <f>IF(Minimum_SetAside_per_Sec_42="Average Income Test","This table has been greyed out because the Applicant has selected the minimum IRS set-aside commitment of Average Income Test. "&amp;"The Applicant's SAIL Set-Aside Commitments are provided in Set-Aside table (b) above. No entries should be entered in this table.","")</f>
        <v/>
      </c>
      <c r="M119" s="3114"/>
      <c r="N119" s="3114"/>
      <c r="O119" s="3114"/>
      <c r="P119" s="3114"/>
      <c r="Q119" s="3114"/>
      <c r="R119" s="3114"/>
      <c r="S119" s="3114"/>
      <c r="T119" s="3114"/>
      <c r="U119" s="3114"/>
      <c r="V119" s="3114"/>
      <c r="W119" s="3114"/>
      <c r="X119" s="3114"/>
    </row>
    <row r="120" spans="3:24" ht="17.45" customHeight="1">
      <c r="D120" s="902"/>
      <c r="E120" s="902"/>
      <c r="F120" s="448">
        <f>IF(OR(AND(Minimum_SetAside_per_Sec_42=DS_FHFC_NonHC,DS_FHFC_NonHC_Table&lt;&gt;"Gap"),Minimum_SetAside_per_Sec_42="Average Income Test"),0,ROUNDUP(G$120*N(Total_Units),0))</f>
        <v>0</v>
      </c>
      <c r="G120" s="3120"/>
      <c r="H120" s="3121"/>
      <c r="I120" s="437">
        <v>0.25</v>
      </c>
      <c r="J120" s="3201" t="str">
        <f>IF(P$117=0,"Gap",RIGHT(LEFT(D117,FIND("Funding",D117)-2),FIND("Funding",D117)-2-22))&amp;" Units"</f>
        <v>SAIL Units</v>
      </c>
      <c r="K120" s="17"/>
      <c r="L120" s="905" t="str">
        <f t="shared" ref="L120:L126" si="3">IF(OR(Minimum_SetAside_per_Sec_42="&lt;select one&gt;",$P$117=0),"",IF(Minimum_SetAside_per_Sec_42="Average Income Test",IF(I120=30%,"&lt;= This is the ELI AMI Level for all Transactions choosing Average Income Test.",""),IF(I120&lt;IFERROR(VLOOKUP(County,DS_CountyData,14),0),"",IF(I120=IFERROR(VLOOKUP(County,DS_CountyData,14),0),"&lt;= "&amp;County&amp;" County's designated ELI AMI Level is "&amp;TEXT(IFERROR(VLOOKUP(County,DS_CountyData,14),0),"0%")&amp;".",""))))</f>
        <v/>
      </c>
      <c r="M120" s="954"/>
      <c r="P120" s="268" t="b">
        <f>OR(AND(Minimum_SetAside_per_Sec_42=DS_FHFC_NonHC,DS_FHFC_NonHC_Table&lt;&gt;"Gap"),Minimum_SetAside_per_Sec_42="Average Income Test")</f>
        <v>0</v>
      </c>
      <c r="W120" s="1997"/>
    </row>
    <row r="121" spans="3:24" ht="17.45" customHeight="1">
      <c r="D121" s="902"/>
      <c r="E121" s="902"/>
      <c r="F121" s="449">
        <f>IF(OR(AND(Minimum_SetAside_per_Sec_42=DS_FHFC_NonHC,DS_FHFC_NonHC_Table&lt;&gt;"Gap"),Minimum_SetAside_per_Sec_42="Average Income Test"),0,ROUNDUP(SUM(G$120:G121)*N(Total_Units),0)-SUM(F$120:F120))</f>
        <v>0</v>
      </c>
      <c r="G121" s="3111"/>
      <c r="H121" s="3112"/>
      <c r="I121" s="438">
        <v>0.28000000000000003</v>
      </c>
      <c r="J121" s="3202"/>
      <c r="K121" s="902"/>
      <c r="L121" s="1987" t="str">
        <f t="shared" si="3"/>
        <v/>
      </c>
      <c r="M121" s="954"/>
      <c r="N121" s="954"/>
      <c r="O121" s="954"/>
      <c r="P121" s="268"/>
    </row>
    <row r="122" spans="3:24" ht="17.45" customHeight="1">
      <c r="D122" s="902"/>
      <c r="E122" s="902"/>
      <c r="F122" s="449">
        <f>IF(OR(AND(Minimum_SetAside_per_Sec_42=DS_FHFC_NonHC,DS_FHFC_NonHC_Table&lt;&gt;"Gap"),Minimum_SetAside_per_Sec_42="Average Income Test"),0,ROUNDUP(SUM(G$120:G122)*N(Total_Units),0)-SUM(F$120:F121))</f>
        <v>0</v>
      </c>
      <c r="G122" s="3111"/>
      <c r="H122" s="3112"/>
      <c r="I122" s="438">
        <v>0.3</v>
      </c>
      <c r="J122" s="3202"/>
      <c r="K122" s="902"/>
      <c r="L122" s="1987" t="str">
        <f t="shared" si="3"/>
        <v/>
      </c>
      <c r="M122" s="954"/>
      <c r="N122" s="954"/>
      <c r="O122" s="954"/>
      <c r="P122" s="2151"/>
    </row>
    <row r="123" spans="3:24" ht="17.45" customHeight="1">
      <c r="D123" s="902"/>
      <c r="E123" s="902"/>
      <c r="F123" s="449">
        <f>IF(OR(AND(Minimum_SetAside_per_Sec_42=DS_FHFC_NonHC,DS_FHFC_NonHC_Table&lt;&gt;"Gap"),Minimum_SetAside_per_Sec_42="Average Income Test"),0,ROUNDUP(SUM(G$120:G123)*N(Total_Units),0)-SUM(F$120:F122))</f>
        <v>0</v>
      </c>
      <c r="G123" s="3111"/>
      <c r="H123" s="3112"/>
      <c r="I123" s="438">
        <v>0.33</v>
      </c>
      <c r="J123" s="3202"/>
      <c r="K123" s="902"/>
      <c r="L123" s="1987" t="str">
        <f t="shared" si="3"/>
        <v/>
      </c>
      <c r="M123" s="954"/>
      <c r="N123" s="954"/>
      <c r="O123" s="954"/>
    </row>
    <row r="124" spans="3:24" ht="17.45" customHeight="1">
      <c r="D124" s="902"/>
      <c r="E124" s="902"/>
      <c r="F124" s="449">
        <f>IF(OR(AND(Minimum_SetAside_per_Sec_42=DS_FHFC_NonHC,DS_FHFC_NonHC_Table&lt;&gt;"Gap"),Minimum_SetAside_per_Sec_42="Average Income Test"),0,ROUNDUP(SUM(G$120:G124)*N(Total_Units),0)-SUM(F$120:F123))</f>
        <v>0</v>
      </c>
      <c r="G124" s="3111"/>
      <c r="H124" s="3112"/>
      <c r="I124" s="438">
        <v>0.35</v>
      </c>
      <c r="J124" s="3202"/>
      <c r="K124" s="902"/>
      <c r="L124" s="1987" t="str">
        <f t="shared" si="3"/>
        <v/>
      </c>
      <c r="M124" s="954"/>
      <c r="N124" s="954"/>
      <c r="O124" s="954"/>
    </row>
    <row r="125" spans="3:24" ht="17.45" customHeight="1">
      <c r="D125" s="902"/>
      <c r="E125" s="902"/>
      <c r="F125" s="449">
        <f>IF(OR(AND(Minimum_SetAside_per_Sec_42=DS_FHFC_NonHC,DS_FHFC_NonHC_Table&lt;&gt;"Gap"),Minimum_SetAside_per_Sec_42="Average Income Test"),0,ROUNDUP(SUM(G$120:G125)*N(Total_Units),0)-SUM(F$120:F124))</f>
        <v>0</v>
      </c>
      <c r="G125" s="3111"/>
      <c r="H125" s="3112"/>
      <c r="I125" s="438">
        <v>0.4</v>
      </c>
      <c r="J125" s="3202"/>
      <c r="K125" s="902"/>
      <c r="L125" s="1987" t="str">
        <f t="shared" si="3"/>
        <v/>
      </c>
      <c r="M125" s="954"/>
      <c r="N125" s="954"/>
      <c r="O125" s="954"/>
    </row>
    <row r="126" spans="3:24" ht="17.45" customHeight="1">
      <c r="D126" s="902"/>
      <c r="E126" s="902"/>
      <c r="F126" s="449">
        <f>IF(OR(AND(Minimum_SetAside_per_Sec_42=DS_FHFC_NonHC,DS_FHFC_NonHC_Table&lt;&gt;"Gap"),Minimum_SetAside_per_Sec_42="Average Income Test"),0,ROUNDUP(SUM(G$120:G126)*N(Total_Units),0)-SUM(F$120:F125))</f>
        <v>0</v>
      </c>
      <c r="G126" s="3111"/>
      <c r="H126" s="3112"/>
      <c r="I126" s="438">
        <v>0.45</v>
      </c>
      <c r="J126" s="3202"/>
      <c r="K126" s="902"/>
      <c r="L126" s="1987" t="str">
        <f t="shared" si="3"/>
        <v/>
      </c>
      <c r="M126" s="954"/>
      <c r="N126" s="954"/>
      <c r="O126" s="954"/>
    </row>
    <row r="127" spans="3:24" ht="17.45" customHeight="1">
      <c r="D127" s="902"/>
      <c r="E127" s="902"/>
      <c r="F127" s="449">
        <f>IF(OR(AND(Minimum_SetAside_per_Sec_42=DS_FHFC_NonHC,DS_FHFC_NonHC_Table&lt;&gt;"Gap"),Minimum_SetAside_per_Sec_42="Average Income Test"),0,ROUNDUP(SUM(G$120:G127)*N(Total_Units),0)-SUM(F$120:F126))</f>
        <v>0</v>
      </c>
      <c r="G127" s="3111"/>
      <c r="H127" s="3112"/>
      <c r="I127" s="438">
        <v>0.5</v>
      </c>
      <c r="J127" s="3202"/>
      <c r="K127" s="902"/>
      <c r="L127" s="6"/>
      <c r="M127" s="954"/>
      <c r="N127" s="954"/>
      <c r="O127" s="954"/>
    </row>
    <row r="128" spans="3:24" ht="17.45" customHeight="1" thickBot="1">
      <c r="D128" s="902"/>
      <c r="E128" s="902"/>
      <c r="F128" s="449">
        <f>IF(OR(AND(Minimum_SetAside_per_Sec_42=DS_FHFC_NonHC,DS_FHFC_NonHC_Table&lt;&gt;"Gap"),Minimum_SetAside_per_Sec_42="Average Income Test"),0,ROUNDUP(SUM(G$120:G128)*N(Total_Units),0)-SUM(F$120:F127))</f>
        <v>0</v>
      </c>
      <c r="G128" s="3111"/>
      <c r="H128" s="3112"/>
      <c r="I128" s="438">
        <v>0.6</v>
      </c>
      <c r="J128" s="3202"/>
      <c r="K128" s="902"/>
      <c r="L128" s="6"/>
      <c r="M128" s="954"/>
      <c r="N128" s="954"/>
      <c r="O128" s="954"/>
    </row>
    <row r="129" spans="1:19" ht="17.45" hidden="1" customHeight="1">
      <c r="D129" s="902"/>
      <c r="E129" s="902"/>
      <c r="F129" s="449" t="str">
        <f>IF(I129&gt;IF(DS_Gap_AMI_Auto_YN="No",DS_Gap_AMI_Max,DS_Gap_AMI_Auto),"",ROUNDUP(SUM(G$120:G129)*N(Total_Units),0)-SUM(F$120:F128))</f>
        <v/>
      </c>
      <c r="G129" s="3111"/>
      <c r="H129" s="3112"/>
      <c r="I129" s="439">
        <v>0.7</v>
      </c>
      <c r="J129" s="3202"/>
      <c r="K129" s="902"/>
      <c r="L129" s="6"/>
      <c r="M129" s="954"/>
      <c r="N129" s="954"/>
      <c r="O129" s="954"/>
      <c r="P129" s="1648">
        <v>0</v>
      </c>
    </row>
    <row r="130" spans="1:19" ht="17.45" hidden="1" customHeight="1">
      <c r="D130" s="902"/>
      <c r="E130" s="902"/>
      <c r="F130" s="449" t="str">
        <f>IF(I130&gt;IF(DS_Gap_AMI_Auto_YN="No",DS_Gap_AMI_Max,DS_Gap_AMI_Auto),"",ROUNDUP(SUM(G$120:G130)*N(Total_Units),0)-SUM(F$120:F129))</f>
        <v/>
      </c>
      <c r="G130" s="3111"/>
      <c r="H130" s="3112"/>
      <c r="I130" s="458">
        <v>0.8</v>
      </c>
      <c r="J130" s="3202"/>
      <c r="K130" s="902"/>
      <c r="L130" s="6"/>
      <c r="M130" s="954"/>
      <c r="N130" s="954"/>
      <c r="O130" s="954"/>
      <c r="P130" s="1648">
        <v>0</v>
      </c>
    </row>
    <row r="131" spans="1:19" ht="17.45" hidden="1" customHeight="1">
      <c r="D131" s="1738"/>
      <c r="E131" s="1738"/>
      <c r="F131" s="449" t="str">
        <f>IF(I131&gt;IF(DS_Gap_AMI_Auto_YN="No",DS_Gap_AMI_Max,DS_Gap_AMI_Auto),"",ROUNDUP(SUM(G$120:G131)*N(Total_Units),0)-SUM(F$120:F130))</f>
        <v/>
      </c>
      <c r="G131" s="3111"/>
      <c r="H131" s="3112"/>
      <c r="I131" s="1752">
        <v>1</v>
      </c>
      <c r="J131" s="3202"/>
      <c r="K131" s="1738"/>
      <c r="L131" s="1742"/>
      <c r="M131" s="1744"/>
      <c r="N131" s="1744"/>
      <c r="O131" s="1744"/>
      <c r="P131" s="1648">
        <v>0</v>
      </c>
    </row>
    <row r="132" spans="1:19" ht="17.45" hidden="1" customHeight="1" thickBot="1">
      <c r="D132" s="902"/>
      <c r="E132" s="902"/>
      <c r="F132" s="486" t="str">
        <f>IF(I132&gt;IF(DS_Gap_AMI_Auto_YN="No",DS_Gap_AMI_Max,DS_Gap_AMI_Auto),"",ROUNDUP(SUM(G$120:G132)*N(Total_Units),0)-SUM(F$120:F130))</f>
        <v/>
      </c>
      <c r="G132" s="3220"/>
      <c r="H132" s="3221"/>
      <c r="I132" s="440">
        <v>1.2</v>
      </c>
      <c r="J132" s="3202"/>
      <c r="K132" s="902"/>
      <c r="L132" s="6"/>
      <c r="M132" s="954"/>
      <c r="N132" s="954"/>
      <c r="O132" s="954"/>
      <c r="P132" s="1648">
        <v>0</v>
      </c>
    </row>
    <row r="133" spans="1:19" ht="17.45" customHeight="1" thickBot="1">
      <c r="D133" s="902"/>
      <c r="E133" s="902"/>
      <c r="F133" s="487">
        <f>IF(OR(SUM(G120:H132)=0,AND(Minimum_SetAside_per_Sec_42=DS_FHFC_NonHC,DS_FHFC_NonHC_Table&lt;&gt;"Gap"),Minimum_SetAside_per_Sec_42="Average Income Test"),0,N(Total_Units)-SUMIF(I120:I132,"&lt;="&amp;IF(DS_Gap_AMI_Auto_YN="No",DS_Gap_AMI_Max,DS_Gap_AMI_Auto),F120:F132))</f>
        <v>0</v>
      </c>
      <c r="G133" s="3165">
        <f>IF(OR(SUMIF(I120:I132,"&lt;="&amp;DS_Gap_AMI_Max,G120:G132)=0,OR(AND(Minimum_SetAside_per_Sec_42=DS_FHFC_NonHC,DS_FHFC_NonHC_Table&lt;&gt;"Gap"),Minimum_SetAside_per_Sec_42="Average Income Test")),0,1-SUMIF(I120:I132,"&lt;="&amp;DS_Gap_AMI_Max,G120:G132))</f>
        <v>0</v>
      </c>
      <c r="H133" s="3166"/>
      <c r="I133" s="457"/>
      <c r="J133" s="454" t="s">
        <v>1132</v>
      </c>
      <c r="K133" s="902"/>
      <c r="L133" s="6"/>
    </row>
    <row r="134" spans="1:19" ht="17.45" customHeight="1" thickBot="1">
      <c r="D134" s="902"/>
      <c r="E134" s="902"/>
      <c r="F134" s="455">
        <f>SUMIF(I120:I132,"&lt;="&amp;IF(DS_Gap_AMI_Auto_YN="No",DS_Gap_AMI_Max,DS_Gap_AMI_Auto),F120:F132)</f>
        <v>0</v>
      </c>
      <c r="G134" s="3167">
        <f>IF(OR(AND(Minimum_SetAside_per_Sec_42=DS_FHFC_NonHC,DS_FHFC_NonHC_Table&lt;&gt;"Gap"),Minimum_SetAside_per_Sec_42="Average Income Test"),0,SUMIF(I120:I132,"&lt;="&amp;DS_Gap_AMI_Max,G120:G132))</f>
        <v>0</v>
      </c>
      <c r="H134" s="3168"/>
      <c r="I134" s="429"/>
      <c r="J134" s="456" t="str">
        <f>"Total "&amp;IF(P117=0,"Gap",RIGHT(LEFT(D117,FIND("Funding",D117)-2),FIND("Funding",D117)-2-22))&amp;" Units"</f>
        <v>Total SAIL Units</v>
      </c>
      <c r="K134" s="902"/>
      <c r="L134" s="6"/>
    </row>
    <row r="135" spans="1:19" ht="17.45" customHeight="1" thickTop="1" thickBot="1">
      <c r="D135" s="902"/>
      <c r="E135" s="902"/>
      <c r="F135" s="441">
        <f>SUM(F$120:F133)</f>
        <v>0</v>
      </c>
      <c r="G135" s="3127">
        <f>G133+G134</f>
        <v>0</v>
      </c>
      <c r="H135" s="3128"/>
      <c r="I135" s="442"/>
      <c r="J135" s="443" t="s">
        <v>1129</v>
      </c>
      <c r="K135" s="902"/>
      <c r="L135" s="6"/>
    </row>
    <row r="136" spans="1:19" ht="10.35" customHeight="1">
      <c r="D136" s="902"/>
      <c r="E136" s="902"/>
      <c r="F136" s="902"/>
      <c r="G136" s="902"/>
      <c r="H136" s="902"/>
      <c r="I136" s="902"/>
      <c r="J136" s="902"/>
      <c r="K136" s="902"/>
      <c r="L136" s="6"/>
    </row>
    <row r="137" spans="1:19" ht="123" customHeight="1">
      <c r="D137" s="2943" t="str">
        <f>IF(OR(P117=0,Total_Gap_Chart_Units=0,AND(Minimum_SetAside_per_Sec_42=DS_FHFC_NonHC,DS_FHFC_NonHC_Table&lt;&gt;"Gap"),Minimum_SetAside_per_Sec_42="Average Income Test"),"This area intentionally left blank.",IF(Total_Gap_Chart_Units=Total_Units,"The total number of units calculated here matches the total number of units stated at 6.a. ","Attention:  The total number of units calculated here does not match the total number of units stated at 6.a. "&amp;IF(County="&lt;select one&gt;","Applicant needs to identify the County the proposed Development is located.","The following statements are evaluating the units entered in rows with AMIs of "&amp;TEXT(DS_Gap_AMI_Max,"0%")&amp;" or less, which totals "&amp;TEXT(SUMIF(I120:I132,"&lt;="&amp;DS_Gap_AMI_Max,G120:G132),"0%")&amp;". "&amp;DS_Comment_Total_Units_Gap&amp;DS_Comment_Min_Gap_SA&amp;DS_Comment_Max_Gap_SA&amp;DS_Comment_Min_Gap_SA_ALF&amp;DS_Comment_Min_Gap_ELI_SA&amp;DS_Comment_Min_Gap_SS_Below_50Percent_SA)))</f>
        <v>This area intentionally left blank.</v>
      </c>
      <c r="E137" s="2943"/>
      <c r="F137" s="2943"/>
      <c r="G137" s="2943"/>
      <c r="H137" s="2943"/>
      <c r="I137" s="2943"/>
      <c r="J137" s="2943"/>
      <c r="K137" s="2943"/>
      <c r="L137" s="6"/>
    </row>
    <row r="138" spans="1:19" ht="17.45" customHeight="1">
      <c r="A138" s="340" t="str" cm="1">
        <f t="array" ref="A138">CHAR(CODE(LOOKUP(2,1/(COUNTIF(A$3:A137,"&gt;"&amp;A$3:A137&amp;"*")=0),A$3:A137))+1)</f>
        <v>d</v>
      </c>
      <c r="B138" s="2975" t="s">
        <v>1134</v>
      </c>
      <c r="C138" s="2975"/>
      <c r="D138" s="2975"/>
      <c r="E138" s="2975"/>
      <c r="F138" s="2975"/>
      <c r="G138" s="2975"/>
      <c r="H138" s="2975"/>
      <c r="I138" s="2975"/>
      <c r="J138" s="2975"/>
      <c r="K138" s="21"/>
      <c r="L138" s="317"/>
      <c r="N138" s="953">
        <v>1</v>
      </c>
      <c r="O138" s="931">
        <f>IF(AND(N138&lt;&gt;0,Total_Units&lt;&gt;0,H160=Total_Units),N138,0)</f>
        <v>0</v>
      </c>
      <c r="P138" s="779" t="str">
        <f>CHOOSE(N138+1,"Not to be included in this RFA","A REQUIRED input field for this RFA","An OPTIONAL input field for this RFA")</f>
        <v>A REQUIRED input field for this RFA</v>
      </c>
    </row>
    <row r="139" spans="1:19">
      <c r="B139" t="s">
        <v>1135</v>
      </c>
      <c r="L139" s="6"/>
      <c r="P139" t="s">
        <v>1136</v>
      </c>
    </row>
    <row r="140" spans="1:19" ht="10.35" customHeight="1" thickBot="1">
      <c r="B140" s="3"/>
      <c r="C140" s="3"/>
      <c r="D140" s="3"/>
      <c r="L140" s="6"/>
    </row>
    <row r="141" spans="1:19" ht="31.5" customHeight="1">
      <c r="B141" s="3"/>
      <c r="C141" s="3"/>
      <c r="D141" s="3"/>
      <c r="F141" s="3169" t="s">
        <v>1137</v>
      </c>
      <c r="G141" s="3170"/>
      <c r="H141" s="3217" t="s">
        <v>1138</v>
      </c>
      <c r="I141" s="3170"/>
      <c r="J141" s="3213" t="s">
        <v>1139</v>
      </c>
      <c r="N141" s="3157" t="str">
        <f>IF(Demographic="&lt;select one&gt;","","Demographic: "&amp;Demographic)&amp;IF(Development_Category="&lt;select one&gt;","",IF(Demographic&lt;&gt;"&lt;select one&gt;","; ","")&amp;"Development Category: "&amp;Development_Category)</f>
        <v>Demographic: Homeless; Development Category: New Construction</v>
      </c>
      <c r="O141" s="3157"/>
      <c r="P141" s="3157"/>
      <c r="Q141" s="3157"/>
    </row>
    <row r="142" spans="1:19" ht="17.45" customHeight="1">
      <c r="B142" s="3"/>
      <c r="C142" s="3"/>
      <c r="D142" s="3"/>
      <c r="F142" s="3171"/>
      <c r="G142" s="3172"/>
      <c r="H142" s="2930"/>
      <c r="I142" s="3172"/>
      <c r="J142" s="3214"/>
      <c r="L142" s="6"/>
      <c r="M142" s="6"/>
      <c r="N142" s="3157"/>
      <c r="O142" s="3157"/>
      <c r="P142" s="3157"/>
      <c r="Q142" s="3157"/>
    </row>
    <row r="143" spans="1:19" ht="35.1" customHeight="1">
      <c r="B143" s="3"/>
      <c r="C143" s="3"/>
      <c r="D143" s="3"/>
      <c r="F143" s="3184" t="s">
        <v>1140</v>
      </c>
      <c r="G143" s="3185"/>
      <c r="H143" s="3218"/>
      <c r="I143" s="3219"/>
      <c r="J143" s="792">
        <f>H172</f>
        <v>0</v>
      </c>
      <c r="L143" s="15"/>
      <c r="M143" s="15"/>
      <c r="N143" s="50"/>
      <c r="O143" s="50"/>
      <c r="P143" s="15"/>
      <c r="Q143" s="15"/>
      <c r="R143" s="15"/>
      <c r="S143" s="15"/>
    </row>
    <row r="144" spans="1:19" ht="35.1" customHeight="1">
      <c r="B144" s="3"/>
      <c r="C144" s="3"/>
      <c r="D144" s="3"/>
      <c r="F144" s="3184" t="s">
        <v>1141</v>
      </c>
      <c r="G144" s="3185"/>
      <c r="H144" s="3215"/>
      <c r="I144" s="3216"/>
      <c r="J144" s="792">
        <f>H173</f>
        <v>0</v>
      </c>
      <c r="L144" s="15"/>
      <c r="M144" s="15"/>
      <c r="N144" s="50"/>
      <c r="O144" s="50"/>
      <c r="P144" s="15"/>
      <c r="Q144" s="15"/>
      <c r="R144" s="15"/>
      <c r="S144" s="15"/>
    </row>
    <row r="145" spans="2:18" ht="17.45" customHeight="1">
      <c r="B145" s="3"/>
      <c r="C145" s="3"/>
      <c r="D145" s="3"/>
      <c r="F145" s="3178" t="s">
        <v>1142</v>
      </c>
      <c r="G145" s="3179"/>
      <c r="H145" s="3180"/>
      <c r="I145" s="3181"/>
      <c r="J145" s="3161">
        <f>H174</f>
        <v>0</v>
      </c>
      <c r="L145" s="15"/>
      <c r="M145" s="24"/>
    </row>
    <row r="146" spans="2:18" ht="17.45" customHeight="1">
      <c r="B146" s="3"/>
      <c r="C146" s="3"/>
      <c r="D146" s="3"/>
      <c r="F146" s="3159" t="s">
        <v>1143</v>
      </c>
      <c r="G146" s="3160"/>
      <c r="H146" s="3174"/>
      <c r="I146" s="3175"/>
      <c r="J146" s="3162"/>
      <c r="L146" s="15"/>
      <c r="M146" s="24"/>
    </row>
    <row r="147" spans="2:18" ht="17.45" customHeight="1">
      <c r="B147" s="3"/>
      <c r="C147" s="3"/>
      <c r="D147" s="3"/>
      <c r="F147" s="3182" t="s">
        <v>1144</v>
      </c>
      <c r="G147" s="3183"/>
      <c r="H147" s="3176"/>
      <c r="I147" s="3177"/>
      <c r="J147" s="3163"/>
      <c r="L147" s="15"/>
      <c r="M147" s="24"/>
      <c r="P147" s="809">
        <v>1</v>
      </c>
    </row>
    <row r="148" spans="2:18" ht="17.45" hidden="1" customHeight="1">
      <c r="B148" s="3"/>
      <c r="C148" s="3"/>
      <c r="D148" s="3"/>
      <c r="F148" s="3178" t="s">
        <v>1145</v>
      </c>
      <c r="G148" s="3179"/>
      <c r="H148" s="3180"/>
      <c r="I148" s="3181"/>
      <c r="J148" s="3161">
        <f>H175</f>
        <v>0</v>
      </c>
      <c r="L148" s="384"/>
      <c r="M148" s="384"/>
      <c r="N148" s="810">
        <f>IF(AND(Development_Category&lt;&gt;"&lt;select one&gt;",OR(Development_Category="New Construction",Development_Category="Redevelopment",Development_Category="Acquisition and Redevelopment")),0,3)</f>
        <v>0</v>
      </c>
      <c r="O148" s="931">
        <f t="shared" ref="O148:O154" si="4">IF(AND(N148&lt;&gt;0,AND(C148&lt;&gt;"&lt;select one&gt;",C148&lt;&gt;"")),N148,0)</f>
        <v>0</v>
      </c>
      <c r="P148" s="905" t="str">
        <f t="shared" ref="P148:P149" si="5">CHOOSE(N148+1,"Not to be included in this RFA","A REQUIRED input field for this RFA","An OPTIONAL input field for this RFA","Input is not tracked")</f>
        <v>Not to be included in this RFA</v>
      </c>
      <c r="R148" s="6"/>
    </row>
    <row r="149" spans="2:18" ht="17.45" hidden="1" customHeight="1">
      <c r="B149" s="3"/>
      <c r="C149" s="3"/>
      <c r="D149" s="3"/>
      <c r="F149" s="3159" t="s">
        <v>1146</v>
      </c>
      <c r="G149" s="3160"/>
      <c r="H149" s="3174"/>
      <c r="I149" s="3175"/>
      <c r="J149" s="3162"/>
      <c r="L149" s="384"/>
      <c r="M149" s="384"/>
      <c r="N149" s="810">
        <f>IF(AND(Development_Category&lt;&gt;"&lt;select one&gt;",OR(Development_Category="New Construction",Development_Category="Redevelopment",Development_Category="Acquisition and Redevelopment")),0,3)</f>
        <v>0</v>
      </c>
      <c r="O149" s="931">
        <f t="shared" si="4"/>
        <v>0</v>
      </c>
      <c r="P149" s="905" t="str">
        <f t="shared" si="5"/>
        <v>Not to be included in this RFA</v>
      </c>
      <c r="R149" s="6"/>
    </row>
    <row r="150" spans="2:18" ht="17.45" customHeight="1">
      <c r="B150" s="3"/>
      <c r="C150" s="3"/>
      <c r="D150" s="3"/>
      <c r="F150" s="3159" t="s">
        <v>1147</v>
      </c>
      <c r="G150" s="3160"/>
      <c r="H150" s="3174"/>
      <c r="I150" s="3175"/>
      <c r="J150" s="3162"/>
      <c r="L150" s="384"/>
      <c r="M150" s="384"/>
      <c r="N150" s="953">
        <v>3</v>
      </c>
      <c r="O150" s="931">
        <f t="shared" si="4"/>
        <v>0</v>
      </c>
      <c r="P150" s="905" t="str">
        <f>CHOOSE(N150+1,"Not to be included in this RFA","A REQUIRED input field for this RFA","An OPTIONAL input field for this RFA","Input is not tracked")</f>
        <v>Input is not tracked</v>
      </c>
      <c r="R150" s="6"/>
    </row>
    <row r="151" spans="2:18" ht="17.45" customHeight="1">
      <c r="B151" s="3"/>
      <c r="C151" s="3"/>
      <c r="D151" s="3"/>
      <c r="F151" s="3159" t="s">
        <v>1148</v>
      </c>
      <c r="G151" s="3160"/>
      <c r="H151" s="3174"/>
      <c r="I151" s="3175"/>
      <c r="J151" s="3162"/>
      <c r="L151" s="384"/>
      <c r="M151" s="384"/>
      <c r="N151" s="953">
        <v>3</v>
      </c>
      <c r="O151" s="931">
        <f t="shared" si="4"/>
        <v>0</v>
      </c>
      <c r="P151" s="905" t="str">
        <f t="shared" ref="P151:P154" si="6">CHOOSE(N151+1,"Not to be included in this RFA","A REQUIRED input field for this RFA","An OPTIONAL input field for this RFA","Input is not tracked")</f>
        <v>Input is not tracked</v>
      </c>
      <c r="R151" s="6"/>
    </row>
    <row r="152" spans="2:18" ht="17.45" customHeight="1" thickBot="1">
      <c r="B152" s="3"/>
      <c r="C152" s="3"/>
      <c r="D152" s="3"/>
      <c r="F152" s="3182" t="s">
        <v>1149</v>
      </c>
      <c r="G152" s="3183"/>
      <c r="H152" s="3176"/>
      <c r="I152" s="3177"/>
      <c r="J152" s="3163"/>
      <c r="L152" s="384"/>
      <c r="M152" s="384"/>
      <c r="N152" s="953">
        <v>3</v>
      </c>
      <c r="O152" s="931">
        <f t="shared" si="4"/>
        <v>0</v>
      </c>
      <c r="P152" s="905" t="str">
        <f t="shared" si="6"/>
        <v>Input is not tracked</v>
      </c>
      <c r="R152" s="6"/>
    </row>
    <row r="153" spans="2:18" ht="17.45" hidden="1" customHeight="1">
      <c r="B153" s="3"/>
      <c r="C153" s="3"/>
      <c r="D153" s="3"/>
      <c r="F153" s="3178" t="s">
        <v>1150</v>
      </c>
      <c r="G153" s="3179"/>
      <c r="H153" s="3180"/>
      <c r="I153" s="3181"/>
      <c r="J153" s="3161">
        <f>H176</f>
        <v>0</v>
      </c>
      <c r="L153" s="384"/>
      <c r="M153" s="384"/>
      <c r="N153" s="810">
        <f>IF(AND(Development_Category&lt;&gt;"&lt;select one&gt;",OR(Development_Category="New Construction",Development_Category="Redevelopment",Development_Category="Acquisition and Redevelopment")),0,3)</f>
        <v>0</v>
      </c>
      <c r="O153" s="931">
        <f t="shared" si="4"/>
        <v>0</v>
      </c>
      <c r="P153" s="905" t="str">
        <f t="shared" si="6"/>
        <v>Not to be included in this RFA</v>
      </c>
      <c r="R153" s="6"/>
    </row>
    <row r="154" spans="2:18" ht="17.45" hidden="1" customHeight="1">
      <c r="B154" s="3"/>
      <c r="C154" s="3"/>
      <c r="D154" s="3"/>
      <c r="F154" s="3159" t="s">
        <v>1151</v>
      </c>
      <c r="G154" s="3160"/>
      <c r="H154" s="3174"/>
      <c r="I154" s="3175"/>
      <c r="J154" s="3162"/>
      <c r="L154" s="384"/>
      <c r="M154" s="384"/>
      <c r="N154" s="810">
        <f>IF(AND(Development_Category&lt;&gt;"&lt;select one&gt;",OR(Development_Category="New Construction",Development_Category="Redevelopment",Development_Category="Acquisition and Redevelopment")),0,3)</f>
        <v>0</v>
      </c>
      <c r="O154" s="931">
        <f t="shared" si="4"/>
        <v>0</v>
      </c>
      <c r="P154" s="905" t="str">
        <f t="shared" si="6"/>
        <v>Not to be included in this RFA</v>
      </c>
      <c r="R154" s="6"/>
    </row>
    <row r="155" spans="2:18" ht="17.45" hidden="1" customHeight="1">
      <c r="B155" s="3"/>
      <c r="C155" s="3"/>
      <c r="D155" s="3"/>
      <c r="F155" s="3159" t="s">
        <v>1152</v>
      </c>
      <c r="G155" s="3160"/>
      <c r="H155" s="3174"/>
      <c r="I155" s="3175"/>
      <c r="J155" s="3162"/>
      <c r="L155" s="384"/>
      <c r="M155" s="384"/>
      <c r="P155" s="313">
        <v>0</v>
      </c>
      <c r="R155" s="6"/>
    </row>
    <row r="156" spans="2:18" ht="17.45" hidden="1" customHeight="1">
      <c r="B156" s="3"/>
      <c r="C156" s="3"/>
      <c r="D156" s="3"/>
      <c r="F156" s="3159" t="s">
        <v>1153</v>
      </c>
      <c r="G156" s="3160"/>
      <c r="H156" s="3174"/>
      <c r="I156" s="3175"/>
      <c r="J156" s="3162"/>
      <c r="L156" s="384"/>
      <c r="M156" s="384"/>
      <c r="R156" s="6"/>
    </row>
    <row r="157" spans="2:18" ht="17.45" hidden="1" customHeight="1">
      <c r="B157" s="3"/>
      <c r="C157" s="3"/>
      <c r="D157" s="3"/>
      <c r="F157" s="3159" t="s">
        <v>1154</v>
      </c>
      <c r="G157" s="3160"/>
      <c r="H157" s="3174"/>
      <c r="I157" s="3175"/>
      <c r="J157" s="3162"/>
      <c r="L157" s="384"/>
      <c r="M157" s="384"/>
      <c r="R157" s="6"/>
    </row>
    <row r="158" spans="2:18" ht="17.45" hidden="1" customHeight="1">
      <c r="E158" s="934"/>
      <c r="F158" s="3159" t="s">
        <v>1155</v>
      </c>
      <c r="G158" s="3160"/>
      <c r="H158" s="3174"/>
      <c r="I158" s="3175"/>
      <c r="J158" s="3162"/>
      <c r="L158" s="6"/>
      <c r="R158" s="6"/>
    </row>
    <row r="159" spans="2:18" ht="17.45" hidden="1" customHeight="1" thickBot="1">
      <c r="E159" s="934"/>
      <c r="F159" s="3193" t="s">
        <v>1156</v>
      </c>
      <c r="G159" s="3194"/>
      <c r="H159" s="3186"/>
      <c r="I159" s="3187"/>
      <c r="J159" s="3173"/>
      <c r="L159" s="6"/>
      <c r="M159" s="6"/>
      <c r="N159" s="50"/>
      <c r="O159" s="50"/>
      <c r="R159" s="6"/>
    </row>
    <row r="160" spans="2:18" ht="17.45" customHeight="1" thickTop="1" thickBot="1">
      <c r="E160" s="934"/>
      <c r="F160" s="3191" t="s">
        <v>1157</v>
      </c>
      <c r="G160" s="3192"/>
      <c r="H160" s="3188">
        <f>SUM(H143:I159)</f>
        <v>0</v>
      </c>
      <c r="I160" s="3189"/>
      <c r="J160" s="793">
        <f>SUM(J143:J159)</f>
        <v>0</v>
      </c>
      <c r="L160" s="6"/>
      <c r="M160" s="6"/>
      <c r="N160" s="50"/>
      <c r="O160" s="50"/>
      <c r="R160" s="6"/>
    </row>
    <row r="161" spans="1:17" ht="10.35" customHeight="1">
      <c r="E161" s="934"/>
      <c r="F161" s="24"/>
      <c r="G161" s="24"/>
      <c r="H161" s="24"/>
      <c r="I161" s="24"/>
      <c r="J161" s="24"/>
      <c r="K161" s="24"/>
      <c r="L161" s="6"/>
      <c r="M161" s="50"/>
      <c r="N161" s="50"/>
      <c r="O161" s="50"/>
    </row>
    <row r="162" spans="1:17" ht="35.1" customHeight="1">
      <c r="B162" s="796"/>
      <c r="C162" s="795"/>
      <c r="D162" s="3015" t="str">
        <f>IF(SUM(H143:H159)=Total_Units,"The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62" s="3015"/>
      <c r="F162" s="3015"/>
      <c r="G162" s="3015"/>
      <c r="H162" s="3015"/>
      <c r="I162" s="3015"/>
      <c r="J162" s="3015"/>
      <c r="K162" s="3015"/>
      <c r="L162" s="6"/>
      <c r="M162" s="50"/>
      <c r="N162" s="50"/>
      <c r="O162" s="50"/>
    </row>
    <row r="163" spans="1:17" ht="35.1" customHeight="1">
      <c r="B163" s="796"/>
      <c r="C163" s="796"/>
      <c r="D163" s="3015" t="str">
        <f>IF(OR(Demographic="&lt;select one&gt;",Development_Category="&lt;select one&gt;"),"This area intentionally left blank.",IF(Demographic="Elderly Non-ALF",IF(OR(Development_Category="Rehabilitation",Development_Category="Acquisition and Rehabilitation"),Data1!$G$675,IF(OR(Development_Category="New Construction",Development_Category="Redevelopment",Development_Category="Acquisition and Redevelopment"),Data1!$G$677,"The Development Category selected does not have a minimum for 0 and 1 bedroom units for the selected Demographic Commitment.")),IF(Demographic="Elderly ALF",Data1!$G$679,IF(OR(Demographic="Family",Demographic="Workforce"),IF(Development_Category="New Construction",Data1!$G$680,"The Development Category selected does not have a minimum for 0 and 1 bedroom units for the selected Demographic Commitment."),IF(Demographic="Homeless",Data1!$G$681,IF(OR(Demographic="Farmworker/Commercial Fish Worker",Demographic="Farmworker",Demographic="Unaccompanied Farmworker",Demographic="Commercial Fishing Worker",Demographic="Unaccompanied Commercial Fishing Worker"),Data1!$G$685,IF(OR(Demographic="Persons with a Disabling Condition",Demographic="Persons with Developmental Disabilities"),Data1!$G$687,IF(Demographic="Persons with Special Needs",Data1!$G$690,""))))))))</f>
        <v>This area intentionally left blank.</v>
      </c>
      <c r="E163" s="3015"/>
      <c r="F163" s="3015"/>
      <c r="G163" s="3015"/>
      <c r="H163" s="3015"/>
      <c r="I163" s="3015"/>
      <c r="J163" s="3015"/>
      <c r="K163" s="3015"/>
      <c r="L163" s="6"/>
      <c r="M163" s="50"/>
      <c r="N163" s="50"/>
      <c r="O163" s="50"/>
    </row>
    <row r="164" spans="1:17" ht="35.1" customHeight="1">
      <c r="A164" s="797"/>
      <c r="B164" s="796"/>
      <c r="C164" s="796"/>
      <c r="D164" s="3015" t="str">
        <f>IF(OR(Demographic="&lt;select one&gt;",Development_Category="&lt;select one&gt;"),IF(D163="This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ALF","",IF(Demographic="Family","",IF(Demographic="Homeless",Data1!$G$682,IF(OR(Demographic="Farmworker/Commercial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Disabilities"),Data1!$G$688,IF(Demographic="Persons with Special Needs","",""))))))))</f>
        <v/>
      </c>
      <c r="E164" s="3015"/>
      <c r="F164" s="3015"/>
      <c r="G164" s="3015"/>
      <c r="H164" s="3015"/>
      <c r="I164" s="3015"/>
      <c r="J164" s="3015"/>
      <c r="K164" s="3015"/>
      <c r="L164" s="794"/>
      <c r="M164" s="15"/>
      <c r="N164" s="15"/>
      <c r="O164" s="15"/>
      <c r="P164" s="15"/>
      <c r="Q164" s="15"/>
    </row>
    <row r="165" spans="1:17" ht="35.1" customHeight="1">
      <c r="B165" s="796"/>
      <c r="C165" s="796"/>
      <c r="D165" s="3015" t="str">
        <f>IF(Demographic="&lt;select one&gt;",IF(D164="This area intentionally left blank.","","This area intentionally left blank."),IF(Demographic="Elderly Non-ALF",IF(Development_Category="New Construction",Data1!$G$678,Data1!$G$676),IF(Demographic="Elderly ALF",IF(D164="This area intentionally left blank.","","This area intentionally left blank."),IF(Demographic="Family",IF(D164="This area intentionally left blank.","","This area intentionally left blank."),IF(Demographic="Homeless",Data1!$G$683,IF(OR(Demographic="Farmworker/Commercial Fish Worker",Demographic="Farmworker",Demographic="Unaccompanied Farmworker",Demographic="Commercial Fishing Worker",Demographic="Unaccompanied Commercial Fishing Worker"),IF(D164="This area intentionally left blank.","","This area intentionally left blank."),IF(OR(Demographic="Persons with a Disabling Condition",Demographic="Persons with Developmental Disabilities"),IF(D164="This area intentionally left blank.","","This area intentionally left blank."),IF(Demographic="Persons with Special Needs",Data1!$G$691,IF(D164="This area intentionally left blank.","","This area intentionally left blank.")))))))))</f>
        <v>This area intentionally left blank.</v>
      </c>
      <c r="E165" s="3015"/>
      <c r="F165" s="3015"/>
      <c r="G165" s="3015"/>
      <c r="H165" s="3015"/>
      <c r="I165" s="3015"/>
      <c r="J165" s="3015"/>
      <c r="K165" s="3015"/>
      <c r="L165" s="6"/>
      <c r="M165" s="50"/>
      <c r="N165" s="50"/>
      <c r="O165" s="50"/>
    </row>
    <row r="166" spans="1:17" ht="35.1" customHeight="1">
      <c r="B166" s="796"/>
      <c r="C166" s="796"/>
      <c r="D166" s="2943" t="str">
        <f>IF(Demographic="&lt;select one&gt;",IF(D165="This area intentionally left blank.","","This area intentionally left blank."),IF(Demographic="Elderly Non-ALF",IF(D165="This area intentionally left blank.","","This area intentionally left blank."),IF(Demographic="Elderly ALF",IF(D165="This area intentionally left blank.","","This area intentionally left blank."),IF(Demographic="Family",IF(D165="This area intentionally left blank.","","This area intentionally left blank."),IF(Demographic="Homeless",IF(Data1!B684&gt;=2,Data1!G684,IF(D165="This area intentionally left blank.","","This area intentionally left blank.")),IF(OR(Demographic="Farmworker/Commercial Fish Worker",Demographic="Farmworker",Demographic="Unaccompanied Farmworker",Demographic="Commercial Fishing Worker",Demographic="Unaccompanied Commercial Fishing Worker"),IF(Data1!B686&gt;=2,Data1!G686,IF(D165="This area intentionally left blank.","","This area intentionally left blank.")),IF(OR(Demographic="Persons with a Disabling Condition",Demographic="Persons with Developmental Disabilities"),IF(Data1!B689&gt;=2,Data1!G689,IF(D165="This area intentionally left blank.","","This area intentionally left blank.")),IF(Demographic="Persons with Special Needs",IF(Data1!B692&gt;=2,Data1!G692,IF(D165="This area intentionally left blank.","","This area intentionally left blank.")),IF(D165="This area intentionally left blank.","","This area intentionally left blank.")))))))))</f>
        <v/>
      </c>
      <c r="E166" s="2943"/>
      <c r="F166" s="2943"/>
      <c r="G166" s="2943"/>
      <c r="H166" s="2943"/>
      <c r="I166" s="2943"/>
      <c r="J166" s="2943"/>
      <c r="K166" s="2943"/>
      <c r="L166" s="6"/>
      <c r="M166" s="50"/>
      <c r="N166" s="50"/>
      <c r="O166" s="50"/>
    </row>
    <row r="167" spans="1:17" ht="17.45" customHeight="1">
      <c r="E167" s="934"/>
      <c r="F167" s="3015"/>
      <c r="G167" s="3015"/>
      <c r="H167" s="3015"/>
      <c r="I167" s="3015"/>
      <c r="J167" s="3015"/>
      <c r="K167" s="3015"/>
      <c r="L167" s="6"/>
      <c r="M167" s="50"/>
      <c r="N167" s="50"/>
      <c r="O167" s="50"/>
    </row>
    <row r="168" spans="1:17" ht="17.45" customHeight="1">
      <c r="E168" s="932" t="s">
        <v>1158</v>
      </c>
      <c r="F168" s="27"/>
      <c r="G168" s="27"/>
      <c r="H168" s="27"/>
      <c r="I168" s="27"/>
      <c r="J168" s="27"/>
      <c r="K168" s="27"/>
      <c r="L168" s="6"/>
      <c r="M168" s="50"/>
      <c r="N168" s="50"/>
      <c r="O168" s="50"/>
    </row>
    <row r="169" spans="1:17" ht="17.45" customHeight="1">
      <c r="F169" s="15"/>
      <c r="G169" s="923" t="str">
        <f>"ELI Commitment"&amp;IF(I169=0,"","s")&amp;":"</f>
        <v>ELI Commitment:</v>
      </c>
      <c r="H169" s="1853">
        <f>IF(OR(Minimum_SetAside_per_Sec_42=DS_IRS_2050,Minimum_SetAside_per_Sec_42=DS_IRS_4060,Minimum_SetAside_per_Sec_42=DS_FHFC_NonHC),MAX(IF(AND('General Information'!K67&lt;&gt;0,Self_Sourced_Applicant="Yes"),MAX(SUMIF(I52:I58,"&lt;="&amp;IFERROR(VLOOKUP(County,DS_CountyData,14),0),G52:G58),DS_Min_ELI_NonAIT_SS+IF(Data1!B620="Yes",DS_Min_ELI_NonAIT_Buy_SS,0)),IF(AND(DS_ELI_UnitLimit="Yes",SUM(Data1!U624:U632)&gt;0,Minimum_SetAside_per_Sec_42&lt;&gt;DS_IRS_AIT,Minimum_SetAside_per_Sec_42&lt;&gt;"&lt;select one&gt;")=TRUE,VLOOKUP(IFERROR(VLOOKUP(County,DS_CountyData,14),0),DS_Adj_Perc_ELI,3),DS_Min_ELI_NonAIT_NSS+IF(Data1!B619="Yes",DS_Min_ELI_NonAIT_Buy_NSS,0))),IF(AND(DS_ELI_UnitLimit="Yes",SUM(Data1!U624:U632)&gt;0,Minimum_SetAside_per_Sec_42&lt;&gt;DS_IRS_AIT,Minimum_SetAside_per_Sec_42&lt;&gt;"&lt;select one&gt;")=TRUE,VLOOKUP(IFERROR(VLOOKUP(County,DS_CountyData,14),0),DS_Adj_Perc_ELI,3),SUMIF(I52:I58,"&lt;="&amp;IFERROR(VLOOKUP(County,DS_CountyData,14),0),G52:G58))),IF(Minimum_SetAside_per_Sec_42="Average Income Test",MAX(IF(AND('General Information'!K67&lt;&gt;0,Self_Sourced_Applicant="Yes"),DS_Min_ELI_AIT_SS+IF(Data1!B620="Yes",DS_Min_ELI_AIT_Buy_SS,0),DS_Min_ELI_AIT_NSS+IF(Data1!B619="Yes",DS_Min_ELI_AIT_Buy_NSS,0)),G79+G80),0))</f>
        <v>0</v>
      </c>
      <c r="I169" s="802">
        <f>IF(Funding!L65&gt;0,IF(OR(LEFT(Minimum_SetAside_per_Sec_42,3)="20%",LEFT(Minimum_SetAside_per_Sec_42,3)="40%",Minimum_SetAside_per_Sec_42=DS_FHFC_NonHC),IF(Self_Sourced_Applicant="Yes",MIN(DS_Min_ELI_NonAIT_Buy_SS,SUMIF(I52:I60,"&lt;="&amp;IFERROR(VLOOKUP(County,DS_CountyData,14),0),G52:G60)),IF(AND(DS_ELI_UnitLimit="Yes",SUM(Data1!U624:U632)&gt;0,Minimum_SetAside_per_Sec_42&lt;&gt;DS_IRS_AIT,Minimum_SetAside_per_Sec_42&lt;&gt;"&lt;select one&gt;")=TRUE,VLOOKUP(IFERROR(VLOOKUP(County,DS_CountyData,14),0),DS_Adj_Perc_ELI,3),DS_Min_ELI_NonAIT_Buy_NSS)),IF(Minimum_SetAside_per_Sec_42="Average Income Test",IF(Self_Sourced_Applicant="Yes",MAX(0,MIN(DS_Min_ELI_AIT_Buy_SS,G79+G80-IF(G81&gt;=Data1!B637,0,Data1!B637-G81))),DS_Min_ELI_AIT_Buy_NSS),0)),0)</f>
        <v>0</v>
      </c>
      <c r="K169" s="1900" t="str">
        <f>IF(AND(DS_ELI_UnitLimit="Yes",ROUNDUP(I169*N(Total_Units),0)&gt;DS_ELI_UnitLimit_Units,OR(DS_ELI_UnitLimit_Exception="No",DS_ELI_UnitLimit_Exception_Goal_Met="Does NOT meet")),"* ELI units are limited to a total of 15","")</f>
        <v/>
      </c>
      <c r="L169" s="6"/>
      <c r="P169" s="313">
        <v>1</v>
      </c>
    </row>
    <row r="170" spans="1:17" ht="17.45" customHeight="1">
      <c r="D170" s="6"/>
      <c r="E170" s="6"/>
      <c r="F170" s="296" t="s">
        <v>1159</v>
      </c>
      <c r="G170" s="291" t="s">
        <v>1129</v>
      </c>
      <c r="H170" s="291" t="str">
        <f>"Total ELI"&amp;IF(AND(DS_ELI_UnitLimit="Yes",ROUNDUP(I169*N(Total_Units),0)&gt;DS_ELI_UnitLimit_Units,OR(DS_ELI_UnitLimit_Exception="No",DS_ELI_UnitLimit_Exception_Goal_Met="Does NOT meet")),"*","")</f>
        <v>Total ELI</v>
      </c>
      <c r="I170" s="291" t="str">
        <f>"Funded ELI"&amp;IF(AND(DS_ELI_UnitLimit="Yes",ROUNDUP(I169*N(Total_Units),0)&gt;DS_ELI_UnitLimit_Units,OR(DS_ELI_UnitLimit_Exception="No",DS_ELI_UnitLimit_Exception_Goal_Met="Does NOT meet")),"*","")</f>
        <v>Funded ELI</v>
      </c>
      <c r="J170" s="291" t="s">
        <v>1160</v>
      </c>
      <c r="K170" s="293" t="s">
        <v>1161</v>
      </c>
      <c r="L170" s="6"/>
      <c r="P170" s="630" t="str">
        <f>IF(P169=0,"Be sure the 8 ""DS_Min_ELI_..."" named ranges are zero","")</f>
        <v/>
      </c>
    </row>
    <row r="171" spans="1:17" ht="5.0999999999999996" customHeight="1">
      <c r="D171" s="6"/>
      <c r="E171" s="6"/>
      <c r="F171" s="300"/>
      <c r="G171" s="301"/>
      <c r="H171" s="302"/>
      <c r="I171" s="302"/>
      <c r="J171" s="307"/>
      <c r="K171" s="303"/>
      <c r="L171" s="6"/>
    </row>
    <row r="172" spans="1:17" ht="17.45" customHeight="1">
      <c r="D172" s="6"/>
      <c r="E172" s="6"/>
      <c r="F172" s="304">
        <v>0</v>
      </c>
      <c r="G172" s="423">
        <f>Zero_Bed_One_Bath_Total_Units</f>
        <v>0</v>
      </c>
      <c r="H172" s="423">
        <f>ROUNDUP(IF(AND(DS_ELI_UnitLimit="Yes",ROUNDUP(H$169*N(Total_Units),0)&gt;DS_ELI_UnitLimit_Units,OR(DS_ELI_UnitLimit_Exception="No",DS_ELI_UnitLimit_Exception_Goal_Met="Does NOT meet"),Minimum_SetAside_per_Sec_42&lt;&gt;"Average Income Test"),IF(N(Total_Units)=0,0,DS_ELI_UnitLimit_Units*SUM($G$171:$G172)/N(Total_Units)),SUM($G$171:$G172)*H$169),0)-SUM(H$171:H171)</f>
        <v>0</v>
      </c>
      <c r="I172" s="423">
        <f>ROUNDUP(IF(AND(DS_ELI_UnitLimit="Yes",ROUNDUP(I$169*N(Total_Units),0)&gt;DS_ELI_UnitLimit_Units,OR(DS_ELI_UnitLimit_Exception="No",DS_ELI_UnitLimit_Exception_Goal_Met="Does NOT meet")),IF(N(Total_Units)=0,0,DS_ELI_UnitLimit_Units*SUM($G$171:$G172)/N(Total_Units)),SUM($G$171:$G172)*I$169),0)-SUM(I$171:I171)</f>
        <v>0</v>
      </c>
      <c r="J172" s="305">
        <f>IFERROR(VLOOKUP(County,DS_CountyData,7+F172),0)</f>
        <v>0</v>
      </c>
      <c r="K172" s="306">
        <f>I172*J172</f>
        <v>0</v>
      </c>
      <c r="L172" s="6"/>
      <c r="N172" s="2943" t="s">
        <v>2433</v>
      </c>
      <c r="O172" s="2943"/>
      <c r="P172" s="2943"/>
      <c r="Q172" s="2943"/>
    </row>
    <row r="173" spans="1:17" ht="17.45" customHeight="1">
      <c r="D173" s="6"/>
      <c r="E173" s="6"/>
      <c r="F173" s="297">
        <v>1</v>
      </c>
      <c r="G173" s="424">
        <f>One_Bed_One_Bath_Total_Units</f>
        <v>0</v>
      </c>
      <c r="H173" s="423">
        <f>ROUNDUP(IF(AND(DS_ELI_UnitLimit="Yes",ROUNDUP(H$169*N(Total_Units),0)&gt;DS_ELI_UnitLimit_Units,OR(DS_ELI_UnitLimit_Exception="No",DS_ELI_UnitLimit_Exception_Goal_Met="Does NOT meet"),Minimum_SetAside_per_Sec_42&lt;&gt;"Average Income Test"),IF(N(Total_Units)=0,0,DS_ELI_UnitLimit_Units*SUM($G$171:$G173)/N(Total_Units)),SUM($G$171:$G173)*H$169),0)-SUM(H$171:H172)</f>
        <v>0</v>
      </c>
      <c r="I173" s="423">
        <f>ROUNDUP(IF(AND(DS_ELI_UnitLimit="Yes",ROUNDUP(I$169*N(Total_Units),0)&gt;DS_ELI_UnitLimit_Units,OR(DS_ELI_UnitLimit_Exception="No",DS_ELI_UnitLimit_Exception_Goal_Met="Does NOT meet")),IF(N(Total_Units)=0,0,DS_ELI_UnitLimit_Units*SUM($G$171:$G173)/N(Total_Units)),SUM($G$171:$G173)*I$169),0)-SUM(I$171:I172)</f>
        <v>0</v>
      </c>
      <c r="J173" s="290">
        <f>IFERROR(VLOOKUP(County,DS_CountyData,7+F173),0)</f>
        <v>0</v>
      </c>
      <c r="K173" s="292">
        <f>I173*J173</f>
        <v>0</v>
      </c>
      <c r="L173" s="6"/>
      <c r="N173" s="2943"/>
      <c r="O173" s="2943"/>
      <c r="P173" s="2943"/>
      <c r="Q173" s="2943"/>
    </row>
    <row r="174" spans="1:17" ht="17.45" customHeight="1">
      <c r="D174" s="6"/>
      <c r="E174" s="6"/>
      <c r="F174" s="297">
        <v>2</v>
      </c>
      <c r="G174" s="424">
        <f>SUM(H145:I147)</f>
        <v>0</v>
      </c>
      <c r="H174" s="423">
        <f>ROUNDUP(IF(AND(DS_ELI_UnitLimit="Yes",ROUNDUP(H$169*N(Total_Units),0)&gt;DS_ELI_UnitLimit_Units,OR(DS_ELI_UnitLimit_Exception="No",DS_ELI_UnitLimit_Exception_Goal_Met="Does NOT meet"),Minimum_SetAside_per_Sec_42&lt;&gt;"Average Income Test"),IF(N(Total_Units)=0,0,DS_ELI_UnitLimit_Units*SUM($G$171:$G174)/N(Total_Units)),SUM($G$171:$G174)*H$169),0)-SUM(H$171:H173)</f>
        <v>0</v>
      </c>
      <c r="I174" s="423">
        <f>ROUNDUP(IF(AND(DS_ELI_UnitLimit="Yes",ROUNDUP(I$169*N(Total_Units),0)&gt;DS_ELI_UnitLimit_Units,OR(DS_ELI_UnitLimit_Exception="No",DS_ELI_UnitLimit_Exception_Goal_Met="Does NOT meet")),IF(N(Total_Units)=0,0,DS_ELI_UnitLimit_Units*SUM($G$171:$G174)/N(Total_Units)),SUM($G$171:$G174)*I$169),0)-SUM(I$171:I173)</f>
        <v>0</v>
      </c>
      <c r="J174" s="290">
        <f>IFERROR(VLOOKUP(County,DS_CountyData,7+F174),0)</f>
        <v>0</v>
      </c>
      <c r="K174" s="292">
        <f>I174*J174</f>
        <v>0</v>
      </c>
      <c r="L174" s="6"/>
      <c r="N174" s="2943"/>
      <c r="O174" s="2943"/>
      <c r="P174" s="2943"/>
      <c r="Q174" s="2943"/>
    </row>
    <row r="175" spans="1:17" ht="17.45" customHeight="1">
      <c r="D175" s="6"/>
      <c r="E175" s="6"/>
      <c r="F175" s="297">
        <v>3</v>
      </c>
      <c r="G175" s="424">
        <f>SUM(H148:I152)</f>
        <v>0</v>
      </c>
      <c r="H175" s="423">
        <f>ROUNDUP(IF(AND(DS_ELI_UnitLimit="Yes",ROUNDUP(H$169*N(Total_Units),0)&gt;DS_ELI_UnitLimit_Units,OR(DS_ELI_UnitLimit_Exception="No",DS_ELI_UnitLimit_Exception_Goal_Met="Does NOT meet"),Minimum_SetAside_per_Sec_42&lt;&gt;"Average Income Test"),IF(N(Total_Units)=0,0,DS_ELI_UnitLimit_Units*SUM($G$171:$G175)/N(Total_Units)),SUM($G$171:$G175)*H$169),0)-SUM(H$171:H174)</f>
        <v>0</v>
      </c>
      <c r="I175" s="423">
        <f>ROUNDUP(IF(AND(DS_ELI_UnitLimit="Yes",ROUNDUP(I$169*N(Total_Units),0)&gt;DS_ELI_UnitLimit_Units,OR(DS_ELI_UnitLimit_Exception="No",DS_ELI_UnitLimit_Exception_Goal_Met="Does NOT meet")),IF(N(Total_Units)=0,0,DS_ELI_UnitLimit_Units*SUM($G$171:$G175)/N(Total_Units)),SUM($G$171:$G175)*I$169),0)-SUM(I$171:I174)</f>
        <v>0</v>
      </c>
      <c r="J175" s="290">
        <f>IFERROR(VLOOKUP(County,DS_CountyData,7+F175),0)</f>
        <v>0</v>
      </c>
      <c r="K175" s="292">
        <f>I175*J175</f>
        <v>0</v>
      </c>
      <c r="L175" s="6"/>
    </row>
    <row r="176" spans="1:17" ht="17.45" hidden="1" customHeight="1">
      <c r="A176" s="628"/>
      <c r="B176" s="628"/>
      <c r="C176" s="628"/>
      <c r="D176" s="1037"/>
      <c r="E176" s="1037"/>
      <c r="F176" s="297">
        <v>4</v>
      </c>
      <c r="G176" s="424">
        <f>SUM(H153:I159)</f>
        <v>0</v>
      </c>
      <c r="H176" s="423">
        <f>ROUNDUP(IF(AND(DS_ELI_UnitLimit="Yes",ROUNDUP(H$169*N(Total_Units),0)&gt;DS_ELI_UnitLimit_Units,OR(DS_ELI_UnitLimit_Exception="No",DS_ELI_UnitLimit_Exception_Goal_Met="Does NOT meet"),Minimum_SetAside_per_Sec_42&lt;&gt;"Average Income Test"),IF(N(Total_Units)=0,0,DS_ELI_UnitLimit_Units*SUM($G$171:$G176)/N(Total_Units)),SUM($G$171:$G176)*H$169),0)-SUM(H$171:H175)</f>
        <v>0</v>
      </c>
      <c r="I176" s="423">
        <f>ROUNDUP(IF(AND(DS_ELI_UnitLimit="Yes",ROUNDUP(I$169*N(Total_Units),0)&gt;DS_ELI_UnitLimit_Units,OR(DS_ELI_UnitLimit_Exception="No",DS_ELI_UnitLimit_Exception_Goal_Met="Does NOT meet")),IF(N(Total_Units)=0,0,DS_ELI_UnitLimit_Units*SUM($G$171:$G176)/N(Total_Units)),SUM($G$171:$G176)*I$169),0)-SUM(I$171:I175)</f>
        <v>0</v>
      </c>
      <c r="J176" s="290">
        <f>IFERROR(VLOOKUP(County,DS_CountyData,7+F176),0)</f>
        <v>0</v>
      </c>
      <c r="K176" s="292">
        <f>I176*J176</f>
        <v>0</v>
      </c>
      <c r="L176" s="6"/>
    </row>
    <row r="177" spans="1:16" ht="5.0999999999999996" customHeight="1" thickBot="1">
      <c r="D177" s="6"/>
      <c r="E177" s="6"/>
      <c r="F177" s="308"/>
      <c r="G177" s="240"/>
      <c r="H177" s="240"/>
      <c r="I177" s="240"/>
      <c r="J177" s="289"/>
      <c r="K177" s="309"/>
      <c r="L177" s="6"/>
    </row>
    <row r="178" spans="1:16" ht="17.45" customHeight="1" thickTop="1">
      <c r="D178" s="10"/>
      <c r="E178" s="6"/>
      <c r="F178" s="298" t="s">
        <v>1157</v>
      </c>
      <c r="G178" s="422">
        <f>SUM(G172:G176)</f>
        <v>0</v>
      </c>
      <c r="H178" s="422">
        <f>SUM(H172:H176)</f>
        <v>0</v>
      </c>
      <c r="I178" s="422">
        <f>SUM(I172:I176)</f>
        <v>0</v>
      </c>
      <c r="J178" s="801"/>
      <c r="K178" s="299">
        <f>SUM(K172:K176)</f>
        <v>0</v>
      </c>
    </row>
    <row r="179" spans="1:16" ht="17.45" customHeight="1">
      <c r="E179" s="934"/>
      <c r="F179" s="3164" t="str">
        <f>IF(OR(AND(Funding!N59&gt;0,SUM(K172:K176)&gt;DS_ELI_PD),AND(Funding!N101&gt;0,Funding!O102&gt;0,SUM(K172:K176)&gt;DS_RRLP_ELI_PD)),"The funding tab will limit the request amount to the Per Development Limit of "&amp;TEXT(IF(Funding!N59&gt;0,DS_ELI_PD,IF(AND(Funding!N101&gt;0,Funding!O102&gt;0),DS_RRLP_ELI_PD,0)),"$#,##0")&amp;".",IF(AND(N($I$178)&gt;0,OR(AND(Minimum_SetAside_per_Sec_42=DS_FHFC_NonHC,DS_FHFC_NonHC_Table="AIT"),Minimum_SetAside_per_Sec_42="Average Income Test")),"The Proposed Development does not qualify for ELI funding.",""))</f>
        <v/>
      </c>
      <c r="G179" s="3164"/>
      <c r="H179" s="3164"/>
      <c r="I179" s="3164"/>
      <c r="J179" s="3164"/>
      <c r="K179" s="3164"/>
      <c r="L179" s="6"/>
      <c r="M179" s="50"/>
      <c r="N179" s="50"/>
      <c r="O179" s="50"/>
    </row>
    <row r="180" spans="1:16" ht="14.45" customHeight="1">
      <c r="A180" s="340" t="str" cm="1">
        <f t="array" ref="A180">CHAR(CODE(LOOKUP(2,1/(COUNTIF(A$3:A178,"&gt;"&amp;A$3:A178&amp;"*")=0),A$3:A178))+1)</f>
        <v>e</v>
      </c>
      <c r="B180" s="2975" t="s">
        <v>1162</v>
      </c>
      <c r="C180" s="2975"/>
      <c r="D180" s="2975"/>
      <c r="E180" s="2975"/>
      <c r="F180" s="2975"/>
      <c r="G180" s="2975"/>
      <c r="L180" s="6"/>
      <c r="M180" s="50"/>
      <c r="N180" s="50"/>
      <c r="O180" s="50"/>
    </row>
    <row r="181" spans="1:16" ht="17.45" customHeight="1">
      <c r="B181" s="934" t="s">
        <v>1163</v>
      </c>
      <c r="D181" s="934"/>
      <c r="E181" s="934"/>
      <c r="F181" s="934"/>
      <c r="G181" s="470"/>
      <c r="H181" s="917"/>
      <c r="I181" s="3190" t="str">
        <f>IF(Link_Classification=Data1!$A$16,"(Combination Applications must have
at least 2 residential buildings)","")</f>
        <v/>
      </c>
      <c r="J181" s="3190"/>
      <c r="K181" s="3190"/>
      <c r="L181" s="6"/>
      <c r="M181" s="1"/>
      <c r="N181" s="953">
        <v>1</v>
      </c>
      <c r="O181" s="931">
        <f>IF(AND(N181&lt;&gt;0,H181&lt;&gt;""),N181,0)</f>
        <v>0</v>
      </c>
      <c r="P181" s="905" t="str">
        <f>CHOOSE(N181+1,"Not to be included in this RFA","A REQUIRED input field for this RFA","An OPTIONAL input field for this RFA")</f>
        <v>A REQUIRED input field for this RFA</v>
      </c>
    </row>
    <row r="182" spans="1:16" ht="10.35" customHeight="1">
      <c r="L182" s="6"/>
    </row>
    <row r="183" spans="1:16">
      <c r="A183" s="340" t="str" cm="1">
        <f t="array" ref="A183">CHAR(CODE(LOOKUP(2,1/(COUNTIF(A$3:A182,"&gt;"&amp;A$3:A182&amp;"*")=0),A$3:A182))+1)</f>
        <v>f</v>
      </c>
      <c r="B183" s="87" t="s">
        <v>1164</v>
      </c>
      <c r="L183" s="6"/>
    </row>
    <row r="184" spans="1:16" ht="30" customHeight="1">
      <c r="B184" s="3158" t="str">
        <f>"All "&amp;IF(P184=0,"",IF(N196=0,"","Non-Self-Sourced "))&amp;"Applicants are required to set aside the units for this number of years, as further described in Section Four of the RFA"&amp;IF(Data1!B616&gt;Data1!B615,"*",".")</f>
        <v>All Applicants are required to set aside the units for this number of years, as further described in Section Four of the RFA*</v>
      </c>
      <c r="C184" s="3158"/>
      <c r="D184" s="3158"/>
      <c r="E184" s="3158"/>
      <c r="F184" s="3158"/>
      <c r="G184" s="3158"/>
      <c r="H184" s="3158"/>
      <c r="I184" s="3158"/>
      <c r="J184" s="3158"/>
      <c r="K184" s="973">
        <f>Data1!B609</f>
        <v>50</v>
      </c>
      <c r="L184" s="6"/>
      <c r="P184" s="1461">
        <v>0</v>
      </c>
    </row>
    <row r="185" spans="1:16" ht="10.35" customHeight="1">
      <c r="L185" s="6"/>
    </row>
    <row r="186" spans="1:16" ht="65.099999999999994" customHeight="1">
      <c r="B186" s="2806" t="s">
        <v>2781</v>
      </c>
      <c r="C186" s="2806"/>
      <c r="D186" s="2806"/>
      <c r="E186" s="2806"/>
      <c r="F186" s="2806"/>
      <c r="G186" s="2806"/>
      <c r="H186" s="2806"/>
      <c r="I186" s="2806"/>
      <c r="J186" s="2806"/>
      <c r="K186" s="1562" t="s">
        <v>59</v>
      </c>
      <c r="L186" s="2369"/>
      <c r="N186" s="2370">
        <v>1</v>
      </c>
      <c r="O186" s="2368">
        <f>IF(AND(N186&lt;&gt;0,H186&lt;&gt;""),N186,0)</f>
        <v>0</v>
      </c>
      <c r="P186" s="2367" t="str">
        <f>CHOOSE(N186+1,"Not to be included in this RFA","A REQUIRED input field for this RFA","An OPTIONAL input field for this RFA")</f>
        <v>A REQUIRED input field for this RFA</v>
      </c>
    </row>
    <row r="187" spans="1:16" ht="10.35" customHeight="1">
      <c r="L187" s="2369"/>
      <c r="P187" s="2402" t="s">
        <v>2653</v>
      </c>
    </row>
    <row r="188" spans="1:16" ht="50.1" customHeight="1">
      <c r="B188" s="2958" t="str">
        <f>IF(OR(Data1!B596="No",P188=0,Data1!B616=Data1!B615),"",IF(Data1!B616&gt;Data1!B615,"*Any ELI units being purchased with "&amp;Data1!B597&amp;" funding will have a commitment period of "&amp;TEXT(Data1!B610,"0")&amp;" years at which time the ELI AMI commitment can convert to 60% AMI. They remain Housing Credit units throughout the Compliance Period. "&amp;IF(AND(DS_ELI_UnitLimit="Yes",ROUNDUP(I169*Total_Units,0)&gt;DS_ELI_UnitLimit_Units),"This Application indicates "&amp;TEXT(I178,"0")&amp;" ELI units being purchased.",""),""))</f>
        <v xml:space="preserve">*Any ELI units being purchased with SAIL funding will have a commitment period of 15 years at which time the ELI AMI commitment can convert to 60% AMI. They remain Housing Credit units throughout the Compliance Period. </v>
      </c>
      <c r="C188" s="2958"/>
      <c r="D188" s="2958"/>
      <c r="E188" s="2958"/>
      <c r="F188" s="2958"/>
      <c r="G188" s="2958"/>
      <c r="H188" s="2958"/>
      <c r="I188" s="2958"/>
      <c r="J188" s="2958"/>
      <c r="K188" s="2958"/>
      <c r="L188" s="1807"/>
      <c r="P188" s="1821">
        <v>1</v>
      </c>
    </row>
    <row r="189" spans="1:16" ht="35.1" hidden="1" customHeight="1">
      <c r="B189" s="2958" t="str">
        <f>IF(OR(Funding!$N$214+SUM(Funding!$L$226:$L$230)=0,P189=0),"","*Any "&amp;TEXT(Data3!C160,"0%")&amp;IF(AND(Data3!C160&lt;&gt;Data3!C161,Data3!C160&lt;&gt;"&lt;select one&gt;",Data3!C161&lt;&gt;"&lt;select one&gt;")," and "&amp;TEXT(Data3!C161,"0%"),"")&amp;" AMI units being purchased with NHTF funding will have a commitment period of 30 years at which time these units can convert to 60% AMI. They remain Housing Credit units throughout the Compliance Period. ")</f>
        <v/>
      </c>
      <c r="C189" s="2958"/>
      <c r="D189" s="2958"/>
      <c r="E189" s="2958"/>
      <c r="F189" s="2958"/>
      <c r="G189" s="2958"/>
      <c r="H189" s="2958"/>
      <c r="I189" s="2958"/>
      <c r="J189" s="2958"/>
      <c r="K189" s="2958"/>
      <c r="L189" s="1929"/>
      <c r="P189" s="1937">
        <f>IF(Funding!$N$214+SUM(Funding!$L$226:$L$230)=0,0,1)</f>
        <v>0</v>
      </c>
    </row>
    <row r="190" spans="1:16" ht="10.35" hidden="1" customHeight="1">
      <c r="L190" s="2203"/>
    </row>
    <row r="191" spans="1:16" ht="14.45" hidden="1" customHeight="1">
      <c r="A191" s="340" t="str" cm="1">
        <f t="array" ref="A191">CHAR(CODE(LOOKUP(2,1/(COUNTIF(A$3:A190,"&gt;"&amp;A$3:A190&amp;"*")=0),A$3:A190))+1)</f>
        <v>g</v>
      </c>
      <c r="B191" s="87" t="s">
        <v>2564</v>
      </c>
      <c r="L191" s="2203"/>
      <c r="P191" s="313">
        <v>0</v>
      </c>
    </row>
    <row r="192" spans="1:16" ht="14.45" hidden="1" customHeight="1">
      <c r="B192" t="s">
        <v>2565</v>
      </c>
      <c r="L192" s="2203"/>
    </row>
    <row r="193" spans="2:17" ht="7.5" hidden="1" customHeight="1">
      <c r="L193" s="2203"/>
    </row>
    <row r="194" spans="2:17" ht="110.1" hidden="1" customHeight="1">
      <c r="B194" s="2943" t="s">
        <v>2810</v>
      </c>
      <c r="C194" s="2943"/>
      <c r="D194" s="2943"/>
      <c r="E194" s="2943"/>
      <c r="F194" s="2943"/>
      <c r="G194" s="2943"/>
      <c r="H194" s="2943"/>
      <c r="I194" s="2943"/>
      <c r="J194" s="2943"/>
      <c r="K194" s="2943"/>
      <c r="L194" s="2203"/>
    </row>
    <row r="195" spans="2:17" ht="10.35" hidden="1" customHeight="1">
      <c r="L195" s="2203"/>
    </row>
    <row r="196" spans="2:17" ht="30" hidden="1" customHeight="1">
      <c r="B196" s="2943" t="s">
        <v>1165</v>
      </c>
      <c r="C196" s="2943"/>
      <c r="D196" s="2943"/>
      <c r="E196" s="2943"/>
      <c r="F196" s="2943"/>
      <c r="G196" s="2943"/>
      <c r="H196" s="2943"/>
      <c r="I196" s="2943"/>
      <c r="J196" s="2943"/>
      <c r="K196" s="1458"/>
      <c r="L196" s="6"/>
      <c r="N196" s="929">
        <f>IF('General Information'!K67=0,0,IF(AND(Self_Sourced_Applicant="Yes",Q196=1),1,Q196))</f>
        <v>0</v>
      </c>
      <c r="O196" s="1444">
        <f>IF(AND(N196&lt;&gt;0,AND(C196&lt;&gt;"&lt;select one&gt;",C196&lt;&gt;"")),N196,0)</f>
        <v>0</v>
      </c>
      <c r="P196" s="1443" t="str">
        <f>CHOOSE(N196+1,"Not to be included in this RFA","A REQUIRED input field for this RFA","An OPTIONAL input field for this RFA","Input is not tracked")</f>
        <v>Not to be included in this RFA</v>
      </c>
      <c r="Q196" s="1446">
        <v>0</v>
      </c>
    </row>
    <row r="197" spans="2:17" ht="30" hidden="1" customHeight="1">
      <c r="B197" s="954"/>
      <c r="C197" s="2749" t="str">
        <f>IF(N196=0,"",IF(AND(Self_Sourced_Applicant&lt;&gt;"Yes",'Units, Set-Asides, Bldgs'!$K196&lt;&gt;""),"The Applicant did not indicate it was a Self-Sourced Applicant.",IF(AND(Self_Sourced_Applicant="Yes",'Units, Set-Asides, Bldgs'!$K196=""),"Without a response to indicate otherwise, the Self-Sourced Applicant is electing the miniumum Compliance Period of 15 years.","")))</f>
        <v/>
      </c>
      <c r="D197" s="2749"/>
      <c r="E197" s="2749"/>
      <c r="F197" s="2749"/>
      <c r="G197" s="2749"/>
      <c r="H197" s="2749"/>
      <c r="I197" s="2749"/>
      <c r="J197" s="2749"/>
      <c r="K197" s="2749"/>
    </row>
    <row r="198" spans="2:17" ht="30" hidden="1" customHeight="1">
      <c r="B198" s="2943" t="s">
        <v>1166</v>
      </c>
      <c r="C198" s="2943"/>
      <c r="D198" s="2943"/>
      <c r="E198" s="2943"/>
      <c r="F198" s="2943"/>
      <c r="G198" s="2943"/>
      <c r="H198" s="2943"/>
      <c r="I198" s="2943"/>
      <c r="J198" s="2943"/>
      <c r="K198" s="882" t="str">
        <f>IF(Self_Sourced_Applicant&lt;&gt;"Yes","NA",IF(SS_Compliance_Period&gt;=50,4,IF(SS_Compliance_Period&gt;=40,3,IF(SS_Compliance_Period&gt;=30,2,IF(SS_Compliance_Period&gt;=20,1,0)))))</f>
        <v>NA</v>
      </c>
      <c r="N198" s="24"/>
    </row>
    <row r="199" spans="2:17" ht="10.35" hidden="1" customHeight="1"/>
    <row r="200" spans="2:17" ht="35.1" hidden="1" customHeight="1">
      <c r="B200" s="1460" t="s">
        <v>945</v>
      </c>
      <c r="C200" s="3158" t="s">
        <v>2099</v>
      </c>
      <c r="D200" s="3158"/>
      <c r="E200" s="3158"/>
      <c r="F200" s="3158"/>
      <c r="G200" s="3158"/>
      <c r="H200" s="3158"/>
      <c r="I200" s="3158"/>
      <c r="J200" s="3158"/>
      <c r="K200" s="980" t="s">
        <v>59</v>
      </c>
      <c r="N200" s="1445">
        <f>IF('General Information'!K67=0,0,IF(Self_Sourced_Applicant="Yes",1,3))</f>
        <v>0</v>
      </c>
      <c r="O200" s="1444">
        <f>IF(AND(N200&lt;&gt;0,H200&lt;&gt;""),N200,0)</f>
        <v>0</v>
      </c>
      <c r="P200" s="1443" t="str">
        <f>CHOOSE(N200+1,"Not to be included in this RFA","A REQUIRED input field for this RFA","An OPTIONAL input field for this RFA","Input is not tracked")</f>
        <v>Not to be included in this RFA</v>
      </c>
    </row>
    <row r="201" spans="2:17" ht="10.35" customHeight="1">
      <c r="C201" s="484"/>
      <c r="D201" s="484"/>
      <c r="E201" s="484"/>
      <c r="F201" s="484"/>
      <c r="G201" s="484"/>
      <c r="H201" s="484"/>
      <c r="I201" s="484"/>
      <c r="J201" s="484"/>
    </row>
  </sheetData>
  <sheetProtection algorithmName="SHA-512" hashValue="bMZ2AFh9fY0zTOgdshaCvbkXcOP9+A6zYwQ92PMv8gHxGjSWKNmLB5mN5rWEIqEwzs4AUK7rydg9Kh7OWl4KzA==" saltValue="WovKJT4u0khCDIDSGEtgVg==" spinCount="100000" sheet="1" formatRows="0" selectLockedCells="1"/>
  <mergeCells count="175">
    <mergeCell ref="B138:J138"/>
    <mergeCell ref="G126:H126"/>
    <mergeCell ref="J141:J142"/>
    <mergeCell ref="F145:G145"/>
    <mergeCell ref="H144:I144"/>
    <mergeCell ref="F155:G155"/>
    <mergeCell ref="H146:I146"/>
    <mergeCell ref="H156:I156"/>
    <mergeCell ref="H149:I149"/>
    <mergeCell ref="H141:I142"/>
    <mergeCell ref="F146:G146"/>
    <mergeCell ref="H143:I143"/>
    <mergeCell ref="F149:G149"/>
    <mergeCell ref="H147:I147"/>
    <mergeCell ref="H154:I154"/>
    <mergeCell ref="H150:I150"/>
    <mergeCell ref="F152:G152"/>
    <mergeCell ref="H155:I155"/>
    <mergeCell ref="F156:G156"/>
    <mergeCell ref="G129:H129"/>
    <mergeCell ref="G132:H132"/>
    <mergeCell ref="G127:H127"/>
    <mergeCell ref="G131:H131"/>
    <mergeCell ref="G125:H125"/>
    <mergeCell ref="D97:K97"/>
    <mergeCell ref="J104:J112"/>
    <mergeCell ref="G105:H105"/>
    <mergeCell ref="G114:H114"/>
    <mergeCell ref="G92:H92"/>
    <mergeCell ref="G93:H93"/>
    <mergeCell ref="G124:H124"/>
    <mergeCell ref="G107:H107"/>
    <mergeCell ref="J120:J132"/>
    <mergeCell ref="D99:J99"/>
    <mergeCell ref="G103:H103"/>
    <mergeCell ref="G104:H104"/>
    <mergeCell ref="G115:H115"/>
    <mergeCell ref="G113:H113"/>
    <mergeCell ref="D96:K96"/>
    <mergeCell ref="G110:H110"/>
    <mergeCell ref="G111:H111"/>
    <mergeCell ref="G112:H112"/>
    <mergeCell ref="G128:H128"/>
    <mergeCell ref="H160:I160"/>
    <mergeCell ref="F158:G158"/>
    <mergeCell ref="B196:J196"/>
    <mergeCell ref="B188:K188"/>
    <mergeCell ref="B184:J184"/>
    <mergeCell ref="B194:K194"/>
    <mergeCell ref="B186:J186"/>
    <mergeCell ref="I181:K181"/>
    <mergeCell ref="F160:G160"/>
    <mergeCell ref="B180:G180"/>
    <mergeCell ref="B189:K189"/>
    <mergeCell ref="F159:G159"/>
    <mergeCell ref="N141:Q142"/>
    <mergeCell ref="N172:Q174"/>
    <mergeCell ref="F167:K167"/>
    <mergeCell ref="D162:K162"/>
    <mergeCell ref="D163:K163"/>
    <mergeCell ref="D164:K164"/>
    <mergeCell ref="D165:K165"/>
    <mergeCell ref="D166:K166"/>
    <mergeCell ref="H158:I158"/>
    <mergeCell ref="H152:I152"/>
    <mergeCell ref="F153:G153"/>
    <mergeCell ref="H153:I153"/>
    <mergeCell ref="H148:I148"/>
    <mergeCell ref="F151:G151"/>
    <mergeCell ref="F147:G147"/>
    <mergeCell ref="F143:G143"/>
    <mergeCell ref="F144:G144"/>
    <mergeCell ref="H145:I145"/>
    <mergeCell ref="F148:G148"/>
    <mergeCell ref="H157:I157"/>
    <mergeCell ref="H151:I151"/>
    <mergeCell ref="H159:I159"/>
    <mergeCell ref="F150:G150"/>
    <mergeCell ref="F154:G154"/>
    <mergeCell ref="C7:J7"/>
    <mergeCell ref="C19:K19"/>
    <mergeCell ref="D52:E63"/>
    <mergeCell ref="D49:K49"/>
    <mergeCell ref="M1:AF2"/>
    <mergeCell ref="L51:U51"/>
    <mergeCell ref="C200:J200"/>
    <mergeCell ref="F157:G157"/>
    <mergeCell ref="J145:J147"/>
    <mergeCell ref="D117:J117"/>
    <mergeCell ref="G123:H123"/>
    <mergeCell ref="F179:K179"/>
    <mergeCell ref="J148:J152"/>
    <mergeCell ref="D137:K137"/>
    <mergeCell ref="C197:K197"/>
    <mergeCell ref="B198:J198"/>
    <mergeCell ref="G133:H133"/>
    <mergeCell ref="G134:H134"/>
    <mergeCell ref="G130:H130"/>
    <mergeCell ref="F141:G142"/>
    <mergeCell ref="G135:H135"/>
    <mergeCell ref="G119:H119"/>
    <mergeCell ref="G120:H120"/>
    <mergeCell ref="J153:J159"/>
    <mergeCell ref="A1:K1"/>
    <mergeCell ref="G82:H82"/>
    <mergeCell ref="G61:H61"/>
    <mergeCell ref="G60:H60"/>
    <mergeCell ref="G81:H81"/>
    <mergeCell ref="D76:J76"/>
    <mergeCell ref="G78:H78"/>
    <mergeCell ref="C37:K37"/>
    <mergeCell ref="C26:K26"/>
    <mergeCell ref="B30:J30"/>
    <mergeCell ref="J79:J83"/>
    <mergeCell ref="B3:J3"/>
    <mergeCell ref="G83:H83"/>
    <mergeCell ref="G67:H67"/>
    <mergeCell ref="G79:H79"/>
    <mergeCell ref="G51:H51"/>
    <mergeCell ref="C4:K4"/>
    <mergeCell ref="B28:J28"/>
    <mergeCell ref="G63:H63"/>
    <mergeCell ref="B6:J6"/>
    <mergeCell ref="G57:H57"/>
    <mergeCell ref="J52:J60"/>
    <mergeCell ref="G58:H58"/>
    <mergeCell ref="G53:H53"/>
    <mergeCell ref="Q72:Q74"/>
    <mergeCell ref="G85:H85"/>
    <mergeCell ref="G59:H59"/>
    <mergeCell ref="N36:S36"/>
    <mergeCell ref="G87:H87"/>
    <mergeCell ref="G56:H56"/>
    <mergeCell ref="G68:H68"/>
    <mergeCell ref="G86:H86"/>
    <mergeCell ref="G65:H65"/>
    <mergeCell ref="G55:H55"/>
    <mergeCell ref="G54:H54"/>
    <mergeCell ref="G84:H84"/>
    <mergeCell ref="P70:P71"/>
    <mergeCell ref="L78:X78"/>
    <mergeCell ref="D70:K74"/>
    <mergeCell ref="G66:H66"/>
    <mergeCell ref="G80:H80"/>
    <mergeCell ref="C40:K40"/>
    <mergeCell ref="C42:K42"/>
    <mergeCell ref="G64:H64"/>
    <mergeCell ref="G62:H62"/>
    <mergeCell ref="O83:Q85"/>
    <mergeCell ref="C10:J10"/>
    <mergeCell ref="C12:J12"/>
    <mergeCell ref="C13:K13"/>
    <mergeCell ref="C15:K15"/>
    <mergeCell ref="C16:J16"/>
    <mergeCell ref="C18:J18"/>
    <mergeCell ref="J36:K36"/>
    <mergeCell ref="C45:K45"/>
    <mergeCell ref="G52:H52"/>
    <mergeCell ref="D23:K23"/>
    <mergeCell ref="J21:K21"/>
    <mergeCell ref="B25:J25"/>
    <mergeCell ref="B32:K32"/>
    <mergeCell ref="M117:O117"/>
    <mergeCell ref="G106:H106"/>
    <mergeCell ref="G88:H88"/>
    <mergeCell ref="G122:H122"/>
    <mergeCell ref="P92:P93"/>
    <mergeCell ref="L119:X119"/>
    <mergeCell ref="G90:H90"/>
    <mergeCell ref="G89:H89"/>
    <mergeCell ref="G121:H121"/>
    <mergeCell ref="G108:H108"/>
    <mergeCell ref="G109:H109"/>
    <mergeCell ref="G91:H91"/>
    <mergeCell ref="E101:J101"/>
  </mergeCells>
  <conditionalFormatting sqref="K28 G52:H53 F79:F90 G120:H132 H143:I159 H181 K196 G55:H65 G54">
    <cfRule type="cellIs" dxfId="781" priority="304" operator="notEqual">
      <formula>""</formula>
    </cfRule>
  </conditionalFormatting>
  <conditionalFormatting sqref="D70">
    <cfRule type="expression" dxfId="780" priority="238">
      <formula>IFERROR(FIND("Attention:",$D$70),0)&gt;0</formula>
    </cfRule>
  </conditionalFormatting>
  <conditionalFormatting sqref="H160:I160">
    <cfRule type="cellIs" dxfId="779" priority="346" operator="notEqual">
      <formula>Total_Units</formula>
    </cfRule>
  </conditionalFormatting>
  <conditionalFormatting sqref="J160">
    <cfRule type="cellIs" dxfId="778" priority="350" operator="notEqual">
      <formula>$H$178</formula>
    </cfRule>
  </conditionalFormatting>
  <conditionalFormatting sqref="I169:K178">
    <cfRule type="expression" dxfId="777" priority="379">
      <formula>$I$169=0</formula>
    </cfRule>
  </conditionalFormatting>
  <conditionalFormatting sqref="A25:K27 A29:K29">
    <cfRule type="expression" dxfId="776" priority="201">
      <formula>$N$26=0</formula>
    </cfRule>
  </conditionalFormatting>
  <conditionalFormatting sqref="A30:K31">
    <cfRule type="expression" dxfId="775" priority="214">
      <formula>$P$30=0</formula>
    </cfRule>
  </conditionalFormatting>
  <conditionalFormatting sqref="B37:K39 B36:J36">
    <cfRule type="expression" dxfId="774" priority="216">
      <formula>$N$37=0</formula>
    </cfRule>
  </conditionalFormatting>
  <conditionalFormatting sqref="L142">
    <cfRule type="expression" dxfId="773" priority="274">
      <formula>LEFT(RIGHT(L142,28),3)="NOT"</formula>
    </cfRule>
  </conditionalFormatting>
  <conditionalFormatting sqref="D163:D166">
    <cfRule type="expression" dxfId="772" priority="372">
      <formula>LEFT(RIGHT(D163,28),3)="NOT"</formula>
    </cfRule>
  </conditionalFormatting>
  <conditionalFormatting sqref="H148:I159">
    <cfRule type="expression" dxfId="771" priority="331">
      <formula>AND(LEFT(RIGHT($D$166,28),3)="NOT",$H148&gt;0)</formula>
    </cfRule>
  </conditionalFormatting>
  <conditionalFormatting sqref="H143:I144">
    <cfRule type="expression" dxfId="770" priority="324">
      <formula>AND(LEFT(RIGHT($L143,28),3)="NOT",$H143&gt;0)</formula>
    </cfRule>
  </conditionalFormatting>
  <conditionalFormatting sqref="C26:K26 C37:K37">
    <cfRule type="cellIs" dxfId="769" priority="206" operator="equal">
      <formula>""</formula>
    </cfRule>
  </conditionalFormatting>
  <conditionalFormatting sqref="A168:K179">
    <cfRule type="expression" dxfId="768" priority="378">
      <formula>$P$169=0</formula>
    </cfRule>
  </conditionalFormatting>
  <conditionalFormatting sqref="J141:J160">
    <cfRule type="expression" dxfId="767" priority="321">
      <formula>$P$169=0</formula>
    </cfRule>
  </conditionalFormatting>
  <conditionalFormatting sqref="I170:I178">
    <cfRule type="expression" dxfId="766" priority="391">
      <formula>$I$169=0</formula>
    </cfRule>
  </conditionalFormatting>
  <conditionalFormatting sqref="J170:K178">
    <cfRule type="expression" dxfId="765" priority="393">
      <formula>$I$169=0</formula>
    </cfRule>
  </conditionalFormatting>
  <conditionalFormatting sqref="C26:K26">
    <cfRule type="expression" dxfId="764" priority="204">
      <formula>AND(Development_Category&lt;&gt;"Rehabilitation",Development_Category&lt;&gt;"Acquisition and Rehabilitation",Development_Category&lt;&gt;"Preservation",Development_Category&lt;&gt;"Acquisition and Preservation",Development_Category&lt;&gt;"&lt;select one&gt;")</formula>
    </cfRule>
    <cfRule type="expression" dxfId="763" priority="205"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I60 F60">
    <cfRule type="expression" dxfId="762" priority="233">
      <formula>LEFT($C$37,3)="20%"</formula>
    </cfRule>
  </conditionalFormatting>
  <conditionalFormatting sqref="D137">
    <cfRule type="expression" dxfId="761" priority="299">
      <formula>IFERROR(FIND(" NOT ",$D$137),0)&gt;0</formula>
    </cfRule>
  </conditionalFormatting>
  <conditionalFormatting sqref="D96">
    <cfRule type="expression" dxfId="760" priority="269">
      <formula>IFERROR(FIND("NOT",$D$96),0)&gt;0</formula>
    </cfRule>
    <cfRule type="expression" dxfId="759" priority="272">
      <formula>IFERROR(FIND("Attention",$D$96),0)&gt;0</formula>
    </cfRule>
  </conditionalFormatting>
  <conditionalFormatting sqref="B117:K137">
    <cfRule type="expression" dxfId="758" priority="248">
      <formula>$P$117=0</formula>
    </cfRule>
  </conditionalFormatting>
  <conditionalFormatting sqref="I112">
    <cfRule type="expression" dxfId="757" priority="280">
      <formula>LEFT($C$37,3)="20%"</formula>
    </cfRule>
  </conditionalFormatting>
  <conditionalFormatting sqref="B99:K100 B101:D101 B102:K116">
    <cfRule type="expression" dxfId="756" priority="277">
      <formula>$P$99=0</formula>
    </cfRule>
  </conditionalFormatting>
  <conditionalFormatting sqref="F111:H112">
    <cfRule type="cellIs" dxfId="755" priority="279" operator="equal">
      <formula>""</formula>
    </cfRule>
  </conditionalFormatting>
  <conditionalFormatting sqref="L78">
    <cfRule type="expression" dxfId="754" priority="229">
      <formula>AND(Minimum_SetAside_per_Sec_42&lt;&gt;"&lt;select one&gt;",Minimum_SetAside_per_Sec_42&lt;&gt;"",Minimum_SetAside_per_Sec_42&lt;&gt;"Average Income Test",$F93&gt;0)</formula>
    </cfRule>
    <cfRule type="expression" dxfId="753" priority="251">
      <formula>AND(Minimum_SetAside_per_Sec_42="Average Income Test",$F93&gt;0)</formula>
    </cfRule>
  </conditionalFormatting>
  <conditionalFormatting sqref="I120:I132">
    <cfRule type="expression" dxfId="752" priority="295">
      <formula>OR(AND($C$37&lt;&gt;"Average Income Test",$I120&lt;VLOOKUP(County,DS_CountyData,14)),AND($C$37="Average Income Test",$I120&lt;30%),$I120&gt;IF(DS_Gap_AMI_Auto_YN="No",DS_Gap_AMI_Max,DS_Gap_AMI_Auto))</formula>
    </cfRule>
  </conditionalFormatting>
  <conditionalFormatting sqref="F120:H132">
    <cfRule type="expression" dxfId="751" priority="283">
      <formula>AND($P$117&gt;0,$I120&gt;IF(AND(DS_Gap_AMI_Auto_YN="Yes",Minimum_SetAside_per_Sec_42="Average Income Test"),DS_Gap_AMI_Auto,DS_Gap_AMI_Max))</formula>
    </cfRule>
  </conditionalFormatting>
  <conditionalFormatting sqref="G129:H130 G132:H132 G131">
    <cfRule type="expression" dxfId="750" priority="296">
      <formula>AND(N(G129)&gt;0,$I129&gt;IF(DS_Gap_AMI_Auto_YN="No",DS_Gap_AMI_Max,DS_Gap_AMI_Auto))</formula>
    </cfRule>
  </conditionalFormatting>
  <conditionalFormatting sqref="B35:K35">
    <cfRule type="expression" dxfId="749" priority="215">
      <formula>AND($N$37=1,RIGHT(Excel_RFA_Number,3)&lt;&gt;"104")</formula>
    </cfRule>
  </conditionalFormatting>
  <conditionalFormatting sqref="B49:K75">
    <cfRule type="expression" dxfId="748" priority="9">
      <formula>$P$49=0</formula>
    </cfRule>
  </conditionalFormatting>
  <conditionalFormatting sqref="A25:K26">
    <cfRule type="expression" dxfId="747" priority="199">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C197:K197">
    <cfRule type="cellIs" dxfId="746" priority="2157" operator="notEqual">
      <formula>""</formula>
    </cfRule>
  </conditionalFormatting>
  <conditionalFormatting sqref="A196:K199">
    <cfRule type="expression" dxfId="745" priority="564">
      <formula>$N$196=0</formula>
    </cfRule>
  </conditionalFormatting>
  <conditionalFormatting sqref="D70">
    <cfRule type="expression" dxfId="744" priority="237">
      <formula>IFERROR(FIND(" NOT ",$D$70),0)&gt;0</formula>
    </cfRule>
  </conditionalFormatting>
  <conditionalFormatting sqref="D137:K137">
    <cfRule type="expression" dxfId="743" priority="301">
      <formula>IFERROR(FIND("Attention:",$D$137),0)&gt;0</formula>
    </cfRule>
  </conditionalFormatting>
  <conditionalFormatting sqref="D162">
    <cfRule type="expression" dxfId="742" priority="356">
      <formula>LEFT(D162,9)="Attention"</formula>
    </cfRule>
  </conditionalFormatting>
  <conditionalFormatting sqref="D70 D96 D137 D163:D166">
    <cfRule type="cellIs" dxfId="741" priority="247" operator="equal">
      <formula>"This area intentionally left blank."</formula>
    </cfRule>
  </conditionalFormatting>
  <conditionalFormatting sqref="F148:J152">
    <cfRule type="expression" dxfId="740" priority="325">
      <formula>$P$147=0</formula>
    </cfRule>
  </conditionalFormatting>
  <conditionalFormatting sqref="F148:I152">
    <cfRule type="expression" dxfId="739" priority="326">
      <formula>$N148=0</formula>
    </cfRule>
  </conditionalFormatting>
  <conditionalFormatting sqref="F153:J159">
    <cfRule type="expression" dxfId="738" priority="339">
      <formula>$P$155=0</formula>
    </cfRule>
  </conditionalFormatting>
  <conditionalFormatting sqref="F153:I154">
    <cfRule type="expression" dxfId="737" priority="333">
      <formula>$N153=0</formula>
    </cfRule>
  </conditionalFormatting>
  <conditionalFormatting sqref="H148:I149 H153:I154">
    <cfRule type="expression" dxfId="736" priority="327">
      <formula>AND(N($H148)&gt;0,$N148=0)</formula>
    </cfRule>
  </conditionalFormatting>
  <conditionalFormatting sqref="L119">
    <cfRule type="expression" dxfId="735" priority="254">
      <formula>AND(Minimum_SetAside_per_Sec_42="Average Income Test",$G134=0)</formula>
    </cfRule>
    <cfRule type="expression" dxfId="734" priority="273">
      <formula>AND(Minimum_SetAside_per_Sec_42="Average Income Test",$G134&gt;0)</formula>
    </cfRule>
  </conditionalFormatting>
  <conditionalFormatting sqref="A28:K29">
    <cfRule type="expression" dxfId="733" priority="210">
      <formula>$P$28=0</formula>
    </cfRule>
  </conditionalFormatting>
  <conditionalFormatting sqref="A28:K28">
    <cfRule type="expression" dxfId="732" priority="213">
      <formula>AND(Development_Category&lt;&gt;"Rehabilitation",Development_Category&lt;&gt;"Acquisition and Rehabilitation")</formula>
    </cfRule>
  </conditionalFormatting>
  <conditionalFormatting sqref="A48:K48 A47 C47:K47">
    <cfRule type="expression" dxfId="731" priority="218">
      <formula>RIGHT(Excel_RFA_Number,3)="104"</formula>
    </cfRule>
  </conditionalFormatting>
  <conditionalFormatting sqref="K200">
    <cfRule type="expression" dxfId="730" priority="2323">
      <formula>AND(Self_Sourced_Applicant&lt;&gt;"Yes",$K$200&lt;&gt;"&lt;select one&gt;")</formula>
    </cfRule>
    <cfRule type="expression" dxfId="729" priority="2412">
      <formula>AND(Self_Sourced_Applicant&lt;&gt;"Yes",$K$200="&lt;select one&gt;")</formula>
    </cfRule>
    <cfRule type="cellIs" dxfId="728" priority="4327" operator="notEqual">
      <formula>"&lt;select one&gt;"</formula>
    </cfRule>
  </conditionalFormatting>
  <conditionalFormatting sqref="A200:C200 K200">
    <cfRule type="expression" dxfId="727" priority="18">
      <formula>$N$200=0</formula>
    </cfRule>
  </conditionalFormatting>
  <conditionalFormatting sqref="K200">
    <cfRule type="cellIs" dxfId="726" priority="2436" operator="equal">
      <formula>""</formula>
    </cfRule>
  </conditionalFormatting>
  <conditionalFormatting sqref="B200:J200">
    <cfRule type="expression" dxfId="725" priority="2312">
      <formula>Self_Sourced_Applicant&lt;&gt;"Yes"</formula>
    </cfRule>
  </conditionalFormatting>
  <conditionalFormatting sqref="J84:J85">
    <cfRule type="expression" dxfId="724" priority="256">
      <formula>OR($P$74=1,$P$74=3)</formula>
    </cfRule>
  </conditionalFormatting>
  <conditionalFormatting sqref="K86:K90">
    <cfRule type="expression" dxfId="723" priority="117">
      <formula>OR($P$74=1,$P86=0)</formula>
    </cfRule>
  </conditionalFormatting>
  <conditionalFormatting sqref="K51:K68">
    <cfRule type="expression" dxfId="722" priority="80">
      <formula>$D$52=""</formula>
    </cfRule>
  </conditionalFormatting>
  <conditionalFormatting sqref="F61:K66">
    <cfRule type="expression" dxfId="721" priority="138">
      <formula>$P61=0</formula>
    </cfRule>
  </conditionalFormatting>
  <conditionalFormatting sqref="B47">
    <cfRule type="expression" dxfId="720" priority="152">
      <formula>RIGHT(Excel_RFA_Number,3)="104"</formula>
    </cfRule>
  </conditionalFormatting>
  <conditionalFormatting sqref="A33:K33 A32:B32">
    <cfRule type="expression" dxfId="719" priority="149">
      <formula>$P$32=0</formula>
    </cfRule>
  </conditionalFormatting>
  <conditionalFormatting sqref="B40:K43">
    <cfRule type="expression" dxfId="718" priority="146">
      <formula>$P$42=0</formula>
    </cfRule>
  </conditionalFormatting>
  <conditionalFormatting sqref="A188:K188">
    <cfRule type="expression" dxfId="717" priority="145">
      <formula>$P188=0</formula>
    </cfRule>
  </conditionalFormatting>
  <conditionalFormatting sqref="J84">
    <cfRule type="expression" dxfId="716" priority="222">
      <formula>AND($P$74=2,RIGHT(Excel_RFA_Number,3)&lt;&gt;"215")</formula>
    </cfRule>
  </conditionalFormatting>
  <conditionalFormatting sqref="F66">
    <cfRule type="cellIs" dxfId="715" priority="155" operator="lessThan">
      <formula>0</formula>
    </cfRule>
  </conditionalFormatting>
  <conditionalFormatting sqref="F67:F68">
    <cfRule type="cellIs" dxfId="714" priority="154" operator="greaterThan">
      <formula>Total_Units</formula>
    </cfRule>
  </conditionalFormatting>
  <conditionalFormatting sqref="F92">
    <cfRule type="cellIs" dxfId="713" priority="14" operator="greaterThan">
      <formula>Total_Units</formula>
    </cfRule>
  </conditionalFormatting>
  <conditionalFormatting sqref="F61:J65">
    <cfRule type="expression" dxfId="712" priority="87">
      <formula>$J61="NA"</formula>
    </cfRule>
    <cfRule type="expression" dxfId="711" priority="182">
      <formula>$P$72=0</formula>
    </cfRule>
    <cfRule type="expression" dxfId="710" priority="183">
      <formula>$P$74=1</formula>
    </cfRule>
  </conditionalFormatting>
  <conditionalFormatting sqref="B86:J90">
    <cfRule type="expression" dxfId="709" priority="12">
      <formula>$P$74=1</formula>
    </cfRule>
    <cfRule type="expression" dxfId="708" priority="13">
      <formula>$P86=0</formula>
    </cfRule>
  </conditionalFormatting>
  <conditionalFormatting sqref="G68:H68 K68">
    <cfRule type="cellIs" dxfId="707" priority="137" operator="greaterThan">
      <formula>1</formula>
    </cfRule>
  </conditionalFormatting>
  <conditionalFormatting sqref="H169:I169">
    <cfRule type="expression" dxfId="706" priority="83">
      <formula>LEN(TEXT(H169,"@"))&gt;6</formula>
    </cfRule>
    <cfRule type="expression" dxfId="705" priority="84">
      <formula>LEN(TEXT(H169,"@"))=6</formula>
    </cfRule>
    <cfRule type="expression" dxfId="704" priority="85">
      <formula>LEN(TEXT(H169,"@"))=5</formula>
    </cfRule>
    <cfRule type="expression" dxfId="703" priority="86">
      <formula>LEN(TEXT(H169,"@"))=4</formula>
    </cfRule>
  </conditionalFormatting>
  <conditionalFormatting sqref="F129:I132">
    <cfRule type="expression" dxfId="702" priority="7">
      <formula>$P129=0</formula>
    </cfRule>
  </conditionalFormatting>
  <conditionalFormatting sqref="F61:F65">
    <cfRule type="expression" dxfId="701" priority="185">
      <formula>AND($J61="NA",N(F61)=0)</formula>
    </cfRule>
  </conditionalFormatting>
  <conditionalFormatting sqref="A20:K24">
    <cfRule type="expression" dxfId="700" priority="63">
      <formula>$P$20=0</formula>
    </cfRule>
  </conditionalFormatting>
  <conditionalFormatting sqref="B44:K46">
    <cfRule type="expression" dxfId="699" priority="72">
      <formula>$P$44=0</formula>
    </cfRule>
  </conditionalFormatting>
  <conditionalFormatting sqref="C26:K26 C37:K37 C45:K45">
    <cfRule type="cellIs" dxfId="698" priority="209" operator="notEqual">
      <formula>"&lt;select one&gt;"</formula>
    </cfRule>
  </conditionalFormatting>
  <conditionalFormatting sqref="P28 P30 P32 P35 P42 P44 P49 P61:P66 P76 P86:P90 P99 P117 P129:P132 P147 P155 P169 P184 P188 P191">
    <cfRule type="cellIs" dxfId="697" priority="219" operator="equal">
      <formula>0</formula>
    </cfRule>
  </conditionalFormatting>
  <conditionalFormatting sqref="A3:K5 A8:K19 A7:B7 A6">
    <cfRule type="expression" dxfId="696" priority="51">
      <formula>$N$3=0</formula>
    </cfRule>
  </conditionalFormatting>
  <conditionalFormatting sqref="C4:K5 C8:K8">
    <cfRule type="expression" dxfId="695" priority="74">
      <formula>OR(IFERROR(FIND("validation",$C4),0)&gt;0,IFERROR(FIND("cannot",$C4),0)&gt;0,IFERROR(FIND("NOT met",$C4),0)&gt;0)</formula>
    </cfRule>
  </conditionalFormatting>
  <conditionalFormatting sqref="C4:C5 C8">
    <cfRule type="expression" dxfId="694" priority="68">
      <formula>OR(IFERROR(FIND("Attention",$C4),0)&gt;0,IFERROR(FIND("NOT met",$C4),0)&gt;0,IFERROR(FIND("do not",$C4),0)&gt;0)</formula>
    </cfRule>
  </conditionalFormatting>
  <conditionalFormatting sqref="C10:K19">
    <cfRule type="expression" dxfId="693" priority="59">
      <formula>$N$18=3</formula>
    </cfRule>
  </conditionalFormatting>
  <conditionalFormatting sqref="A9:K19">
    <cfRule type="expression" dxfId="692" priority="57">
      <formula>$N$18=0</formula>
    </cfRule>
  </conditionalFormatting>
  <conditionalFormatting sqref="K3 K10 K12 K16 K18">
    <cfRule type="cellIs" dxfId="691" priority="66" operator="notEqual">
      <formula>""</formula>
    </cfRule>
  </conditionalFormatting>
  <conditionalFormatting sqref="C13:K13 C19:K19">
    <cfRule type="expression" dxfId="690" priority="47">
      <formula>OR(IFERROR(FIND("must have an entry",$C13),0)&gt;0,IFERROR(FIND("cannot",$C13),0)&gt;0)</formula>
    </cfRule>
  </conditionalFormatting>
  <conditionalFormatting sqref="A189:K190">
    <cfRule type="expression" dxfId="689" priority="43">
      <formula>$P$189=0</formula>
    </cfRule>
  </conditionalFormatting>
  <conditionalFormatting sqref="A191:K195">
    <cfRule type="expression" dxfId="688" priority="42">
      <formula>$P$191=0</formula>
    </cfRule>
  </conditionalFormatting>
  <conditionalFormatting sqref="K6">
    <cfRule type="expression" dxfId="687" priority="31">
      <formula>$N$3=0</formula>
    </cfRule>
  </conditionalFormatting>
  <conditionalFormatting sqref="K6">
    <cfRule type="expression" dxfId="686" priority="33">
      <formula>OR(IFERROR(FIND("validation",$C6),0)&gt;0,IFERROR(FIND("cannot",$C6),0)&gt;0,IFERROR(FIND("NOT met",$C6),0)&gt;0)</formula>
    </cfRule>
  </conditionalFormatting>
  <conditionalFormatting sqref="K6">
    <cfRule type="expression" dxfId="685" priority="26">
      <formula>AND($N$6&gt;0,$K$6&lt;IF(County_Size="Small",240,IF(County_Size="Medium",320,IF(County_Size="Large",400,0))))</formula>
    </cfRule>
    <cfRule type="cellIs" dxfId="684" priority="30" operator="notEqual">
      <formula>""</formula>
    </cfRule>
  </conditionalFormatting>
  <conditionalFormatting sqref="C7">
    <cfRule type="expression" dxfId="683" priority="27">
      <formula>$N$3=0</formula>
    </cfRule>
  </conditionalFormatting>
  <conditionalFormatting sqref="C7">
    <cfRule type="expression" dxfId="682" priority="29">
      <formula>OR(IFERROR(FIND("validation",#REF!),0)&gt;0,IFERROR(FIND("cannot",#REF!),0)&gt;0,IFERROR(FIND("NOT met",#REF!),0)&gt;0)</formula>
    </cfRule>
  </conditionalFormatting>
  <conditionalFormatting sqref="C7">
    <cfRule type="expression" dxfId="681" priority="28">
      <formula>OR(IFERROR(FIND("Attention",#REF!),0)&gt;0,IFERROR(FIND("NOT met",#REF!),0)&gt;0,IFERROR(FIND("do not",#REF!),0)&gt;0)</formula>
    </cfRule>
  </conditionalFormatting>
  <conditionalFormatting sqref="C7">
    <cfRule type="expression" dxfId="680" priority="25">
      <formula>$K$6&lt;IF(County_Size="Small",240,IF(County_Size="Medium",320,IF(County_Size="Large",400,0)))</formula>
    </cfRule>
  </conditionalFormatting>
  <conditionalFormatting sqref="B6">
    <cfRule type="expression" dxfId="679" priority="22">
      <formula>$N$3=0</formula>
    </cfRule>
  </conditionalFormatting>
  <conditionalFormatting sqref="B6">
    <cfRule type="expression" dxfId="678" priority="23">
      <formula>OR(IFERROR(FIND("validation",$B6),0)&gt;0,IFERROR(FIND("cannot",$B6),0)&gt;0,IFERROR(FIND("NOT met",$B6),0)&gt;0)</formula>
    </cfRule>
  </conditionalFormatting>
  <conditionalFormatting sqref="B6">
    <cfRule type="expression" dxfId="677" priority="24">
      <formula>OR(IFERROR(FIND("Attention",$B6),0)&gt;0,IFERROR(FIND("NOT met",$B6),0)&gt;0,IFERROR(FIND("do not",$B6),0)&gt;0)</formula>
    </cfRule>
  </conditionalFormatting>
  <conditionalFormatting sqref="K186">
    <cfRule type="cellIs" dxfId="676" priority="21" operator="notEqual">
      <formula>"&lt;select one&gt;"</formula>
    </cfRule>
  </conditionalFormatting>
  <conditionalFormatting sqref="B186:K187">
    <cfRule type="expression" dxfId="675" priority="20">
      <formula>$N$186=0</formula>
    </cfRule>
  </conditionalFormatting>
  <conditionalFormatting sqref="A6:K8">
    <cfRule type="expression" dxfId="674" priority="19">
      <formula>$N$6=0</formula>
    </cfRule>
  </conditionalFormatting>
  <conditionalFormatting sqref="B76:K98">
    <cfRule type="expression" dxfId="673" priority="10">
      <formula>$P$76=0</formula>
    </cfRule>
  </conditionalFormatting>
  <conditionalFormatting sqref="G83:I83">
    <cfRule type="expression" dxfId="672" priority="177">
      <formula>$P$74=1</formula>
    </cfRule>
  </conditionalFormatting>
  <conditionalFormatting sqref="J79:J83">
    <cfRule type="expression" dxfId="671" priority="193">
      <formula>RIGHT(Excel_RFA_Number,3)="215"</formula>
    </cfRule>
  </conditionalFormatting>
  <conditionalFormatting sqref="C49:K74">
    <cfRule type="expression" dxfId="670" priority="141">
      <formula>OR(AND(Minimum_SetAside_per_Sec_42&lt;&gt;"&lt;select one&gt;",Minimum_SetAside_per_Sec_42="Average Income Test",Minimum_SetAside_per_Sec_42&lt;&gt;DS_FHFC_NonHC),AND(Minimum_SetAside_per_Sec_42=DS_FHFC_NonHC,DS_FHFC_NonHC_Table&lt;&gt;"Non-AIT"))</formula>
    </cfRule>
  </conditionalFormatting>
  <conditionalFormatting sqref="G60:H60">
    <cfRule type="expression" dxfId="669" priority="227">
      <formula>AND(Minimum_SetAside_per_Sec_42=DS_IRS_2050,N($G60)&gt;0)</formula>
    </cfRule>
  </conditionalFormatting>
  <conditionalFormatting sqref="G60:H60">
    <cfRule type="expression" dxfId="668" priority="223">
      <formula>AND(Minimum_SetAside_per_Sec_42=DS_IRS_2050,N(G60)=0)</formula>
    </cfRule>
  </conditionalFormatting>
  <conditionalFormatting sqref="G52:H60">
    <cfRule type="expression" dxfId="667" priority="79">
      <formula>OR($C$37="Average Income Test",AND(RIGHT(Excel_RFA_Number,3)="215",$C$37=DS_FHFC_NonHC,DS_FHFC_NonHC_Table&lt;&gt;"Non-AIT"))</formula>
    </cfRule>
  </conditionalFormatting>
  <conditionalFormatting sqref="F52:I60">
    <cfRule type="expression" dxfId="666" priority="235">
      <formula>AND($C$37&lt;&gt;"&lt;select one&gt;",OR($C$37="Average Income Test",AND($C$37=DS_FHFC_NonHC,DS_FHFC_NonHC_Table&lt;&gt;"Non-AIT")),OR(IF(RIGHT(Excel_RFA_Number,3)="215",$C$37=DS_FHFC_NonHC,TRUE),IF(RIGHT(Excel_RFA_Number,3)="216",$C$37&lt;&gt;DS_FHFC_NonHC,TRUE)),$I55&lt;VLOOKUP(County,DS_CountyData,14))</formula>
    </cfRule>
  </conditionalFormatting>
  <conditionalFormatting sqref="C117:K137">
    <cfRule type="expression" dxfId="665" priority="282">
      <formula>OR(AND(Minimum_SetAside_per_Sec_42=DS_FHFC_NonHC,DS_FHFC_NonHC_Table&lt;&gt;"Gap"),Minimum_SetAside_per_Sec_42="Average Income Test")</formula>
    </cfRule>
  </conditionalFormatting>
  <conditionalFormatting sqref="F79:F90">
    <cfRule type="expression" dxfId="664" priority="116">
      <formula>OR(AND($C$37&lt;&gt;"&lt;select one&gt;",$C$37&lt;&gt;"Average Income Test",$C$37&lt;&gt;DS_FHFC_NonHC),AND($C$37=DS_FHFC_NonHC,DS_FHFC_NonHC_Table&lt;&gt;"AIT"))</formula>
    </cfRule>
  </conditionalFormatting>
  <conditionalFormatting sqref="C76:K97">
    <cfRule type="expression" dxfId="663" priority="178">
      <formula>OR(AND($C$37&lt;&gt;"&lt;select one&gt;",$C$37&lt;&gt;"Average Income Test",$C$37&lt;&gt;DS_FHFC_NonHC),AND($C$37=DS_FHFC_NonHC,DS_FHFC_NonHC_Table&lt;&gt;"AIT"))</formula>
    </cfRule>
  </conditionalFormatting>
  <conditionalFormatting sqref="K83:K91">
    <cfRule type="expression" dxfId="662" priority="115">
      <formula>$P$72=0</formula>
    </cfRule>
  </conditionalFormatting>
  <conditionalFormatting sqref="K78:K91">
    <cfRule type="expression" dxfId="661" priority="16">
      <formula>$P$49=0</formula>
    </cfRule>
  </conditionalFormatting>
  <conditionalFormatting sqref="G120:H132">
    <cfRule type="expression" dxfId="660" priority="81">
      <formula>OR(AND(Minimum_SetAside_per_Sec_42=DS_FHFC_NonHC,DS_FHFC_NonHC_Table&lt;&gt;"Gap"),Minimum_SetAside_per_Sec_42="Average Income Test")</formula>
    </cfRule>
  </conditionalFormatting>
  <conditionalFormatting sqref="E101">
    <cfRule type="expression" dxfId="659" priority="6">
      <formula>$P$95=0</formula>
    </cfRule>
  </conditionalFormatting>
  <conditionalFormatting sqref="E101:J101">
    <cfRule type="expression" dxfId="658" priority="5">
      <formula>$C$33&lt;&gt;"Average Income Test"</formula>
    </cfRule>
  </conditionalFormatting>
  <conditionalFormatting sqref="K101">
    <cfRule type="expression" dxfId="657" priority="4">
      <formula>$P$95=0</formula>
    </cfRule>
  </conditionalFormatting>
  <conditionalFormatting sqref="K101">
    <cfRule type="expression" dxfId="656" priority="1">
      <formula>AND($C$33&lt;&gt;"Average Income Test",$K$97&lt;&gt;"&lt;select one&gt;")</formula>
    </cfRule>
    <cfRule type="expression" dxfId="655" priority="2">
      <formula>AND($C$33&lt;&gt;"Average Income Test",$K$97="&lt;select one&gt;")</formula>
    </cfRule>
    <cfRule type="cellIs" dxfId="654" priority="3" operator="notEqual">
      <formula>"&lt;select one&gt;"</formula>
    </cfRule>
  </conditionalFormatting>
  <dataValidations count="8">
    <dataValidation type="list" allowBlank="1" showInputMessage="1" showErrorMessage="1" sqref="C37:K37" xr:uid="{9686D334-6280-4764-9E4B-E7A5FD6274BB}">
      <formula1>DS_MinIRS_DDMenu</formula1>
    </dataValidation>
    <dataValidation type="list" allowBlank="1" showInputMessage="1" showErrorMessage="1" sqref="C26:K26" xr:uid="{BFABE010-AC0B-4990-BB84-1FE31D29205A}">
      <formula1>DS_Occ_DDMenu</formula1>
    </dataValidation>
    <dataValidation type="list" allowBlank="1" showInputMessage="1" showErrorMessage="1" sqref="K200" xr:uid="{393B78B3-0A50-40C9-BF23-A0DB5690A946}">
      <formula1>"&lt;select one&gt;, Yes, No"</formula1>
    </dataValidation>
    <dataValidation type="whole" allowBlank="1" showErrorMessage="1" error="Please enter a whole number." sqref="K3 K14 K9:K12 K16:K18" xr:uid="{9E3AAC14-358E-4936-9763-A8AD9C3E823A}">
      <formula1>0</formula1>
      <formula2>999</formula2>
    </dataValidation>
    <dataValidation type="list" allowBlank="1" showInputMessage="1" showErrorMessage="1" sqref="C45:K45" xr:uid="{11776F50-DF55-4241-A3BB-44CED57469BB}">
      <formula1>DS_FF_DDMenu</formula1>
    </dataValidation>
    <dataValidation type="custom" allowBlank="1" showInputMessage="1" showErrorMessage="1" sqref="N3 N10 N16 N12 N18 N6" xr:uid="{6820A971-87C7-4FF1-BBF3-D6E698143CD5}">
      <formula1>AND(N3&gt;=0,N3&lt;4,N3=ROUND(N3,0))</formula1>
    </dataValidation>
    <dataValidation type="list" allowBlank="1" showInputMessage="1" showErrorMessage="1" sqref="K186" xr:uid="{6D8AA849-3048-403C-92D9-302565F4DD74}">
      <formula1>"&lt;select one&gt;,Yes,No"</formula1>
    </dataValidation>
    <dataValidation type="list" allowBlank="1" showInputMessage="1" showErrorMessage="1" sqref="K101" xr:uid="{289DAED4-0DCD-4F9D-BB30-94C0647703A9}">
      <formula1>"&lt;select one&gt;, 40% @ 60%, 20% @ 50%"</formula1>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ignoredErrors>
    <ignoredError sqref="B200" numberStoredAsText="1"/>
  </ignoredErrors>
  <extLst>
    <ext xmlns:x14="http://schemas.microsoft.com/office/spreadsheetml/2009/9/main" uri="{78C0D931-6437-407d-A8EE-F0AAD7539E65}">
      <x14:conditionalFormattings>
        <x14:conditionalFormatting xmlns:xm="http://schemas.microsoft.com/office/excel/2006/main">
          <x14:cfRule type="expression" priority="8" id="{00000000-000E-0000-0800-0000C5000000}">
            <xm:f>AND($C$37&lt;&gt;"&lt;select one&gt;",$C$37&lt;&gt;"Average Income Test",AND($C$37=DS_FHFC_NonHC,DS_FHFC_NonHC_Table&lt;&gt;"Non-AIT"),IF(RIGHT(Excel_RFA_Number,3)="216",$C$37&lt;&gt;Data1!$A$575,TRUE),$I52&lt;VLOOKUP(County,DS_CountyData,14))</xm:f>
            <x14:dxf>
              <font>
                <color theme="0" tint="-0.34998626667073579"/>
              </font>
            </x14:dxf>
          </x14:cfRule>
          <xm:sqref>I52:I60</xm:sqref>
        </x14:conditionalFormatting>
        <x14:conditionalFormatting xmlns:xm="http://schemas.microsoft.com/office/excel/2006/main">
          <x14:cfRule type="expression" priority="262" id="{00000000-000E-0000-0800-0000EC000000}">
            <xm:f>AND($C$37="Average Income Test",IF(RIGHT(Excel_RFA_Number,3)="216",Minimum_SetAside_per_Sec_42=Data1!$A$575,TRUE),$I$94&gt;60%)</xm:f>
            <x14:dxf>
              <font>
                <color rgb="FFC00000"/>
              </font>
              <fill>
                <patternFill>
                  <bgColor rgb="FFFFE6FF"/>
                </patternFill>
              </fill>
            </x14:dxf>
          </x14:cfRule>
          <xm:sqref>I94</xm:sqref>
        </x14:conditionalFormatting>
        <x14:conditionalFormatting xmlns:xm="http://schemas.microsoft.com/office/excel/2006/main">
          <x14:cfRule type="expression" priority="257" stopIfTrue="1" id="{00000000-000E-0000-0800-0000E9000000}">
            <xm:f>AND(F93&lt;&gt;Total_Units,F93&gt;0,Total_Units&gt;0,Minimum_SetAside_per_Sec_42="Average Income Test",IF(RIGHT(Excel_RFA_Number,3)="216",Minimum_SetAside_per_Sec_42=Data1!$A$575,TRUE))</xm:f>
            <x14:dxf>
              <font>
                <color rgb="FFC00000"/>
              </font>
              <fill>
                <patternFill>
                  <bgColor rgb="FFFFE6FF"/>
                </patternFill>
              </fill>
            </x14:dxf>
          </x14:cfRule>
          <xm:sqref>F93</xm:sqref>
        </x14:conditionalFormatting>
        <x14:conditionalFormatting xmlns:xm="http://schemas.microsoft.com/office/excel/2006/main">
          <x14:cfRule type="expression" priority="38" id="{AA56417C-6E95-40F9-A14D-00DBB811BD45}">
            <xm:f>Data1!$E$821="Yes"</xm:f>
            <x14:dxf>
              <font>
                <color theme="0"/>
              </font>
              <fill>
                <patternFill>
                  <bgColor theme="0"/>
                </patternFill>
              </fill>
              <border>
                <left/>
                <right/>
                <top/>
                <bottom/>
                <vertical/>
                <horizontal/>
              </border>
            </x14:dxf>
          </x14:cfRule>
          <xm:sqref>N3:R35 N37:R50 N52:R77 M79:R92 M93:O93 Q93:R93 N120:R201 M94:R118</xm:sqref>
        </x14:conditionalFormatting>
        <x14:conditionalFormatting xmlns:xm="http://schemas.microsoft.com/office/excel/2006/main">
          <x14:cfRule type="expression" priority="278" id="{2094D66D-AE5F-4C33-BE09-B7474DFF582F}">
            <xm:f>$C$37=Data1!$A$575</xm:f>
            <x14:dxf>
              <font>
                <color theme="0" tint="-0.34998626667073579"/>
              </font>
            </x14:dxf>
          </x14:cfRule>
          <xm:sqref>C99:K100 C101:D101 C102:K115</xm:sqref>
        </x14:conditionalFormatting>
        <x14:conditionalFormatting xmlns:xm="http://schemas.microsoft.com/office/excel/2006/main">
          <x14:cfRule type="expression" priority="140" id="{E08ABDEE-2049-4241-BA3B-45390125EE20}">
            <xm:f>SUM(Funding!$O$38:$O$44)=0</xm:f>
            <x14:dxf>
              <font>
                <color theme="0"/>
              </font>
              <border>
                <right/>
                <top/>
                <bottom/>
                <vertical/>
                <horizontal/>
              </border>
            </x14:dxf>
          </x14:cfRule>
          <xm:sqref>K51:K68</xm:sqref>
        </x14:conditionalFormatting>
        <x14:conditionalFormatting xmlns:xm="http://schemas.microsoft.com/office/excel/2006/main">
          <x14:cfRule type="expression" priority="58" id="{A48ED23C-8C9C-4296-86F0-570620ED621F}">
            <xm:f>OR(Link_Classification="&lt;select one&gt;",Link_Classification=Data1!$A$15)</xm:f>
            <x14:dxf>
              <font>
                <color theme="0" tint="-0.34998626667073579"/>
              </font>
            </x14:dxf>
          </x14:cfRule>
          <xm:sqref>B20:K23</xm:sqref>
        </x14:conditionalFormatting>
        <x14:conditionalFormatting xmlns:xm="http://schemas.microsoft.com/office/excel/2006/main">
          <x14:cfRule type="expression" priority="49" id="{07600371-4D54-42C3-BAA1-53E354E62AF8}">
            <xm:f>AND(Link_Classification&lt;&gt;Data1!$A$16,N(K10)&lt;&gt;0)</xm:f>
            <x14:dxf>
              <font>
                <strike/>
                <color rgb="FFC00000"/>
              </font>
              <fill>
                <patternFill>
                  <bgColor theme="0" tint="-4.9989318521683403E-2"/>
                </patternFill>
              </fill>
            </x14:dxf>
          </x14:cfRule>
          <x14:cfRule type="expression" priority="50" id="{4DECBC92-E8D2-4387-8A6A-1BACCF9FB175}">
            <xm:f>Link_Classification&lt;&gt;Data1!$A$16</xm:f>
            <x14:dxf>
              <font>
                <color theme="0" tint="-4.9989318521683403E-2"/>
              </font>
              <fill>
                <patternFill>
                  <bgColor theme="0" tint="-4.9989318521683403E-2"/>
                </patternFill>
              </fill>
            </x14:dxf>
          </x14:cfRule>
          <xm:sqref>K10 K12 K16 K18</xm:sqref>
        </x14:conditionalFormatting>
        <x14:conditionalFormatting xmlns:xm="http://schemas.microsoft.com/office/excel/2006/main">
          <x14:cfRule type="expression" priority="48" id="{F4CA7656-E13A-4D13-91D6-785D86AB5E46}">
            <xm:f>AND(Link_Classification=Data1!$A$16,IFERROR(FIND("Attention",$C13),0)&gt;0)</xm:f>
            <x14:dxf>
              <font>
                <strike val="0"/>
                <color rgb="FFC00000"/>
              </font>
              <fill>
                <patternFill>
                  <bgColor rgb="FFFFE6FF"/>
                </patternFill>
              </fill>
            </x14:dxf>
          </x14:cfRule>
          <x14:cfRule type="expression" priority="62" id="{ECA75AC1-A55C-4AD0-AE16-4EEE2EB02E57}">
            <xm:f>Link_Classification&lt;&gt;Data1!$A$16</xm:f>
            <x14:dxf>
              <font>
                <color theme="0"/>
              </font>
              <fill>
                <patternFill patternType="none">
                  <bgColor auto="1"/>
                </patternFill>
              </fill>
            </x14:dxf>
          </x14:cfRule>
          <xm:sqref>C13 C19</xm:sqref>
        </x14:conditionalFormatting>
        <x14:conditionalFormatting xmlns:xm="http://schemas.microsoft.com/office/excel/2006/main">
          <x14:cfRule type="expression" priority="60" id="{2CFE510E-905B-44DC-83D3-A0515E09C98E}">
            <xm:f>Link_Classification&lt;&gt;Data1!$A$16</xm:f>
            <x14:dxf>
              <font>
                <color theme="0" tint="-0.34998626667073579"/>
              </font>
              <fill>
                <patternFill patternType="none">
                  <bgColor auto="1"/>
                </patternFill>
              </fill>
            </x14:dxf>
          </x14:cfRule>
          <xm:sqref>C10:K18</xm:sqref>
        </x14:conditionalFormatting>
        <x14:conditionalFormatting xmlns:xm="http://schemas.microsoft.com/office/excel/2006/main">
          <x14:cfRule type="expression" priority="45" id="{0995CC47-BD2C-4A4A-B541-81ADF3187D69}">
            <xm:f>AND(N($K10)&gt;0,N($K10)&lt;N($K12),Link_Classification=Data1!$A$16)</xm:f>
            <x14:dxf>
              <font>
                <color rgb="FFC00000"/>
              </font>
              <fill>
                <patternFill>
                  <bgColor rgb="FFFFE6FF"/>
                </patternFill>
              </fill>
            </x14:dxf>
          </x14:cfRule>
          <xm:sqref>K10 K16</xm:sqref>
        </x14:conditionalFormatting>
        <x14:conditionalFormatting xmlns:xm="http://schemas.microsoft.com/office/excel/2006/main">
          <x14:cfRule type="expression" priority="15" id="{95F1DEBC-E924-473E-B9E5-05F08FF5B987}">
            <xm:f>SUM(Funding!$O$38:$O$44)=0</xm:f>
            <x14:dxf>
              <font>
                <color theme="0"/>
              </font>
              <border>
                <right/>
                <top/>
                <bottom/>
                <vertical/>
                <horizontal/>
              </border>
            </x14:dxf>
          </x14:cfRule>
          <xm:sqref>K78:K91</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set-aside commitment selected does not permit units at 60% AMI." xr:uid="{DD07A817-6603-4182-97CB-59901257E326}">
          <x14:formula1>
            <xm:f>OR(Minimum_SetAside_per_Sec_42=Data1!$A$573,Minimum_SetAside_per_Sec_42=Data1!$A$575)</xm:f>
          </x14:formula1>
          <xm:sqref>G60:H60</xm:sqref>
        </x14:dataValidation>
        <x14:dataValidation type="whole" allowBlank="1" showInputMessage="1" showErrorMessage="1" xr:uid="{F7443669-80E7-48DC-A97C-63933B8D4BA4}">
          <x14:formula1>
            <xm:f>Data1!B611</xm:f>
          </x14:formula1>
          <x14:formula2>
            <xm:f>Data1!B612</xm:f>
          </x14:formula2>
          <xm:sqref>K196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21"/>
  <sheetViews>
    <sheetView showGridLines="0" zoomScaleNormal="100" zoomScaleSheetLayoutView="100" workbookViewId="0">
      <pane ySplit="2" topLeftCell="A3" activePane="bottomLeft" state="frozen"/>
      <selection activeCell="L364" sqref="L364:N364"/>
      <selection pane="bottomLeft" activeCell="V35" sqref="V35"/>
    </sheetView>
  </sheetViews>
  <sheetFormatPr defaultColWidth="8.5703125" defaultRowHeight="15"/>
  <cols>
    <col min="1" max="1" width="3" customWidth="1"/>
    <col min="2" max="3" width="3.5703125" customWidth="1"/>
    <col min="4" max="4" width="4.42578125" customWidth="1"/>
    <col min="13" max="13" width="11.28515625" customWidth="1"/>
    <col min="15" max="15" width="8.42578125" customWidth="1"/>
    <col min="16" max="16" width="8.7109375" customWidth="1"/>
    <col min="17" max="17" width="3.5703125" customWidth="1"/>
    <col min="18" max="18" width="3.5703125" hidden="1" customWidth="1"/>
    <col min="19" max="19" width="35.7109375" hidden="1" customWidth="1"/>
    <col min="20" max="21" width="3.5703125" hidden="1" customWidth="1"/>
  </cols>
  <sheetData>
    <row r="1" spans="1:21" ht="35.85" customHeight="1" thickBot="1">
      <c r="A1" s="2979" t="s">
        <v>1167</v>
      </c>
      <c r="B1" s="2980"/>
      <c r="C1" s="2980"/>
      <c r="D1" s="2980"/>
      <c r="E1" s="2980"/>
      <c r="F1" s="2980"/>
      <c r="G1" s="2980"/>
      <c r="H1" s="2980"/>
      <c r="I1" s="2980"/>
      <c r="J1" s="2980"/>
      <c r="K1" s="2980"/>
      <c r="L1" s="2980"/>
      <c r="M1" s="2980"/>
      <c r="N1" s="2980"/>
      <c r="O1" s="2981"/>
    </row>
    <row r="2" spans="1:21" ht="14.45" customHeight="1"/>
    <row r="3" spans="1:21" ht="14.45" customHeight="1">
      <c r="A3" s="87" t="s">
        <v>955</v>
      </c>
      <c r="B3" s="87" t="s">
        <v>1168</v>
      </c>
      <c r="C3" s="87"/>
      <c r="D3" s="87"/>
      <c r="R3" s="2993" t="s">
        <v>943</v>
      </c>
      <c r="S3" s="2993"/>
      <c r="T3" s="2993"/>
      <c r="U3" s="2993"/>
    </row>
    <row r="4" spans="1:21" ht="30.95" customHeight="1">
      <c r="B4" s="2943" t="s">
        <v>2863</v>
      </c>
      <c r="C4" s="2943"/>
      <c r="D4" s="2943"/>
      <c r="E4" s="2943"/>
      <c r="F4" s="2943"/>
      <c r="G4" s="2943"/>
      <c r="H4" s="2943"/>
      <c r="I4" s="2943"/>
      <c r="J4" s="2943"/>
      <c r="K4" s="2943"/>
      <c r="L4" s="2943"/>
      <c r="M4" s="2943"/>
    </row>
    <row r="5" spans="1:21" ht="10.35" customHeight="1"/>
    <row r="6" spans="1:21" ht="14.45" hidden="1" customHeight="1">
      <c r="A6" s="25" t="str">
        <f>IF(S6=0,".","b.")</f>
        <v>.</v>
      </c>
      <c r="B6" s="1914" t="s">
        <v>2403</v>
      </c>
      <c r="C6" s="1329"/>
      <c r="D6" s="1329"/>
      <c r="E6" s="1329"/>
      <c r="F6" s="1329"/>
      <c r="G6" s="1329"/>
      <c r="H6" s="1329"/>
      <c r="I6" s="1329"/>
      <c r="J6" s="1329"/>
      <c r="K6" s="1329"/>
      <c r="S6" s="313">
        <v>0</v>
      </c>
    </row>
    <row r="7" spans="1:21" ht="35.1" hidden="1" customHeight="1">
      <c r="B7" s="2943" t="s">
        <v>2404</v>
      </c>
      <c r="C7" s="2943"/>
      <c r="D7" s="2943"/>
      <c r="E7" s="2943"/>
      <c r="F7" s="2943"/>
      <c r="G7" s="2943"/>
      <c r="H7" s="2943"/>
      <c r="I7" s="2943"/>
      <c r="J7" s="2943"/>
      <c r="K7" s="2943"/>
      <c r="L7" s="2943"/>
      <c r="M7" s="2943"/>
      <c r="N7" s="2943"/>
      <c r="O7" s="2943"/>
    </row>
    <row r="8" spans="1:21" ht="35.1" hidden="1" customHeight="1">
      <c r="B8" s="2959" t="s">
        <v>2405</v>
      </c>
      <c r="C8" s="2959"/>
      <c r="D8" s="2959"/>
      <c r="E8" s="2959"/>
      <c r="F8" s="2959"/>
      <c r="G8" s="2959"/>
      <c r="H8" s="2959"/>
      <c r="I8" s="2959"/>
      <c r="J8" s="2959"/>
      <c r="K8" s="2959"/>
      <c r="L8" s="2959"/>
      <c r="M8" s="2959"/>
      <c r="N8" s="2951" t="s">
        <v>59</v>
      </c>
      <c r="O8" s="2951"/>
    </row>
    <row r="9" spans="1:21" ht="10.35" hidden="1" customHeight="1"/>
    <row r="10" spans="1:21" ht="14.45" hidden="1" customHeight="1">
      <c r="A10" s="25" t="str">
        <f>IF(S10=0,".",IF(AND(S6&gt;0,S10&gt;0),"c.",IF(AND(S6&gt;0,S10=0),".","b.")))</f>
        <v>.</v>
      </c>
      <c r="B10" s="1914" t="s">
        <v>2656</v>
      </c>
      <c r="C10" s="1329"/>
      <c r="S10" s="313">
        <v>0</v>
      </c>
    </row>
    <row r="11" spans="1:21" ht="35.1" hidden="1" customHeight="1">
      <c r="B11" s="2943" t="s">
        <v>2657</v>
      </c>
      <c r="C11" s="2943"/>
      <c r="D11" s="2943"/>
      <c r="E11" s="2943"/>
      <c r="F11" s="2943"/>
      <c r="G11" s="2943"/>
      <c r="H11" s="2943"/>
      <c r="I11" s="2943"/>
      <c r="J11" s="2943"/>
      <c r="K11" s="2943"/>
      <c r="L11" s="2943"/>
      <c r="M11" s="2943"/>
      <c r="N11" s="2943"/>
      <c r="O11" s="2943"/>
    </row>
    <row r="12" spans="1:21" ht="35.1" hidden="1" customHeight="1">
      <c r="B12" s="2943" t="s">
        <v>2658</v>
      </c>
      <c r="C12" s="2943"/>
      <c r="D12" s="2943"/>
      <c r="E12" s="2943"/>
      <c r="F12" s="2943"/>
      <c r="G12" s="2943"/>
      <c r="H12" s="2943"/>
      <c r="I12" s="2943"/>
      <c r="J12" s="2943"/>
      <c r="K12" s="2943"/>
      <c r="L12" s="2943"/>
      <c r="M12" s="2943"/>
      <c r="N12" s="2951" t="s">
        <v>59</v>
      </c>
      <c r="O12" s="2951"/>
    </row>
    <row r="13" spans="1:21" ht="10.35" hidden="1" customHeight="1"/>
    <row r="14" spans="1:21" ht="14.45" hidden="1" customHeight="1">
      <c r="A14" s="25" t="str">
        <f>IF(S14=0,".",CHOOSE(COUNTIF(S6:S10,"&gt;0")+1,"b.","c.","d."))</f>
        <v>.</v>
      </c>
      <c r="B14" s="25" t="s">
        <v>1169</v>
      </c>
      <c r="C14" s="25"/>
      <c r="D14" s="25"/>
      <c r="S14" s="313">
        <v>0</v>
      </c>
    </row>
    <row r="15" spans="1:21" ht="10.35" hidden="1" customHeight="1"/>
    <row r="16" spans="1:21" ht="14.45" hidden="1" customHeight="1">
      <c r="B16" s="1719">
        <v>1</v>
      </c>
      <c r="C16" t="s">
        <v>1170</v>
      </c>
      <c r="D16" s="86"/>
    </row>
    <row r="17" spans="2:19" ht="14.45" hidden="1" customHeight="1">
      <c r="B17" s="1719">
        <v>2</v>
      </c>
      <c r="C17" t="s">
        <v>1171</v>
      </c>
      <c r="D17" s="86"/>
    </row>
    <row r="18" spans="2:19" ht="14.45" hidden="1" customHeight="1">
      <c r="B18" s="1719">
        <v>3</v>
      </c>
      <c r="C18" t="s">
        <v>1172</v>
      </c>
      <c r="D18" s="86"/>
    </row>
    <row r="19" spans="2:19" ht="14.45" hidden="1" customHeight="1">
      <c r="B19" s="1719" t="str">
        <f>IF($S19=0,"...",MAX(B$16:B18)+1)</f>
        <v>...</v>
      </c>
      <c r="C19" t="s">
        <v>1173</v>
      </c>
      <c r="S19" s="313">
        <v>0</v>
      </c>
    </row>
    <row r="20" spans="2:19" ht="14.45" hidden="1" customHeight="1">
      <c r="B20" s="1719" t="str">
        <f>IF($S20=0,"...",MAX(B$16:B19)+1)</f>
        <v>...</v>
      </c>
      <c r="C20" t="s">
        <v>1174</v>
      </c>
      <c r="S20" s="313">
        <v>0</v>
      </c>
    </row>
    <row r="21" spans="2:19" ht="10.35" customHeight="1"/>
  </sheetData>
  <sheetProtection algorithmName="SHA-512" hashValue="5IZMKKBPtUPOIcj8YzSGxQI6GEmGMoi9uhzSFbiekK3G2XuSOf+BjN/MVis6BXYrv9AZcHUFLUsbY9Ey/nLhug==" saltValue="rH+bZmW8Nxtru0ZeacdqVg==" spinCount="100000" sheet="1" formatRows="0" selectLockedCells="1"/>
  <mergeCells count="9">
    <mergeCell ref="B12:M12"/>
    <mergeCell ref="N12:O12"/>
    <mergeCell ref="B4:M4"/>
    <mergeCell ref="A1:O1"/>
    <mergeCell ref="R3:U3"/>
    <mergeCell ref="B7:O7"/>
    <mergeCell ref="B8:M8"/>
    <mergeCell ref="N8:O8"/>
    <mergeCell ref="B11:O11"/>
  </mergeCells>
  <conditionalFormatting sqref="A14:O20">
    <cfRule type="expression" dxfId="639" priority="12">
      <formula>$S$14=0</formula>
    </cfRule>
  </conditionalFormatting>
  <conditionalFormatting sqref="A19:O20">
    <cfRule type="expression" dxfId="638" priority="1866">
      <formula>$S19=0</formula>
    </cfRule>
  </conditionalFormatting>
  <conditionalFormatting sqref="S6 S10 S14 S19 S20">
    <cfRule type="cellIs" dxfId="637" priority="5" operator="equal">
      <formula>0</formula>
    </cfRule>
  </conditionalFormatting>
  <conditionalFormatting sqref="A6:O9">
    <cfRule type="expression" dxfId="636" priority="8">
      <formula>$S$6=0</formula>
    </cfRule>
  </conditionalFormatting>
  <conditionalFormatting sqref="A10:O13">
    <cfRule type="expression" dxfId="635" priority="4">
      <formula>$S$10=0</formula>
    </cfRule>
  </conditionalFormatting>
  <conditionalFormatting sqref="N8:O8">
    <cfRule type="cellIs" dxfId="634" priority="2" operator="notEqual">
      <formula>"&lt;select one&gt;"</formula>
    </cfRule>
    <cfRule type="expression" dxfId="633" priority="3">
      <formula>"&lt;&gt;""select one&gt;"""</formula>
    </cfRule>
  </conditionalFormatting>
  <conditionalFormatting sqref="N12:O12">
    <cfRule type="cellIs" dxfId="632" priority="1" operator="notEqual">
      <formula>"&lt;select one&gt;"</formula>
    </cfRule>
  </conditionalFormatting>
  <dataValidations count="1">
    <dataValidation type="list" allowBlank="1" showInputMessage="1" showErrorMessage="1" sqref="N8:O8 N12:O12" xr:uid="{6BFD0B7A-D238-4CCA-BA31-86AD40F1E0FB}">
      <formula1>"&lt;select one&gt;, Yes, No"</formula1>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0" id="{3B07DCA4-2B3B-4BA2-9C80-06A09EF27A51}">
            <xm:f>Data1!$E$822="Yes"</xm:f>
            <x14:dxf>
              <font>
                <color theme="0"/>
              </font>
              <fill>
                <patternFill>
                  <bgColor theme="0"/>
                </patternFill>
              </fill>
              <border>
                <left/>
                <right/>
                <top/>
                <bottom/>
              </border>
            </x14:dxf>
          </x14:cfRule>
          <xm:sqref>R4:T21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9" ma:contentTypeDescription="Create a new document." ma:contentTypeScope="" ma:versionID="9aead16230d6b5994477e61c98154d81">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5bf21836404508aa3566aceed6a044a8"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6CC0D50-1818-462E-BF9D-C1EF0A0F7EE6}">
  <ds:schemaRefs>
    <ds:schemaRef ds:uri="http://schemas.microsoft.com/sharepoint/v3/contenttype/forms"/>
  </ds:schemaRefs>
</ds:datastoreItem>
</file>

<file path=customXml/itemProps2.xml><?xml version="1.0" encoding="utf-8"?>
<ds:datastoreItem xmlns:ds="http://schemas.openxmlformats.org/officeDocument/2006/customXml" ds:itemID="{61CF5FFF-1E6C-4FD8-B3CF-B1B47F5E31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7C5B38-4913-4713-9A79-230425551ECC}">
  <ds:schemaRefs>
    <ds:schemaRef ds:uri="http://schemas.microsoft.com/office/2006/documentManagement/types"/>
    <ds:schemaRef ds:uri="http://purl.org/dc/terms/"/>
    <ds:schemaRef ds:uri="http://schemas.microsoft.com/office/infopath/2007/PartnerControls"/>
    <ds:schemaRef ds:uri="http://purl.org/dc/elements/1.1/"/>
    <ds:schemaRef ds:uri="http://purl.org/dc/dcmitype/"/>
    <ds:schemaRef ds:uri="http://schemas.openxmlformats.org/package/2006/metadata/core-properties"/>
    <ds:schemaRef ds:uri="http://www.w3.org/XML/1998/namespace"/>
    <ds:schemaRef ds:uri="a84349eb-4374-47bc-83f0-36d288636098"/>
    <ds:schemaRef ds:uri="ee2a4f69-3a29-4b24-b170-d37fab3647f8"/>
    <ds:schemaRef ds:uri="68dfe011-c19e-4dbd-a5cd-00e4d25ab099"/>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1753</vt:i4>
      </vt:variant>
    </vt:vector>
  </HeadingPairs>
  <TitlesOfParts>
    <vt:vector size="1766" baseType="lpstr">
      <vt:lpstr>General Information</vt:lpstr>
      <vt:lpstr>Proposed Development Info</vt:lpstr>
      <vt:lpstr>Development Location</vt:lpstr>
      <vt:lpstr>Units, Set-Asides, Bldgs</vt:lpstr>
      <vt:lpstr>Readiness to Proceed</vt:lpstr>
      <vt:lpstr>Construction Features</vt:lpstr>
      <vt:lpstr>Services</vt:lpstr>
      <vt:lpstr>Funding</vt:lpstr>
      <vt:lpstr>Pro Forma</vt:lpstr>
      <vt:lpstr>URA</vt:lpstr>
      <vt:lpstr>B. Other Information</vt:lpstr>
      <vt:lpstr>Certification</vt:lpstr>
      <vt:lpstr>Impact Scoring</vt:lpstr>
      <vt:lpstr>ACC_Units_Currently</vt:lpstr>
      <vt:lpstr>ACC_Units_Future</vt:lpstr>
      <vt:lpstr>Accessibility_Pref</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Address_of_Occupied</vt:lpstr>
      <vt:lpstr>Affordable_Units_of_Occupied</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Comment_DevExp_fifth_Dev_complete</vt:lpstr>
      <vt:lpstr>Comment_DevExp_fifth_Dev_units</vt:lpstr>
      <vt:lpstr>Comment_DevExp_fifth_Dev_year</vt:lpstr>
      <vt:lpstr>Comment_DevExp_first_Dev_complete</vt:lpstr>
      <vt:lpstr>Comment_DevExp_first_Dev_units</vt:lpstr>
      <vt:lpstr>Comment_DevExp_first_Dev_year</vt:lpstr>
      <vt:lpstr>Comment_DevExp_fourth_Dev_complete</vt:lpstr>
      <vt:lpstr>Comment_DevExp_fourth_Dev_units</vt:lpstr>
      <vt:lpstr>Comment_DevExp_fourth_Dev_year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County_of_Occupied</vt:lpstr>
      <vt:lpstr>County_Size</vt:lpstr>
      <vt:lpstr>DDA_nonmetro</vt:lpstr>
      <vt:lpstr>DDA_nonmetro_name</vt:lpstr>
      <vt:lpstr>DDA_nonmetro_qualified</vt:lpstr>
      <vt:lpstr>Demographic</vt:lpstr>
      <vt:lpstr>Demographic_2</vt:lpstr>
      <vt:lpstr>Demographic_Area_of_Opp_boost</vt:lpstr>
      <vt:lpstr>Demographic_Area_of_Opp_boost_qualified</vt:lpstr>
      <vt:lpstr>Demographic_of_Occupied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DevExp_fifth_Dev_location</vt:lpstr>
      <vt:lpstr>DevExp_fifth_Dev_name</vt:lpstr>
      <vt:lpstr>DevExp_fifth_Dev_Principal</vt:lpstr>
      <vt:lpstr>DevExp_fifth_Dev_program</vt:lpstr>
      <vt:lpstr>DevExp_fifth_Dev_units</vt:lpstr>
      <vt:lpstr>DevExp_fifth_Dev_year</vt:lpstr>
      <vt:lpstr>DevExp_fifth_Other_program</vt:lpstr>
      <vt:lpstr>DevExp_first_Dev_location</vt:lpstr>
      <vt:lpstr>DevExp_first_Dev_name</vt:lpstr>
      <vt:lpstr>DevExp_first_Dev_Principal</vt:lpstr>
      <vt:lpstr>DevExp_first_Dev_program</vt:lpstr>
      <vt:lpstr>DevExp_first_Dev_units</vt:lpstr>
      <vt:lpstr>DevExp_first_Dev_year</vt:lpstr>
      <vt:lpstr>DevExp_first_Other_program</vt:lpstr>
      <vt:lpstr>DevExp_fourth_Dev_location</vt:lpstr>
      <vt:lpstr>DevExp_fourth_Dev_name</vt:lpstr>
      <vt:lpstr>DevExp_fourth_Dev_Principal</vt:lpstr>
      <vt:lpstr>DevExp_fourth_Dev_program</vt:lpstr>
      <vt:lpstr>DevExp_fourth_Dev_units</vt:lpstr>
      <vt:lpstr>DevExp_fourth_Dev_year</vt:lpstr>
      <vt:lpstr>DevExp_fourth_Other_program</vt:lpstr>
      <vt:lpstr>DevExp_MinDevs_List_Count</vt:lpstr>
      <vt:lpstr>DevExp_MinDevs_List_Score</vt:lpstr>
      <vt:lpstr>DevExp_MinUnits_Count</vt:lpstr>
      <vt:lpstr>DevExp_MinUnits_Score</vt:lpstr>
      <vt:lpstr>DevExp_natural_person</vt:lpstr>
      <vt:lpstr>DevExp_natural_person_additional</vt:lpstr>
      <vt:lpstr>DevExp_natural_person_entity</vt:lpstr>
      <vt:lpstr>DevExp_Natural_Person_Meets</vt:lpstr>
      <vt:lpstr>DevExp_PrgmMinDevs_Count</vt:lpstr>
      <vt:lpstr>DevExp_PrgmMinDevs_Score</vt:lpstr>
      <vt:lpstr>DevExp_second_Dev_location</vt:lpstr>
      <vt:lpstr>DevExp_second_Dev_name</vt:lpstr>
      <vt:lpstr>DevExp_second_Dev_Principal</vt:lpstr>
      <vt:lpstr>DevExp_second_Dev_program</vt:lpstr>
      <vt:lpstr>DevExp_second_Dev_units</vt:lpstr>
      <vt:lpstr>DevExp_second_Dev_year</vt:lpstr>
      <vt:lpstr>DevExp_second_Other_program</vt:lpstr>
      <vt:lpstr>DevExp_third_Dev_location</vt:lpstr>
      <vt:lpstr>DevExp_third_Dev_name</vt:lpstr>
      <vt:lpstr>DevExp_third_Dev_Principal</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DS_2024_County_GAOs</vt:lpstr>
      <vt:lpstr>DS_2024_County_QCTs</vt:lpstr>
      <vt:lpstr>DS_2024_GAO_Counties</vt:lpstr>
      <vt:lpstr>DS_2024_GAO_QCTs_Sorted</vt:lpstr>
      <vt:lpstr>DS_2024_Metro_QCT_Counties</vt:lpstr>
      <vt:lpstr>DS_2024_Metro_QCTs_Sorted</vt:lpstr>
      <vt:lpstr>DS_2024_NonMetro_QCT_Counties</vt:lpstr>
      <vt:lpstr>DS_2024_NonMetro_QCTs_Sorted</vt:lpstr>
      <vt:lpstr>DS_2024_ZCTAs_Sorted</vt:lpstr>
      <vt:lpstr>DS_2025_County_GAOs</vt:lpstr>
      <vt:lpstr>DS_2025_County_QCTs</vt:lpstr>
      <vt:lpstr>DS_2025_GAO_Counties</vt:lpstr>
      <vt:lpstr>DS_2025_GAO_QCTs_Sorted</vt:lpstr>
      <vt:lpstr>DS_2025_Metro_QCT_Counties</vt:lpstr>
      <vt:lpstr>DS_2025_Metro_QCTs_Sorted</vt:lpstr>
      <vt:lpstr>DS_2025_NonMetro_QCT_Counties</vt:lpstr>
      <vt:lpstr>DS_2025_NonMetro_QCTs_Sorted</vt:lpstr>
      <vt:lpstr>DS_2025_ZCTAs_Sorted</vt:lpstr>
      <vt:lpstr>DS_Add_On_1_Y</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DS_ARP_Max_Total_Units_Active</vt:lpstr>
      <vt:lpstr>DS_ARP_Max_Units_Opt</vt:lpstr>
      <vt:lpstr>DS_ARP_Max_Units_Opt_Active</vt:lpstr>
      <vt:lpstr>DS_ARP_Max_Units_Opt_Allowed</vt:lpstr>
      <vt:lpstr>DS_ARP_Max_Units_Req_Large</vt:lpstr>
      <vt:lpstr>DS_ARP_Max_Units_Req_Large_Active</vt:lpstr>
      <vt:lpstr>DS_ARP_Max_Units_Req_Medium</vt:lpstr>
      <vt:lpstr>DS_ARP_Max_Units_Req_Medium_Active</vt:lpstr>
      <vt:lpstr>DS_ARP_Max_Units_Req_Small</vt:lpstr>
      <vt:lpstr>DS_ARP_Max_Units_Req_Small_Active</vt:lpstr>
      <vt:lpstr>DS_ARP_Max_Units_Total</vt:lpstr>
      <vt:lpstr>DS_ARP_Max_Units_Total_Active</vt:lpstr>
      <vt:lpstr>DS_ARP_Min_Percent_Req_Active</vt:lpstr>
      <vt:lpstr>DS_ARP_Min_Percent_Required</vt:lpstr>
      <vt:lpstr>DS_ARP_Min_Units_Req_Large</vt:lpstr>
      <vt:lpstr>DS_ARP_Min_Units_Req_Large_Active</vt:lpstr>
      <vt:lpstr>DS_ARP_Min_Units_Req_Medium</vt:lpstr>
      <vt:lpstr>DS_ARP_Min_Units_Req_Medium_Active</vt:lpstr>
      <vt:lpstr>DS_ARP_Min_Units_Req_Small</vt:lpstr>
      <vt:lpstr>DS_ARP_Min_Units_Req_Small_Active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DS_Comment_LL_HC_SA_b</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DS_Davis_Bacon_Multiplier</vt:lpstr>
      <vt:lpstr>DS_Demo_DataNames</vt:lpstr>
      <vt:lpstr>DS_Demo_DDMenu</vt:lpstr>
      <vt:lpstr>DS_Demo_Multiplier</vt:lpstr>
      <vt:lpstr>DS_Demo_Sequence</vt:lpstr>
      <vt:lpstr>DS_Designation_DataNames</vt:lpstr>
      <vt:lpstr>DS_Designation_DDMenu</vt:lpstr>
      <vt:lpstr>DS_Designation_Sequence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DS_DevCat_Note_16</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DS_DevExp_DB_CDBG_DR</vt:lpstr>
      <vt:lpstr>DS_DevExp_DB_Federal</vt:lpstr>
      <vt:lpstr>DS_DevExp_DB_Federal_Units</vt:lpstr>
      <vt:lpstr>DS_DevExp_DB_HOME</vt:lpstr>
      <vt:lpstr>DS_DevExp_DB_Min_Units</vt:lpstr>
      <vt:lpstr>DS_DevExp_DB_Required</vt:lpstr>
      <vt:lpstr>DS_DevExp_DB_Sequence</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DS_ExcelCheckBox_RD514_516</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DS_FF_DataNames</vt:lpstr>
      <vt:lpstr>DS_FF_DDMenu</vt:lpstr>
      <vt:lpstr>DS_FF_Sequence</vt:lpstr>
      <vt:lpstr>DS_FHFC_9HC_Amt</vt:lpstr>
      <vt:lpstr>DS_FHFC_9HC_Label</vt:lpstr>
      <vt:lpstr>DS_FHFC_9HC_Max_Amt</vt:lpstr>
      <vt:lpstr>DS_FHFC_9HC_Name</vt:lpstr>
      <vt:lpstr>DS_FHFC_NonHC</vt:lpstr>
      <vt:lpstr>DS_FHFC_NonHC_Table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DS_GAOs_effective2.1.24</vt:lpstr>
      <vt:lpstr>DS_GAOs_effective2.1.25</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DS_IRS_2050</vt:lpstr>
      <vt:lpstr>DS_IRS_4060</vt:lpstr>
      <vt:lpstr>DS_IRS_AIT</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DS_LL_DevExpPrgms_Active</vt:lpstr>
      <vt:lpstr>DS_Loan_Min_SA_Perc</vt:lpstr>
      <vt:lpstr>DS_Loan_Name</vt:lpstr>
      <vt:lpstr>DS_Managing_DDMenu</vt:lpstr>
      <vt:lpstr>DS_Mand_distance_auto</vt:lpstr>
      <vt:lpstr>DS_Max_ARP_Opt_Units</vt:lpstr>
      <vt:lpstr>DS_Max_ARP_Req_Units</vt:lpstr>
      <vt:lpstr>DS_Max_ARP_Req_Units_Active</vt:lpstr>
      <vt:lpstr>DS_Max_ARP_Units</vt:lpstr>
      <vt:lpstr>DS_Max_Dollar_PU_ODR</vt:lpstr>
      <vt:lpstr>DS_Max_NHTF</vt:lpstr>
      <vt:lpstr>DS_Max_NHTF_Opt_Units</vt:lpstr>
      <vt:lpstr>DS_Max_NHTF_Req_Units</vt:lpstr>
      <vt:lpstr>DS_Max_NHTF_Req_Units_Active</vt:lpstr>
      <vt:lpstr>DS_Max_NHTF_Units</vt:lpstr>
      <vt:lpstr>DS_Max_ODR</vt:lpstr>
      <vt:lpstr>DS_Max_Units_1</vt:lpstr>
      <vt:lpstr>DS_Max_Units_2</vt:lpstr>
      <vt:lpstr>DS_MaxDevFeeAcq_Percent</vt:lpstr>
      <vt:lpstr>DS_MaxDevFeeNonAcq_Percent</vt:lpstr>
      <vt:lpstr>DS_MaxDevFeeODR_Percent</vt:lpstr>
      <vt:lpstr>DS_MaxGCFee</vt:lpstr>
      <vt:lpstr>DS_MaxHCCNC</vt:lpstr>
      <vt:lpstr>DS_MaxHCCR</vt:lpstr>
      <vt:lpstr>DS_MaxSCC</vt:lpstr>
      <vt:lpstr>DS_MaxUnits_AR_1</vt:lpstr>
      <vt:lpstr>DS_MaxUnits_AR_2</vt:lpstr>
      <vt:lpstr>DS_MaxUnits_Default_1</vt:lpstr>
      <vt:lpstr>DS_MaxUnits_Default_2</vt:lpstr>
      <vt:lpstr>DS_MaxUnits_E_NonOccRehab_1</vt:lpstr>
      <vt:lpstr>DS_MaxUnits_E_NonOccRehab_2</vt:lpstr>
      <vt:lpstr>DS_MaxUnits_E_OccRehab_1</vt:lpstr>
      <vt:lpstr>DS_MaxUnits_E_OccRehab_2</vt:lpstr>
      <vt:lpstr>DS_MaxUnits_Fam_1</vt:lpstr>
      <vt:lpstr>DS_MaxUnits_Fam_2</vt:lpstr>
      <vt:lpstr>DS_MaxUnits_General_Large_1</vt:lpstr>
      <vt:lpstr>DS_MaxUnits_General_Large_2</vt:lpstr>
      <vt:lpstr>DS_MaxUnits_General_Medium_1</vt:lpstr>
      <vt:lpstr>DS_MaxUnits_General_Medium_2</vt:lpstr>
      <vt:lpstr>DS_MaxUnits_General_Small_1</vt:lpstr>
      <vt:lpstr>DS_MaxUnits_General_Small_2</vt:lpstr>
      <vt:lpstr>DS_MaxUnits_NC_1</vt:lpstr>
      <vt:lpstr>DS_MaxUnits_NC_2</vt:lpstr>
      <vt:lpstr>DS_MaxUnits_NC_ALF_1</vt:lpstr>
      <vt:lpstr>DS_MaxUnits_NC_ALF_2</vt:lpstr>
      <vt:lpstr>DS_MaxUnits_NC_E_BMD_1</vt:lpstr>
      <vt:lpstr>DS_MaxUnits_NC_E_BMD_2</vt:lpstr>
      <vt:lpstr>DS_MaxUnits_NC_E_NonBMD_1</vt:lpstr>
      <vt:lpstr>DS_MaxUnits_NC_E_NonBMD_2</vt:lpstr>
      <vt:lpstr>DS_MaxUnits_NC_F_MMRB_1</vt:lpstr>
      <vt:lpstr>DS_MaxUnits_NC_F_MMRB_2</vt:lpstr>
      <vt:lpstr>DS_MaxUnits_NotNC_ALF_1</vt:lpstr>
      <vt:lpstr>DS_MaxUnits_NotNC_ALF_2</vt:lpstr>
      <vt:lpstr>DS_MaxUnits_PDC_1</vt:lpstr>
      <vt:lpstr>DS_MaxUnits_PDC_2</vt:lpstr>
      <vt:lpstr>DS_MaxUnits_PDD_1</vt:lpstr>
      <vt:lpstr>DS_MaxUnits_PDD_2</vt:lpstr>
      <vt:lpstr>DS_MaxUnits_Pres_1</vt:lpstr>
      <vt:lpstr>DS_MaxUnits_Pres_2</vt:lpstr>
      <vt:lpstr>DS_MDCounty_DDMenu</vt:lpstr>
      <vt:lpstr>DS_Metro_QCTs_2022</vt:lpstr>
      <vt:lpstr>DS_Metro_QCTs_2023</vt:lpstr>
      <vt:lpstr>DS_Metro_QCTs_2024</vt:lpstr>
      <vt:lpstr>DS_Metro_QCTs_2025</vt:lpstr>
      <vt:lpstr>DS_MgmtExp_MinDevs_List</vt:lpstr>
      <vt:lpstr>DS_MgmtExp_MinUnits</vt:lpstr>
      <vt:lpstr>DS_MgmtExp_MinUnits_Devs</vt:lpstr>
      <vt:lpstr>DS_MgmtExp_MinUnits_Percent</vt:lpstr>
      <vt:lpstr>DS_MgmtExp_Yrs</vt:lpstr>
      <vt:lpstr>DS_Military_DataNames</vt:lpstr>
      <vt:lpstr>DS_Military_DDMenu</vt:lpstr>
      <vt:lpstr>DS_Military_Region</vt:lpstr>
      <vt:lpstr>DS_Military_Sequence</vt:lpstr>
      <vt:lpstr>DS_Min_ARP_Req_Units</vt:lpstr>
      <vt:lpstr>DS_Min_ARP_Req_Units_Active</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DS_Min_NHTF_Req_Units</vt:lpstr>
      <vt:lpstr>DS_Min_NHTF_Req_Units_Active</vt:lpstr>
      <vt:lpstr>DS_Min_Units_1</vt:lpstr>
      <vt:lpstr>DS_Min_Units_2</vt:lpstr>
      <vt:lpstr>DS_Min_Units_6Large_1</vt:lpstr>
      <vt:lpstr>DS_Min_Units_6Large_2</vt:lpstr>
      <vt:lpstr>DS_Min_Units_AR_1</vt:lpstr>
      <vt:lpstr>DS_Min_Units_AR_2</vt:lpstr>
      <vt:lpstr>DS_Min_Units_Bonds_1</vt:lpstr>
      <vt:lpstr>DS_Min_Units_Bonds_2</vt:lpstr>
      <vt:lpstr>DS_Min_Units_Default_1</vt:lpstr>
      <vt:lpstr>DS_Min_Units_Default_2</vt:lpstr>
      <vt:lpstr>DS_Min_Units_General_Large_1</vt:lpstr>
      <vt:lpstr>DS_Min_Units_General_Large_2</vt:lpstr>
      <vt:lpstr>DS_Min_Units_General_Medium_1</vt:lpstr>
      <vt:lpstr>DS_Min_Units_General_Medium_2</vt:lpstr>
      <vt:lpstr>DS_Min_Units_General_Small_1</vt:lpstr>
      <vt:lpstr>DS_Min_Units_General_Small_2</vt:lpstr>
      <vt:lpstr>DS_Min_Units_Keys_1</vt:lpstr>
      <vt:lpstr>DS_Min_Units_Keys_2</vt:lpstr>
      <vt:lpstr>DS_Min_Units_NC_1</vt:lpstr>
      <vt:lpstr>DS_Min_Units_NC_2</vt:lpstr>
      <vt:lpstr>DS_Min_Units_No_MiamiDade_1</vt:lpstr>
      <vt:lpstr>DS_Min_Units_No_MiamiDade_2</vt:lpstr>
      <vt:lpstr>DS_Min_Units_PDC_1</vt:lpstr>
      <vt:lpstr>DS_Min_Units_PDC_2</vt:lpstr>
      <vt:lpstr>DS_Min_Units_PDD_1</vt:lpstr>
      <vt:lpstr>DS_Min_Units_PDD_2</vt:lpstr>
      <vt:lpstr>DS_Min_Units_Pinellas_1</vt:lpstr>
      <vt:lpstr>DS_Min_Units_Pinellas_2</vt:lpstr>
      <vt:lpstr>DS_Min_Units_So_MiamiDade_1</vt:lpstr>
      <vt:lpstr>DS_Min_Units_So_MiamiDade_2</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DS_Multiplier_8_Y</vt:lpstr>
      <vt:lpstr>DS_Multiplier_9_Y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DS_NHTF_Max_Total_Units_Active</vt:lpstr>
      <vt:lpstr>DS_NHTF_Max_Units_Opt</vt:lpstr>
      <vt:lpstr>DS_NHTF_Max_Units_Opt_Active</vt:lpstr>
      <vt:lpstr>DS_NHTF_Max_Units_Opt_Allowed</vt:lpstr>
      <vt:lpstr>DS_NHTF_Max_Units_Req_Large</vt:lpstr>
      <vt:lpstr>DS_NHTF_Max_Units_Req_Large_Active</vt:lpstr>
      <vt:lpstr>DS_NHTF_Max_Units_Req_Medium</vt:lpstr>
      <vt:lpstr>DS_NHTF_Max_Units_Req_Medium_Active</vt:lpstr>
      <vt:lpstr>DS_NHTF_Max_Units_Req_Small</vt:lpstr>
      <vt:lpstr>DS_NHTF_Max_Units_Req_Small_Active</vt:lpstr>
      <vt:lpstr>DS_NHTF_Max_Units_Total</vt:lpstr>
      <vt:lpstr>DS_NHTF_Max_Units_Total_Active</vt:lpstr>
      <vt:lpstr>DS_NHTF_Min_Percent_Req_Active</vt:lpstr>
      <vt:lpstr>DS_NHTF_Min_Percent_Required</vt:lpstr>
      <vt:lpstr>DS_NHTF_Min_Units_Req_Large</vt:lpstr>
      <vt:lpstr>DS_NHTF_Min_Units_Req_Large_Active</vt:lpstr>
      <vt:lpstr>DS_NHTF_Min_Units_Req_Medium</vt:lpstr>
      <vt:lpstr>DS_NHTF_Min_Units_Req_Medium_Active</vt:lpstr>
      <vt:lpstr>DS_NHTF_Min_Units_Req_Small</vt:lpstr>
      <vt:lpstr>DS_NHTF_Min_Units_Req_Small_Active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DS_NonMetro_DDAs_2025</vt:lpstr>
      <vt:lpstr>DS_NonMetro_QCTs_2022</vt:lpstr>
      <vt:lpstr>DS_NonMetro_QCTs_2023</vt:lpstr>
      <vt:lpstr>DS_NonMetro_QCTs_2024</vt:lpstr>
      <vt:lpstr>DS_NonMetro_QCTs_2025</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DS_PHA_Multiplier</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DS_RRLP_ELI_Inclusive_PD</vt:lpstr>
      <vt:lpstr>DS_RRLP_ELI_PD</vt:lpstr>
      <vt:lpstr>DS_RRLP_PD_wHCs</vt:lpstr>
      <vt:lpstr>DS_RRLP_PD_woHCs</vt:lpstr>
      <vt:lpstr>DS_RRLP_PU_wHCs</vt:lpstr>
      <vt:lpstr>DS_S_Keys_Multiplier</vt:lpstr>
      <vt:lpstr>DS_SAIL_ELI_Inclusive_LTC</vt:lpstr>
      <vt:lpstr>DS_SAIL_ELI_Inclusive_PD</vt:lpstr>
      <vt:lpstr>DS_SAIL_ELI_Inclusive_PU</vt:lpstr>
      <vt:lpstr>DS_SAIL_PD_Demo</vt:lpstr>
      <vt:lpstr>DS_SAIL_PD_Large</vt:lpstr>
      <vt:lpstr>DS_SAIL_PD_Large_DevCat</vt:lpstr>
      <vt:lpstr>DS_SAIL_PD_Max_Gross</vt:lpstr>
      <vt:lpstr>DS_SAIL_PD_Max_Net</vt:lpstr>
      <vt:lpstr>DS_SAIL_PD_Med</vt:lpstr>
      <vt:lpstr>DS_SAIL_PD_Med_DevCat</vt:lpstr>
      <vt:lpstr>DS_SAIL_PD_Min_MD</vt:lpstr>
      <vt:lpstr>DS_SAIL_PD_NC</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DS_SAIL_PU_LL_NonHC_110</vt:lpstr>
      <vt:lpstr>DS_SAIL_PU_LL_NonHC_120</vt:lpstr>
      <vt:lpstr>DS_SAIL_PU_LL_NonHC_80</vt:lpstr>
      <vt:lpstr>DS_SAIL_PU_LL_NonHC_90</vt:lpstr>
      <vt:lpstr>DS_SAIL_PU_Max_Gross</vt:lpstr>
      <vt:lpstr>DS_SAIL_PU_Max_Net</vt:lpstr>
      <vt:lpstr>DS_SAIL_PU_NC</vt:lpstr>
      <vt:lpstr>DS_SAIL_PU_Not_SS</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DS_Unit_Limit_Menu</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DS_ZCTAs_2025</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Federal_Funding_Exp_Pref</vt:lpstr>
      <vt:lpstr>Fee_Pmt_Information</vt:lpstr>
      <vt:lpstr>FF_Demo_Commitment</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GAO_Number1</vt:lpstr>
      <vt:lpstr>GAO_Number2</vt:lpstr>
      <vt:lpstr>GAO_Number3</vt:lpstr>
      <vt:lpstr>Garden_ESS_AR_units</vt:lpstr>
      <vt:lpstr>Garden_ESS_NC_units</vt:lpstr>
      <vt:lpstr>Garden_ESS_Rehab_units</vt:lpstr>
      <vt:lpstr>Garden_non_ESS_AR_units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HOME_Request_Amount</vt:lpstr>
      <vt:lpstr>Homeless_Region</vt:lpstr>
      <vt:lpstr>HR_ESS_AR_units</vt:lpstr>
      <vt:lpstr>HR_ESS_NC_units</vt:lpstr>
      <vt:lpstr>HR_ESS_Rehab_units</vt:lpstr>
      <vt:lpstr>HUD_CNI_Goal</vt:lpstr>
      <vt:lpstr>Inclusive_of_ELI</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Link_Classification</vt:lpstr>
      <vt:lpstr>Local_govt_contribution</vt:lpstr>
      <vt:lpstr>LocalHFA_App_Year</vt:lpstr>
      <vt:lpstr>Low_HOME_Rent_Units</vt:lpstr>
      <vt:lpstr>Mand_dist_30PercentELI</vt:lpstr>
      <vt:lpstr>Mand_distance</vt:lpstr>
      <vt:lpstr>Market_AIT_Units</vt:lpstr>
      <vt:lpstr>Market_AMI_NonAIT</vt:lpstr>
      <vt:lpstr>Master_Plan_Affordable_Units</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MetroRail_Area_of_Opp_boost</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MgmtExp_first_other_program</vt:lpstr>
      <vt:lpstr>MgmtExp_first_selected_program</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MgmtExp_second_other_program</vt:lpstr>
      <vt:lpstr>MgmtExp_second_selected_program</vt:lpstr>
      <vt:lpstr>MgmtExp_second_time</vt:lpstr>
      <vt:lpstr>MgmtExp_second_units</vt:lpstr>
      <vt:lpstr>MgmtExp_State</vt:lpstr>
      <vt:lpstr>MgmtExp_Zip_Code</vt:lpstr>
      <vt:lpstr>Miin_HOME_Assisted_Units</vt:lpstr>
      <vt:lpstr>Military_Installation</vt:lpstr>
      <vt:lpstr>Military_Region</vt:lpstr>
      <vt:lpstr>Min_and_max_units_met</vt:lpstr>
      <vt:lpstr>Min_and_max_units_met_1</vt:lpstr>
      <vt:lpstr>Min_and_max_units_met_2</vt:lpstr>
      <vt:lpstr>Minimum_SetAside_per_Sec_42</vt:lpstr>
      <vt:lpstr>MixedUse_Description</vt:lpstr>
      <vt:lpstr>MMRB_Request_Amount</vt:lpstr>
      <vt:lpstr>MR_ESS_AR_units</vt:lpstr>
      <vt:lpstr>MR_ESS_NC_units</vt:lpstr>
      <vt:lpstr>MR_ESS_Rehab_units</vt:lpstr>
      <vt:lpstr>MR_non_ESS_AR_units</vt:lpstr>
      <vt:lpstr>MR_Non_ESS_NC_units</vt:lpstr>
      <vt:lpstr>MR_non_ESS_Rehab_units</vt:lpstr>
      <vt:lpstr>Multiphase_firstphase</vt:lpstr>
      <vt:lpstr>Multiphase_subsequent</vt:lpstr>
      <vt:lpstr>Multiphase_subsequent_qualified</vt:lpstr>
      <vt:lpstr>Multiplier_1</vt:lpstr>
      <vt:lpstr>Multiplier_1_Value</vt:lpstr>
      <vt:lpstr>Multiplier_2</vt:lpstr>
      <vt:lpstr>Multiplier_2_Value</vt:lpstr>
      <vt:lpstr>Multiplier_3</vt:lpstr>
      <vt:lpstr>Multiplier_3_Value</vt:lpstr>
      <vt:lpstr>Name_of_Applicant</vt:lpstr>
      <vt:lpstr>Name_of_CHDO</vt:lpstr>
      <vt:lpstr>Name_of_Developer_1</vt:lpstr>
      <vt:lpstr>Name_of_Developer_2</vt:lpstr>
      <vt:lpstr>Name_of_Developer_3</vt:lpstr>
      <vt:lpstr>Name_of_Linked_Development</vt:lpstr>
      <vt:lpstr>Name_of_Mgmt_Co</vt:lpstr>
      <vt:lpstr>Name_of_proposed_Development</vt:lpstr>
      <vt:lpstr>Net_TDC</vt:lpstr>
      <vt:lpstr>New_Development_Land</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Non_Comp_App_4HC</vt:lpstr>
      <vt:lpstr>Non_Comp_App_4HC_AppNumber</vt:lpstr>
      <vt:lpstr>Non_Comp_App_4HC_Boost</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Number_of_Units_Preference_met</vt:lpstr>
      <vt:lpstr>Occ_Confirmation_of_Occupied</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Other_ESS_AR_units</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Other_non_ESS_AR_units</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Permit_Ready_Goal</vt:lpstr>
      <vt:lpstr>PermSource_Use_Ratio</vt:lpstr>
      <vt:lpstr>Perpetuity_Election</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Pres_Dev_Goal_Qualifying</vt:lpstr>
      <vt:lpstr>Prev_Submission_Pref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RAO_Region</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Set_Aside_Units_1</vt:lpstr>
      <vt:lpstr>Set_Aside_Units_2</vt:lpstr>
      <vt:lpstr>Set_Asides_from_Charts</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Total_AIT_Chart_Units</vt:lpstr>
      <vt:lpstr>Total_Cash_Funding</vt:lpstr>
      <vt:lpstr>Total_Cash_Funding_Met</vt:lpstr>
      <vt:lpstr>Total_Cash_Funding_Min</vt:lpstr>
      <vt:lpstr>Total_CDBG_DR_Assisted_Units</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Total_Units_1</vt:lpstr>
      <vt:lpstr>Total_Units_2</vt:lpstr>
      <vt:lpstr>total_units_in_NonAIT_setaside_chart</vt:lpstr>
      <vt:lpstr>total_units_in_unit_desc_chart</vt:lpstr>
      <vt:lpstr>Total_Units_of_Occupied</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Unit_Max_Limit_Basis</vt:lpstr>
      <vt:lpstr>Unit_Min_Limit_Basis</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Workforce_110_AIT_Units</vt:lpstr>
      <vt:lpstr>Workforce_120_AIT_Units</vt:lpstr>
      <vt:lpstr>Workforce_80_AIT_Units</vt:lpstr>
      <vt:lpstr>Workforce_90_AIT_Units</vt:lpstr>
      <vt:lpstr>Workforce_AMI_100_NonAIT</vt:lpstr>
      <vt:lpstr>Workforce_AMI_110_NonAIT</vt:lpstr>
      <vt:lpstr>Workforce_AMI_120_NonAIT</vt:lpstr>
      <vt:lpstr>Workforce_AMI_80_NonAIT</vt:lpstr>
      <vt:lpstr>Workforce_AMI_90_NonAIT</vt:lpstr>
      <vt:lpstr>Workforce_Request_Amount</vt:lpstr>
      <vt:lpstr>year_built</vt:lpstr>
      <vt:lpstr>Year_Built_of_Occupied</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Bryan Barber</cp:lastModifiedBy>
  <cp:revision/>
  <cp:lastPrinted>2024-01-18T18:42:02Z</cp:lastPrinted>
  <dcterms:created xsi:type="dcterms:W3CDTF">2021-01-19T14:53:27Z</dcterms:created>
  <dcterms:modified xsi:type="dcterms:W3CDTF">2024-10-17T18:56:11Z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